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namedSheetViews/namedSheetView1.xml" ContentType="application/vnd.ms-excel.namedsheetviews+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rpa\Desktop\POWER BI\"/>
    </mc:Choice>
  </mc:AlternateContent>
  <xr:revisionPtr revIDLastSave="0" documentId="13_ncr:1_{A57FE7A7-93C7-42F2-AFDB-274C4AB518F3}" xr6:coauthVersionLast="47" xr6:coauthVersionMax="47" xr10:uidLastSave="{00000000-0000-0000-0000-000000000000}"/>
  <bookViews>
    <workbookView xWindow="-120" yWindow="-120" windowWidth="29040" windowHeight="15720" tabRatio="900" xr2:uid="{00000000-000D-0000-FFFF-FFFF00000000}"/>
  </bookViews>
  <sheets>
    <sheet name="MASTER SHEET -MARATHA SITE" sheetId="1" r:id="rId1"/>
    <sheet name="MARATHA QTY DISTRIBUATION" sheetId="2" r:id="rId2"/>
    <sheet name="SUMMARY" sheetId="4" r:id="rId3"/>
    <sheet name="P6 Format" sheetId="20" r:id="rId4"/>
    <sheet name="Site Photograph" sheetId="47" r:id="rId5"/>
    <sheet name="% data sheet" sheetId="34" r:id="rId6"/>
    <sheet name="Ordering" sheetId="37" r:id="rId7"/>
    <sheet name="Enggineering" sheetId="38" r:id="rId8"/>
    <sheet name="delivery" sheetId="39" r:id="rId9"/>
    <sheet name="Construction" sheetId="40" r:id="rId10"/>
    <sheet name="COMMISSIONING" sheetId="41" r:id="rId11"/>
    <sheet name="Focus Area" sheetId="42" r:id="rId12"/>
    <sheet name="Saftey data" sheetId="36" r:id="rId13"/>
    <sheet name="QA&amp;QC" sheetId="35" r:id="rId14"/>
    <sheet name="Summary Qty" sheetId="21" r:id="rId15"/>
    <sheet name="Sheet3" sheetId="15" state="hidden" r:id="rId16"/>
    <sheet name="RCC UPDATED SEP(3)" sheetId="17" r:id="rId17"/>
    <sheet name="PPT-2" sheetId="18" r:id="rId18"/>
    <sheet name="CHART" sheetId="16" r:id="rId19"/>
    <sheet name="Exc" sheetId="12" r:id="rId20"/>
    <sheet name="RCC" sheetId="6" r:id="rId21"/>
    <sheet name="BACKUP MSP" sheetId="10" state="hidden" r:id="rId22"/>
    <sheet name="PLATE FAB" sheetId="7" r:id="rId23"/>
    <sheet name="Str Fab" sheetId="13" r:id="rId24"/>
    <sheet name="STRUCTURE ERECTION" sheetId="8" r:id="rId25"/>
    <sheet name="P&amp;E" sheetId="9" r:id="rId26"/>
    <sheet name="Manpower Trend - A" sheetId="44" r:id="rId27"/>
    <sheet name="PLAN VS ACTUAL" sheetId="46" r:id="rId28"/>
    <sheet name="Manpower Trend - P" sheetId="45" r:id="rId29"/>
    <sheet name="Land Status" sheetId="33" r:id="rId30"/>
    <sheet name="Critical Points" sheetId="32" r:id="rId31"/>
    <sheet name="Packages" sheetId="31" r:id="rId32"/>
    <sheet name="Statutory Approvals" sheetId="22" r:id="rId33"/>
    <sheet name="Safety Statistics" sheetId="29" r:id="rId34"/>
    <sheet name="Information Icon" sheetId="28" r:id="rId35"/>
    <sheet name="SPI" sheetId="27" r:id="rId36"/>
    <sheet name="Delivery - Critical" sheetId="26" r:id="rId37"/>
    <sheet name="Engg Drill page" sheetId="25" r:id="rId38"/>
    <sheet name="Commissioning 1" sheetId="23" r:id="rId39"/>
    <sheet name="Commissioning 2" sheetId="24" r:id="rId40"/>
    <sheet name="Sorting Manpower" sheetId="19" r:id="rId41"/>
    <sheet name="Sheet4" sheetId="30" r:id="rId42"/>
    <sheet name="Ref and E&amp;I" sheetId="14" r:id="rId43"/>
    <sheet name="Sheet2" sheetId="11" state="hidden" r:id="rId44"/>
    <sheet name="Sheet1" sheetId="5" state="hidden" r:id="rId45"/>
  </sheets>
  <externalReferences>
    <externalReference r:id="rId46"/>
    <externalReference r:id="rId47"/>
    <externalReference r:id="rId48"/>
    <externalReference r:id="rId49"/>
  </externalReferences>
  <definedNames>
    <definedName name="_xlnm._FilterDatabase" localSheetId="30" hidden="1">'Critical Points'!$A$1:$J$19</definedName>
    <definedName name="_xlnm._FilterDatabase" localSheetId="37" hidden="1">'Engg Drill page'!$A$1:$H$1480</definedName>
    <definedName name="_xlnm._FilterDatabase" localSheetId="25" hidden="1">'P&amp;E'!$A$4:$AK$24</definedName>
    <definedName name="_xlnm._FilterDatabase" localSheetId="3" hidden="1">'P6 Format'!$A$1:$K$743</definedName>
    <definedName name="_xlnm._FilterDatabase" localSheetId="31" hidden="1">Packages!$A$1:$J$141</definedName>
    <definedName name="_xlnm._FilterDatabase" localSheetId="22" hidden="1">'PLATE FAB'!$A$3:$AE$20</definedName>
    <definedName name="_xlnm._FilterDatabase" localSheetId="20" hidden="1">RCC!$A$2:$AN$45</definedName>
    <definedName name="_xlnm._FilterDatabase" localSheetId="23" hidden="1">'Str Fab'!$A$2:$AJ$25</definedName>
    <definedName name="_xlnm._FilterDatabase" localSheetId="24" hidden="1">'STRUCTURE ERECTION'!$A$3:$AH$28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46" l="1"/>
  <c r="M2" i="46"/>
  <c r="K3" i="46"/>
  <c r="L3" i="46"/>
  <c r="K4" i="46"/>
  <c r="L4" i="46"/>
  <c r="K5" i="46"/>
  <c r="L5" i="46"/>
  <c r="K6" i="46"/>
  <c r="L6" i="46"/>
  <c r="K7" i="46"/>
  <c r="L7" i="46"/>
  <c r="K8" i="46"/>
  <c r="L8" i="46"/>
  <c r="K9" i="46"/>
  <c r="L9" i="46"/>
  <c r="K10" i="46"/>
  <c r="L10" i="46"/>
  <c r="K11" i="46"/>
  <c r="L11" i="46"/>
  <c r="K12" i="46"/>
  <c r="L12" i="46"/>
  <c r="K13" i="46"/>
  <c r="L13" i="46"/>
  <c r="K14" i="46"/>
  <c r="L14" i="46"/>
  <c r="K15" i="46"/>
  <c r="L15" i="46"/>
  <c r="K16" i="46"/>
  <c r="L16" i="46"/>
  <c r="K17" i="46"/>
  <c r="L17" i="46"/>
  <c r="K18" i="46"/>
  <c r="L18" i="46"/>
  <c r="K19" i="46"/>
  <c r="L19" i="46"/>
  <c r="K20" i="46"/>
  <c r="L20" i="46"/>
  <c r="K21" i="46"/>
  <c r="L21" i="46"/>
  <c r="K22" i="46"/>
  <c r="L22" i="46"/>
  <c r="K23" i="46"/>
  <c r="L23" i="46"/>
  <c r="L2" i="46"/>
  <c r="K2" i="46"/>
  <c r="F1" i="46" a="1"/>
  <c r="F1" i="46" s="1"/>
  <c r="A1" i="46" a="1"/>
  <c r="A1" i="46" s="1"/>
  <c r="P2" i="34"/>
  <c r="O2" i="34" s="1"/>
  <c r="AI97" i="1"/>
  <c r="Z97" i="1"/>
  <c r="AK97" i="1"/>
  <c r="AK96" i="1" s="1"/>
  <c r="AK94" i="1" s="1"/>
  <c r="AJ97" i="1"/>
  <c r="AJ96" i="1" s="1"/>
  <c r="AJ94" i="1" s="1"/>
  <c r="AH97" i="1"/>
  <c r="AC97" i="1"/>
  <c r="AB97" i="1"/>
  <c r="AA97" i="1"/>
  <c r="AD97" i="1"/>
  <c r="AE97" i="1"/>
  <c r="AF97" i="1"/>
  <c r="AG97" i="1"/>
  <c r="A1" i="41" a="1"/>
  <c r="A1" i="41" s="1"/>
  <c r="A1" i="40" a="1"/>
  <c r="A1" i="40" s="1"/>
  <c r="A1" i="39" a="1"/>
  <c r="A1" i="39" s="1"/>
  <c r="AC150" i="4"/>
  <c r="AD150" i="4"/>
  <c r="AC151" i="4"/>
  <c r="AC152" i="4" s="1"/>
  <c r="AD152" i="4" s="1"/>
  <c r="AD151" i="4"/>
  <c r="AC153" i="4"/>
  <c r="AD153" i="4"/>
  <c r="AC154" i="4"/>
  <c r="AD154" i="4"/>
  <c r="AC155" i="4"/>
  <c r="AC156" i="4" s="1"/>
  <c r="AD156" i="4" s="1"/>
  <c r="AD155" i="4"/>
  <c r="AC142" i="4"/>
  <c r="AD142" i="4"/>
  <c r="AC143" i="4"/>
  <c r="AD143" i="4"/>
  <c r="AC144" i="4"/>
  <c r="AD144" i="4"/>
  <c r="AC145" i="4"/>
  <c r="AD145" i="4"/>
  <c r="AC146" i="4"/>
  <c r="AD146" i="4"/>
  <c r="AC147" i="4"/>
  <c r="AD147" i="4"/>
  <c r="AC148" i="4"/>
  <c r="AD148" i="4"/>
  <c r="AC134" i="4"/>
  <c r="AD134" i="4"/>
  <c r="AC135" i="4"/>
  <c r="AD135" i="4"/>
  <c r="AC136" i="4"/>
  <c r="AD136" i="4"/>
  <c r="AC137" i="4"/>
  <c r="AD137" i="4"/>
  <c r="AC138" i="4"/>
  <c r="AD138" i="4"/>
  <c r="AC139" i="4"/>
  <c r="AD139" i="4"/>
  <c r="AC140" i="4"/>
  <c r="AD140" i="4"/>
  <c r="AJ89" i="1"/>
  <c r="AK89" i="1"/>
  <c r="AA107" i="4"/>
  <c r="AB107" i="4"/>
  <c r="AC107" i="4"/>
  <c r="AC113" i="4" s="1"/>
  <c r="AD107" i="4"/>
  <c r="AE107" i="4"/>
  <c r="AE113" i="4" s="1"/>
  <c r="AA108" i="4"/>
  <c r="AB108" i="4"/>
  <c r="AC108" i="4"/>
  <c r="AD108" i="4"/>
  <c r="AE108" i="4"/>
  <c r="AA109" i="4"/>
  <c r="AA113" i="4" s="1"/>
  <c r="AB109" i="4"/>
  <c r="AC109" i="4"/>
  <c r="AD109" i="4"/>
  <c r="AE109" i="4"/>
  <c r="AA110" i="4"/>
  <c r="AB110" i="4"/>
  <c r="AC110" i="4"/>
  <c r="AD110" i="4"/>
  <c r="AD113" i="4" s="1"/>
  <c r="AE110" i="4"/>
  <c r="AA112" i="4"/>
  <c r="AB112" i="4"/>
  <c r="AC112" i="4"/>
  <c r="AD112" i="4"/>
  <c r="AE112" i="4"/>
  <c r="AB113" i="4"/>
  <c r="V40" i="2"/>
  <c r="AC3" i="2" l="1"/>
  <c r="AE2" i="2"/>
  <c r="C105" i="4"/>
  <c r="C104" i="4"/>
  <c r="C103" i="4"/>
  <c r="V153" i="2"/>
  <c r="V143" i="2"/>
  <c r="V112" i="2"/>
  <c r="V107" i="2"/>
  <c r="V102" i="2"/>
  <c r="V97" i="2"/>
  <c r="V86" i="2"/>
  <c r="V81" i="2"/>
  <c r="V76" i="2"/>
  <c r="V71" i="2"/>
  <c r="V66" i="2"/>
  <c r="V61" i="2"/>
  <c r="V41" i="2"/>
  <c r="V36" i="2"/>
  <c r="V30" i="2"/>
  <c r="V25" i="2"/>
  <c r="L2" i="41"/>
  <c r="M2" i="39"/>
  <c r="K2" i="39"/>
  <c r="J2" i="39"/>
  <c r="I406" i="20"/>
  <c r="H406" i="20"/>
  <c r="K406" i="20"/>
  <c r="F406" i="20"/>
  <c r="E406" i="20"/>
  <c r="E11" i="20"/>
  <c r="F11" i="20"/>
  <c r="H11" i="20"/>
  <c r="Z151" i="4"/>
  <c r="AA151" i="4"/>
  <c r="AB151" i="4"/>
  <c r="Z153" i="4"/>
  <c r="AA153" i="4"/>
  <c r="AB153" i="4"/>
  <c r="Z143" i="4"/>
  <c r="AA143" i="4"/>
  <c r="AB143" i="4"/>
  <c r="Z145" i="4"/>
  <c r="AA145" i="4"/>
  <c r="AB145" i="4"/>
  <c r="Z135" i="4"/>
  <c r="AA135" i="4"/>
  <c r="AB135" i="4"/>
  <c r="Z137" i="4"/>
  <c r="AA137" i="4"/>
  <c r="AB137" i="4"/>
  <c r="Z127" i="4"/>
  <c r="AA127" i="4"/>
  <c r="AB127" i="4"/>
  <c r="Z129" i="4"/>
  <c r="AA129" i="4"/>
  <c r="AB129" i="4"/>
  <c r="Z119" i="4"/>
  <c r="AA119" i="4"/>
  <c r="AB119" i="4"/>
  <c r="Z121" i="4"/>
  <c r="AA121" i="4"/>
  <c r="AB121" i="4"/>
  <c r="Z123" i="4"/>
  <c r="AA123" i="4"/>
  <c r="AB123" i="4"/>
  <c r="Z131" i="4"/>
  <c r="AA131" i="4"/>
  <c r="AB131" i="4"/>
  <c r="Z139" i="4"/>
  <c r="AA139" i="4"/>
  <c r="AB139" i="4"/>
  <c r="Z147" i="4"/>
  <c r="AA147" i="4"/>
  <c r="AB147" i="4"/>
  <c r="Z155" i="4"/>
  <c r="AA155" i="4"/>
  <c r="AB155" i="4"/>
  <c r="D155" i="4"/>
  <c r="E155" i="4"/>
  <c r="F155" i="4"/>
  <c r="G155" i="4"/>
  <c r="H155" i="4"/>
  <c r="I155" i="4"/>
  <c r="J155" i="4"/>
  <c r="K155" i="4"/>
  <c r="L155" i="4"/>
  <c r="M155" i="4"/>
  <c r="N155" i="4"/>
  <c r="O155" i="4"/>
  <c r="P155" i="4"/>
  <c r="Q155" i="4"/>
  <c r="R155" i="4"/>
  <c r="S155" i="4"/>
  <c r="T155" i="4"/>
  <c r="U155" i="4"/>
  <c r="V155" i="4"/>
  <c r="W155" i="4"/>
  <c r="X155" i="4"/>
  <c r="Y155" i="4"/>
  <c r="C155" i="4"/>
  <c r="C156" i="4" s="1"/>
  <c r="D153" i="4"/>
  <c r="E153" i="4"/>
  <c r="F153" i="4"/>
  <c r="G153" i="4"/>
  <c r="H153" i="4"/>
  <c r="I153" i="4"/>
  <c r="J153" i="4"/>
  <c r="K153" i="4"/>
  <c r="L153" i="4"/>
  <c r="M153" i="4"/>
  <c r="N153" i="4"/>
  <c r="O153" i="4"/>
  <c r="P153" i="4"/>
  <c r="Q153" i="4"/>
  <c r="R153" i="4"/>
  <c r="S153" i="4"/>
  <c r="T153" i="4"/>
  <c r="U153" i="4"/>
  <c r="V153" i="4"/>
  <c r="W153" i="4"/>
  <c r="X153" i="4"/>
  <c r="Y153" i="4"/>
  <c r="C153" i="4"/>
  <c r="C154" i="4" s="1"/>
  <c r="D154" i="4" s="1"/>
  <c r="E154" i="4" s="1"/>
  <c r="F154" i="4" s="1"/>
  <c r="D151" i="4"/>
  <c r="E151" i="4"/>
  <c r="F151" i="4"/>
  <c r="G151" i="4"/>
  <c r="H151" i="4"/>
  <c r="I151" i="4"/>
  <c r="J151" i="4"/>
  <c r="K151" i="4"/>
  <c r="L151" i="4"/>
  <c r="M151" i="4"/>
  <c r="N151" i="4"/>
  <c r="O151" i="4"/>
  <c r="P151" i="4"/>
  <c r="Q151" i="4"/>
  <c r="R151" i="4"/>
  <c r="S151" i="4"/>
  <c r="T151" i="4"/>
  <c r="U151" i="4"/>
  <c r="V151" i="4"/>
  <c r="W151" i="4"/>
  <c r="X151" i="4"/>
  <c r="Y151" i="4"/>
  <c r="C151" i="4"/>
  <c r="D147" i="4"/>
  <c r="E147" i="4"/>
  <c r="F147" i="4"/>
  <c r="G147" i="4"/>
  <c r="H147" i="4"/>
  <c r="I147" i="4"/>
  <c r="J147" i="4"/>
  <c r="K147" i="4"/>
  <c r="L147" i="4"/>
  <c r="M147" i="4"/>
  <c r="N147" i="4"/>
  <c r="O147" i="4"/>
  <c r="P147" i="4"/>
  <c r="Q147" i="4"/>
  <c r="R147" i="4"/>
  <c r="S147" i="4"/>
  <c r="T147" i="4"/>
  <c r="U147" i="4"/>
  <c r="V147" i="4"/>
  <c r="W147" i="4"/>
  <c r="X147" i="4"/>
  <c r="Y147" i="4"/>
  <c r="C148" i="4"/>
  <c r="D139" i="4"/>
  <c r="E139" i="4"/>
  <c r="F139" i="4"/>
  <c r="G139" i="4"/>
  <c r="H139" i="4"/>
  <c r="I139" i="4"/>
  <c r="J139" i="4"/>
  <c r="K139" i="4"/>
  <c r="L139" i="4"/>
  <c r="M139" i="4"/>
  <c r="N139" i="4"/>
  <c r="O139" i="4"/>
  <c r="P139" i="4"/>
  <c r="Q139" i="4"/>
  <c r="R139" i="4"/>
  <c r="S139" i="4"/>
  <c r="T139" i="4"/>
  <c r="U139" i="4"/>
  <c r="V139" i="4"/>
  <c r="W139" i="4"/>
  <c r="X139" i="4"/>
  <c r="Y139" i="4"/>
  <c r="C152" i="4"/>
  <c r="C140" i="4"/>
  <c r="K739" i="20"/>
  <c r="M2" i="41" s="1"/>
  <c r="F739" i="20"/>
  <c r="K2" i="41" s="1"/>
  <c r="E739" i="20"/>
  <c r="J2" i="41" s="1"/>
  <c r="I559" i="20"/>
  <c r="H559" i="20"/>
  <c r="K559" i="20"/>
  <c r="M2" i="40" s="1"/>
  <c r="F559" i="20"/>
  <c r="K2" i="40" s="1"/>
  <c r="E559" i="20"/>
  <c r="J2" i="40" s="1"/>
  <c r="K11" i="20"/>
  <c r="M2" i="38" s="1"/>
  <c r="I11" i="20"/>
  <c r="J2" i="38"/>
  <c r="D131" i="4"/>
  <c r="E131" i="4"/>
  <c r="F131" i="4"/>
  <c r="G131" i="4"/>
  <c r="H131" i="4"/>
  <c r="I131" i="4"/>
  <c r="J131" i="4"/>
  <c r="K131" i="4"/>
  <c r="L131" i="4"/>
  <c r="M131" i="4"/>
  <c r="N131" i="4"/>
  <c r="O131" i="4"/>
  <c r="P131" i="4"/>
  <c r="Q131" i="4"/>
  <c r="R131" i="4"/>
  <c r="S131" i="4"/>
  <c r="T131" i="4"/>
  <c r="U131" i="4"/>
  <c r="V131" i="4"/>
  <c r="W131" i="4"/>
  <c r="X131" i="4"/>
  <c r="Y131" i="4"/>
  <c r="C132" i="4"/>
  <c r="D132" i="4" s="1"/>
  <c r="M2" i="37"/>
  <c r="K2" i="37"/>
  <c r="J2" i="37"/>
  <c r="A1" i="37" a="1"/>
  <c r="A1" i="37" s="1"/>
  <c r="C124" i="4"/>
  <c r="D124" i="4" s="1"/>
  <c r="E124" i="4" s="1"/>
  <c r="F124" i="4" s="1"/>
  <c r="G124" i="4" s="1"/>
  <c r="H124" i="4" s="1"/>
  <c r="I124" i="4" s="1"/>
  <c r="J124" i="4" s="1"/>
  <c r="K124" i="4" s="1"/>
  <c r="L124" i="4" s="1"/>
  <c r="M124" i="4" s="1"/>
  <c r="N124" i="4" s="1"/>
  <c r="O124" i="4" s="1"/>
  <c r="P124" i="4" s="1"/>
  <c r="Q124" i="4" s="1"/>
  <c r="D123" i="4"/>
  <c r="E123" i="4"/>
  <c r="F123" i="4"/>
  <c r="G123" i="4"/>
  <c r="H123" i="4"/>
  <c r="I123" i="4"/>
  <c r="J123" i="4"/>
  <c r="K123" i="4"/>
  <c r="L123" i="4"/>
  <c r="M123" i="4"/>
  <c r="N123" i="4"/>
  <c r="O123" i="4"/>
  <c r="P123" i="4"/>
  <c r="Q123" i="4"/>
  <c r="R123" i="4"/>
  <c r="S123" i="4"/>
  <c r="T123" i="4"/>
  <c r="U123" i="4"/>
  <c r="V123" i="4"/>
  <c r="W123" i="4"/>
  <c r="X123" i="4"/>
  <c r="Y123" i="4"/>
  <c r="R124" i="4" l="1"/>
  <c r="S124" i="4" s="1"/>
  <c r="T124" i="4" s="1"/>
  <c r="U124" i="4" s="1"/>
  <c r="V124" i="4" s="1"/>
  <c r="W124" i="4" s="1"/>
  <c r="X124" i="4" s="1"/>
  <c r="Y124" i="4" s="1"/>
  <c r="Z124" i="4" s="1"/>
  <c r="AA124" i="4" s="1"/>
  <c r="AB124" i="4" s="1"/>
  <c r="G559" i="20"/>
  <c r="D559" i="20"/>
  <c r="L2" i="37"/>
  <c r="G11" i="20"/>
  <c r="D156" i="4"/>
  <c r="E156" i="4" s="1"/>
  <c r="F156" i="4" s="1"/>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G154" i="4"/>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D152" i="4"/>
  <c r="E152" i="4" s="1"/>
  <c r="F152" i="4" s="1"/>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D148" i="4"/>
  <c r="E148" i="4" s="1"/>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D140" i="4"/>
  <c r="E140" i="4" s="1"/>
  <c r="F140" i="4" s="1"/>
  <c r="G140" i="4" s="1"/>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L2" i="39"/>
  <c r="K2" i="38"/>
  <c r="L2" i="38" s="1"/>
  <c r="L2" i="40"/>
  <c r="E132" i="4"/>
  <c r="F132" i="4" s="1"/>
  <c r="G132" i="4" s="1"/>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M2" i="34" l="1"/>
  <c r="L2" i="34" s="1"/>
  <c r="K2" i="34"/>
  <c r="J2" i="34"/>
  <c r="I13" i="32" l="1"/>
  <c r="I6" i="32"/>
  <c r="K9" i="24"/>
  <c r="J9" i="24"/>
  <c r="I9" i="24"/>
  <c r="L9" i="24" s="1"/>
  <c r="H9" i="24"/>
  <c r="G9" i="24"/>
  <c r="F9" i="24"/>
  <c r="L8" i="24"/>
  <c r="L7" i="24"/>
  <c r="L6" i="24"/>
  <c r="L5" i="24"/>
  <c r="L4" i="24"/>
  <c r="L3" i="24"/>
  <c r="L2" i="24"/>
  <c r="P10" i="23"/>
  <c r="O10" i="23"/>
  <c r="N10" i="23"/>
  <c r="M10" i="23"/>
  <c r="L10" i="23"/>
  <c r="K10" i="23"/>
  <c r="J10" i="23"/>
  <c r="I10" i="23"/>
  <c r="H10" i="23"/>
  <c r="G10" i="23"/>
  <c r="F10" i="23"/>
  <c r="J9" i="21"/>
  <c r="I6" i="21"/>
  <c r="H6" i="21"/>
  <c r="G6" i="21"/>
  <c r="F6" i="21"/>
  <c r="E6" i="21"/>
  <c r="D6" i="21"/>
  <c r="I5" i="21"/>
  <c r="H5" i="21"/>
  <c r="G5" i="21"/>
  <c r="F5" i="21"/>
  <c r="E5" i="21"/>
  <c r="D5" i="21"/>
  <c r="I4" i="21"/>
  <c r="H4" i="21"/>
  <c r="G4" i="21"/>
  <c r="F4" i="21"/>
  <c r="E4" i="21"/>
  <c r="D4" i="21"/>
  <c r="J4" i="21" s="1"/>
  <c r="I3" i="21"/>
  <c r="H3" i="21"/>
  <c r="G3" i="21"/>
  <c r="F3" i="21"/>
  <c r="E3" i="21"/>
  <c r="D3" i="21"/>
  <c r="I2" i="21"/>
  <c r="G2" i="21"/>
  <c r="F2" i="21"/>
  <c r="E2" i="21"/>
  <c r="D2" i="21"/>
  <c r="J3" i="21" l="1"/>
  <c r="J5" i="21"/>
  <c r="J2" i="21"/>
  <c r="J6" i="21"/>
  <c r="T1" i="9"/>
  <c r="Q1" i="9"/>
  <c r="R1" i="9"/>
  <c r="S1" i="9"/>
  <c r="P1" i="9"/>
  <c r="N1" i="9"/>
  <c r="O1" i="9"/>
  <c r="M1" i="9"/>
  <c r="L1" i="9"/>
  <c r="K1" i="9"/>
  <c r="J1" i="9"/>
  <c r="G1" i="9"/>
  <c r="F1" i="9"/>
  <c r="E1" i="9"/>
  <c r="B1" i="9"/>
  <c r="C1" i="9"/>
  <c r="D1" i="9"/>
  <c r="A1" i="9"/>
  <c r="R1" i="8"/>
  <c r="Q1" i="8"/>
  <c r="O1" i="8"/>
  <c r="P1" i="8"/>
  <c r="N1" i="8"/>
  <c r="M1" i="8"/>
  <c r="L1" i="8"/>
  <c r="K1" i="8"/>
  <c r="I1" i="8"/>
  <c r="J1" i="8"/>
  <c r="H1" i="8"/>
  <c r="G1" i="8"/>
  <c r="B1" i="8"/>
  <c r="C1" i="8"/>
  <c r="D1" i="8"/>
  <c r="E1" i="8"/>
  <c r="F1" i="8"/>
  <c r="A1" i="8"/>
  <c r="R1" i="13"/>
  <c r="Q1" i="13"/>
  <c r="N1" i="13"/>
  <c r="O1" i="13"/>
  <c r="P1" i="13"/>
  <c r="L1" i="13"/>
  <c r="M1" i="13"/>
  <c r="K1" i="13"/>
  <c r="I1" i="13"/>
  <c r="J1" i="13"/>
  <c r="H1" i="13"/>
  <c r="G1" i="13"/>
  <c r="F1" i="13"/>
  <c r="B1" i="13"/>
  <c r="C1" i="13"/>
  <c r="D1" i="13"/>
  <c r="E1" i="13"/>
  <c r="A1" i="13"/>
  <c r="R1" i="7"/>
  <c r="N1" i="7"/>
  <c r="O1" i="7"/>
  <c r="P1" i="7"/>
  <c r="Q1" i="7"/>
  <c r="M1" i="7"/>
  <c r="L1" i="7"/>
  <c r="K1" i="7"/>
  <c r="J1" i="7"/>
  <c r="I1" i="7"/>
  <c r="H1" i="7"/>
  <c r="G1" i="7"/>
  <c r="F1" i="7"/>
  <c r="B1" i="7"/>
  <c r="C1" i="7"/>
  <c r="D1" i="7"/>
  <c r="E1" i="7"/>
  <c r="A1" i="7"/>
  <c r="R4" i="6"/>
  <c r="R5" i="6"/>
  <c r="R6" i="6"/>
  <c r="R8" i="6"/>
  <c r="R9" i="6"/>
  <c r="R11" i="6"/>
  <c r="R13" i="6"/>
  <c r="R14" i="6"/>
  <c r="R15" i="6"/>
  <c r="R16" i="6"/>
  <c r="R18" i="6"/>
  <c r="R20" i="6"/>
  <c r="R21" i="6"/>
  <c r="R22" i="6"/>
  <c r="R23" i="6"/>
  <c r="R24" i="6"/>
  <c r="R25" i="6"/>
  <c r="R26" i="6"/>
  <c r="R27" i="6"/>
  <c r="R28" i="6"/>
  <c r="R29" i="6"/>
  <c r="R30" i="6"/>
  <c r="R31" i="6"/>
  <c r="R32" i="6"/>
  <c r="R33" i="6"/>
  <c r="R34" i="6"/>
  <c r="R35" i="6"/>
  <c r="R37" i="6"/>
  <c r="R39" i="6"/>
  <c r="R3" i="6"/>
  <c r="R1" i="6"/>
  <c r="Q1" i="6"/>
  <c r="O1" i="6"/>
  <c r="P1" i="6"/>
  <c r="N1" i="6"/>
  <c r="L1" i="6"/>
  <c r="M1" i="6"/>
  <c r="K1" i="6"/>
  <c r="J1" i="6"/>
  <c r="I1" i="6"/>
  <c r="H1" i="6"/>
  <c r="G1" i="6"/>
  <c r="B1" i="6"/>
  <c r="C1" i="6"/>
  <c r="D1" i="6"/>
  <c r="E1" i="6"/>
  <c r="F1" i="6"/>
  <c r="A1" i="6"/>
  <c r="I43" i="12" l="1"/>
  <c r="R4" i="12"/>
  <c r="R5" i="12"/>
  <c r="R7" i="12"/>
  <c r="R8" i="12"/>
  <c r="R9" i="12"/>
  <c r="R10" i="12"/>
  <c r="R12" i="12"/>
  <c r="R13" i="12"/>
  <c r="R14" i="12"/>
  <c r="R15" i="12"/>
  <c r="R17" i="12"/>
  <c r="R19" i="12"/>
  <c r="R21" i="12"/>
  <c r="R22" i="12"/>
  <c r="R23" i="12"/>
  <c r="R24" i="12"/>
  <c r="R25" i="12"/>
  <c r="R26" i="12"/>
  <c r="R27" i="12"/>
  <c r="R28" i="12"/>
  <c r="R29" i="12"/>
  <c r="R30" i="12"/>
  <c r="R31" i="12"/>
  <c r="R32" i="12"/>
  <c r="R33" i="12"/>
  <c r="R34" i="12"/>
  <c r="R35" i="12"/>
  <c r="R36" i="12"/>
  <c r="R37" i="12"/>
  <c r="R38" i="12"/>
  <c r="R39" i="12"/>
  <c r="R40" i="12"/>
  <c r="R41" i="12"/>
  <c r="R42" i="12"/>
  <c r="T40" i="2" l="1"/>
  <c r="AI89" i="1" l="1"/>
  <c r="AI96" i="1"/>
  <c r="AI94" i="1" s="1"/>
  <c r="T55" i="2" l="1"/>
  <c r="D87" i="16" l="1"/>
  <c r="D89" i="16" s="1"/>
  <c r="C82" i="16"/>
  <c r="F27" i="16"/>
  <c r="I20" i="16"/>
  <c r="M13" i="16"/>
  <c r="G34" i="16"/>
  <c r="R4" i="16"/>
  <c r="T35" i="2"/>
  <c r="U90" i="2"/>
  <c r="N7" i="17"/>
  <c r="K4" i="17"/>
  <c r="L4" i="17"/>
  <c r="K5" i="17"/>
  <c r="L5" i="17"/>
  <c r="K8" i="17"/>
  <c r="L8" i="17"/>
  <c r="J5" i="17"/>
  <c r="J4" i="17"/>
  <c r="I13" i="17"/>
  <c r="I11" i="17"/>
  <c r="I9" i="17"/>
  <c r="I6" i="17"/>
  <c r="I5" i="17"/>
  <c r="G5" i="17"/>
  <c r="G4" i="17"/>
  <c r="U143" i="2"/>
  <c r="U81" i="2"/>
  <c r="U76" i="2"/>
  <c r="U71" i="2"/>
  <c r="U66" i="2"/>
  <c r="U61" i="2"/>
  <c r="D31" i="16" l="1"/>
  <c r="E31" i="16"/>
  <c r="F31" i="16"/>
  <c r="G31" i="16"/>
  <c r="H31" i="16"/>
  <c r="I31" i="16"/>
  <c r="J31" i="16"/>
  <c r="K31" i="16"/>
  <c r="L31" i="16"/>
  <c r="M31" i="16"/>
  <c r="N31" i="16"/>
  <c r="C31" i="16"/>
  <c r="D24" i="16"/>
  <c r="E24" i="16"/>
  <c r="F24" i="16"/>
  <c r="G24" i="16"/>
  <c r="H24" i="16"/>
  <c r="I24" i="16"/>
  <c r="J24" i="16"/>
  <c r="K24" i="16"/>
  <c r="L24" i="16"/>
  <c r="M24" i="16"/>
  <c r="C24" i="16"/>
  <c r="X3" i="8"/>
  <c r="Y3" i="9"/>
  <c r="Z3" i="9"/>
  <c r="AJ3" i="9"/>
  <c r="A4" i="9" l="1"/>
  <c r="AK7" i="9"/>
  <c r="AK8" i="9"/>
  <c r="AK9" i="9"/>
  <c r="AK10" i="9"/>
  <c r="AK12" i="9"/>
  <c r="AK16" i="9"/>
  <c r="AK17" i="9"/>
  <c r="AK18" i="9"/>
  <c r="AK19" i="9"/>
  <c r="AK22" i="9"/>
  <c r="AK23" i="9"/>
  <c r="AK5" i="9"/>
  <c r="AG22" i="8"/>
  <c r="AG21" i="8"/>
  <c r="AG20" i="8"/>
  <c r="AG16" i="8"/>
  <c r="AG15" i="8"/>
  <c r="AG13" i="8"/>
  <c r="AG12" i="8"/>
  <c r="AG8" i="8"/>
  <c r="AG6" i="8"/>
  <c r="AE5" i="7"/>
  <c r="AE4" i="7"/>
  <c r="AI3" i="6"/>
  <c r="AJ3" i="6"/>
  <c r="AK3" i="6"/>
  <c r="AL3" i="6"/>
  <c r="AM3" i="6"/>
  <c r="AN3" i="6"/>
  <c r="AG3" i="6"/>
  <c r="AH3" i="6"/>
  <c r="AF3" i="6"/>
  <c r="AM7" i="6"/>
  <c r="AM8" i="6"/>
  <c r="AM9" i="6"/>
  <c r="AM10" i="6"/>
  <c r="AM11" i="6"/>
  <c r="AM12" i="6"/>
  <c r="AM13" i="6"/>
  <c r="AM14" i="6"/>
  <c r="AM15" i="6"/>
  <c r="AM16" i="6"/>
  <c r="AM20" i="6"/>
  <c r="AM21" i="6"/>
  <c r="AM22" i="6"/>
  <c r="AM23" i="6"/>
  <c r="AM24" i="6"/>
  <c r="AM25" i="6"/>
  <c r="AM26" i="6"/>
  <c r="AM27" i="6"/>
  <c r="AM28" i="6"/>
  <c r="AM29" i="6"/>
  <c r="AM30" i="6"/>
  <c r="AM31" i="6"/>
  <c r="AM32" i="6"/>
  <c r="AM33" i="6"/>
  <c r="AM34" i="6"/>
  <c r="AM35" i="6"/>
  <c r="AM36" i="6"/>
  <c r="AM37" i="6"/>
  <c r="AM38" i="6"/>
  <c r="AM4" i="6"/>
  <c r="T132" i="2" l="1"/>
  <c r="T147" i="2" l="1"/>
  <c r="AG149" i="2"/>
  <c r="AG127" i="2" l="1"/>
  <c r="F16" i="18" l="1"/>
  <c r="F15" i="18"/>
  <c r="F14" i="18"/>
  <c r="F13" i="18"/>
  <c r="AV105" i="1" l="1"/>
  <c r="AV107" i="1"/>
  <c r="AV111" i="1"/>
  <c r="AV113" i="1"/>
  <c r="AW105" i="1"/>
  <c r="AW107" i="1"/>
  <c r="AW111" i="1"/>
  <c r="AW113" i="1"/>
  <c r="AH89" i="1"/>
  <c r="J20" i="12" l="1"/>
  <c r="R20" i="12" s="1"/>
  <c r="J3" i="12"/>
  <c r="E19" i="18"/>
  <c r="G19" i="18" s="1"/>
  <c r="E7" i="18" s="1"/>
  <c r="J11" i="18"/>
  <c r="I11" i="18"/>
  <c r="J10" i="18"/>
  <c r="I10" i="18"/>
  <c r="J8" i="18"/>
  <c r="I8" i="18"/>
  <c r="J5" i="18"/>
  <c r="I5" i="18"/>
  <c r="J4" i="18"/>
  <c r="I4" i="18"/>
  <c r="L4" i="18"/>
  <c r="M4" i="18"/>
  <c r="AI106" i="2"/>
  <c r="AL112" i="2"/>
  <c r="AL111" i="2"/>
  <c r="AL109" i="2"/>
  <c r="AL108" i="2"/>
  <c r="AL106" i="2"/>
  <c r="AL105" i="2"/>
  <c r="J43" i="12" l="1"/>
  <c r="R3" i="12"/>
  <c r="J2" i="12"/>
  <c r="E102" i="16"/>
  <c r="D102" i="16"/>
  <c r="D105" i="16" l="1"/>
  <c r="D104" i="16"/>
  <c r="C83" i="16"/>
  <c r="C84" i="16"/>
  <c r="C85" i="16"/>
  <c r="C86" i="16"/>
  <c r="M10" i="17"/>
  <c r="M7" i="17"/>
  <c r="K4" i="18"/>
  <c r="J8" i="17"/>
  <c r="H10" i="18"/>
  <c r="H5" i="18"/>
  <c r="H4" i="18"/>
  <c r="F24" i="18"/>
  <c r="C11" i="18"/>
  <c r="I9" i="18"/>
  <c r="C10" i="18"/>
  <c r="J9" i="18"/>
  <c r="C8" i="18"/>
  <c r="I7" i="18"/>
  <c r="G8" i="17" s="1"/>
  <c r="H7" i="18"/>
  <c r="D7" i="18"/>
  <c r="E8" i="17" s="1"/>
  <c r="F8" i="17" s="1"/>
  <c r="C7" i="18"/>
  <c r="J6" i="18"/>
  <c r="C5" i="18"/>
  <c r="D4" i="18"/>
  <c r="I3" i="18"/>
  <c r="H3" i="18"/>
  <c r="D3" i="18"/>
  <c r="C3" i="18"/>
  <c r="E2" i="18"/>
  <c r="A21" i="17"/>
  <c r="A20" i="17"/>
  <c r="A19" i="17"/>
  <c r="A18" i="17"/>
  <c r="C17" i="17"/>
  <c r="B17" i="17"/>
  <c r="A17" i="17"/>
  <c r="Q13" i="17"/>
  <c r="P13" i="17"/>
  <c r="P12" i="17" s="1"/>
  <c r="O12" i="17"/>
  <c r="N12" i="17"/>
  <c r="M12" i="17"/>
  <c r="H12" i="17"/>
  <c r="Q11" i="17"/>
  <c r="P11" i="17"/>
  <c r="N10" i="17"/>
  <c r="Q9" i="17"/>
  <c r="P9" i="17"/>
  <c r="Q8" i="17"/>
  <c r="N8" i="17"/>
  <c r="P8" i="17" s="1"/>
  <c r="I8" i="17"/>
  <c r="Q7" i="17"/>
  <c r="P7" i="17"/>
  <c r="H7" i="17"/>
  <c r="Q6" i="17"/>
  <c r="P6" i="17"/>
  <c r="Q5" i="17"/>
  <c r="P5" i="17"/>
  <c r="Q4" i="17"/>
  <c r="N4" i="17"/>
  <c r="I4" i="17"/>
  <c r="N2" i="17"/>
  <c r="C9" i="18" l="1"/>
  <c r="B21" i="17" s="1"/>
  <c r="C73" i="16"/>
  <c r="C6" i="18"/>
  <c r="I12" i="17"/>
  <c r="H11" i="18"/>
  <c r="H9" i="18" s="1"/>
  <c r="I10" i="17"/>
  <c r="H8" i="18"/>
  <c r="H6" i="18" s="1"/>
  <c r="J17" i="18"/>
  <c r="I7" i="17"/>
  <c r="I6" i="18"/>
  <c r="I17" i="18" s="1"/>
  <c r="C87" i="16"/>
  <c r="F7" i="18"/>
  <c r="M4" i="17"/>
  <c r="M14" i="17" s="1"/>
  <c r="E34" i="16" l="1"/>
  <c r="F34" i="16"/>
  <c r="C27" i="16"/>
  <c r="D27" i="16"/>
  <c r="E27" i="16"/>
  <c r="D10" i="16"/>
  <c r="E10" i="16"/>
  <c r="F10" i="16"/>
  <c r="G10" i="16"/>
  <c r="H10" i="16"/>
  <c r="I10" i="16"/>
  <c r="J10" i="16"/>
  <c r="K10" i="16"/>
  <c r="L10" i="16"/>
  <c r="M10" i="16"/>
  <c r="N10" i="16"/>
  <c r="O10" i="16"/>
  <c r="P10" i="16"/>
  <c r="Q10" i="16"/>
  <c r="R10" i="16"/>
  <c r="S10" i="16"/>
  <c r="C13" i="16"/>
  <c r="D13" i="16"/>
  <c r="E13" i="16"/>
  <c r="F13" i="16"/>
  <c r="G13" i="16"/>
  <c r="J13" i="16"/>
  <c r="K13" i="16"/>
  <c r="L13" i="16"/>
  <c r="C10" i="16"/>
  <c r="C20" i="16"/>
  <c r="D20" i="16"/>
  <c r="F20" i="16"/>
  <c r="G20" i="16"/>
  <c r="H20" i="16"/>
  <c r="D2" i="16"/>
  <c r="D3" i="16"/>
  <c r="D4" i="16"/>
  <c r="E4" i="16"/>
  <c r="F4" i="16"/>
  <c r="G4" i="16"/>
  <c r="H4" i="16"/>
  <c r="I4" i="16"/>
  <c r="J4" i="16"/>
  <c r="K4" i="16"/>
  <c r="L4" i="16"/>
  <c r="M4" i="16"/>
  <c r="O4" i="16"/>
  <c r="Q4" i="16"/>
  <c r="D5" i="16"/>
  <c r="C3" i="16"/>
  <c r="C4" i="16"/>
  <c r="C5" i="16"/>
  <c r="C2" i="16"/>
  <c r="B3" i="16"/>
  <c r="B4" i="16"/>
  <c r="B5" i="16"/>
  <c r="B2" i="16"/>
  <c r="C1" i="16"/>
  <c r="D1" i="16"/>
  <c r="E1" i="16"/>
  <c r="F1" i="16"/>
  <c r="G1" i="16"/>
  <c r="H1" i="16"/>
  <c r="I1" i="16"/>
  <c r="J1" i="16"/>
  <c r="K1" i="16"/>
  <c r="L1" i="16"/>
  <c r="C17" i="16" s="1"/>
  <c r="M1" i="16"/>
  <c r="D17" i="16" s="1"/>
  <c r="N1" i="16"/>
  <c r="E17" i="16" s="1"/>
  <c r="O1" i="16"/>
  <c r="F17" i="16" s="1"/>
  <c r="P1" i="16"/>
  <c r="G17" i="16" s="1"/>
  <c r="Q1" i="16"/>
  <c r="H17" i="16" s="1"/>
  <c r="R1" i="16"/>
  <c r="I17" i="16" s="1"/>
  <c r="S1" i="16"/>
  <c r="J17" i="16" s="1"/>
  <c r="T1" i="16"/>
  <c r="K17" i="16" s="1"/>
  <c r="U1" i="16"/>
  <c r="L17" i="16" s="1"/>
  <c r="B1" i="16"/>
  <c r="AC156" i="2" l="1"/>
  <c r="AE155" i="2" s="1"/>
  <c r="AC151" i="2"/>
  <c r="AE150" i="2" s="1"/>
  <c r="AC143" i="2"/>
  <c r="AC141" i="2"/>
  <c r="AE140" i="2" s="1"/>
  <c r="AC136" i="2"/>
  <c r="AE135" i="2" s="1"/>
  <c r="AC131" i="2"/>
  <c r="AE130" i="2" s="1"/>
  <c r="AC126" i="2"/>
  <c r="AE125" i="2" s="1"/>
  <c r="AC121" i="2"/>
  <c r="AE120" i="2" s="1"/>
  <c r="AC110" i="2"/>
  <c r="AE109" i="2" s="1"/>
  <c r="AC105" i="2"/>
  <c r="AE104" i="2" s="1"/>
  <c r="AC100" i="2"/>
  <c r="AE99" i="2" s="1"/>
  <c r="AC95" i="2"/>
  <c r="AE94" i="2" s="1"/>
  <c r="AC81" i="2"/>
  <c r="AC76" i="2"/>
  <c r="AC71" i="2"/>
  <c r="AC69" i="2"/>
  <c r="AE68" i="2" s="1"/>
  <c r="AC66" i="2"/>
  <c r="AC64" i="2"/>
  <c r="AE63" i="2" s="1"/>
  <c r="AC28" i="2"/>
  <c r="AE27" i="2" s="1"/>
  <c r="AC23" i="2"/>
  <c r="AE22" i="2" s="1"/>
  <c r="AC18" i="2"/>
  <c r="AE17" i="2" s="1"/>
  <c r="AC13" i="2"/>
  <c r="AE12" i="2" s="1"/>
  <c r="AG89" i="1"/>
  <c r="AF89" i="1"/>
  <c r="S117" i="2"/>
  <c r="T117" i="2" s="1"/>
  <c r="U117" i="2" s="1"/>
  <c r="V117" i="2" s="1"/>
  <c r="S112" i="2"/>
  <c r="T112" i="2" s="1"/>
  <c r="S107" i="2"/>
  <c r="T107" i="2" s="1"/>
  <c r="U107" i="2" s="1"/>
  <c r="S102" i="2"/>
  <c r="T102" i="2" s="1"/>
  <c r="S97" i="2"/>
  <c r="T97" i="2" s="1"/>
  <c r="S158" i="2"/>
  <c r="T158" i="2" s="1"/>
  <c r="S127" i="2"/>
  <c r="S147" i="2" s="1"/>
  <c r="S122" i="2"/>
  <c r="T90" i="2"/>
  <c r="S20" i="2"/>
  <c r="T20" i="2" s="1"/>
  <c r="S25" i="2"/>
  <c r="T25" i="2" s="1"/>
  <c r="S30" i="2"/>
  <c r="T30" i="2" s="1"/>
  <c r="U30" i="2" s="1"/>
  <c r="S15" i="2"/>
  <c r="T15" i="2" s="1"/>
  <c r="S10" i="2"/>
  <c r="T10" i="2" s="1"/>
  <c r="U10" i="2" s="1"/>
  <c r="V10" i="2" s="1"/>
  <c r="S5" i="2"/>
  <c r="T5" i="2" s="1"/>
  <c r="AG9" i="8"/>
  <c r="AG10" i="8"/>
  <c r="AG14" i="8"/>
  <c r="AG19" i="8"/>
  <c r="AG23" i="8"/>
  <c r="AG25" i="8"/>
  <c r="AG26" i="8"/>
  <c r="AG27" i="8"/>
  <c r="AJ4" i="13"/>
  <c r="AJ7" i="13"/>
  <c r="AJ12" i="13"/>
  <c r="AE8" i="7"/>
  <c r="AE13" i="7"/>
  <c r="AE15" i="7"/>
  <c r="AE19" i="7"/>
  <c r="AN7" i="6"/>
  <c r="AN8" i="6"/>
  <c r="AN9" i="6"/>
  <c r="AN10" i="6"/>
  <c r="AN11" i="6"/>
  <c r="AN12" i="6"/>
  <c r="AN13" i="6"/>
  <c r="AN14" i="6"/>
  <c r="AN15" i="6"/>
  <c r="AN16" i="6"/>
  <c r="AN20" i="6"/>
  <c r="AN21" i="6"/>
  <c r="AN22" i="6"/>
  <c r="AN23" i="6"/>
  <c r="AN24" i="6"/>
  <c r="AN25" i="6"/>
  <c r="AN26" i="6"/>
  <c r="AN27" i="6"/>
  <c r="AN28" i="6"/>
  <c r="AN29" i="6"/>
  <c r="AN30" i="6"/>
  <c r="AN31" i="6"/>
  <c r="AN32" i="6"/>
  <c r="AN33" i="6"/>
  <c r="AN34" i="6"/>
  <c r="AN35" i="6"/>
  <c r="AN36" i="6"/>
  <c r="AN37" i="6"/>
  <c r="AN38" i="6"/>
  <c r="AN39" i="6"/>
  <c r="AN40" i="6"/>
  <c r="AG96" i="1" l="1"/>
  <c r="AG94" i="1" s="1"/>
  <c r="U5" i="2"/>
  <c r="U15" i="2"/>
  <c r="AC30" i="2"/>
  <c r="AE28" i="2" s="1"/>
  <c r="U97" i="2"/>
  <c r="AC97" i="2" s="1"/>
  <c r="AE95" i="2" s="1"/>
  <c r="U20" i="2"/>
  <c r="U25" i="2"/>
  <c r="AC25" i="2" s="1"/>
  <c r="AE23" i="2" s="1"/>
  <c r="U158" i="2"/>
  <c r="U102" i="2"/>
  <c r="AC102" i="2" s="1"/>
  <c r="AE100" i="2" s="1"/>
  <c r="AC10" i="2"/>
  <c r="AE64" i="2"/>
  <c r="U112" i="2"/>
  <c r="AC112" i="2" s="1"/>
  <c r="AE110" i="2" s="1"/>
  <c r="AE69" i="2"/>
  <c r="AE141" i="2"/>
  <c r="AC107" i="2"/>
  <c r="AE105" i="2" s="1"/>
  <c r="AG111" i="4"/>
  <c r="C112" i="4"/>
  <c r="S153" i="2"/>
  <c r="S138" i="2"/>
  <c r="T138" i="2" s="1"/>
  <c r="S132" i="2"/>
  <c r="S123" i="2"/>
  <c r="S90" i="2"/>
  <c r="S35" i="2"/>
  <c r="P4" i="16" s="1"/>
  <c r="V158" i="2" l="1"/>
  <c r="AC158" i="2" s="1"/>
  <c r="AE156" i="2" s="1"/>
  <c r="AC20" i="2"/>
  <c r="AE18" i="2" s="1"/>
  <c r="V20" i="2"/>
  <c r="AC15" i="2"/>
  <c r="AE13" i="2" s="1"/>
  <c r="V15" i="2"/>
  <c r="V5" i="2"/>
  <c r="AC5" i="2" s="1"/>
  <c r="AE3" i="2" s="1"/>
  <c r="U138" i="2"/>
  <c r="T154" i="2"/>
  <c r="T153" i="2"/>
  <c r="T124" i="2"/>
  <c r="T123" i="2"/>
  <c r="V138" i="2" l="1"/>
  <c r="AC138" i="2" s="1"/>
  <c r="AE136" i="2" s="1"/>
  <c r="U123" i="2"/>
  <c r="U153" i="2"/>
  <c r="AC153" i="2" s="1"/>
  <c r="AE151" i="2" s="1"/>
  <c r="AC123" i="2" l="1"/>
  <c r="AE121" i="2" s="1"/>
  <c r="V123" i="2"/>
  <c r="R55" i="2"/>
  <c r="D34" i="16" s="1"/>
  <c r="Q45" i="2"/>
  <c r="E20" i="16" s="1"/>
  <c r="Q128" i="2" l="1"/>
  <c r="Q148" i="2" s="1"/>
  <c r="Q133" i="2"/>
  <c r="R132" i="2"/>
  <c r="R127" i="2"/>
  <c r="R147" i="2" s="1"/>
  <c r="R161" i="2"/>
  <c r="AF133" i="2"/>
  <c r="E73" i="4"/>
  <c r="F73" i="4"/>
  <c r="G73" i="4"/>
  <c r="H73" i="4"/>
  <c r="I73" i="4"/>
  <c r="J73" i="4"/>
  <c r="K73" i="4"/>
  <c r="L73" i="4"/>
  <c r="M73" i="4"/>
  <c r="N73" i="4"/>
  <c r="O73" i="4"/>
  <c r="P73" i="4"/>
  <c r="Q73" i="4"/>
  <c r="R73" i="4"/>
  <c r="S73" i="4"/>
  <c r="T73" i="4"/>
  <c r="U73" i="4"/>
  <c r="V73" i="4"/>
  <c r="W73" i="4"/>
  <c r="X73" i="4"/>
  <c r="Y73" i="4"/>
  <c r="Z73" i="4"/>
  <c r="D73" i="4"/>
  <c r="V147" i="2"/>
  <c r="W147" i="2"/>
  <c r="X147" i="2"/>
  <c r="W148" i="2"/>
  <c r="X148" i="2"/>
  <c r="J147" i="2"/>
  <c r="K147" i="2"/>
  <c r="L147" i="2"/>
  <c r="M147" i="2"/>
  <c r="N147" i="2"/>
  <c r="O147" i="2"/>
  <c r="P147" i="2"/>
  <c r="Q147" i="2"/>
  <c r="J148" i="2"/>
  <c r="K148" i="2"/>
  <c r="L148" i="2"/>
  <c r="M148" i="2"/>
  <c r="N148" i="2"/>
  <c r="O148" i="2"/>
  <c r="P148" i="2"/>
  <c r="I147" i="2"/>
  <c r="H146" i="2"/>
  <c r="I146" i="2"/>
  <c r="H147" i="2"/>
  <c r="H148" i="2"/>
  <c r="I148" i="2"/>
  <c r="R145" i="2"/>
  <c r="S145" i="2"/>
  <c r="T145" i="2"/>
  <c r="U145" i="2"/>
  <c r="V145" i="2"/>
  <c r="L145" i="2"/>
  <c r="M145" i="2"/>
  <c r="N145" i="2"/>
  <c r="O145" i="2"/>
  <c r="P145" i="2"/>
  <c r="Q145" i="2"/>
  <c r="K145" i="2"/>
  <c r="K146" i="2" s="1"/>
  <c r="I145" i="2"/>
  <c r="J145" i="2"/>
  <c r="H145" i="2"/>
  <c r="T78" i="2"/>
  <c r="T83" i="2" s="1"/>
  <c r="U78" i="2"/>
  <c r="U83" i="2" s="1"/>
  <c r="V78" i="2"/>
  <c r="V83" i="2" s="1"/>
  <c r="W78" i="2"/>
  <c r="W83" i="2" s="1"/>
  <c r="X78" i="2"/>
  <c r="X83" i="2" s="1"/>
  <c r="Y78" i="2"/>
  <c r="Y83" i="2" s="1"/>
  <c r="Z78" i="2"/>
  <c r="Z83" i="2" s="1"/>
  <c r="AA78" i="2"/>
  <c r="AA83" i="2" s="1"/>
  <c r="AB78" i="2"/>
  <c r="AB83" i="2" s="1"/>
  <c r="S78" i="2"/>
  <c r="S79" i="2" s="1"/>
  <c r="AG3" i="1"/>
  <c r="AG2" i="1"/>
  <c r="E4" i="1"/>
  <c r="S85" i="2"/>
  <c r="T85" i="2"/>
  <c r="U85" i="2"/>
  <c r="V85" i="2"/>
  <c r="W85" i="2"/>
  <c r="X85" i="2"/>
  <c r="Y85" i="2"/>
  <c r="Z85" i="2"/>
  <c r="AA85" i="2"/>
  <c r="AB85" i="2"/>
  <c r="S86" i="2"/>
  <c r="T86" i="2"/>
  <c r="W86" i="2"/>
  <c r="X86" i="2"/>
  <c r="Y86" i="2"/>
  <c r="Z86" i="2"/>
  <c r="AA86" i="2"/>
  <c r="AB86" i="2"/>
  <c r="Q82" i="2"/>
  <c r="Q87" i="2"/>
  <c r="F112" i="4"/>
  <c r="G112" i="4"/>
  <c r="H112" i="4"/>
  <c r="I112" i="4"/>
  <c r="J112" i="4"/>
  <c r="K112" i="4"/>
  <c r="L112" i="4"/>
  <c r="M112" i="4"/>
  <c r="N112" i="4"/>
  <c r="O112" i="4"/>
  <c r="P112" i="4"/>
  <c r="Q112" i="4"/>
  <c r="R112" i="4"/>
  <c r="S112" i="4"/>
  <c r="T112" i="4"/>
  <c r="U112" i="4"/>
  <c r="V112" i="4"/>
  <c r="W112" i="4"/>
  <c r="X112" i="4"/>
  <c r="Y112" i="4"/>
  <c r="Z112" i="4"/>
  <c r="E112" i="4"/>
  <c r="F107" i="4"/>
  <c r="G107" i="4"/>
  <c r="H107" i="4"/>
  <c r="I107" i="4"/>
  <c r="J107" i="4"/>
  <c r="K107" i="4"/>
  <c r="L107" i="4"/>
  <c r="M107" i="4"/>
  <c r="N107" i="4"/>
  <c r="O107" i="4"/>
  <c r="P107" i="4"/>
  <c r="Q107" i="4"/>
  <c r="R107" i="4"/>
  <c r="S107" i="4"/>
  <c r="T107" i="4"/>
  <c r="U107" i="4"/>
  <c r="V107" i="4"/>
  <c r="W107" i="4"/>
  <c r="X107" i="4"/>
  <c r="Y107" i="4"/>
  <c r="Z107" i="4"/>
  <c r="F108" i="4"/>
  <c r="G108" i="4"/>
  <c r="H108" i="4"/>
  <c r="I108" i="4"/>
  <c r="J108" i="4"/>
  <c r="K108" i="4"/>
  <c r="L108" i="4"/>
  <c r="M108" i="4"/>
  <c r="N108" i="4"/>
  <c r="O108" i="4"/>
  <c r="P108" i="4"/>
  <c r="Q108" i="4"/>
  <c r="R108" i="4"/>
  <c r="S108" i="4"/>
  <c r="T108" i="4"/>
  <c r="U108" i="4"/>
  <c r="V108" i="4"/>
  <c r="W108" i="4"/>
  <c r="X108" i="4"/>
  <c r="Y108" i="4"/>
  <c r="Z108" i="4"/>
  <c r="F109" i="4"/>
  <c r="G109" i="4"/>
  <c r="H109" i="4"/>
  <c r="I109" i="4"/>
  <c r="J109" i="4"/>
  <c r="K109" i="4"/>
  <c r="L109" i="4"/>
  <c r="M109" i="4"/>
  <c r="N109" i="4"/>
  <c r="O109" i="4"/>
  <c r="P109" i="4"/>
  <c r="Q109" i="4"/>
  <c r="R109" i="4"/>
  <c r="S109" i="4"/>
  <c r="T109" i="4"/>
  <c r="U109" i="4"/>
  <c r="V109" i="4"/>
  <c r="W109" i="4"/>
  <c r="X109" i="4"/>
  <c r="Y109" i="4"/>
  <c r="Z109" i="4"/>
  <c r="F110" i="4"/>
  <c r="G110" i="4"/>
  <c r="H110" i="4"/>
  <c r="I110" i="4"/>
  <c r="J110" i="4"/>
  <c r="K110" i="4"/>
  <c r="L110" i="4"/>
  <c r="M110" i="4"/>
  <c r="N110" i="4"/>
  <c r="O110" i="4"/>
  <c r="P110" i="4"/>
  <c r="Q110" i="4"/>
  <c r="R110" i="4"/>
  <c r="S110" i="4"/>
  <c r="T110" i="4"/>
  <c r="U110" i="4"/>
  <c r="V110" i="4"/>
  <c r="W110" i="4"/>
  <c r="X110" i="4"/>
  <c r="Y110" i="4"/>
  <c r="Z110" i="4"/>
  <c r="E110" i="4"/>
  <c r="E109" i="4"/>
  <c r="E108" i="4"/>
  <c r="E107" i="4"/>
  <c r="AB74" i="2"/>
  <c r="AC74" i="2" s="1"/>
  <c r="I116" i="2"/>
  <c r="J116" i="2"/>
  <c r="K116" i="2"/>
  <c r="L116" i="2"/>
  <c r="M116" i="2"/>
  <c r="N116" i="2"/>
  <c r="O116" i="2"/>
  <c r="P116" i="2"/>
  <c r="Q116" i="2"/>
  <c r="H116" i="2"/>
  <c r="H115" i="2"/>
  <c r="I114" i="2"/>
  <c r="J114" i="2"/>
  <c r="K114" i="2"/>
  <c r="L114" i="2"/>
  <c r="M114" i="2"/>
  <c r="N114" i="2"/>
  <c r="O114" i="2"/>
  <c r="P114" i="2"/>
  <c r="Q114" i="2"/>
  <c r="H114" i="2"/>
  <c r="H117" i="2"/>
  <c r="AG141" i="2"/>
  <c r="AG140" i="2"/>
  <c r="Q77" i="2"/>
  <c r="AB53" i="2"/>
  <c r="N32" i="16" s="1"/>
  <c r="AC103" i="2"/>
  <c r="AB48" i="2"/>
  <c r="C28" i="14"/>
  <c r="C27" i="14"/>
  <c r="C22" i="14"/>
  <c r="G20" i="14"/>
  <c r="C21" i="14" s="1"/>
  <c r="Q17" i="14"/>
  <c r="P17" i="14"/>
  <c r="O17" i="14"/>
  <c r="N17" i="14"/>
  <c r="M17" i="14"/>
  <c r="L17" i="14"/>
  <c r="K17" i="14"/>
  <c r="J17" i="14"/>
  <c r="F17" i="14"/>
  <c r="E17" i="14"/>
  <c r="Q16" i="14"/>
  <c r="P16" i="14"/>
  <c r="O16" i="14"/>
  <c r="N16" i="14"/>
  <c r="M16" i="14"/>
  <c r="L16" i="14"/>
  <c r="K16" i="14"/>
  <c r="J16" i="14"/>
  <c r="I16" i="14"/>
  <c r="I18" i="14" s="1"/>
  <c r="F16" i="14"/>
  <c r="E16" i="14"/>
  <c r="Q15" i="14"/>
  <c r="P15" i="14"/>
  <c r="O15" i="14"/>
  <c r="N15" i="14"/>
  <c r="M15" i="14"/>
  <c r="L15" i="14"/>
  <c r="F15" i="14"/>
  <c r="E15" i="14"/>
  <c r="P13" i="14"/>
  <c r="F13" i="14"/>
  <c r="E13" i="14"/>
  <c r="F12" i="14"/>
  <c r="E12" i="14"/>
  <c r="C12" i="14"/>
  <c r="R9" i="14"/>
  <c r="Q9" i="14"/>
  <c r="P9" i="14"/>
  <c r="O9" i="14"/>
  <c r="N9" i="14"/>
  <c r="M9" i="14"/>
  <c r="L9" i="14"/>
  <c r="K9" i="14"/>
  <c r="P5" i="14"/>
  <c r="O5" i="14"/>
  <c r="F5" i="14"/>
  <c r="E5" i="14"/>
  <c r="P4" i="14"/>
  <c r="Q4" i="14" s="1"/>
  <c r="F4" i="14"/>
  <c r="E4" i="14"/>
  <c r="F3" i="14"/>
  <c r="E3" i="14"/>
  <c r="C3" i="14"/>
  <c r="K3" i="14" s="1"/>
  <c r="AF21" i="9"/>
  <c r="AE21" i="9"/>
  <c r="AD21" i="9"/>
  <c r="AC21" i="9"/>
  <c r="AI20" i="9"/>
  <c r="AG20" i="9"/>
  <c r="AF20" i="9"/>
  <c r="AE20" i="9"/>
  <c r="AK20" i="9" s="1"/>
  <c r="AE15" i="9"/>
  <c r="AD15" i="9"/>
  <c r="AG14" i="9"/>
  <c r="AF14" i="9"/>
  <c r="AE14" i="9"/>
  <c r="AD14" i="9"/>
  <c r="AC14" i="9"/>
  <c r="AB14" i="9"/>
  <c r="AH13" i="9"/>
  <c r="AG13" i="9"/>
  <c r="AF13" i="9"/>
  <c r="AE13" i="9"/>
  <c r="AD13" i="9"/>
  <c r="AC13" i="9"/>
  <c r="AB13" i="9"/>
  <c r="AH12" i="9"/>
  <c r="AG12" i="9"/>
  <c r="AI11" i="9"/>
  <c r="AH11" i="9"/>
  <c r="AG11" i="9"/>
  <c r="AF11" i="9"/>
  <c r="AE11" i="9"/>
  <c r="AD11" i="9"/>
  <c r="AC11" i="9"/>
  <c r="AB11" i="9"/>
  <c r="AA11" i="9"/>
  <c r="AA3" i="9" s="1"/>
  <c r="AI9" i="9"/>
  <c r="AG9" i="9"/>
  <c r="AD6" i="9"/>
  <c r="AB70" i="13"/>
  <c r="T70" i="13"/>
  <c r="S70" i="13"/>
  <c r="L69" i="13"/>
  <c r="M46" i="13"/>
  <c r="M66" i="13" s="1"/>
  <c r="L66" i="13" s="1"/>
  <c r="L46" i="13"/>
  <c r="H46" i="13"/>
  <c r="AA46" i="13" s="1"/>
  <c r="M45" i="13"/>
  <c r="M65" i="13" s="1"/>
  <c r="L65" i="13" s="1"/>
  <c r="L45" i="13"/>
  <c r="H45" i="13"/>
  <c r="H65" i="13" s="1"/>
  <c r="W65" i="13" s="1"/>
  <c r="M44" i="13"/>
  <c r="M64" i="13" s="1"/>
  <c r="L64" i="13" s="1"/>
  <c r="L44" i="13"/>
  <c r="H44" i="13"/>
  <c r="H64" i="13" s="1"/>
  <c r="W64" i="13" s="1"/>
  <c r="M43" i="13"/>
  <c r="M63" i="13" s="1"/>
  <c r="L63" i="13" s="1"/>
  <c r="L43" i="13"/>
  <c r="H43" i="13"/>
  <c r="X43" i="13" s="1"/>
  <c r="M42" i="13"/>
  <c r="M62" i="13" s="1"/>
  <c r="L62" i="13" s="1"/>
  <c r="L42" i="13"/>
  <c r="H42" i="13"/>
  <c r="H62" i="13" s="1"/>
  <c r="W62" i="13" s="1"/>
  <c r="M41" i="13"/>
  <c r="M61" i="13" s="1"/>
  <c r="L61" i="13" s="1"/>
  <c r="L41" i="13"/>
  <c r="H41" i="13"/>
  <c r="H61" i="13" s="1"/>
  <c r="V61" i="13" s="1"/>
  <c r="M40" i="13"/>
  <c r="M60" i="13" s="1"/>
  <c r="L60" i="13" s="1"/>
  <c r="L40" i="13"/>
  <c r="H40" i="13"/>
  <c r="M39" i="13"/>
  <c r="M59" i="13" s="1"/>
  <c r="L59" i="13" s="1"/>
  <c r="L39" i="13"/>
  <c r="H39" i="13"/>
  <c r="H59" i="13" s="1"/>
  <c r="U59" i="13" s="1"/>
  <c r="U70" i="13" s="1"/>
  <c r="M38" i="13"/>
  <c r="M58" i="13" s="1"/>
  <c r="L58" i="13" s="1"/>
  <c r="L38" i="13"/>
  <c r="H38" i="13"/>
  <c r="V38" i="13" s="1"/>
  <c r="M37" i="13"/>
  <c r="M57" i="13" s="1"/>
  <c r="L57" i="13" s="1"/>
  <c r="L37" i="13"/>
  <c r="H37" i="13"/>
  <c r="H57" i="13" s="1"/>
  <c r="W57" i="13" s="1"/>
  <c r="M36" i="13"/>
  <c r="M56" i="13" s="1"/>
  <c r="L56" i="13" s="1"/>
  <c r="L36" i="13"/>
  <c r="M35" i="13"/>
  <c r="M55" i="13" s="1"/>
  <c r="L55" i="13" s="1"/>
  <c r="L35" i="13"/>
  <c r="H35" i="13"/>
  <c r="Z35" i="13" s="1"/>
  <c r="M34" i="13"/>
  <c r="M54" i="13" s="1"/>
  <c r="L54" i="13" s="1"/>
  <c r="L34" i="13"/>
  <c r="M33" i="13"/>
  <c r="M53" i="13" s="1"/>
  <c r="L53" i="13" s="1"/>
  <c r="L33" i="13"/>
  <c r="H33" i="13"/>
  <c r="H53" i="13" s="1"/>
  <c r="Y53" i="13" s="1"/>
  <c r="Y70" i="13" s="1"/>
  <c r="M32" i="13"/>
  <c r="M52" i="13" s="1"/>
  <c r="L52" i="13" s="1"/>
  <c r="L32" i="13"/>
  <c r="H32" i="13"/>
  <c r="H52" i="13" s="1"/>
  <c r="Z52" i="13" s="1"/>
  <c r="M31" i="13"/>
  <c r="M51" i="13" s="1"/>
  <c r="L51" i="13" s="1"/>
  <c r="L31" i="13"/>
  <c r="T30" i="13"/>
  <c r="T48" i="13" s="1"/>
  <c r="S30" i="13"/>
  <c r="S48" i="13" s="1"/>
  <c r="M30" i="13"/>
  <c r="L30" i="13"/>
  <c r="AH25" i="13"/>
  <c r="AF25" i="13"/>
  <c r="U25" i="13"/>
  <c r="T25" i="13"/>
  <c r="AG24" i="13"/>
  <c r="AC24" i="13"/>
  <c r="AJ24" i="13" s="1"/>
  <c r="AG23" i="13"/>
  <c r="AC23" i="13"/>
  <c r="AJ23" i="13" s="1"/>
  <c r="AG22" i="13"/>
  <c r="H22" i="13"/>
  <c r="AC22" i="13" s="1"/>
  <c r="AJ22" i="13" s="1"/>
  <c r="AG21" i="13"/>
  <c r="AC21" i="13"/>
  <c r="AG20" i="13"/>
  <c r="AD20" i="13"/>
  <c r="AC20" i="13"/>
  <c r="AB20" i="13"/>
  <c r="M20" i="13"/>
  <c r="L20" i="13"/>
  <c r="AD19" i="13"/>
  <c r="AC19" i="13"/>
  <c r="AB19" i="13"/>
  <c r="AA19" i="13"/>
  <c r="Z19" i="13"/>
  <c r="Y19" i="13"/>
  <c r="M19" i="13"/>
  <c r="L19" i="13"/>
  <c r="AG18" i="13"/>
  <c r="M18" i="13"/>
  <c r="L18" i="13"/>
  <c r="H18" i="13"/>
  <c r="AA18" i="13" s="1"/>
  <c r="AG17" i="13"/>
  <c r="AD17" i="13"/>
  <c r="AC17" i="13"/>
  <c r="AB17" i="13"/>
  <c r="AA17" i="13"/>
  <c r="M17" i="13"/>
  <c r="L17" i="13"/>
  <c r="AG16" i="13"/>
  <c r="M16" i="13"/>
  <c r="L16" i="13"/>
  <c r="H16" i="13"/>
  <c r="H34" i="13" s="1"/>
  <c r="H54" i="13" s="1"/>
  <c r="Z54" i="13" s="1"/>
  <c r="AG15" i="13"/>
  <c r="AD15" i="13"/>
  <c r="AC15" i="13"/>
  <c r="AJ15" i="13" s="1"/>
  <c r="M15" i="13"/>
  <c r="L15" i="13"/>
  <c r="AG14" i="13"/>
  <c r="AD14" i="13"/>
  <c r="AC14" i="13"/>
  <c r="AB14" i="13"/>
  <c r="M14" i="13"/>
  <c r="L14" i="13"/>
  <c r="AG13" i="13"/>
  <c r="AD13" i="13"/>
  <c r="AC13" i="13"/>
  <c r="AB13" i="13"/>
  <c r="AA13" i="13"/>
  <c r="M13" i="13"/>
  <c r="L13" i="13"/>
  <c r="AI12" i="13"/>
  <c r="AG12" i="13"/>
  <c r="M12" i="13"/>
  <c r="L12" i="13"/>
  <c r="AG11" i="13"/>
  <c r="AC11" i="13"/>
  <c r="AB11" i="13"/>
  <c r="M11" i="13"/>
  <c r="L11" i="13"/>
  <c r="AA10" i="13"/>
  <c r="Z10" i="13"/>
  <c r="Y10" i="13"/>
  <c r="X10" i="13"/>
  <c r="M10" i="13"/>
  <c r="L10" i="13"/>
  <c r="AD9" i="13"/>
  <c r="AC9" i="13"/>
  <c r="AB9" i="13"/>
  <c r="AA9" i="13"/>
  <c r="Z9" i="13"/>
  <c r="Y9" i="13"/>
  <c r="X9" i="13"/>
  <c r="M9" i="13"/>
  <c r="L9" i="13"/>
  <c r="AB8" i="13"/>
  <c r="AJ8" i="13" s="1"/>
  <c r="Y8" i="13"/>
  <c r="M8" i="13"/>
  <c r="L8" i="13"/>
  <c r="AI7" i="13"/>
  <c r="AG7" i="13"/>
  <c r="M7" i="13"/>
  <c r="L7" i="13"/>
  <c r="AC6" i="13"/>
  <c r="AB6" i="13"/>
  <c r="AA6" i="13"/>
  <c r="Z6" i="13"/>
  <c r="Y6" i="13"/>
  <c r="AG6" i="13" s="1"/>
  <c r="M6" i="13"/>
  <c r="L6" i="13"/>
  <c r="AG5" i="13"/>
  <c r="AB5" i="13"/>
  <c r="AA5" i="13"/>
  <c r="Z5" i="13"/>
  <c r="M5" i="13"/>
  <c r="L5" i="13"/>
  <c r="V4" i="13"/>
  <c r="W4" i="13" s="1"/>
  <c r="M4" i="13"/>
  <c r="L4" i="13"/>
  <c r="AG3" i="13"/>
  <c r="M3" i="13"/>
  <c r="L3" i="13"/>
  <c r="H3" i="13"/>
  <c r="AC3" i="13" s="1"/>
  <c r="U1" i="13"/>
  <c r="T1" i="13"/>
  <c r="S1" i="13"/>
  <c r="AE26" i="8"/>
  <c r="AE25" i="8"/>
  <c r="AC24" i="8"/>
  <c r="AB24" i="8"/>
  <c r="AA24" i="8"/>
  <c r="Z24" i="8"/>
  <c r="Y24" i="8"/>
  <c r="AE23" i="8"/>
  <c r="AD22" i="8"/>
  <c r="AF21" i="8"/>
  <c r="AD20" i="8"/>
  <c r="AF19" i="8"/>
  <c r="AD18" i="8"/>
  <c r="AC18" i="8"/>
  <c r="AB18" i="8"/>
  <c r="AA18" i="8"/>
  <c r="Z18" i="8"/>
  <c r="AC17" i="8"/>
  <c r="AB17" i="8"/>
  <c r="AA17" i="8"/>
  <c r="Z17" i="8"/>
  <c r="Y17" i="8"/>
  <c r="AD16" i="8"/>
  <c r="AC13" i="8"/>
  <c r="AD12" i="8"/>
  <c r="AE11" i="8"/>
  <c r="AD11" i="8"/>
  <c r="AC11" i="8"/>
  <c r="AB11" i="8"/>
  <c r="AA11" i="8"/>
  <c r="Z11" i="8"/>
  <c r="Y11" i="8"/>
  <c r="W11" i="8"/>
  <c r="W3" i="8" s="1"/>
  <c r="AD10" i="8"/>
  <c r="AE8" i="8"/>
  <c r="AC7" i="8"/>
  <c r="AB7" i="8"/>
  <c r="AA7" i="8"/>
  <c r="Z7" i="8"/>
  <c r="AC6" i="8"/>
  <c r="AB5" i="8"/>
  <c r="AA5" i="8"/>
  <c r="Z5" i="8"/>
  <c r="AD19" i="7"/>
  <c r="AB17" i="7"/>
  <c r="AA17" i="7"/>
  <c r="AC16" i="7"/>
  <c r="AB16" i="7"/>
  <c r="AC15" i="7"/>
  <c r="AD15" i="7" s="1"/>
  <c r="AB14" i="7"/>
  <c r="AA12" i="7"/>
  <c r="Z12" i="7"/>
  <c r="Y12" i="7"/>
  <c r="AA9" i="7"/>
  <c r="AE9" i="7" s="1"/>
  <c r="Z6" i="7"/>
  <c r="Y6" i="7"/>
  <c r="X6" i="7"/>
  <c r="Y5" i="7"/>
  <c r="Z5" i="7" s="1"/>
  <c r="Y4" i="7"/>
  <c r="X4" i="7"/>
  <c r="AK41" i="6"/>
  <c r="AL41" i="6"/>
  <c r="V41" i="6"/>
  <c r="AI20" i="6"/>
  <c r="AJ19" i="6"/>
  <c r="AJ41" i="6" s="1"/>
  <c r="AI19" i="6"/>
  <c r="AH19" i="6"/>
  <c r="AG19" i="6"/>
  <c r="AF19" i="6"/>
  <c r="AH18" i="6"/>
  <c r="AF18" i="6"/>
  <c r="AE18" i="6"/>
  <c r="AG17" i="6"/>
  <c r="AF17" i="6"/>
  <c r="AE17" i="6"/>
  <c r="AD17" i="6"/>
  <c r="AC17" i="6"/>
  <c r="AD13" i="6"/>
  <c r="AC13" i="6"/>
  <c r="AB12" i="6"/>
  <c r="Y10" i="6"/>
  <c r="X10" i="6"/>
  <c r="W10" i="6"/>
  <c r="AD9" i="6"/>
  <c r="AC9" i="6"/>
  <c r="AA9" i="6"/>
  <c r="AA8" i="6"/>
  <c r="AA7" i="6"/>
  <c r="Z7" i="6"/>
  <c r="Z41" i="6" s="1"/>
  <c r="Y7" i="6"/>
  <c r="X7" i="6"/>
  <c r="W7" i="6"/>
  <c r="AH6" i="6"/>
  <c r="AG6" i="6"/>
  <c r="AD6" i="6"/>
  <c r="AH5" i="6"/>
  <c r="AG5" i="6"/>
  <c r="AF5" i="6"/>
  <c r="AE5" i="6"/>
  <c r="AD5" i="6"/>
  <c r="AI4" i="6"/>
  <c r="AE4" i="6"/>
  <c r="AN4" i="6" s="1"/>
  <c r="AD4" i="6"/>
  <c r="AC4" i="6"/>
  <c r="AB4" i="6"/>
  <c r="X41" i="12"/>
  <c r="AK41" i="12" s="1"/>
  <c r="W40" i="12"/>
  <c r="AK40" i="12" s="1"/>
  <c r="V39" i="12"/>
  <c r="AK39" i="12" s="1"/>
  <c r="AE38" i="12"/>
  <c r="AD38" i="12"/>
  <c r="AC38" i="12"/>
  <c r="AB38" i="12"/>
  <c r="AB37" i="12"/>
  <c r="AK37" i="12" s="1"/>
  <c r="AB36" i="12"/>
  <c r="AK36" i="12" s="1"/>
  <c r="AB35" i="12"/>
  <c r="AK35" i="12" s="1"/>
  <c r="Z34" i="12"/>
  <c r="AK34" i="12" s="1"/>
  <c r="Z33" i="12"/>
  <c r="AK33" i="12" s="1"/>
  <c r="Y32" i="12"/>
  <c r="AK32" i="12" s="1"/>
  <c r="Y31" i="12"/>
  <c r="AK31" i="12" s="1"/>
  <c r="AA30" i="12"/>
  <c r="AK30" i="12" s="1"/>
  <c r="AA29" i="12"/>
  <c r="AK29" i="12" s="1"/>
  <c r="X28" i="12"/>
  <c r="AK28" i="12" s="1"/>
  <c r="AD27" i="12"/>
  <c r="AK27" i="12" s="1"/>
  <c r="M27" i="12"/>
  <c r="L27" i="12"/>
  <c r="AD26" i="12"/>
  <c r="AK26" i="12" s="1"/>
  <c r="M26" i="12"/>
  <c r="L26" i="12"/>
  <c r="AC25" i="12"/>
  <c r="AK25" i="12" s="1"/>
  <c r="M25" i="12"/>
  <c r="L25" i="12"/>
  <c r="AE24" i="12"/>
  <c r="AK24" i="12" s="1"/>
  <c r="M24" i="12"/>
  <c r="L24" i="12"/>
  <c r="Z23" i="12"/>
  <c r="AK23" i="12" s="1"/>
  <c r="M23" i="12"/>
  <c r="L23" i="12"/>
  <c r="Z22" i="12"/>
  <c r="AK22" i="12" s="1"/>
  <c r="M22" i="12"/>
  <c r="L22" i="12"/>
  <c r="AC21" i="12"/>
  <c r="AK21" i="12" s="1"/>
  <c r="M21" i="12"/>
  <c r="L21" i="12"/>
  <c r="AB20" i="12"/>
  <c r="AK20" i="12" s="1"/>
  <c r="M20" i="12"/>
  <c r="L20" i="12"/>
  <c r="S19" i="12"/>
  <c r="M19" i="12"/>
  <c r="L19" i="12"/>
  <c r="M18" i="12"/>
  <c r="L18" i="12"/>
  <c r="H18" i="12"/>
  <c r="AC17" i="12"/>
  <c r="M17" i="12"/>
  <c r="L17" i="12"/>
  <c r="M16" i="12"/>
  <c r="L16" i="12"/>
  <c r="H16" i="12"/>
  <c r="AD15" i="12"/>
  <c r="M15" i="12"/>
  <c r="L15" i="12"/>
  <c r="AE14" i="12"/>
  <c r="AD14" i="12"/>
  <c r="AC14" i="12"/>
  <c r="M14" i="12"/>
  <c r="L14" i="12"/>
  <c r="Y13" i="12"/>
  <c r="M13" i="12"/>
  <c r="L13" i="12"/>
  <c r="V12" i="12"/>
  <c r="U12" i="12"/>
  <c r="M12" i="12"/>
  <c r="L12" i="12"/>
  <c r="M11" i="12"/>
  <c r="L11" i="12"/>
  <c r="H11" i="12"/>
  <c r="T10" i="12"/>
  <c r="M10" i="12"/>
  <c r="L10" i="12"/>
  <c r="T9" i="12"/>
  <c r="S9" i="12"/>
  <c r="M9" i="12"/>
  <c r="L9" i="12"/>
  <c r="T8" i="12"/>
  <c r="AK8" i="12" s="1"/>
  <c r="M8" i="12"/>
  <c r="L8" i="12"/>
  <c r="AK7" i="12"/>
  <c r="M7" i="12"/>
  <c r="L7" i="12"/>
  <c r="M6" i="12"/>
  <c r="L6" i="12"/>
  <c r="H6" i="12"/>
  <c r="AB5" i="12"/>
  <c r="AC5" i="12" s="1"/>
  <c r="M5" i="12"/>
  <c r="L5" i="12"/>
  <c r="AB4" i="12"/>
  <c r="AA4" i="12"/>
  <c r="Z4" i="12"/>
  <c r="M4" i="12"/>
  <c r="L4" i="12"/>
  <c r="AD3" i="12"/>
  <c r="AA3" i="12"/>
  <c r="Y3" i="12"/>
  <c r="M3" i="12"/>
  <c r="L3" i="12"/>
  <c r="AC16" i="12" l="1"/>
  <c r="R16" i="12"/>
  <c r="H43" i="12"/>
  <c r="R6" i="12"/>
  <c r="U11" i="12"/>
  <c r="R11" i="12"/>
  <c r="AD18" i="12"/>
  <c r="R18" i="12"/>
  <c r="M2" i="12"/>
  <c r="L2" i="12"/>
  <c r="AM18" i="6"/>
  <c r="U86" i="2"/>
  <c r="AC86" i="2" s="1"/>
  <c r="AI41" i="6"/>
  <c r="AB3" i="9"/>
  <c r="AK13" i="9"/>
  <c r="K18" i="14"/>
  <c r="D5" i="14"/>
  <c r="Y58" i="2"/>
  <c r="AG41" i="6"/>
  <c r="AA58" i="2"/>
  <c r="AE15" i="13"/>
  <c r="AI15" i="13" s="1"/>
  <c r="N3" i="14"/>
  <c r="N6" i="14" s="1"/>
  <c r="AB58" i="2"/>
  <c r="X58" i="2"/>
  <c r="AE18" i="12"/>
  <c r="AD41" i="6"/>
  <c r="AG7" i="8"/>
  <c r="AG11" i="8"/>
  <c r="P3" i="14"/>
  <c r="P6" i="14" s="1"/>
  <c r="U58" i="2"/>
  <c r="Q18" i="14"/>
  <c r="R162" i="2"/>
  <c r="V58" i="2"/>
  <c r="Z58" i="2"/>
  <c r="AK14" i="12"/>
  <c r="D4" i="14"/>
  <c r="W58" i="2"/>
  <c r="AG18" i="8"/>
  <c r="X9" i="12"/>
  <c r="X43" i="12" s="1"/>
  <c r="AC41" i="6"/>
  <c r="Y3" i="8"/>
  <c r="H66" i="13"/>
  <c r="AA66" i="13" s="1"/>
  <c r="AK15" i="9"/>
  <c r="O3" i="14"/>
  <c r="O6" i="14" s="1"/>
  <c r="P18" i="14"/>
  <c r="AG24" i="8"/>
  <c r="AD11" i="13"/>
  <c r="AI11" i="13" s="1"/>
  <c r="M18" i="14"/>
  <c r="J18" i="14"/>
  <c r="V1" i="13"/>
  <c r="K20" i="13"/>
  <c r="N18" i="14"/>
  <c r="L146" i="2"/>
  <c r="M146" i="2" s="1"/>
  <c r="N146" i="2" s="1"/>
  <c r="O146" i="2" s="1"/>
  <c r="P146" i="2" s="1"/>
  <c r="Q146" i="2" s="1"/>
  <c r="R146" i="2" s="1"/>
  <c r="S146" i="2" s="1"/>
  <c r="AE3" i="9"/>
  <c r="O18" i="14"/>
  <c r="Z4" i="7"/>
  <c r="AJ6" i="13"/>
  <c r="L3" i="14"/>
  <c r="L6" i="14" s="1"/>
  <c r="R133" i="2"/>
  <c r="S133" i="2" s="1"/>
  <c r="T133" i="2" s="1"/>
  <c r="S1" i="12"/>
  <c r="S43" i="12"/>
  <c r="AM5" i="6"/>
  <c r="Y41" i="6"/>
  <c r="AM17" i="6"/>
  <c r="AJ19" i="13"/>
  <c r="AK21" i="9"/>
  <c r="M3" i="14"/>
  <c r="M6" i="14" s="1"/>
  <c r="H2" i="12"/>
  <c r="AK38" i="12"/>
  <c r="AB41" i="6"/>
  <c r="AA3" i="8"/>
  <c r="K3" i="13"/>
  <c r="AD6" i="13"/>
  <c r="AI6" i="13" s="1"/>
  <c r="X1" i="13"/>
  <c r="AJ13" i="13"/>
  <c r="AD3" i="9"/>
  <c r="AK6" i="9"/>
  <c r="AF3" i="9"/>
  <c r="R15" i="14"/>
  <c r="AB3" i="8"/>
  <c r="AB18" i="13"/>
  <c r="AE20" i="13"/>
  <c r="AI20" i="13" s="1"/>
  <c r="W44" i="13"/>
  <c r="L18" i="14"/>
  <c r="R17" i="14"/>
  <c r="I117" i="2"/>
  <c r="J117" i="2" s="1"/>
  <c r="K117" i="2" s="1"/>
  <c r="L117" i="2" s="1"/>
  <c r="M117" i="2" s="1"/>
  <c r="N117" i="2" s="1"/>
  <c r="O117" i="2" s="1"/>
  <c r="P117" i="2" s="1"/>
  <c r="Q117" i="2" s="1"/>
  <c r="AE73" i="2"/>
  <c r="AE74" i="2"/>
  <c r="AB16" i="13"/>
  <c r="AD18" i="13"/>
  <c r="Y35" i="13"/>
  <c r="AA35" i="13" s="1"/>
  <c r="AA30" i="13" s="1"/>
  <c r="V37" i="13"/>
  <c r="W37" i="13" s="1"/>
  <c r="AD16" i="12"/>
  <c r="AC18" i="12"/>
  <c r="AG17" i="8"/>
  <c r="K4" i="13"/>
  <c r="AC16" i="13"/>
  <c r="AC3" i="9"/>
  <c r="AK11" i="9"/>
  <c r="Q3" i="14"/>
  <c r="C6" i="14"/>
  <c r="C9" i="14" s="1"/>
  <c r="R128" i="2"/>
  <c r="Z3" i="8"/>
  <c r="AG5" i="8"/>
  <c r="AI22" i="13"/>
  <c r="AA41" i="6"/>
  <c r="AD3" i="13"/>
  <c r="AC18" i="13"/>
  <c r="Q5" i="14"/>
  <c r="AE16" i="12"/>
  <c r="AN5" i="6"/>
  <c r="X41" i="6"/>
  <c r="W41" i="6"/>
  <c r="AN17" i="6"/>
  <c r="AH41" i="6"/>
  <c r="H2" i="13"/>
  <c r="AD16" i="13"/>
  <c r="H36" i="13"/>
  <c r="H56" i="13" s="1"/>
  <c r="Z56" i="13" s="1"/>
  <c r="AK14" i="9"/>
  <c r="D3" i="14"/>
  <c r="K8" i="13"/>
  <c r="K12" i="13"/>
  <c r="K15" i="13"/>
  <c r="K9" i="13"/>
  <c r="K14" i="13"/>
  <c r="K19" i="13"/>
  <c r="K11" i="13"/>
  <c r="K6" i="13"/>
  <c r="K13" i="13"/>
  <c r="K18" i="13"/>
  <c r="K7" i="13"/>
  <c r="K10" i="13"/>
  <c r="K17" i="13"/>
  <c r="K16" i="13"/>
  <c r="AB12" i="7"/>
  <c r="AE12" i="7" s="1"/>
  <c r="AD16" i="7"/>
  <c r="AE16" i="7"/>
  <c r="AN18" i="6"/>
  <c r="AF41" i="6"/>
  <c r="AE41" i="6"/>
  <c r="AM6" i="6"/>
  <c r="AN6" i="6"/>
  <c r="AM19" i="6"/>
  <c r="AN19" i="6"/>
  <c r="Y113" i="4"/>
  <c r="AG112" i="4"/>
  <c r="X113" i="4"/>
  <c r="V113" i="4"/>
  <c r="U113" i="4"/>
  <c r="W113" i="4"/>
  <c r="T113" i="4"/>
  <c r="S113" i="4"/>
  <c r="Z113" i="4"/>
  <c r="AE18" i="8"/>
  <c r="AE3" i="8" s="1"/>
  <c r="Y1" i="13"/>
  <c r="H58" i="13"/>
  <c r="V58" i="13" s="1"/>
  <c r="V70" i="13" s="1"/>
  <c r="X33" i="13"/>
  <c r="Y33" i="13" s="1"/>
  <c r="AJ11" i="13"/>
  <c r="V40" i="13"/>
  <c r="W40" i="13" s="1"/>
  <c r="H60" i="13"/>
  <c r="W60" i="13" s="1"/>
  <c r="W70" i="13" s="1"/>
  <c r="AE17" i="13"/>
  <c r="AI17" i="13" s="1"/>
  <c r="AJ17" i="13"/>
  <c r="AE19" i="13"/>
  <c r="AI19" i="13" s="1"/>
  <c r="AJ14" i="13"/>
  <c r="AI21" i="13"/>
  <c r="AJ21" i="13"/>
  <c r="AI23" i="13"/>
  <c r="H63" i="13"/>
  <c r="X63" i="13" s="1"/>
  <c r="X70" i="13" s="1"/>
  <c r="Y32" i="13"/>
  <c r="Z32" i="13" s="1"/>
  <c r="AC5" i="13"/>
  <c r="AI5" i="13" s="1"/>
  <c r="AJ9" i="13"/>
  <c r="AE14" i="13"/>
  <c r="AI14" i="13" s="1"/>
  <c r="AJ20" i="13"/>
  <c r="AI24" i="13"/>
  <c r="AA6" i="7"/>
  <c r="AC17" i="7"/>
  <c r="AE17" i="7" s="1"/>
  <c r="AC14" i="7"/>
  <c r="AE14" i="7" s="1"/>
  <c r="L68" i="13"/>
  <c r="H70" i="13" s="1"/>
  <c r="M2" i="13"/>
  <c r="L2" i="13"/>
  <c r="K5" i="13"/>
  <c r="S83" i="2"/>
  <c r="S84" i="2" s="1"/>
  <c r="T84" i="2" s="1"/>
  <c r="U84" i="2" s="1"/>
  <c r="T79" i="2"/>
  <c r="U79" i="2" s="1"/>
  <c r="I115" i="2"/>
  <c r="J115" i="2" s="1"/>
  <c r="K115" i="2" s="1"/>
  <c r="L115" i="2" s="1"/>
  <c r="M115" i="2" s="1"/>
  <c r="N115" i="2" s="1"/>
  <c r="O115" i="2" s="1"/>
  <c r="P115" i="2" s="1"/>
  <c r="Q115" i="2" s="1"/>
  <c r="E113" i="4"/>
  <c r="I113" i="4"/>
  <c r="O113" i="4"/>
  <c r="G113" i="4"/>
  <c r="H113" i="4"/>
  <c r="M113" i="4"/>
  <c r="J113" i="4"/>
  <c r="L113" i="4"/>
  <c r="K113" i="4"/>
  <c r="F113" i="4"/>
  <c r="N113" i="4"/>
  <c r="R113" i="4"/>
  <c r="Q113" i="4"/>
  <c r="P113" i="4"/>
  <c r="AB88" i="2"/>
  <c r="AD7" i="8"/>
  <c r="AC5" i="8"/>
  <c r="AC3" i="8" s="1"/>
  <c r="AD17" i="8"/>
  <c r="AF11" i="8"/>
  <c r="AF3" i="8" s="1"/>
  <c r="K6" i="14"/>
  <c r="P12" i="14"/>
  <c r="L12" i="14"/>
  <c r="M12" i="14"/>
  <c r="N12" i="14"/>
  <c r="Q12" i="14"/>
  <c r="O12" i="14"/>
  <c r="M68" i="13"/>
  <c r="AI4" i="13"/>
  <c r="AG4" i="13"/>
  <c r="W25" i="13"/>
  <c r="W1" i="13"/>
  <c r="AG19" i="13"/>
  <c r="Y34" i="13"/>
  <c r="AG10" i="13"/>
  <c r="AG8" i="13"/>
  <c r="AE9" i="13"/>
  <c r="AI9" i="13" s="1"/>
  <c r="V25" i="13"/>
  <c r="U39" i="13"/>
  <c r="U30" i="13" s="1"/>
  <c r="U48" i="13" s="1"/>
  <c r="V41" i="13"/>
  <c r="AD8" i="13"/>
  <c r="AG9" i="13"/>
  <c r="V42" i="13"/>
  <c r="W42" i="13" s="1"/>
  <c r="H55" i="13"/>
  <c r="AA55" i="13" s="1"/>
  <c r="AE13" i="13"/>
  <c r="AI13" i="13" s="1"/>
  <c r="X34" i="13"/>
  <c r="AB10" i="13"/>
  <c r="AI10" i="13" s="1"/>
  <c r="Z3" i="13"/>
  <c r="X25" i="13"/>
  <c r="H31" i="13"/>
  <c r="W45" i="13"/>
  <c r="Y25" i="13"/>
  <c r="AB3" i="13"/>
  <c r="AA3" i="13"/>
  <c r="V11" i="12"/>
  <c r="AK5" i="12"/>
  <c r="AK13" i="12"/>
  <c r="AE15" i="12"/>
  <c r="AK15" i="12" s="1"/>
  <c r="U10" i="12"/>
  <c r="AK10" i="12" s="1"/>
  <c r="AD4" i="12"/>
  <c r="AK4" i="12" s="1"/>
  <c r="T6" i="12"/>
  <c r="W12" i="12"/>
  <c r="AK12" i="12" s="1"/>
  <c r="Y16" i="12"/>
  <c r="Y1" i="12" s="1"/>
  <c r="AD17" i="12"/>
  <c r="AK17" i="12" s="1"/>
  <c r="Z16" i="12"/>
  <c r="Z1" i="12" s="1"/>
  <c r="AA16" i="12"/>
  <c r="AA1" i="12" s="1"/>
  <c r="T19" i="12"/>
  <c r="AK19" i="12" s="1"/>
  <c r="AE3" i="12"/>
  <c r="AB16" i="12"/>
  <c r="AB43" i="12" s="1"/>
  <c r="AE16" i="13" l="1"/>
  <c r="AI16" i="13" s="1"/>
  <c r="R18" i="14"/>
  <c r="C18" i="14" s="1"/>
  <c r="AK9" i="12"/>
  <c r="AG123" i="2"/>
  <c r="AJ5" i="13"/>
  <c r="X1" i="12"/>
  <c r="AC25" i="13"/>
  <c r="AC1" i="13"/>
  <c r="AK18" i="12"/>
  <c r="AE28" i="8"/>
  <c r="M33" i="2"/>
  <c r="J2" i="16" s="1"/>
  <c r="R3" i="14"/>
  <c r="R6" i="14" s="1"/>
  <c r="T161" i="2"/>
  <c r="AB28" i="8"/>
  <c r="Q33" i="2"/>
  <c r="N2" i="16" s="1"/>
  <c r="AA28" i="8"/>
  <c r="AF28" i="8"/>
  <c r="Z34" i="13"/>
  <c r="Q6" i="14"/>
  <c r="AC28" i="8"/>
  <c r="Z28" i="8"/>
  <c r="AJ18" i="13"/>
  <c r="H33" i="2"/>
  <c r="E2" i="16" s="1"/>
  <c r="AE18" i="13"/>
  <c r="AI18" i="13" s="1"/>
  <c r="AJ16" i="13"/>
  <c r="AD1" i="13"/>
  <c r="AD3" i="8"/>
  <c r="AM41" i="6"/>
  <c r="AC117" i="2"/>
  <c r="AJ3" i="13"/>
  <c r="Y36" i="13"/>
  <c r="AE6" i="7"/>
  <c r="AC115" i="2"/>
  <c r="AC1" i="12"/>
  <c r="Z43" i="12"/>
  <c r="X36" i="13"/>
  <c r="V30" i="13"/>
  <c r="V48" i="13" s="1"/>
  <c r="T134" i="2"/>
  <c r="U133" i="2"/>
  <c r="V133" i="2" s="1"/>
  <c r="AG120" i="2"/>
  <c r="S128" i="2"/>
  <c r="R148" i="2"/>
  <c r="R12" i="14"/>
  <c r="AC43" i="12"/>
  <c r="V84" i="2"/>
  <c r="W84" i="2" s="1"/>
  <c r="X84" i="2" s="1"/>
  <c r="Y84" i="2" s="1"/>
  <c r="Z84" i="2" s="1"/>
  <c r="AA84" i="2" s="1"/>
  <c r="AB84" i="2" s="1"/>
  <c r="V79" i="2"/>
  <c r="W79" i="2" s="1"/>
  <c r="T146" i="2"/>
  <c r="U146" i="2" s="1"/>
  <c r="V146" i="2" s="1"/>
  <c r="W30" i="13"/>
  <c r="W48" i="13" s="1"/>
  <c r="AJ10" i="13"/>
  <c r="AG113" i="4"/>
  <c r="AH96" i="1" s="1"/>
  <c r="AH94" i="1" s="1"/>
  <c r="M69" i="13"/>
  <c r="X31" i="13"/>
  <c r="H30" i="13"/>
  <c r="H51" i="13"/>
  <c r="Z51" i="13" s="1"/>
  <c r="Z70" i="13" s="1"/>
  <c r="Y31" i="13"/>
  <c r="Z25" i="13"/>
  <c r="Z1" i="13"/>
  <c r="AE3" i="13"/>
  <c r="AA25" i="13"/>
  <c r="AA1" i="13"/>
  <c r="AD25" i="13"/>
  <c r="AG25" i="13"/>
  <c r="AB25" i="13"/>
  <c r="AB1" i="13"/>
  <c r="AG1" i="13"/>
  <c r="AI8" i="13"/>
  <c r="AE43" i="12"/>
  <c r="AE1" i="12"/>
  <c r="T43" i="12"/>
  <c r="T1" i="12"/>
  <c r="AB1" i="12"/>
  <c r="AD43" i="12"/>
  <c r="AK16" i="12"/>
  <c r="AA43" i="12"/>
  <c r="W43" i="12"/>
  <c r="W1" i="12"/>
  <c r="V43" i="12"/>
  <c r="V1" i="12"/>
  <c r="AK3" i="12"/>
  <c r="AD1" i="12"/>
  <c r="U6" i="12"/>
  <c r="AK11" i="12"/>
  <c r="Y43" i="12"/>
  <c r="X30" i="13" l="1"/>
  <c r="X48" i="13" s="1"/>
  <c r="N33" i="2"/>
  <c r="K2" i="16" s="1"/>
  <c r="O33" i="2"/>
  <c r="L2" i="16" s="1"/>
  <c r="AD28" i="8"/>
  <c r="S33" i="2"/>
  <c r="P2" i="16" s="1"/>
  <c r="T33" i="2"/>
  <c r="Q2" i="16" s="1"/>
  <c r="L33" i="2"/>
  <c r="I2" i="16" s="1"/>
  <c r="P33" i="2"/>
  <c r="M2" i="16" s="1"/>
  <c r="R33" i="2"/>
  <c r="O2" i="16" s="1"/>
  <c r="K33" i="2"/>
  <c r="H2" i="16" s="1"/>
  <c r="I33" i="2"/>
  <c r="F2" i="16" s="1"/>
  <c r="AC84" i="2"/>
  <c r="AE83" i="2" s="1"/>
  <c r="Y30" i="13"/>
  <c r="V134" i="2"/>
  <c r="AC133" i="2"/>
  <c r="AE131" i="2" s="1"/>
  <c r="Z36" i="13"/>
  <c r="T128" i="2"/>
  <c r="S161" i="2"/>
  <c r="S148" i="2"/>
  <c r="AE114" i="2"/>
  <c r="D4" i="17"/>
  <c r="C4" i="17"/>
  <c r="E4" i="17"/>
  <c r="AE115" i="2"/>
  <c r="AC146" i="2"/>
  <c r="L15" i="1" s="1"/>
  <c r="G4" i="18"/>
  <c r="X79" i="2"/>
  <c r="AE1" i="13"/>
  <c r="AE25" i="13"/>
  <c r="H47" i="13"/>
  <c r="AI3" i="13"/>
  <c r="Z31" i="13"/>
  <c r="U43" i="12"/>
  <c r="U1" i="12"/>
  <c r="AK6" i="12"/>
  <c r="J53" i="1" l="1"/>
  <c r="V15" i="1"/>
  <c r="T15" i="1"/>
  <c r="K54" i="1"/>
  <c r="X15" i="1"/>
  <c r="N14" i="1"/>
  <c r="J15" i="1"/>
  <c r="AE84" i="2"/>
  <c r="AB14" i="1"/>
  <c r="AF54" i="1"/>
  <c r="P14" i="1"/>
  <c r="W15" i="1"/>
  <c r="Q54" i="1"/>
  <c r="Z30" i="13"/>
  <c r="J33" i="2"/>
  <c r="G2" i="16" s="1"/>
  <c r="AA15" i="1"/>
  <c r="AE53" i="1"/>
  <c r="T14" i="1"/>
  <c r="AF53" i="1"/>
  <c r="AC53" i="1"/>
  <c r="Q14" i="1"/>
  <c r="W14" i="1"/>
  <c r="P53" i="1"/>
  <c r="AD53" i="1"/>
  <c r="M14" i="1"/>
  <c r="M53" i="1"/>
  <c r="AE15" i="1"/>
  <c r="Y15" i="1"/>
  <c r="L54" i="1"/>
  <c r="V14" i="1"/>
  <c r="Y14" i="1"/>
  <c r="T53" i="1"/>
  <c r="U54" i="1"/>
  <c r="Q53" i="1"/>
  <c r="T129" i="2"/>
  <c r="U128" i="2"/>
  <c r="AH129" i="2"/>
  <c r="P15" i="1"/>
  <c r="L14" i="1"/>
  <c r="L53" i="1"/>
  <c r="W53" i="1"/>
  <c r="AB53" i="1"/>
  <c r="Y54" i="1"/>
  <c r="N15" i="1"/>
  <c r="S53" i="1"/>
  <c r="AC15" i="1"/>
  <c r="X54" i="1"/>
  <c r="O14" i="1"/>
  <c r="Z54" i="1"/>
  <c r="O53" i="1"/>
  <c r="E3" i="18"/>
  <c r="F3" i="18" s="1"/>
  <c r="F4" i="17"/>
  <c r="AA148" i="2"/>
  <c r="T148" i="2"/>
  <c r="U148" i="2" s="1"/>
  <c r="V148" i="2" s="1"/>
  <c r="AA14" i="1"/>
  <c r="AC54" i="1"/>
  <c r="J14" i="1"/>
  <c r="U53" i="1"/>
  <c r="N53" i="1"/>
  <c r="V53" i="1"/>
  <c r="R53" i="1"/>
  <c r="Y53" i="1"/>
  <c r="R54" i="1"/>
  <c r="AB54" i="1"/>
  <c r="O54" i="1"/>
  <c r="Z53" i="1"/>
  <c r="K15" i="1"/>
  <c r="O15" i="1"/>
  <c r="X14" i="1"/>
  <c r="R15" i="1"/>
  <c r="M15" i="1"/>
  <c r="V54" i="1"/>
  <c r="AC14" i="1"/>
  <c r="P54" i="1"/>
  <c r="K53" i="1"/>
  <c r="N54" i="1"/>
  <c r="J54" i="1"/>
  <c r="W54" i="1"/>
  <c r="S15" i="1"/>
  <c r="T54" i="1"/>
  <c r="AE14" i="1"/>
  <c r="AF14" i="1"/>
  <c r="Z15" i="1"/>
  <c r="AD54" i="1"/>
  <c r="R14" i="1"/>
  <c r="Z14" i="1"/>
  <c r="AB15" i="1"/>
  <c r="AE54" i="1"/>
  <c r="AA54" i="1"/>
  <c r="K14" i="1"/>
  <c r="X53" i="1"/>
  <c r="U14" i="1"/>
  <c r="AE145" i="2"/>
  <c r="AD15" i="1"/>
  <c r="U15" i="1"/>
  <c r="AA53" i="1"/>
  <c r="AD14" i="1"/>
  <c r="S14" i="1"/>
  <c r="AF15" i="1"/>
  <c r="M54" i="1"/>
  <c r="S54" i="1"/>
  <c r="Q15" i="1"/>
  <c r="Y79" i="2"/>
  <c r="AI1" i="13"/>
  <c r="AI25" i="13"/>
  <c r="Z47" i="13"/>
  <c r="H67" i="13"/>
  <c r="AA67" i="13" s="1"/>
  <c r="AA70" i="13" s="1"/>
  <c r="Y47" i="13"/>
  <c r="Y48" i="13" s="1"/>
  <c r="V129" i="2" l="1"/>
  <c r="V128" i="2"/>
  <c r="Z48" i="13"/>
  <c r="AC128" i="2"/>
  <c r="AE126" i="2" s="1"/>
  <c r="AC148" i="2"/>
  <c r="AE146" i="2" s="1"/>
  <c r="Z79" i="2"/>
  <c r="AA47" i="13"/>
  <c r="AA48" i="13" s="1"/>
  <c r="R90" i="2"/>
  <c r="AB48" i="13" l="1"/>
  <c r="AA79" i="2"/>
  <c r="AB79" i="2" s="1"/>
  <c r="AC79" i="2" s="1"/>
  <c r="Q55" i="2"/>
  <c r="C34" i="16" l="1"/>
  <c r="Q90" i="2"/>
  <c r="AE78" i="2"/>
  <c r="AE79" i="2"/>
  <c r="Q40" i="2"/>
  <c r="I13" i="16" s="1"/>
  <c r="Q35" i="2"/>
  <c r="N4" i="16" s="1"/>
  <c r="AH121" i="1"/>
  <c r="AH122" i="1"/>
  <c r="AH123" i="1"/>
  <c r="AH119" i="1"/>
  <c r="AH120" i="1"/>
  <c r="AH118" i="1"/>
  <c r="AL107" i="1"/>
  <c r="AI122" i="1" s="1"/>
  <c r="AL108" i="1"/>
  <c r="AI123" i="1" s="1"/>
  <c r="AJ114" i="1"/>
  <c r="AK115" i="1" s="1"/>
  <c r="R38" i="2"/>
  <c r="P38" i="2"/>
  <c r="H11" i="16" s="1"/>
  <c r="N38" i="2"/>
  <c r="F11" i="16" s="1"/>
  <c r="M38" i="2"/>
  <c r="E11" i="16" s="1"/>
  <c r="O38" i="2"/>
  <c r="G11" i="16" s="1"/>
  <c r="Q38" i="2"/>
  <c r="H38" i="6"/>
  <c r="R38" i="6" s="1"/>
  <c r="P40" i="2"/>
  <c r="H13" i="16" s="1"/>
  <c r="R37" i="2" l="1"/>
  <c r="J11" i="16"/>
  <c r="Q37" i="2"/>
  <c r="I11" i="16"/>
  <c r="N69" i="1"/>
  <c r="V69" i="1"/>
  <c r="AD69" i="1"/>
  <c r="L69" i="1"/>
  <c r="K30" i="1"/>
  <c r="S30" i="1"/>
  <c r="AA30" i="1"/>
  <c r="O69" i="1"/>
  <c r="W69" i="1"/>
  <c r="AE69" i="1"/>
  <c r="L30" i="1"/>
  <c r="T30" i="1"/>
  <c r="AB30" i="1"/>
  <c r="AF30" i="1"/>
  <c r="P69" i="1"/>
  <c r="X69" i="1"/>
  <c r="AF69" i="1"/>
  <c r="M30" i="1"/>
  <c r="U30" i="1"/>
  <c r="AC30" i="1"/>
  <c r="Q69" i="1"/>
  <c r="Y69" i="1"/>
  <c r="N30" i="1"/>
  <c r="V30" i="1"/>
  <c r="AD30" i="1"/>
  <c r="R69" i="1"/>
  <c r="Z69" i="1"/>
  <c r="O30" i="1"/>
  <c r="W30" i="1"/>
  <c r="AE30" i="1"/>
  <c r="S69" i="1"/>
  <c r="AA69" i="1"/>
  <c r="P30" i="1"/>
  <c r="X30" i="1"/>
  <c r="J30" i="1"/>
  <c r="T69" i="1"/>
  <c r="AB69" i="1"/>
  <c r="Q30" i="1"/>
  <c r="Y30" i="1"/>
  <c r="M69" i="1"/>
  <c r="U69" i="1"/>
  <c r="AC69" i="1"/>
  <c r="R30" i="1"/>
  <c r="Z30" i="1"/>
  <c r="C31" i="4"/>
  <c r="R59" i="2"/>
  <c r="AG36" i="2"/>
  <c r="AM40" i="2" l="1"/>
  <c r="H43" i="6"/>
  <c r="AM41" i="2"/>
  <c r="S59" i="2"/>
  <c r="T59" i="2" s="1"/>
  <c r="U59" i="2" s="1"/>
  <c r="C58" i="4"/>
  <c r="AJ34" i="2"/>
  <c r="V59" i="2" l="1"/>
  <c r="W59" i="2" s="1"/>
  <c r="X59" i="2" s="1"/>
  <c r="Y59" i="2" s="1"/>
  <c r="C87" i="4"/>
  <c r="T2" i="7"/>
  <c r="S2" i="7"/>
  <c r="Y83" i="1"/>
  <c r="Z83" i="1"/>
  <c r="AA83" i="1"/>
  <c r="AB83" i="1"/>
  <c r="AC83" i="1"/>
  <c r="AD83" i="1"/>
  <c r="AE83" i="1"/>
  <c r="AF83" i="1"/>
  <c r="AI104" i="1"/>
  <c r="S41" i="6"/>
  <c r="T41" i="6"/>
  <c r="U41" i="6"/>
  <c r="K38" i="2"/>
  <c r="L38" i="2"/>
  <c r="D11" i="16" s="1"/>
  <c r="S38" i="2"/>
  <c r="K11" i="16" s="1"/>
  <c r="T38" i="2"/>
  <c r="U38" i="2"/>
  <c r="G6" i="17" s="1"/>
  <c r="V38" i="2"/>
  <c r="J6" i="17" s="1"/>
  <c r="W38" i="2"/>
  <c r="K6" i="17" s="1"/>
  <c r="H10" i="6"/>
  <c r="R10" i="6" s="1"/>
  <c r="AG24" i="1"/>
  <c r="AG32" i="1"/>
  <c r="AG33" i="1"/>
  <c r="AG34" i="1"/>
  <c r="AG35" i="1"/>
  <c r="AG36" i="1"/>
  <c r="AG37" i="1"/>
  <c r="AG38" i="1"/>
  <c r="F42" i="1"/>
  <c r="AG42" i="1" s="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41" i="1"/>
  <c r="AG41" i="1" s="1"/>
  <c r="O11" i="16" l="1"/>
  <c r="L5" i="18"/>
  <c r="N11" i="16"/>
  <c r="K5" i="18"/>
  <c r="M11" i="16"/>
  <c r="G5" i="18"/>
  <c r="L11" i="16"/>
  <c r="K39" i="2"/>
  <c r="C12" i="16" s="1"/>
  <c r="C11" i="16"/>
  <c r="L39" i="2" l="1"/>
  <c r="D12" i="16" s="1"/>
  <c r="C98" i="16"/>
  <c r="C101" i="16"/>
  <c r="C97" i="16"/>
  <c r="C100" i="16"/>
  <c r="C99" i="16"/>
  <c r="J30" i="10"/>
  <c r="K30" i="10" s="1"/>
  <c r="J29" i="10"/>
  <c r="K29" i="10" s="1"/>
  <c r="J28" i="10"/>
  <c r="K28" i="10" s="1"/>
  <c r="J27" i="10"/>
  <c r="K27" i="10" s="1"/>
  <c r="J26" i="10"/>
  <c r="K26" i="10" s="1"/>
  <c r="J25" i="10"/>
  <c r="K25" i="10" s="1"/>
  <c r="J24" i="10"/>
  <c r="K24" i="10" s="1"/>
  <c r="J23" i="10"/>
  <c r="K23" i="10" s="1"/>
  <c r="M39" i="2" l="1"/>
  <c r="N39" i="2" s="1"/>
  <c r="C102" i="16"/>
  <c r="J16" i="10"/>
  <c r="K16" i="10" s="1"/>
  <c r="J15" i="10"/>
  <c r="K15" i="10" s="1"/>
  <c r="A14" i="10"/>
  <c r="J21" i="10"/>
  <c r="K21" i="10" s="1"/>
  <c r="J20" i="10"/>
  <c r="K20" i="10" s="1"/>
  <c r="J19" i="10"/>
  <c r="K19" i="10" s="1"/>
  <c r="J18" i="10"/>
  <c r="K18" i="10" s="1"/>
  <c r="J17" i="10"/>
  <c r="K17" i="10" s="1"/>
  <c r="J14" i="10"/>
  <c r="K14" i="10" s="1"/>
  <c r="A3" i="10"/>
  <c r="J4" i="10"/>
  <c r="K4" i="10" s="1"/>
  <c r="J5" i="10"/>
  <c r="K5" i="10" s="1"/>
  <c r="J6" i="10"/>
  <c r="K6" i="10" s="1"/>
  <c r="J7" i="10"/>
  <c r="K7" i="10" s="1"/>
  <c r="J8" i="10"/>
  <c r="K8" i="10" s="1"/>
  <c r="J9" i="10"/>
  <c r="K9" i="10" s="1"/>
  <c r="J10" i="10"/>
  <c r="K10" i="10" s="1"/>
  <c r="J3" i="10"/>
  <c r="K3" i="10" s="1"/>
  <c r="AH23" i="8"/>
  <c r="AH24" i="8"/>
  <c r="AH25" i="8"/>
  <c r="AH26" i="8"/>
  <c r="AH6" i="8"/>
  <c r="AH7" i="8"/>
  <c r="AH8" i="8"/>
  <c r="AH9" i="8"/>
  <c r="AH10" i="8"/>
  <c r="AH12" i="8"/>
  <c r="AH13" i="8"/>
  <c r="AH14" i="8"/>
  <c r="AH15" i="8"/>
  <c r="AH16" i="8"/>
  <c r="AH17" i="8"/>
  <c r="AH18" i="8"/>
  <c r="AH19" i="8"/>
  <c r="AH20" i="8"/>
  <c r="AH21" i="8"/>
  <c r="AH22" i="8"/>
  <c r="AH5" i="8"/>
  <c r="T20" i="7"/>
  <c r="S20" i="7"/>
  <c r="E12" i="16" l="1"/>
  <c r="O39" i="2"/>
  <c r="F12" i="16"/>
  <c r="AH11" i="8"/>
  <c r="P39" i="2" l="1"/>
  <c r="G12" i="16"/>
  <c r="AF42" i="6"/>
  <c r="AE42" i="6"/>
  <c r="AD42" i="6"/>
  <c r="AC42" i="6"/>
  <c r="AB42" i="6"/>
  <c r="AA42" i="6"/>
  <c r="Z42" i="6"/>
  <c r="Y42" i="6"/>
  <c r="X42" i="6"/>
  <c r="W42" i="6"/>
  <c r="J54" i="4"/>
  <c r="K54" i="4"/>
  <c r="R54" i="4"/>
  <c r="S54" i="4"/>
  <c r="Z54" i="4"/>
  <c r="D55" i="4"/>
  <c r="E56" i="4"/>
  <c r="L56" i="4"/>
  <c r="M56" i="4"/>
  <c r="T56" i="4"/>
  <c r="U56" i="4"/>
  <c r="X1" i="4"/>
  <c r="Y1" i="4"/>
  <c r="Z1" i="4"/>
  <c r="X43" i="4"/>
  <c r="Y43" i="4"/>
  <c r="Z43" i="4"/>
  <c r="X44" i="4"/>
  <c r="Y44" i="4"/>
  <c r="Z44" i="4"/>
  <c r="X45" i="4"/>
  <c r="Y45" i="4"/>
  <c r="Z45" i="4"/>
  <c r="X54" i="4"/>
  <c r="Y54" i="4"/>
  <c r="X55" i="4"/>
  <c r="Y55" i="4"/>
  <c r="Z55" i="4"/>
  <c r="X56" i="4"/>
  <c r="Y56" i="4"/>
  <c r="Z56" i="4"/>
  <c r="E1" i="4"/>
  <c r="F1" i="4"/>
  <c r="G1" i="4"/>
  <c r="H1" i="4"/>
  <c r="I1" i="4"/>
  <c r="J1" i="4"/>
  <c r="K1" i="4"/>
  <c r="L1" i="4"/>
  <c r="M1" i="4"/>
  <c r="N1" i="4"/>
  <c r="O1" i="4"/>
  <c r="P1" i="4"/>
  <c r="Q1" i="4"/>
  <c r="R1" i="4"/>
  <c r="S1" i="4"/>
  <c r="T1" i="4"/>
  <c r="U1" i="4"/>
  <c r="V1" i="4"/>
  <c r="W1" i="4"/>
  <c r="D1" i="4"/>
  <c r="E54" i="4"/>
  <c r="F54" i="4"/>
  <c r="G54" i="4"/>
  <c r="H54" i="4"/>
  <c r="I54" i="4"/>
  <c r="L54" i="4"/>
  <c r="M54" i="4"/>
  <c r="N54" i="4"/>
  <c r="O54" i="4"/>
  <c r="P54" i="4"/>
  <c r="Q54" i="4"/>
  <c r="T54" i="4"/>
  <c r="U54" i="4"/>
  <c r="V54" i="4"/>
  <c r="W54" i="4"/>
  <c r="E55" i="4"/>
  <c r="F55" i="4"/>
  <c r="G55" i="4"/>
  <c r="H55" i="4"/>
  <c r="I55" i="4"/>
  <c r="J55" i="4"/>
  <c r="K55" i="4"/>
  <c r="L55" i="4"/>
  <c r="M55" i="4"/>
  <c r="N55" i="4"/>
  <c r="O55" i="4"/>
  <c r="P55" i="4"/>
  <c r="Q55" i="4"/>
  <c r="R55" i="4"/>
  <c r="S55" i="4"/>
  <c r="T55" i="4"/>
  <c r="U55" i="4"/>
  <c r="V55" i="4"/>
  <c r="W55" i="4"/>
  <c r="F56" i="4"/>
  <c r="G56" i="4"/>
  <c r="H56" i="4"/>
  <c r="I56" i="4"/>
  <c r="J56" i="4"/>
  <c r="K56" i="4"/>
  <c r="N56" i="4"/>
  <c r="O56" i="4"/>
  <c r="P56" i="4"/>
  <c r="Q56" i="4"/>
  <c r="R56" i="4"/>
  <c r="S56" i="4"/>
  <c r="V56" i="4"/>
  <c r="W56" i="4"/>
  <c r="D54" i="4"/>
  <c r="D56" i="4"/>
  <c r="E43" i="4"/>
  <c r="F43" i="4"/>
  <c r="G43" i="4"/>
  <c r="H43" i="4"/>
  <c r="I43" i="4"/>
  <c r="J43" i="4"/>
  <c r="K43" i="4"/>
  <c r="L43" i="4"/>
  <c r="M43" i="4"/>
  <c r="N43" i="4"/>
  <c r="O43" i="4"/>
  <c r="P43" i="4"/>
  <c r="Q43" i="4"/>
  <c r="R43" i="4"/>
  <c r="S43" i="4"/>
  <c r="T43" i="4"/>
  <c r="U43" i="4"/>
  <c r="V43" i="4"/>
  <c r="W43" i="4"/>
  <c r="E44" i="4"/>
  <c r="F44" i="4"/>
  <c r="G44" i="4"/>
  <c r="H44" i="4"/>
  <c r="I44" i="4"/>
  <c r="J44" i="4"/>
  <c r="K44" i="4"/>
  <c r="L44" i="4"/>
  <c r="M44" i="4"/>
  <c r="N44" i="4"/>
  <c r="O44" i="4"/>
  <c r="P44" i="4"/>
  <c r="Q44" i="4"/>
  <c r="R44" i="4"/>
  <c r="S44" i="4"/>
  <c r="T44" i="4"/>
  <c r="U44" i="4"/>
  <c r="V44" i="4"/>
  <c r="W44" i="4"/>
  <c r="E45" i="4"/>
  <c r="F45" i="4"/>
  <c r="G45" i="4"/>
  <c r="H45" i="4"/>
  <c r="I45" i="4"/>
  <c r="J45" i="4"/>
  <c r="K45" i="4"/>
  <c r="L45" i="4"/>
  <c r="M45" i="4"/>
  <c r="N45" i="4"/>
  <c r="O45" i="4"/>
  <c r="P45" i="4"/>
  <c r="Q45" i="4"/>
  <c r="R45" i="4"/>
  <c r="S45" i="4"/>
  <c r="T45" i="4"/>
  <c r="U45" i="4"/>
  <c r="V45" i="4"/>
  <c r="W45" i="4"/>
  <c r="D43" i="4"/>
  <c r="D44" i="4"/>
  <c r="D45" i="4"/>
  <c r="Z59" i="2"/>
  <c r="Y48" i="2"/>
  <c r="J25" i="16" s="1"/>
  <c r="U48" i="2"/>
  <c r="G11" i="17" s="1"/>
  <c r="T3" i="8"/>
  <c r="U3" i="8"/>
  <c r="V3" i="8"/>
  <c r="S48" i="2"/>
  <c r="D25" i="16" s="1"/>
  <c r="T48" i="2"/>
  <c r="V48" i="2"/>
  <c r="J11" i="17" s="1"/>
  <c r="X48" i="2"/>
  <c r="Z48" i="2"/>
  <c r="K25" i="16" s="1"/>
  <c r="N43" i="2"/>
  <c r="M43" i="2"/>
  <c r="Y38" i="2"/>
  <c r="Q11" i="16" s="1"/>
  <c r="Z38" i="2"/>
  <c r="R11" i="16" s="1"/>
  <c r="AL44" i="6"/>
  <c r="AE80" i="1"/>
  <c r="AF80" i="1"/>
  <c r="AE89" i="1"/>
  <c r="P126" i="4" l="1"/>
  <c r="P134" i="4" s="1"/>
  <c r="P142" i="4" s="1"/>
  <c r="P150" i="4" s="1"/>
  <c r="P118" i="4"/>
  <c r="H126" i="4"/>
  <c r="H134" i="4" s="1"/>
  <c r="H142" i="4" s="1"/>
  <c r="H150" i="4" s="1"/>
  <c r="H118" i="4"/>
  <c r="W126" i="4"/>
  <c r="W134" i="4" s="1"/>
  <c r="W142" i="4" s="1"/>
  <c r="W150" i="4" s="1"/>
  <c r="W118" i="4"/>
  <c r="C126" i="4"/>
  <c r="C118" i="4"/>
  <c r="O126" i="4"/>
  <c r="O134" i="4" s="1"/>
  <c r="O142" i="4" s="1"/>
  <c r="O150" i="4" s="1"/>
  <c r="O118" i="4"/>
  <c r="G118" i="4"/>
  <c r="G126" i="4"/>
  <c r="G134" i="4" s="1"/>
  <c r="G142" i="4" s="1"/>
  <c r="G150" i="4" s="1"/>
  <c r="V118" i="4"/>
  <c r="V126" i="4"/>
  <c r="V134" i="4" s="1"/>
  <c r="V142" i="4" s="1"/>
  <c r="V150" i="4" s="1"/>
  <c r="N118" i="4"/>
  <c r="N126" i="4"/>
  <c r="N134" i="4" s="1"/>
  <c r="N142" i="4" s="1"/>
  <c r="N150" i="4" s="1"/>
  <c r="F118" i="4"/>
  <c r="F126" i="4"/>
  <c r="F134" i="4" s="1"/>
  <c r="F142" i="4" s="1"/>
  <c r="F150" i="4" s="1"/>
  <c r="U126" i="4"/>
  <c r="U134" i="4" s="1"/>
  <c r="U142" i="4" s="1"/>
  <c r="U150" i="4" s="1"/>
  <c r="U118" i="4"/>
  <c r="M126" i="4"/>
  <c r="M134" i="4" s="1"/>
  <c r="M142" i="4" s="1"/>
  <c r="M150" i="4" s="1"/>
  <c r="M118" i="4"/>
  <c r="E126" i="4"/>
  <c r="E134" i="4" s="1"/>
  <c r="E142" i="4" s="1"/>
  <c r="E150" i="4" s="1"/>
  <c r="E118" i="4"/>
  <c r="T126" i="4"/>
  <c r="T134" i="4" s="1"/>
  <c r="T142" i="4" s="1"/>
  <c r="T150" i="4" s="1"/>
  <c r="T118" i="4"/>
  <c r="L126" i="4"/>
  <c r="L134" i="4" s="1"/>
  <c r="L142" i="4" s="1"/>
  <c r="L150" i="4" s="1"/>
  <c r="L118" i="4"/>
  <c r="D126" i="4"/>
  <c r="D134" i="4" s="1"/>
  <c r="D142" i="4" s="1"/>
  <c r="D150" i="4" s="1"/>
  <c r="D118" i="4"/>
  <c r="S118" i="4"/>
  <c r="S126" i="4"/>
  <c r="S134" i="4" s="1"/>
  <c r="S142" i="4" s="1"/>
  <c r="S150" i="4" s="1"/>
  <c r="K118" i="4"/>
  <c r="K126" i="4"/>
  <c r="K134" i="4" s="1"/>
  <c r="K142" i="4" s="1"/>
  <c r="K150" i="4" s="1"/>
  <c r="R126" i="4"/>
  <c r="R134" i="4" s="1"/>
  <c r="R142" i="4" s="1"/>
  <c r="R150" i="4" s="1"/>
  <c r="R118" i="4"/>
  <c r="J126" i="4"/>
  <c r="J134" i="4" s="1"/>
  <c r="J142" i="4" s="1"/>
  <c r="J150" i="4" s="1"/>
  <c r="J118" i="4"/>
  <c r="Y118" i="4"/>
  <c r="Z118" i="4" s="1"/>
  <c r="AA118" i="4" s="1"/>
  <c r="AB118" i="4" s="1"/>
  <c r="Y126" i="4"/>
  <c r="Q118" i="4"/>
  <c r="Q126" i="4"/>
  <c r="Q134" i="4" s="1"/>
  <c r="Q142" i="4" s="1"/>
  <c r="Q150" i="4" s="1"/>
  <c r="I118" i="4"/>
  <c r="I126" i="4"/>
  <c r="I134" i="4" s="1"/>
  <c r="I142" i="4" s="1"/>
  <c r="I150" i="4" s="1"/>
  <c r="X126" i="4"/>
  <c r="X134" i="4" s="1"/>
  <c r="X142" i="4" s="1"/>
  <c r="X150" i="4" s="1"/>
  <c r="X118" i="4"/>
  <c r="Q48" i="2"/>
  <c r="P48" i="2"/>
  <c r="O48" i="2"/>
  <c r="I25" i="16"/>
  <c r="L11" i="17"/>
  <c r="L10" i="17" s="1"/>
  <c r="E25" i="16"/>
  <c r="F25" i="16"/>
  <c r="G25" i="16"/>
  <c r="Q39" i="2"/>
  <c r="H12" i="16"/>
  <c r="AG133" i="2"/>
  <c r="AG135" i="2" s="1"/>
  <c r="R129" i="2"/>
  <c r="AA59" i="2"/>
  <c r="AB59" i="2" s="1"/>
  <c r="AA48" i="2"/>
  <c r="L25" i="16" s="1"/>
  <c r="AA38" i="2"/>
  <c r="S11" i="16" s="1"/>
  <c r="AJ44" i="6"/>
  <c r="AM44" i="6"/>
  <c r="AK44" i="6"/>
  <c r="Z126" i="4" l="1"/>
  <c r="AA126" i="4" s="1"/>
  <c r="AB126" i="4" s="1"/>
  <c r="Y134" i="4"/>
  <c r="C134" i="4"/>
  <c r="AC59" i="2"/>
  <c r="J10" i="17"/>
  <c r="K10" i="18"/>
  <c r="G10" i="17"/>
  <c r="G10" i="18"/>
  <c r="I12" i="16"/>
  <c r="R39" i="2"/>
  <c r="AG136" i="2"/>
  <c r="Z44" i="6"/>
  <c r="AA44" i="6"/>
  <c r="AC44" i="6"/>
  <c r="AH44" i="6"/>
  <c r="L4" i="6"/>
  <c r="M4" i="6"/>
  <c r="L5" i="6"/>
  <c r="M5" i="6"/>
  <c r="L6" i="6"/>
  <c r="M6" i="6"/>
  <c r="H7" i="6"/>
  <c r="L7" i="6"/>
  <c r="M7" i="6"/>
  <c r="L8" i="6"/>
  <c r="M8" i="6"/>
  <c r="L9" i="6"/>
  <c r="M9" i="6"/>
  <c r="L10" i="6"/>
  <c r="M10" i="6"/>
  <c r="L11" i="6"/>
  <c r="M11" i="6"/>
  <c r="H12" i="6"/>
  <c r="L12" i="6"/>
  <c r="M12" i="6"/>
  <c r="L13" i="6"/>
  <c r="M13" i="6"/>
  <c r="L14" i="6"/>
  <c r="M14" i="6"/>
  <c r="L15" i="6"/>
  <c r="M15" i="6"/>
  <c r="L16" i="6"/>
  <c r="M16" i="6"/>
  <c r="H17" i="6"/>
  <c r="L17" i="6"/>
  <c r="M17" i="6"/>
  <c r="L18" i="6"/>
  <c r="M18" i="6"/>
  <c r="H19" i="6"/>
  <c r="L19" i="6"/>
  <c r="M19" i="6"/>
  <c r="L20" i="6"/>
  <c r="M20" i="6"/>
  <c r="L21" i="6"/>
  <c r="M21" i="6"/>
  <c r="L22" i="6"/>
  <c r="M22" i="6"/>
  <c r="L23" i="6"/>
  <c r="M23" i="6"/>
  <c r="L24" i="6"/>
  <c r="M24" i="6"/>
  <c r="L25" i="6"/>
  <c r="M25" i="6"/>
  <c r="L26" i="6"/>
  <c r="M26" i="6"/>
  <c r="L27" i="6"/>
  <c r="M27" i="6"/>
  <c r="L28" i="6"/>
  <c r="M28" i="6"/>
  <c r="L29" i="6"/>
  <c r="M29" i="6"/>
  <c r="L30" i="6"/>
  <c r="M30" i="6"/>
  <c r="L31" i="6"/>
  <c r="M31" i="6"/>
  <c r="L32" i="6"/>
  <c r="M32" i="6"/>
  <c r="H36" i="6"/>
  <c r="R36" i="6" s="1"/>
  <c r="C142" i="4" l="1"/>
  <c r="C150" i="4" s="1"/>
  <c r="Y142" i="4"/>
  <c r="Z134" i="4"/>
  <c r="AA134" i="4" s="1"/>
  <c r="AB134" i="4" s="1"/>
  <c r="R12" i="6"/>
  <c r="R7" i="6"/>
  <c r="R19" i="6"/>
  <c r="R17" i="6"/>
  <c r="K4" i="6"/>
  <c r="AE58" i="2"/>
  <c r="J12" i="16"/>
  <c r="S39" i="2"/>
  <c r="P70" i="1"/>
  <c r="X70" i="1"/>
  <c r="AF70" i="1"/>
  <c r="Q31" i="1"/>
  <c r="Y31" i="1"/>
  <c r="J31" i="1"/>
  <c r="W70" i="1"/>
  <c r="AE70" i="1"/>
  <c r="X31" i="1"/>
  <c r="Q70" i="1"/>
  <c r="Y70" i="1"/>
  <c r="L70" i="1"/>
  <c r="R31" i="1"/>
  <c r="Z31" i="1"/>
  <c r="AF31" i="1"/>
  <c r="R70" i="1"/>
  <c r="Z70" i="1"/>
  <c r="K31" i="1"/>
  <c r="S31" i="1"/>
  <c r="AA31" i="1"/>
  <c r="S70" i="1"/>
  <c r="AA70" i="1"/>
  <c r="L31" i="1"/>
  <c r="T31" i="1"/>
  <c r="AB31" i="1"/>
  <c r="T70" i="1"/>
  <c r="AB70" i="1"/>
  <c r="M31" i="1"/>
  <c r="U31" i="1"/>
  <c r="AC31" i="1"/>
  <c r="O70" i="1"/>
  <c r="M70" i="1"/>
  <c r="U70" i="1"/>
  <c r="AC70" i="1"/>
  <c r="N31" i="1"/>
  <c r="V31" i="1"/>
  <c r="AD31" i="1"/>
  <c r="N70" i="1"/>
  <c r="V70" i="1"/>
  <c r="AD70" i="1"/>
  <c r="O31" i="1"/>
  <c r="W31" i="1"/>
  <c r="AE31" i="1"/>
  <c r="P31" i="1"/>
  <c r="H44" i="6"/>
  <c r="K6" i="6"/>
  <c r="K8" i="6"/>
  <c r="AI44" i="6"/>
  <c r="X38" i="2"/>
  <c r="V44" i="6"/>
  <c r="K30" i="6"/>
  <c r="K26" i="6"/>
  <c r="K9" i="6"/>
  <c r="K24" i="6"/>
  <c r="K31" i="6"/>
  <c r="Y44" i="6"/>
  <c r="W44" i="6"/>
  <c r="K18" i="6"/>
  <c r="K11" i="6"/>
  <c r="AE44" i="6"/>
  <c r="AF44" i="6"/>
  <c r="AB44" i="6"/>
  <c r="K21" i="6"/>
  <c r="K14" i="6"/>
  <c r="AD44" i="6"/>
  <c r="K28" i="6"/>
  <c r="X44" i="6"/>
  <c r="K23" i="6"/>
  <c r="K25" i="6"/>
  <c r="K17" i="6"/>
  <c r="K10" i="6"/>
  <c r="K20" i="6"/>
  <c r="K13" i="6"/>
  <c r="K16" i="6"/>
  <c r="K12" i="6"/>
  <c r="K5" i="6"/>
  <c r="K22" i="6"/>
  <c r="K15" i="6"/>
  <c r="K32" i="6"/>
  <c r="K27" i="6"/>
  <c r="K29" i="6"/>
  <c r="K19" i="6"/>
  <c r="K7" i="6"/>
  <c r="Z142" i="4" l="1"/>
  <c r="AA142" i="4" s="1"/>
  <c r="AB142" i="4" s="1"/>
  <c r="Y150" i="4"/>
  <c r="Z150" i="4" s="1"/>
  <c r="AA150" i="4" s="1"/>
  <c r="AB150" i="4" s="1"/>
  <c r="P11" i="16"/>
  <c r="L6" i="17"/>
  <c r="M5" i="18" s="1"/>
  <c r="K12" i="16"/>
  <c r="T39" i="2"/>
  <c r="AG44" i="6"/>
  <c r="O23" i="9"/>
  <c r="N23" i="9"/>
  <c r="J23" i="9"/>
  <c r="O22" i="9"/>
  <c r="N22" i="9"/>
  <c r="J22" i="9"/>
  <c r="O21" i="9"/>
  <c r="N21" i="9"/>
  <c r="J21" i="9"/>
  <c r="O20" i="9"/>
  <c r="N20" i="9"/>
  <c r="J20" i="9"/>
  <c r="O19" i="9"/>
  <c r="N19" i="9"/>
  <c r="J19" i="9"/>
  <c r="O18" i="9"/>
  <c r="N18" i="9"/>
  <c r="H18" i="9"/>
  <c r="J18" i="9" s="1"/>
  <c r="O17" i="9"/>
  <c r="N17" i="9"/>
  <c r="J17" i="9"/>
  <c r="O16" i="9"/>
  <c r="N16" i="9"/>
  <c r="J16" i="9"/>
  <c r="O15" i="9"/>
  <c r="N15" i="9"/>
  <c r="J15" i="9"/>
  <c r="O14" i="9"/>
  <c r="N14" i="9"/>
  <c r="J14" i="9"/>
  <c r="O13" i="9"/>
  <c r="N13" i="9"/>
  <c r="H13" i="9"/>
  <c r="J13" i="9" s="1"/>
  <c r="X3" i="9"/>
  <c r="P88" i="2" s="1"/>
  <c r="O12" i="9"/>
  <c r="N12" i="9"/>
  <c r="J12" i="9"/>
  <c r="T53" i="2"/>
  <c r="O11" i="9"/>
  <c r="N11" i="9"/>
  <c r="H11" i="9"/>
  <c r="J11" i="9" s="1"/>
  <c r="O10" i="9"/>
  <c r="N10" i="9"/>
  <c r="J10" i="9"/>
  <c r="O9" i="9"/>
  <c r="N9" i="9"/>
  <c r="I9" i="9"/>
  <c r="J9" i="9" s="1"/>
  <c r="O8" i="9"/>
  <c r="N8" i="9"/>
  <c r="H8" i="9"/>
  <c r="O7" i="9"/>
  <c r="N7" i="9"/>
  <c r="J7" i="9"/>
  <c r="O6" i="9"/>
  <c r="N6" i="9"/>
  <c r="J6" i="9"/>
  <c r="O5" i="9"/>
  <c r="N5" i="9"/>
  <c r="I5" i="9"/>
  <c r="H5" i="9"/>
  <c r="S53" i="2"/>
  <c r="R53" i="2"/>
  <c r="D32" i="16" s="1"/>
  <c r="Q53" i="2"/>
  <c r="W3" i="9"/>
  <c r="O88" i="2" s="1"/>
  <c r="V3" i="9"/>
  <c r="U3" i="9"/>
  <c r="M88" i="2" s="1"/>
  <c r="W48" i="2"/>
  <c r="K11" i="17" s="1"/>
  <c r="M22" i="8"/>
  <c r="L22" i="8"/>
  <c r="M21" i="8"/>
  <c r="L21" i="8"/>
  <c r="M20" i="8"/>
  <c r="L20" i="8"/>
  <c r="M19" i="8"/>
  <c r="L19" i="8"/>
  <c r="M18" i="8"/>
  <c r="L18" i="8"/>
  <c r="M17" i="8"/>
  <c r="L17" i="8"/>
  <c r="M16" i="8"/>
  <c r="L16" i="8"/>
  <c r="M15" i="8"/>
  <c r="L15" i="8"/>
  <c r="M14" i="8"/>
  <c r="L14" i="8"/>
  <c r="M13" i="8"/>
  <c r="L13" i="8"/>
  <c r="M12" i="8"/>
  <c r="L12" i="8"/>
  <c r="M11" i="8"/>
  <c r="L11" i="8"/>
  <c r="M10" i="8"/>
  <c r="L10" i="8"/>
  <c r="M9" i="8"/>
  <c r="L9" i="8"/>
  <c r="M8" i="8"/>
  <c r="L8" i="8"/>
  <c r="M7" i="8"/>
  <c r="L7" i="8"/>
  <c r="M6" i="8"/>
  <c r="L6" i="8"/>
  <c r="M5" i="8"/>
  <c r="L5" i="8"/>
  <c r="S3" i="8"/>
  <c r="M18" i="7"/>
  <c r="L18" i="7"/>
  <c r="H18" i="7"/>
  <c r="M17" i="7"/>
  <c r="L17" i="7"/>
  <c r="M16" i="7"/>
  <c r="L16" i="7"/>
  <c r="M15" i="7"/>
  <c r="L15" i="7"/>
  <c r="M14" i="7"/>
  <c r="L14" i="7"/>
  <c r="M13" i="7"/>
  <c r="L13" i="7"/>
  <c r="M12" i="7"/>
  <c r="L12" i="7"/>
  <c r="M11" i="7"/>
  <c r="L11" i="7"/>
  <c r="H11" i="7"/>
  <c r="M10" i="7"/>
  <c r="L10" i="7"/>
  <c r="H10" i="7"/>
  <c r="M9" i="7"/>
  <c r="L9" i="7"/>
  <c r="M8" i="7"/>
  <c r="L8" i="7"/>
  <c r="M7" i="7"/>
  <c r="L7" i="7"/>
  <c r="H7" i="7"/>
  <c r="M6" i="7"/>
  <c r="L6" i="7"/>
  <c r="M5" i="7"/>
  <c r="L5" i="7"/>
  <c r="M4" i="7"/>
  <c r="L4" i="7"/>
  <c r="O91" i="2"/>
  <c r="P91" i="2" s="1"/>
  <c r="Q91" i="2" s="1"/>
  <c r="R91" i="2" s="1"/>
  <c r="S91" i="2" s="1"/>
  <c r="T91" i="2" s="1"/>
  <c r="U91" i="2" s="1"/>
  <c r="V91" i="2" s="1"/>
  <c r="O61" i="2"/>
  <c r="O56" i="2"/>
  <c r="P56" i="2" s="1"/>
  <c r="Q56" i="2" s="1"/>
  <c r="C35" i="16" s="1"/>
  <c r="O51" i="2"/>
  <c r="P51" i="2" s="1"/>
  <c r="Q51" i="2" s="1"/>
  <c r="R51" i="2" s="1"/>
  <c r="O46" i="2"/>
  <c r="C21" i="16" s="1"/>
  <c r="M44" i="2"/>
  <c r="J41" i="2"/>
  <c r="K41" i="2" s="1"/>
  <c r="H36" i="2"/>
  <c r="H34" i="2"/>
  <c r="X8" i="2"/>
  <c r="AC8" i="2" s="1"/>
  <c r="N2" i="41" l="1"/>
  <c r="I8" i="9"/>
  <c r="J8" i="9" s="1"/>
  <c r="N48" i="2"/>
  <c r="N88" i="2" s="1"/>
  <c r="I36" i="2"/>
  <c r="E5" i="16"/>
  <c r="L41" i="2"/>
  <c r="C14" i="16"/>
  <c r="P61" i="2"/>
  <c r="Q61" i="2" s="1"/>
  <c r="AC61" i="2" s="1"/>
  <c r="AE59" i="2" s="1"/>
  <c r="K10" i="17"/>
  <c r="L10" i="18"/>
  <c r="J5" i="9"/>
  <c r="AG5" i="9" s="1"/>
  <c r="S51" i="2"/>
  <c r="C28" i="16"/>
  <c r="AE7" i="2"/>
  <c r="AE8" i="2"/>
  <c r="H25" i="16"/>
  <c r="Q88" i="2"/>
  <c r="Q62" i="2" s="1"/>
  <c r="C32" i="16"/>
  <c r="S88" i="2"/>
  <c r="E32" i="16"/>
  <c r="H4" i="9"/>
  <c r="T88" i="2"/>
  <c r="F32" i="16"/>
  <c r="Y10" i="7"/>
  <c r="X10" i="7"/>
  <c r="W10" i="7"/>
  <c r="V10" i="7"/>
  <c r="AC10" i="7"/>
  <c r="U10" i="7"/>
  <c r="AA10" i="7"/>
  <c r="AB10" i="7"/>
  <c r="Z10" i="7"/>
  <c r="Z7" i="7"/>
  <c r="Y7" i="7"/>
  <c r="X7" i="7"/>
  <c r="W7" i="7"/>
  <c r="AA7" i="7"/>
  <c r="AB7" i="7"/>
  <c r="Z18" i="7"/>
  <c r="Y18" i="7"/>
  <c r="AB18" i="7"/>
  <c r="AC18" i="7"/>
  <c r="AA18" i="7"/>
  <c r="AA11" i="7"/>
  <c r="AB11" i="7" s="1"/>
  <c r="AE11" i="7" s="1"/>
  <c r="N44" i="2"/>
  <c r="U39" i="2"/>
  <c r="L12" i="16"/>
  <c r="E3" i="16"/>
  <c r="AC91" i="2"/>
  <c r="W53" i="2"/>
  <c r="K13" i="17" s="1"/>
  <c r="K12" i="17" s="1"/>
  <c r="AG23" i="9"/>
  <c r="AI23" i="9"/>
  <c r="AH23" i="9"/>
  <c r="X53" i="2"/>
  <c r="L13" i="17" s="1"/>
  <c r="L12" i="17" s="1"/>
  <c r="V53" i="2"/>
  <c r="J13" i="17" s="1"/>
  <c r="AG22" i="9"/>
  <c r="AI22" i="9"/>
  <c r="AH22" i="9"/>
  <c r="I34" i="2"/>
  <c r="P46" i="2"/>
  <c r="R56" i="2"/>
  <c r="D35" i="16" s="1"/>
  <c r="K18" i="7"/>
  <c r="K13" i="7"/>
  <c r="K7" i="7"/>
  <c r="K6" i="7"/>
  <c r="K11" i="7"/>
  <c r="K14" i="7"/>
  <c r="M54" i="2"/>
  <c r="K17" i="7"/>
  <c r="K12" i="7"/>
  <c r="N4" i="9"/>
  <c r="K8" i="7"/>
  <c r="K5" i="7"/>
  <c r="K10" i="7"/>
  <c r="K4" i="7"/>
  <c r="M3" i="7"/>
  <c r="L3" i="7"/>
  <c r="O4" i="9"/>
  <c r="M4" i="8"/>
  <c r="K15" i="7"/>
  <c r="L4" i="8"/>
  <c r="K16" i="7"/>
  <c r="K9" i="7"/>
  <c r="L2" i="6"/>
  <c r="M2" i="6"/>
  <c r="I4" i="9" l="1"/>
  <c r="N49" i="2"/>
  <c r="O49" i="2" s="1"/>
  <c r="P49" i="2" s="1"/>
  <c r="Q49" i="2" s="1"/>
  <c r="AG3" i="9"/>
  <c r="AA2" i="7"/>
  <c r="AH3" i="9"/>
  <c r="AI3" i="9"/>
  <c r="AD18" i="7"/>
  <c r="D6" i="17"/>
  <c r="Q46" i="2"/>
  <c r="R47" i="2" s="1"/>
  <c r="D21" i="16"/>
  <c r="T51" i="2"/>
  <c r="D28" i="16"/>
  <c r="M41" i="2"/>
  <c r="D14" i="16"/>
  <c r="J36" i="2"/>
  <c r="F5" i="16"/>
  <c r="M10" i="18"/>
  <c r="V88" i="2"/>
  <c r="H32" i="16"/>
  <c r="X88" i="2"/>
  <c r="J32" i="16"/>
  <c r="W88" i="2"/>
  <c r="I32" i="16"/>
  <c r="AB2" i="7"/>
  <c r="AB20" i="7"/>
  <c r="U20" i="7"/>
  <c r="U2" i="7"/>
  <c r="Y2" i="7"/>
  <c r="Y20" i="7"/>
  <c r="V2" i="7"/>
  <c r="V20" i="7"/>
  <c r="W2" i="7"/>
  <c r="W20" i="7"/>
  <c r="Z2" i="7"/>
  <c r="Z20" i="7"/>
  <c r="X2" i="7"/>
  <c r="X20" i="7"/>
  <c r="AD10" i="7"/>
  <c r="AA20" i="7"/>
  <c r="AE18" i="7"/>
  <c r="AE10" i="7"/>
  <c r="AC7" i="7"/>
  <c r="V39" i="2"/>
  <c r="M12" i="16"/>
  <c r="J34" i="2"/>
  <c r="F3" i="16"/>
  <c r="S57" i="2"/>
  <c r="S56" i="2"/>
  <c r="E35" i="16" s="1"/>
  <c r="J4" i="9"/>
  <c r="N54" i="2"/>
  <c r="O54" i="2" s="1"/>
  <c r="P54" i="2" s="1"/>
  <c r="Q54" i="2" s="1"/>
  <c r="C33" i="16" s="1"/>
  <c r="M89" i="2"/>
  <c r="H2" i="6"/>
  <c r="J96" i="1"/>
  <c r="K96" i="1"/>
  <c r="K89" i="1"/>
  <c r="L89" i="1"/>
  <c r="M89" i="1"/>
  <c r="N89" i="1"/>
  <c r="O89" i="1"/>
  <c r="P89" i="1"/>
  <c r="Q89" i="1"/>
  <c r="R89" i="1"/>
  <c r="S89" i="1"/>
  <c r="T89" i="1"/>
  <c r="U89" i="1"/>
  <c r="V89" i="1"/>
  <c r="W89" i="1"/>
  <c r="X89" i="1"/>
  <c r="Y89" i="1"/>
  <c r="Z89" i="1"/>
  <c r="AA89" i="1"/>
  <c r="AB89" i="1"/>
  <c r="AC89" i="1"/>
  <c r="AD89" i="1"/>
  <c r="J89" i="1"/>
  <c r="I89" i="1"/>
  <c r="I95" i="1"/>
  <c r="I94" i="1"/>
  <c r="I93" i="1"/>
  <c r="I92" i="1"/>
  <c r="I91" i="1"/>
  <c r="I90" i="1"/>
  <c r="U43" i="2" l="1"/>
  <c r="G9" i="17" s="1"/>
  <c r="Y53" i="2"/>
  <c r="Y88" i="2" s="1"/>
  <c r="R43" i="2"/>
  <c r="R42" i="2" s="1"/>
  <c r="S43" i="2"/>
  <c r="G18" i="16" s="1"/>
  <c r="O43" i="2"/>
  <c r="C18" i="16" s="1"/>
  <c r="T43" i="2"/>
  <c r="H18" i="16" s="1"/>
  <c r="Z53" i="2"/>
  <c r="Z88" i="2" s="1"/>
  <c r="Q43" i="2"/>
  <c r="E18" i="16" s="1"/>
  <c r="V43" i="2"/>
  <c r="J9" i="17" s="1"/>
  <c r="AA53" i="2"/>
  <c r="AA88" i="2" s="1"/>
  <c r="P43" i="2"/>
  <c r="D18" i="16" s="1"/>
  <c r="U51" i="2"/>
  <c r="E28" i="16"/>
  <c r="N41" i="2"/>
  <c r="E14" i="16"/>
  <c r="R46" i="2"/>
  <c r="F21" i="16" s="1"/>
  <c r="E21" i="16"/>
  <c r="K36" i="2"/>
  <c r="G5" i="16"/>
  <c r="N89" i="2"/>
  <c r="O89" i="2" s="1"/>
  <c r="P89" i="2" s="1"/>
  <c r="Q89" i="2" s="1"/>
  <c r="M11" i="18"/>
  <c r="M9" i="18" s="1"/>
  <c r="L11" i="18"/>
  <c r="L9" i="18" s="1"/>
  <c r="AD2" i="7"/>
  <c r="AD20" i="7"/>
  <c r="AE7" i="7"/>
  <c r="AC2" i="7"/>
  <c r="AC20" i="7"/>
  <c r="W39" i="2"/>
  <c r="N12" i="16"/>
  <c r="K34" i="2"/>
  <c r="G3" i="16"/>
  <c r="T56" i="2"/>
  <c r="R54" i="2"/>
  <c r="D33" i="16" s="1"/>
  <c r="AD80" i="1"/>
  <c r="AC80" i="1"/>
  <c r="AB80" i="1"/>
  <c r="AA80" i="1"/>
  <c r="Z80" i="1"/>
  <c r="Y80" i="1"/>
  <c r="Y81" i="1" s="1"/>
  <c r="D2" i="1"/>
  <c r="D3" i="1"/>
  <c r="D41" i="1"/>
  <c r="E41" i="1"/>
  <c r="D24" i="1"/>
  <c r="D32" i="1"/>
  <c r="H32" i="1" s="1"/>
  <c r="D33" i="1"/>
  <c r="D34" i="1"/>
  <c r="D35" i="1"/>
  <c r="D36" i="1"/>
  <c r="D37" i="1"/>
  <c r="D38" i="1"/>
  <c r="H77" i="1"/>
  <c r="D77" i="1"/>
  <c r="H76" i="1"/>
  <c r="D76" i="1"/>
  <c r="H75" i="1"/>
  <c r="D75" i="1"/>
  <c r="E74" i="1"/>
  <c r="D74" i="1"/>
  <c r="D73" i="1"/>
  <c r="H73" i="1" s="1"/>
  <c r="D72" i="1"/>
  <c r="H72" i="1" s="1"/>
  <c r="D71" i="1"/>
  <c r="H71" i="1" s="1"/>
  <c r="E64" i="1"/>
  <c r="E53" i="1"/>
  <c r="E47" i="1"/>
  <c r="E43" i="1"/>
  <c r="E42" i="1"/>
  <c r="F28" i="16" l="1"/>
  <c r="V51" i="2"/>
  <c r="I18" i="16"/>
  <c r="M32" i="16"/>
  <c r="F18" i="16"/>
  <c r="L32" i="16"/>
  <c r="K32" i="16"/>
  <c r="J18" i="16"/>
  <c r="O44" i="2"/>
  <c r="C19" i="16" s="1"/>
  <c r="AC51" i="2"/>
  <c r="E11" i="17" s="1"/>
  <c r="W43" i="2"/>
  <c r="K9" i="17" s="1"/>
  <c r="K7" i="17" s="1"/>
  <c r="X43" i="2"/>
  <c r="L18" i="16" s="1"/>
  <c r="O41" i="2"/>
  <c r="F14" i="16"/>
  <c r="L36" i="2"/>
  <c r="H5" i="16"/>
  <c r="S47" i="2"/>
  <c r="S46" i="2"/>
  <c r="T46" i="2" s="1"/>
  <c r="U46" i="2" s="1"/>
  <c r="T57" i="2"/>
  <c r="U56" i="2"/>
  <c r="V56" i="2" s="1"/>
  <c r="K8" i="18"/>
  <c r="K6" i="18" s="1"/>
  <c r="J7" i="17"/>
  <c r="G7" i="17"/>
  <c r="G8" i="18"/>
  <c r="G6" i="18" s="1"/>
  <c r="O12" i="16"/>
  <c r="X39" i="2"/>
  <c r="F35" i="16"/>
  <c r="L34" i="2"/>
  <c r="H3" i="16"/>
  <c r="S54" i="2"/>
  <c r="C74" i="1"/>
  <c r="H74" i="1" s="1"/>
  <c r="D42" i="1"/>
  <c r="C42" i="1" s="1"/>
  <c r="H42" i="1" s="1"/>
  <c r="C41" i="1"/>
  <c r="H41" i="1" s="1"/>
  <c r="V47" i="2" l="1"/>
  <c r="V46" i="2"/>
  <c r="G35" i="16"/>
  <c r="V57" i="2"/>
  <c r="L9" i="17"/>
  <c r="L7" i="17" s="1"/>
  <c r="P44" i="2"/>
  <c r="D19" i="16" s="1"/>
  <c r="E10" i="18"/>
  <c r="F10" i="18" s="1"/>
  <c r="E10" i="17"/>
  <c r="D10" i="18"/>
  <c r="C20" i="17"/>
  <c r="L8" i="18"/>
  <c r="L6" i="18" s="1"/>
  <c r="K18" i="16"/>
  <c r="AC56" i="2"/>
  <c r="E13" i="17" s="1"/>
  <c r="I21" i="16"/>
  <c r="G21" i="16"/>
  <c r="U47" i="2"/>
  <c r="M36" i="2"/>
  <c r="I5" i="16"/>
  <c r="G14" i="16"/>
  <c r="P41" i="2"/>
  <c r="T54" i="2"/>
  <c r="E33" i="16"/>
  <c r="P12" i="16"/>
  <c r="Y39" i="2"/>
  <c r="M34" i="2"/>
  <c r="I3" i="16"/>
  <c r="AC46" i="2"/>
  <c r="H21" i="16"/>
  <c r="G42" i="1"/>
  <c r="G41" i="1"/>
  <c r="G74" i="1"/>
  <c r="M8" i="18" l="1"/>
  <c r="M6" i="18" s="1"/>
  <c r="Q44" i="2"/>
  <c r="R44" i="2" s="1"/>
  <c r="AM42" i="2"/>
  <c r="Q41" i="2"/>
  <c r="H14" i="16"/>
  <c r="N36" i="2"/>
  <c r="J5" i="16"/>
  <c r="F33" i="16"/>
  <c r="Z39" i="2"/>
  <c r="Q12" i="16"/>
  <c r="E11" i="18"/>
  <c r="D11" i="18"/>
  <c r="D9" i="18" s="1"/>
  <c r="E12" i="17"/>
  <c r="N34" i="2"/>
  <c r="J3" i="16"/>
  <c r="E9" i="17"/>
  <c r="E8" i="18" s="1"/>
  <c r="E8" i="1"/>
  <c r="AI103" i="1" s="1"/>
  <c r="AC109" i="2"/>
  <c r="AC113" i="2"/>
  <c r="H36" i="1"/>
  <c r="H37" i="1"/>
  <c r="H38" i="1"/>
  <c r="E35" i="1"/>
  <c r="AI107" i="1" s="1"/>
  <c r="E25" i="1"/>
  <c r="AI106" i="1" s="1"/>
  <c r="E14" i="1"/>
  <c r="AI105" i="1" s="1"/>
  <c r="E3" i="1"/>
  <c r="E2" i="1"/>
  <c r="H34" i="1"/>
  <c r="H33" i="1"/>
  <c r="H24" i="1"/>
  <c r="E19" i="16" l="1"/>
  <c r="O36" i="2"/>
  <c r="K5" i="16"/>
  <c r="AI108" i="1"/>
  <c r="AI109" i="1" s="1"/>
  <c r="R41" i="2"/>
  <c r="I14" i="16"/>
  <c r="S44" i="2"/>
  <c r="F19" i="16"/>
  <c r="AA39" i="2"/>
  <c r="R12" i="16"/>
  <c r="F11" i="18"/>
  <c r="E9" i="18"/>
  <c r="O34" i="2"/>
  <c r="K3" i="16"/>
  <c r="D8" i="18"/>
  <c r="D6" i="18" s="1"/>
  <c r="E7" i="17"/>
  <c r="C3" i="1"/>
  <c r="C35" i="1"/>
  <c r="S41" i="2" l="1"/>
  <c r="J14" i="16"/>
  <c r="S42" i="2"/>
  <c r="P36" i="2"/>
  <c r="L5" i="16"/>
  <c r="T44" i="2"/>
  <c r="T47" i="2" s="1"/>
  <c r="G19" i="16"/>
  <c r="AC39" i="2"/>
  <c r="S12" i="16"/>
  <c r="F9" i="18"/>
  <c r="C21" i="17"/>
  <c r="D21" i="17" s="1"/>
  <c r="P34" i="2"/>
  <c r="L3" i="16"/>
  <c r="F8" i="18"/>
  <c r="E6" i="18"/>
  <c r="F6" i="18" s="1"/>
  <c r="C19" i="17"/>
  <c r="AE7" i="1"/>
  <c r="Y5" i="4" s="1"/>
  <c r="AF7" i="1"/>
  <c r="Z5" i="4" s="1"/>
  <c r="AF46" i="1"/>
  <c r="Z10" i="4" s="1"/>
  <c r="K46" i="1"/>
  <c r="E10" i="4" s="1"/>
  <c r="AE46" i="1"/>
  <c r="Y10" i="4" s="1"/>
  <c r="R46" i="1"/>
  <c r="L10" i="4" s="1"/>
  <c r="Z46" i="1"/>
  <c r="T10" i="4" s="1"/>
  <c r="S46" i="1"/>
  <c r="M10" i="4" s="1"/>
  <c r="AA46" i="1"/>
  <c r="U10" i="4" s="1"/>
  <c r="L46" i="1"/>
  <c r="F10" i="4" s="1"/>
  <c r="T46" i="1"/>
  <c r="N10" i="4" s="1"/>
  <c r="AB46" i="1"/>
  <c r="V10" i="4" s="1"/>
  <c r="M46" i="1"/>
  <c r="G10" i="4" s="1"/>
  <c r="U46" i="1"/>
  <c r="O10" i="4" s="1"/>
  <c r="AC46" i="1"/>
  <c r="W10" i="4" s="1"/>
  <c r="P46" i="1"/>
  <c r="J10" i="4" s="1"/>
  <c r="X46" i="1"/>
  <c r="R10" i="4" s="1"/>
  <c r="Q46" i="1"/>
  <c r="K10" i="4" s="1"/>
  <c r="Y46" i="1"/>
  <c r="S10" i="4" s="1"/>
  <c r="AD46" i="1"/>
  <c r="X10" i="4" s="1"/>
  <c r="J46" i="1"/>
  <c r="N46" i="1"/>
  <c r="H10" i="4" s="1"/>
  <c r="V46" i="1"/>
  <c r="P10" i="4" s="1"/>
  <c r="O46" i="1"/>
  <c r="I10" i="4" s="1"/>
  <c r="W46" i="1"/>
  <c r="Q10" i="4" s="1"/>
  <c r="J62" i="1"/>
  <c r="D84" i="4" s="1"/>
  <c r="G3" i="1"/>
  <c r="H3" i="1"/>
  <c r="C2" i="1"/>
  <c r="P7" i="1"/>
  <c r="J5" i="4" s="1"/>
  <c r="X7" i="1"/>
  <c r="R5" i="4" s="1"/>
  <c r="Q7" i="1"/>
  <c r="K5" i="4" s="1"/>
  <c r="Y7" i="1"/>
  <c r="S5" i="4" s="1"/>
  <c r="R7" i="1"/>
  <c r="L5" i="4" s="1"/>
  <c r="Z7" i="1"/>
  <c r="T5" i="4" s="1"/>
  <c r="K7" i="1"/>
  <c r="E5" i="4" s="1"/>
  <c r="S7" i="1"/>
  <c r="M5" i="4" s="1"/>
  <c r="AA7" i="1"/>
  <c r="U5" i="4" s="1"/>
  <c r="L7" i="1"/>
  <c r="F5" i="4" s="1"/>
  <c r="T7" i="1"/>
  <c r="N5" i="4" s="1"/>
  <c r="AB7" i="1"/>
  <c r="V5" i="4" s="1"/>
  <c r="M7" i="1"/>
  <c r="G5" i="4" s="1"/>
  <c r="U7" i="1"/>
  <c r="O5" i="4" s="1"/>
  <c r="AC7" i="1"/>
  <c r="W5" i="4" s="1"/>
  <c r="N7" i="1"/>
  <c r="H5" i="4" s="1"/>
  <c r="V7" i="1"/>
  <c r="P5" i="4" s="1"/>
  <c r="AD7" i="1"/>
  <c r="X5" i="4" s="1"/>
  <c r="O7" i="1"/>
  <c r="I5" i="4" s="1"/>
  <c r="W7" i="1"/>
  <c r="Q5" i="4" s="1"/>
  <c r="J7" i="1"/>
  <c r="D5" i="4" s="1"/>
  <c r="G35" i="1"/>
  <c r="H35" i="1"/>
  <c r="Q36" i="2" l="1"/>
  <c r="M5" i="16"/>
  <c r="K14" i="16"/>
  <c r="T41" i="2"/>
  <c r="U44" i="2"/>
  <c r="H19" i="16"/>
  <c r="C6" i="17"/>
  <c r="B18" i="17" s="1"/>
  <c r="AE38" i="2"/>
  <c r="AO109" i="1" s="1"/>
  <c r="AV109" i="1" s="1"/>
  <c r="Q34" i="2"/>
  <c r="M3" i="16"/>
  <c r="J12" i="1"/>
  <c r="AD55" i="1"/>
  <c r="X77" i="4" s="1"/>
  <c r="N55" i="1"/>
  <c r="H77" i="4" s="1"/>
  <c r="AC55" i="1"/>
  <c r="W77" i="4" s="1"/>
  <c r="M55" i="1"/>
  <c r="G77" i="4" s="1"/>
  <c r="W55" i="1"/>
  <c r="Q77" i="4" s="1"/>
  <c r="AE55" i="1"/>
  <c r="Y77" i="4" s="1"/>
  <c r="O55" i="1"/>
  <c r="I77" i="4" s="1"/>
  <c r="X55" i="1"/>
  <c r="R77" i="4" s="1"/>
  <c r="AF55" i="1"/>
  <c r="Z77" i="4" s="1"/>
  <c r="P55" i="1"/>
  <c r="J77" i="4" s="1"/>
  <c r="U55" i="1"/>
  <c r="O77" i="4" s="1"/>
  <c r="Y55" i="1"/>
  <c r="S77" i="4" s="1"/>
  <c r="Q55" i="1"/>
  <c r="K77" i="4" s="1"/>
  <c r="Z55" i="1"/>
  <c r="T77" i="4" s="1"/>
  <c r="R55" i="1"/>
  <c r="L77" i="4" s="1"/>
  <c r="AA55" i="1"/>
  <c r="U77" i="4" s="1"/>
  <c r="K55" i="1"/>
  <c r="E77" i="4" s="1"/>
  <c r="S55" i="1"/>
  <c r="M77" i="4" s="1"/>
  <c r="T55" i="1"/>
  <c r="N77" i="4" s="1"/>
  <c r="AB55" i="1"/>
  <c r="V77" i="4" s="1"/>
  <c r="L55" i="1"/>
  <c r="F77" i="4" s="1"/>
  <c r="V55" i="1"/>
  <c r="P77" i="4" s="1"/>
  <c r="AA56" i="1"/>
  <c r="X57" i="1"/>
  <c r="R79" i="4" s="1"/>
  <c r="AF57" i="1"/>
  <c r="Z79" i="4" s="1"/>
  <c r="K56" i="1"/>
  <c r="S56" i="1"/>
  <c r="P57" i="1"/>
  <c r="J79" i="4" s="1"/>
  <c r="M18" i="1"/>
  <c r="G67" i="4" s="1"/>
  <c r="U18" i="1"/>
  <c r="O67" i="4" s="1"/>
  <c r="AC18" i="1"/>
  <c r="W67" i="4" s="1"/>
  <c r="P17" i="1"/>
  <c r="X17" i="1"/>
  <c r="AF17" i="1"/>
  <c r="AD56" i="1"/>
  <c r="AB18" i="1"/>
  <c r="V67" i="4" s="1"/>
  <c r="AE17" i="1"/>
  <c r="AB56" i="1"/>
  <c r="Y57" i="1"/>
  <c r="S79" i="4" s="1"/>
  <c r="L56" i="1"/>
  <c r="T56" i="1"/>
  <c r="Q57" i="1"/>
  <c r="K79" i="4" s="1"/>
  <c r="N18" i="1"/>
  <c r="H67" i="4" s="1"/>
  <c r="V18" i="1"/>
  <c r="P67" i="4" s="1"/>
  <c r="AD18" i="1"/>
  <c r="X67" i="4" s="1"/>
  <c r="Q17" i="1"/>
  <c r="Y17" i="1"/>
  <c r="V56" i="1"/>
  <c r="L18" i="1"/>
  <c r="F67" i="4" s="1"/>
  <c r="AC56" i="1"/>
  <c r="Z57" i="1"/>
  <c r="T79" i="4" s="1"/>
  <c r="M56" i="1"/>
  <c r="U56" i="1"/>
  <c r="R57" i="1"/>
  <c r="L79" i="4" s="1"/>
  <c r="O18" i="1"/>
  <c r="I67" i="4" s="1"/>
  <c r="W18" i="1"/>
  <c r="Q67" i="4" s="1"/>
  <c r="AE18" i="1"/>
  <c r="Y67" i="4" s="1"/>
  <c r="R17" i="1"/>
  <c r="Z17" i="1"/>
  <c r="X18" i="1"/>
  <c r="R67" i="4" s="1"/>
  <c r="K17" i="1"/>
  <c r="AA17" i="1"/>
  <c r="Z56" i="1"/>
  <c r="T18" i="1"/>
  <c r="N67" i="4" s="1"/>
  <c r="AA57" i="1"/>
  <c r="U79" i="4" s="1"/>
  <c r="N56" i="1"/>
  <c r="K57" i="1"/>
  <c r="E79" i="4" s="1"/>
  <c r="S57" i="1"/>
  <c r="M79" i="4" s="1"/>
  <c r="P18" i="1"/>
  <c r="J67" i="4" s="1"/>
  <c r="AF18" i="1"/>
  <c r="Z67" i="4" s="1"/>
  <c r="S17" i="1"/>
  <c r="W57" i="1"/>
  <c r="Q79" i="4" s="1"/>
  <c r="R56" i="1"/>
  <c r="J17" i="1"/>
  <c r="W56" i="1"/>
  <c r="AE56" i="1"/>
  <c r="AB57" i="1"/>
  <c r="V79" i="4" s="1"/>
  <c r="O56" i="1"/>
  <c r="L57" i="1"/>
  <c r="F79" i="4" s="1"/>
  <c r="T57" i="1"/>
  <c r="N79" i="4" s="1"/>
  <c r="Q18" i="1"/>
  <c r="K67" i="4" s="1"/>
  <c r="Y18" i="1"/>
  <c r="S67" i="4" s="1"/>
  <c r="J18" i="1"/>
  <c r="L17" i="1"/>
  <c r="T17" i="1"/>
  <c r="AB17" i="1"/>
  <c r="X56" i="1"/>
  <c r="AF56" i="1"/>
  <c r="AC57" i="1"/>
  <c r="W79" i="4" s="1"/>
  <c r="P56" i="1"/>
  <c r="M57" i="1"/>
  <c r="G79" i="4" s="1"/>
  <c r="U57" i="1"/>
  <c r="O79" i="4" s="1"/>
  <c r="J56" i="1"/>
  <c r="R18" i="1"/>
  <c r="L67" i="4" s="1"/>
  <c r="Z18" i="1"/>
  <c r="T67" i="4" s="1"/>
  <c r="M17" i="1"/>
  <c r="U17" i="1"/>
  <c r="AC17" i="1"/>
  <c r="Y56" i="1"/>
  <c r="V57" i="1"/>
  <c r="P79" i="4" s="1"/>
  <c r="Q56" i="1"/>
  <c r="S18" i="1"/>
  <c r="M67" i="4" s="1"/>
  <c r="N17" i="1"/>
  <c r="AD17" i="1"/>
  <c r="O57" i="1"/>
  <c r="I79" i="4" s="1"/>
  <c r="O17" i="1"/>
  <c r="AD57" i="1"/>
  <c r="X79" i="4" s="1"/>
  <c r="N57" i="1"/>
  <c r="H79" i="4" s="1"/>
  <c r="K18" i="1"/>
  <c r="E67" i="4" s="1"/>
  <c r="AA18" i="1"/>
  <c r="U67" i="4" s="1"/>
  <c r="V17" i="1"/>
  <c r="AE57" i="1"/>
  <c r="Y79" i="4" s="1"/>
  <c r="W17" i="1"/>
  <c r="J50" i="1"/>
  <c r="Q50" i="1"/>
  <c r="K27" i="4" s="1"/>
  <c r="Y50" i="1"/>
  <c r="S27" i="4" s="1"/>
  <c r="R50" i="1"/>
  <c r="L27" i="4" s="1"/>
  <c r="Z50" i="1"/>
  <c r="T27" i="4" s="1"/>
  <c r="K50" i="1"/>
  <c r="E27" i="4" s="1"/>
  <c r="S50" i="1"/>
  <c r="M27" i="4" s="1"/>
  <c r="AA50" i="1"/>
  <c r="U27" i="4" s="1"/>
  <c r="L50" i="1"/>
  <c r="F27" i="4" s="1"/>
  <c r="T50" i="1"/>
  <c r="N27" i="4" s="1"/>
  <c r="AB50" i="1"/>
  <c r="V27" i="4" s="1"/>
  <c r="W50" i="1"/>
  <c r="Q27" i="4" s="1"/>
  <c r="AF50" i="1"/>
  <c r="Z27" i="4" s="1"/>
  <c r="M50" i="1"/>
  <c r="G27" i="4" s="1"/>
  <c r="U50" i="1"/>
  <c r="O27" i="4" s="1"/>
  <c r="AC50" i="1"/>
  <c r="W27" i="4" s="1"/>
  <c r="P50" i="1"/>
  <c r="J27" i="4" s="1"/>
  <c r="N50" i="1"/>
  <c r="H27" i="4" s="1"/>
  <c r="V50" i="1"/>
  <c r="P27" i="4" s="1"/>
  <c r="AD50" i="1"/>
  <c r="X27" i="4" s="1"/>
  <c r="O50" i="1"/>
  <c r="I27" i="4" s="1"/>
  <c r="AE50" i="1"/>
  <c r="Y27" i="4" s="1"/>
  <c r="X50" i="1"/>
  <c r="R27" i="4" s="1"/>
  <c r="O49" i="1"/>
  <c r="I26" i="4" s="1"/>
  <c r="W49" i="1"/>
  <c r="Q26" i="4" s="1"/>
  <c r="AE49" i="1"/>
  <c r="Y26" i="4" s="1"/>
  <c r="N49" i="1"/>
  <c r="H26" i="4" s="1"/>
  <c r="P49" i="1"/>
  <c r="J26" i="4" s="1"/>
  <c r="X49" i="1"/>
  <c r="R26" i="4" s="1"/>
  <c r="AF49" i="1"/>
  <c r="Z26" i="4" s="1"/>
  <c r="AD49" i="1"/>
  <c r="X26" i="4" s="1"/>
  <c r="Q49" i="1"/>
  <c r="K26" i="4" s="1"/>
  <c r="Y49" i="1"/>
  <c r="S26" i="4" s="1"/>
  <c r="J49" i="1"/>
  <c r="V49" i="1"/>
  <c r="P26" i="4" s="1"/>
  <c r="R49" i="1"/>
  <c r="L26" i="4" s="1"/>
  <c r="Z49" i="1"/>
  <c r="T26" i="4" s="1"/>
  <c r="K49" i="1"/>
  <c r="E26" i="4" s="1"/>
  <c r="S49" i="1"/>
  <c r="M26" i="4" s="1"/>
  <c r="AA49" i="1"/>
  <c r="U26" i="4" s="1"/>
  <c r="L49" i="1"/>
  <c r="F26" i="4" s="1"/>
  <c r="T49" i="1"/>
  <c r="N26" i="4" s="1"/>
  <c r="AB49" i="1"/>
  <c r="V26" i="4" s="1"/>
  <c r="M49" i="1"/>
  <c r="G26" i="4" s="1"/>
  <c r="U49" i="1"/>
  <c r="O26" i="4" s="1"/>
  <c r="AC49" i="1"/>
  <c r="W26" i="4" s="1"/>
  <c r="M48" i="1"/>
  <c r="G25" i="4" s="1"/>
  <c r="U48" i="1"/>
  <c r="O25" i="4" s="1"/>
  <c r="AC48" i="1"/>
  <c r="W25" i="4" s="1"/>
  <c r="N48" i="1"/>
  <c r="H25" i="4" s="1"/>
  <c r="V48" i="1"/>
  <c r="P25" i="4" s="1"/>
  <c r="AD48" i="1"/>
  <c r="X25" i="4" s="1"/>
  <c r="S48" i="1"/>
  <c r="M25" i="4" s="1"/>
  <c r="O48" i="1"/>
  <c r="I25" i="4" s="1"/>
  <c r="W48" i="1"/>
  <c r="Q25" i="4" s="1"/>
  <c r="AE48" i="1"/>
  <c r="Y25" i="4" s="1"/>
  <c r="T48" i="1"/>
  <c r="N25" i="4" s="1"/>
  <c r="P48" i="1"/>
  <c r="J25" i="4" s="1"/>
  <c r="X48" i="1"/>
  <c r="R25" i="4" s="1"/>
  <c r="AF48" i="1"/>
  <c r="Z25" i="4" s="1"/>
  <c r="J48" i="1"/>
  <c r="Q48" i="1"/>
  <c r="K25" i="4" s="1"/>
  <c r="Y48" i="1"/>
  <c r="S25" i="4" s="1"/>
  <c r="L48" i="1"/>
  <c r="F25" i="4" s="1"/>
  <c r="AB48" i="1"/>
  <c r="V25" i="4" s="1"/>
  <c r="R48" i="1"/>
  <c r="L25" i="4" s="1"/>
  <c r="Z48" i="1"/>
  <c r="T25" i="4" s="1"/>
  <c r="K48" i="1"/>
  <c r="E25" i="4" s="1"/>
  <c r="AA48" i="1"/>
  <c r="U25" i="4" s="1"/>
  <c r="K51" i="1"/>
  <c r="E28" i="4" s="1"/>
  <c r="S51" i="1"/>
  <c r="M28" i="4" s="1"/>
  <c r="AA51" i="1"/>
  <c r="U28" i="4" s="1"/>
  <c r="J51" i="1"/>
  <c r="L51" i="1"/>
  <c r="F28" i="4" s="1"/>
  <c r="T51" i="1"/>
  <c r="N28" i="4" s="1"/>
  <c r="AB51" i="1"/>
  <c r="V28" i="4" s="1"/>
  <c r="M51" i="1"/>
  <c r="G28" i="4" s="1"/>
  <c r="U51" i="1"/>
  <c r="O28" i="4" s="1"/>
  <c r="AC51" i="1"/>
  <c r="W28" i="4" s="1"/>
  <c r="Y51" i="1"/>
  <c r="S28" i="4" s="1"/>
  <c r="R51" i="1"/>
  <c r="L28" i="4" s="1"/>
  <c r="N51" i="1"/>
  <c r="H28" i="4" s="1"/>
  <c r="V51" i="1"/>
  <c r="P28" i="4" s="1"/>
  <c r="AD51" i="1"/>
  <c r="X28" i="4" s="1"/>
  <c r="Q51" i="1"/>
  <c r="K28" i="4" s="1"/>
  <c r="O51" i="1"/>
  <c r="I28" i="4" s="1"/>
  <c r="W51" i="1"/>
  <c r="Q28" i="4" s="1"/>
  <c r="AE51" i="1"/>
  <c r="Y28" i="4" s="1"/>
  <c r="Z51" i="1"/>
  <c r="T28" i="4" s="1"/>
  <c r="P51" i="1"/>
  <c r="J28" i="4" s="1"/>
  <c r="X51" i="1"/>
  <c r="R28" i="4" s="1"/>
  <c r="AF51" i="1"/>
  <c r="Z28" i="4" s="1"/>
  <c r="L5" i="1"/>
  <c r="F3" i="4" s="1"/>
  <c r="AE44" i="1"/>
  <c r="Y8" i="4" s="1"/>
  <c r="AF44" i="1"/>
  <c r="Z8" i="4" s="1"/>
  <c r="AE5" i="1"/>
  <c r="Y3" i="4" s="1"/>
  <c r="AF5" i="1"/>
  <c r="Z3" i="4" s="1"/>
  <c r="AF45" i="1"/>
  <c r="Z9" i="4" s="1"/>
  <c r="AF6" i="1"/>
  <c r="Z4" i="4" s="1"/>
  <c r="AE45" i="1"/>
  <c r="Y9" i="4" s="1"/>
  <c r="AE6" i="1"/>
  <c r="Y4" i="4" s="1"/>
  <c r="L4" i="1"/>
  <c r="J4" i="1"/>
  <c r="AF43" i="1"/>
  <c r="Z7" i="4" s="1"/>
  <c r="AF4" i="1"/>
  <c r="AE43" i="1"/>
  <c r="Y7" i="4" s="1"/>
  <c r="AE4" i="1"/>
  <c r="AG46" i="1"/>
  <c r="D10" i="4"/>
  <c r="AG7" i="1"/>
  <c r="J41" i="4"/>
  <c r="R41" i="4"/>
  <c r="Z41" i="4"/>
  <c r="K41" i="4"/>
  <c r="S41" i="4"/>
  <c r="L41" i="4"/>
  <c r="T41" i="4"/>
  <c r="E41" i="4"/>
  <c r="M41" i="4"/>
  <c r="U41" i="4"/>
  <c r="Q41" i="4"/>
  <c r="F41" i="4"/>
  <c r="N41" i="4"/>
  <c r="V41" i="4"/>
  <c r="Y41" i="4"/>
  <c r="G41" i="4"/>
  <c r="O41" i="4"/>
  <c r="W41" i="4"/>
  <c r="H41" i="4"/>
  <c r="P41" i="4"/>
  <c r="X41" i="4"/>
  <c r="I41" i="4"/>
  <c r="AE12" i="1"/>
  <c r="Y21" i="4" s="1"/>
  <c r="AF12" i="1"/>
  <c r="Z21" i="4" s="1"/>
  <c r="AE11" i="1"/>
  <c r="AF11" i="1"/>
  <c r="AE9" i="1"/>
  <c r="AF9" i="1"/>
  <c r="AE10" i="1"/>
  <c r="AF10" i="1"/>
  <c r="T10" i="1"/>
  <c r="Y10" i="1"/>
  <c r="J10" i="1"/>
  <c r="L10" i="1"/>
  <c r="P10" i="1"/>
  <c r="W10" i="1"/>
  <c r="AB10" i="1"/>
  <c r="X10" i="1"/>
  <c r="R10" i="1"/>
  <c r="Q10" i="1"/>
  <c r="N10" i="1"/>
  <c r="Y52" i="4"/>
  <c r="Z52" i="4"/>
  <c r="AE62" i="1"/>
  <c r="Y84" i="4" s="1"/>
  <c r="AE23" i="1"/>
  <c r="Y72" i="4" s="1"/>
  <c r="AF62" i="1"/>
  <c r="Z84" i="4" s="1"/>
  <c r="AF23" i="1"/>
  <c r="Z72" i="4" s="1"/>
  <c r="AE63" i="1"/>
  <c r="Y85" i="4" s="1"/>
  <c r="AF63" i="1"/>
  <c r="Z85" i="4" s="1"/>
  <c r="Y75" i="4"/>
  <c r="Y63" i="4"/>
  <c r="Z75" i="4"/>
  <c r="Z63" i="4"/>
  <c r="Y76" i="4"/>
  <c r="Y64" i="4"/>
  <c r="Z76" i="4"/>
  <c r="Z64" i="4"/>
  <c r="AE16" i="1"/>
  <c r="Y65" i="4" s="1"/>
  <c r="AF16" i="1"/>
  <c r="Z65" i="4" s="1"/>
  <c r="J57" i="1"/>
  <c r="AD11" i="1"/>
  <c r="S10" i="1"/>
  <c r="N45" i="1"/>
  <c r="H9" i="4" s="1"/>
  <c r="V45" i="1"/>
  <c r="P9" i="4" s="1"/>
  <c r="AD45" i="1"/>
  <c r="X9" i="4" s="1"/>
  <c r="O45" i="1"/>
  <c r="I9" i="4" s="1"/>
  <c r="W45" i="1"/>
  <c r="Q9" i="4" s="1"/>
  <c r="P45" i="1"/>
  <c r="J9" i="4" s="1"/>
  <c r="X45" i="1"/>
  <c r="R9" i="4" s="1"/>
  <c r="Q45" i="1"/>
  <c r="K9" i="4" s="1"/>
  <c r="Y45" i="1"/>
  <c r="S9" i="4" s="1"/>
  <c r="L45" i="1"/>
  <c r="F9" i="4" s="1"/>
  <c r="T45" i="1"/>
  <c r="N9" i="4" s="1"/>
  <c r="AB45" i="1"/>
  <c r="V9" i="4" s="1"/>
  <c r="M45" i="1"/>
  <c r="G9" i="4" s="1"/>
  <c r="U45" i="1"/>
  <c r="O9" i="4" s="1"/>
  <c r="AC45" i="1"/>
  <c r="W9" i="4" s="1"/>
  <c r="R45" i="1"/>
  <c r="L9" i="4" s="1"/>
  <c r="S45" i="1"/>
  <c r="M9" i="4" s="1"/>
  <c r="Z45" i="1"/>
  <c r="T9" i="4" s="1"/>
  <c r="J45" i="1"/>
  <c r="AA45" i="1"/>
  <c r="U9" i="4" s="1"/>
  <c r="K45" i="1"/>
  <c r="E9" i="4" s="1"/>
  <c r="M9" i="1"/>
  <c r="U9" i="1"/>
  <c r="AC9" i="1"/>
  <c r="N9" i="1"/>
  <c r="V9" i="1"/>
  <c r="AD9" i="1"/>
  <c r="K9" i="1"/>
  <c r="S9" i="1"/>
  <c r="AA9" i="1"/>
  <c r="L9" i="1"/>
  <c r="T9" i="1"/>
  <c r="AB9" i="1"/>
  <c r="R9" i="1"/>
  <c r="W9" i="1"/>
  <c r="X9" i="1"/>
  <c r="Z9" i="1"/>
  <c r="Y9" i="1"/>
  <c r="P9" i="1"/>
  <c r="Q9" i="1"/>
  <c r="O9" i="1"/>
  <c r="J9" i="1"/>
  <c r="M10" i="1"/>
  <c r="Z10" i="1"/>
  <c r="D46" i="1"/>
  <c r="H46" i="1" s="1"/>
  <c r="L75" i="4"/>
  <c r="T75" i="4"/>
  <c r="H76" i="4"/>
  <c r="P76" i="4"/>
  <c r="X76" i="4"/>
  <c r="E75" i="4"/>
  <c r="M75" i="4"/>
  <c r="U75" i="4"/>
  <c r="I76" i="4"/>
  <c r="Q76" i="4"/>
  <c r="J75" i="4"/>
  <c r="R75" i="4"/>
  <c r="F76" i="4"/>
  <c r="N76" i="4"/>
  <c r="V76" i="4"/>
  <c r="K75" i="4"/>
  <c r="S75" i="4"/>
  <c r="G76" i="4"/>
  <c r="O76" i="4"/>
  <c r="W76" i="4"/>
  <c r="I75" i="4"/>
  <c r="E76" i="4"/>
  <c r="U76" i="4"/>
  <c r="J64" i="4"/>
  <c r="R64" i="4"/>
  <c r="L16" i="1"/>
  <c r="F65" i="4" s="1"/>
  <c r="T16" i="1"/>
  <c r="N65" i="4" s="1"/>
  <c r="AB16" i="1"/>
  <c r="V65" i="4" s="1"/>
  <c r="H63" i="4"/>
  <c r="P63" i="4"/>
  <c r="X63" i="4"/>
  <c r="N75" i="4"/>
  <c r="J76" i="4"/>
  <c r="K64" i="4"/>
  <c r="S64" i="4"/>
  <c r="M16" i="1"/>
  <c r="G65" i="4" s="1"/>
  <c r="U16" i="1"/>
  <c r="O65" i="4" s="1"/>
  <c r="AC16" i="1"/>
  <c r="W65" i="4" s="1"/>
  <c r="I63" i="4"/>
  <c r="Q63" i="4"/>
  <c r="O75" i="4"/>
  <c r="K76" i="4"/>
  <c r="L64" i="4"/>
  <c r="T64" i="4"/>
  <c r="N16" i="1"/>
  <c r="H65" i="4" s="1"/>
  <c r="V16" i="1"/>
  <c r="P65" i="4" s="1"/>
  <c r="AD16" i="1"/>
  <c r="X65" i="4" s="1"/>
  <c r="J63" i="4"/>
  <c r="R63" i="4"/>
  <c r="M76" i="4"/>
  <c r="P75" i="4"/>
  <c r="L76" i="4"/>
  <c r="E64" i="4"/>
  <c r="M64" i="4"/>
  <c r="U64" i="4"/>
  <c r="O16" i="1"/>
  <c r="I65" i="4" s="1"/>
  <c r="W16" i="1"/>
  <c r="Q65" i="4" s="1"/>
  <c r="J16" i="1"/>
  <c r="K63" i="4"/>
  <c r="S63" i="4"/>
  <c r="Q75" i="4"/>
  <c r="G75" i="4"/>
  <c r="W75" i="4"/>
  <c r="S76" i="4"/>
  <c r="H64" i="4"/>
  <c r="P64" i="4"/>
  <c r="X64" i="4"/>
  <c r="R16" i="1"/>
  <c r="L65" i="4" s="1"/>
  <c r="Z16" i="1"/>
  <c r="T65" i="4" s="1"/>
  <c r="F63" i="4"/>
  <c r="N63" i="4"/>
  <c r="V63" i="4"/>
  <c r="X75" i="4"/>
  <c r="F64" i="4"/>
  <c r="K16" i="1"/>
  <c r="E65" i="4" s="1"/>
  <c r="E63" i="4"/>
  <c r="Q16" i="1"/>
  <c r="K65" i="4" s="1"/>
  <c r="O64" i="4"/>
  <c r="Q64" i="4"/>
  <c r="R76" i="4"/>
  <c r="J55" i="1"/>
  <c r="G64" i="4"/>
  <c r="P16" i="1"/>
  <c r="J65" i="4" s="1"/>
  <c r="G63" i="4"/>
  <c r="L63" i="4"/>
  <c r="T76" i="4"/>
  <c r="I64" i="4"/>
  <c r="O63" i="4"/>
  <c r="F75" i="4"/>
  <c r="N64" i="4"/>
  <c r="S16" i="1"/>
  <c r="M65" i="4" s="1"/>
  <c r="M63" i="4"/>
  <c r="X16" i="1"/>
  <c r="R65" i="4" s="1"/>
  <c r="H75" i="4"/>
  <c r="V64" i="4"/>
  <c r="AA16" i="1"/>
  <c r="U65" i="4" s="1"/>
  <c r="U63" i="4"/>
  <c r="W63" i="4"/>
  <c r="T63" i="4"/>
  <c r="V75" i="4"/>
  <c r="W64" i="4"/>
  <c r="Y16" i="1"/>
  <c r="S65" i="4" s="1"/>
  <c r="Z11" i="1"/>
  <c r="R11" i="1"/>
  <c r="H52" i="4"/>
  <c r="P52" i="4"/>
  <c r="X52" i="4"/>
  <c r="I52" i="4"/>
  <c r="Q52" i="4"/>
  <c r="F52" i="4"/>
  <c r="N52" i="4"/>
  <c r="V52" i="4"/>
  <c r="J69" i="1"/>
  <c r="G52" i="4"/>
  <c r="O52" i="4"/>
  <c r="W52" i="4"/>
  <c r="M52" i="4"/>
  <c r="R52" i="4"/>
  <c r="S52" i="4"/>
  <c r="K69" i="1"/>
  <c r="E52" i="4" s="1"/>
  <c r="T52" i="4"/>
  <c r="U52" i="4"/>
  <c r="K52" i="4"/>
  <c r="L52" i="4"/>
  <c r="J52" i="4"/>
  <c r="T11" i="1"/>
  <c r="O11" i="1"/>
  <c r="AC10" i="1"/>
  <c r="K10" i="1"/>
  <c r="N43" i="1"/>
  <c r="V43" i="1"/>
  <c r="AD43" i="1"/>
  <c r="O43" i="1"/>
  <c r="W43" i="1"/>
  <c r="P43" i="1"/>
  <c r="X43" i="1"/>
  <c r="Q43" i="1"/>
  <c r="Y43" i="1"/>
  <c r="L43" i="1"/>
  <c r="T43" i="1"/>
  <c r="AB43" i="1"/>
  <c r="M43" i="1"/>
  <c r="U43" i="1"/>
  <c r="AC43" i="1"/>
  <c r="Z43" i="1"/>
  <c r="J43" i="1"/>
  <c r="AA43" i="1"/>
  <c r="R43" i="1"/>
  <c r="K43" i="1"/>
  <c r="S43" i="1"/>
  <c r="W11" i="1"/>
  <c r="O10" i="1"/>
  <c r="U10" i="1"/>
  <c r="AD10" i="1"/>
  <c r="R44" i="1"/>
  <c r="L8" i="4" s="1"/>
  <c r="Z44" i="1"/>
  <c r="T8" i="4" s="1"/>
  <c r="K44" i="1"/>
  <c r="E8" i="4" s="1"/>
  <c r="S44" i="1"/>
  <c r="M8" i="4" s="1"/>
  <c r="AA44" i="1"/>
  <c r="U8" i="4" s="1"/>
  <c r="L44" i="1"/>
  <c r="F8" i="4" s="1"/>
  <c r="T44" i="1"/>
  <c r="N8" i="4" s="1"/>
  <c r="AB44" i="1"/>
  <c r="V8" i="4" s="1"/>
  <c r="M44" i="1"/>
  <c r="G8" i="4" s="1"/>
  <c r="U44" i="1"/>
  <c r="O8" i="4" s="1"/>
  <c r="AC44" i="1"/>
  <c r="W8" i="4" s="1"/>
  <c r="P44" i="1"/>
  <c r="J8" i="4" s="1"/>
  <c r="X44" i="1"/>
  <c r="R8" i="4" s="1"/>
  <c r="Q44" i="1"/>
  <c r="K8" i="4" s="1"/>
  <c r="Y44" i="1"/>
  <c r="S8" i="4" s="1"/>
  <c r="N44" i="1"/>
  <c r="H8" i="4" s="1"/>
  <c r="O44" i="1"/>
  <c r="I8" i="4" s="1"/>
  <c r="J44" i="1"/>
  <c r="V44" i="1"/>
  <c r="P8" i="4" s="1"/>
  <c r="AD44" i="1"/>
  <c r="X8" i="4" s="1"/>
  <c r="W44" i="1"/>
  <c r="Q8" i="4" s="1"/>
  <c r="N62" i="1"/>
  <c r="H84" i="4" s="1"/>
  <c r="V62" i="1"/>
  <c r="P84" i="4" s="1"/>
  <c r="AD62" i="1"/>
  <c r="X84" i="4" s="1"/>
  <c r="R63" i="1"/>
  <c r="L85" i="4" s="1"/>
  <c r="Z63" i="1"/>
  <c r="T85" i="4" s="1"/>
  <c r="O62" i="1"/>
  <c r="I84" i="4" s="1"/>
  <c r="W62" i="1"/>
  <c r="Q84" i="4" s="1"/>
  <c r="K63" i="1"/>
  <c r="E85" i="4" s="1"/>
  <c r="S63" i="1"/>
  <c r="M85" i="4" s="1"/>
  <c r="AA63" i="1"/>
  <c r="U85" i="4" s="1"/>
  <c r="L62" i="1"/>
  <c r="F84" i="4" s="1"/>
  <c r="T62" i="1"/>
  <c r="N84" i="4" s="1"/>
  <c r="AB62" i="1"/>
  <c r="V84" i="4" s="1"/>
  <c r="P63" i="1"/>
  <c r="J85" i="4" s="1"/>
  <c r="X63" i="1"/>
  <c r="R85" i="4" s="1"/>
  <c r="M62" i="1"/>
  <c r="G84" i="4" s="1"/>
  <c r="U62" i="1"/>
  <c r="O84" i="4" s="1"/>
  <c r="AC62" i="1"/>
  <c r="W84" i="4" s="1"/>
  <c r="Q63" i="1"/>
  <c r="K85" i="4" s="1"/>
  <c r="Y63" i="1"/>
  <c r="S85" i="4" s="1"/>
  <c r="J63" i="1"/>
  <c r="D85" i="4" s="1"/>
  <c r="K62" i="1"/>
  <c r="E84" i="4" s="1"/>
  <c r="AA62" i="1"/>
  <c r="U84" i="4" s="1"/>
  <c r="W63" i="1"/>
  <c r="Q85" i="4" s="1"/>
  <c r="Q23" i="1"/>
  <c r="K72" i="4" s="1"/>
  <c r="Y23" i="1"/>
  <c r="S72" i="4" s="1"/>
  <c r="P62" i="1"/>
  <c r="J84" i="4" s="1"/>
  <c r="L63" i="1"/>
  <c r="F85" i="4" s="1"/>
  <c r="AB63" i="1"/>
  <c r="V85" i="4" s="1"/>
  <c r="R23" i="1"/>
  <c r="L72" i="4" s="1"/>
  <c r="Z23" i="1"/>
  <c r="T72" i="4" s="1"/>
  <c r="Q62" i="1"/>
  <c r="K84" i="4" s="1"/>
  <c r="M63" i="1"/>
  <c r="G85" i="4" s="1"/>
  <c r="AC63" i="1"/>
  <c r="W85" i="4" s="1"/>
  <c r="K23" i="1"/>
  <c r="E72" i="4" s="1"/>
  <c r="S23" i="1"/>
  <c r="M72" i="4" s="1"/>
  <c r="AA23" i="1"/>
  <c r="U72" i="4" s="1"/>
  <c r="S62" i="1"/>
  <c r="M84" i="4" s="1"/>
  <c r="R62" i="1"/>
  <c r="L84" i="4" s="1"/>
  <c r="N63" i="1"/>
  <c r="H85" i="4" s="1"/>
  <c r="AD63" i="1"/>
  <c r="X85" i="4" s="1"/>
  <c r="L23" i="1"/>
  <c r="F72" i="4" s="1"/>
  <c r="T23" i="1"/>
  <c r="N72" i="4" s="1"/>
  <c r="AB23" i="1"/>
  <c r="V72" i="4" s="1"/>
  <c r="O63" i="1"/>
  <c r="I85" i="4" s="1"/>
  <c r="Y62" i="1"/>
  <c r="S84" i="4" s="1"/>
  <c r="U63" i="1"/>
  <c r="O85" i="4" s="1"/>
  <c r="O23" i="1"/>
  <c r="I72" i="4" s="1"/>
  <c r="W23" i="1"/>
  <c r="Q72" i="4" s="1"/>
  <c r="J23" i="1"/>
  <c r="D72" i="4" s="1"/>
  <c r="V63" i="1"/>
  <c r="P85" i="4" s="1"/>
  <c r="M23" i="1"/>
  <c r="G72" i="4" s="1"/>
  <c r="X62" i="1"/>
  <c r="R84" i="4" s="1"/>
  <c r="N23" i="1"/>
  <c r="H72" i="4" s="1"/>
  <c r="V23" i="1"/>
  <c r="P72" i="4" s="1"/>
  <c r="P23" i="1"/>
  <c r="J72" i="4" s="1"/>
  <c r="U23" i="1"/>
  <c r="O72" i="4" s="1"/>
  <c r="X23" i="1"/>
  <c r="R72" i="4" s="1"/>
  <c r="Z62" i="1"/>
  <c r="T84" i="4" s="1"/>
  <c r="AC23" i="1"/>
  <c r="W72" i="4" s="1"/>
  <c r="T63" i="1"/>
  <c r="N85" i="4" s="1"/>
  <c r="AD23" i="1"/>
  <c r="X72" i="4" s="1"/>
  <c r="S11" i="1"/>
  <c r="X11" i="1"/>
  <c r="AB11" i="1"/>
  <c r="AA11" i="1"/>
  <c r="M11" i="1"/>
  <c r="U11" i="1"/>
  <c r="AC11" i="1"/>
  <c r="Q11" i="1"/>
  <c r="N11" i="1"/>
  <c r="J11" i="1"/>
  <c r="Y11" i="1"/>
  <c r="V11" i="1"/>
  <c r="D7" i="1"/>
  <c r="H7" i="1" s="1"/>
  <c r="G2" i="1"/>
  <c r="H2" i="1"/>
  <c r="W12" i="1"/>
  <c r="Q21" i="4" s="1"/>
  <c r="M12" i="1"/>
  <c r="G21" i="4" s="1"/>
  <c r="AC12" i="1"/>
  <c r="W21" i="4" s="1"/>
  <c r="O12" i="1"/>
  <c r="I21" i="4" s="1"/>
  <c r="U12" i="1"/>
  <c r="O21" i="4" s="1"/>
  <c r="X12" i="1"/>
  <c r="R21" i="4" s="1"/>
  <c r="Z12" i="1"/>
  <c r="T21" i="4" s="1"/>
  <c r="P12" i="1"/>
  <c r="J21" i="4" s="1"/>
  <c r="AA12" i="1"/>
  <c r="U21" i="4" s="1"/>
  <c r="R12" i="1"/>
  <c r="L21" i="4" s="1"/>
  <c r="S12" i="1"/>
  <c r="M21" i="4" s="1"/>
  <c r="AB12" i="1"/>
  <c r="V21" i="4" s="1"/>
  <c r="AD12" i="1"/>
  <c r="X21" i="4" s="1"/>
  <c r="V12" i="1"/>
  <c r="P21" i="4" s="1"/>
  <c r="Q12" i="1"/>
  <c r="K21" i="4" s="1"/>
  <c r="N12" i="1"/>
  <c r="H21" i="4" s="1"/>
  <c r="T12" i="1"/>
  <c r="N21" i="4" s="1"/>
  <c r="Y12" i="1"/>
  <c r="S21" i="4" s="1"/>
  <c r="K12" i="1"/>
  <c r="E21" i="4" s="1"/>
  <c r="L12" i="1"/>
  <c r="F21" i="4" s="1"/>
  <c r="Q5" i="1"/>
  <c r="K3" i="4" s="1"/>
  <c r="Y5" i="1"/>
  <c r="S3" i="4" s="1"/>
  <c r="R5" i="1"/>
  <c r="L3" i="4" s="1"/>
  <c r="Z5" i="1"/>
  <c r="T3" i="4" s="1"/>
  <c r="K5" i="1"/>
  <c r="E3" i="4" s="1"/>
  <c r="S5" i="1"/>
  <c r="M3" i="4" s="1"/>
  <c r="AA5" i="1"/>
  <c r="U3" i="4" s="1"/>
  <c r="T5" i="1"/>
  <c r="N3" i="4" s="1"/>
  <c r="AB5" i="1"/>
  <c r="V3" i="4" s="1"/>
  <c r="M5" i="1"/>
  <c r="G3" i="4" s="1"/>
  <c r="U5" i="1"/>
  <c r="O3" i="4" s="1"/>
  <c r="AC5" i="1"/>
  <c r="W3" i="4" s="1"/>
  <c r="N5" i="1"/>
  <c r="H3" i="4" s="1"/>
  <c r="V5" i="1"/>
  <c r="P3" i="4" s="1"/>
  <c r="AD5" i="1"/>
  <c r="X3" i="4" s="1"/>
  <c r="O5" i="1"/>
  <c r="I3" i="4" s="1"/>
  <c r="W5" i="1"/>
  <c r="Q3" i="4" s="1"/>
  <c r="J5" i="1"/>
  <c r="D3" i="4" s="1"/>
  <c r="P5" i="1"/>
  <c r="J3" i="4" s="1"/>
  <c r="X5" i="1"/>
  <c r="R3" i="4" s="1"/>
  <c r="L6" i="1"/>
  <c r="F4" i="4" s="1"/>
  <c r="T6" i="1"/>
  <c r="N4" i="4" s="1"/>
  <c r="AB6" i="1"/>
  <c r="V4" i="4" s="1"/>
  <c r="J6" i="1"/>
  <c r="D4" i="4" s="1"/>
  <c r="M6" i="1"/>
  <c r="G4" i="4" s="1"/>
  <c r="U6" i="1"/>
  <c r="O4" i="4" s="1"/>
  <c r="AC6" i="1"/>
  <c r="W4" i="4" s="1"/>
  <c r="N6" i="1"/>
  <c r="H4" i="4" s="1"/>
  <c r="V6" i="1"/>
  <c r="P4" i="4" s="1"/>
  <c r="AD6" i="1"/>
  <c r="X4" i="4" s="1"/>
  <c r="O6" i="1"/>
  <c r="I4" i="4" s="1"/>
  <c r="W6" i="1"/>
  <c r="Q4" i="4" s="1"/>
  <c r="P6" i="1"/>
  <c r="J4" i="4" s="1"/>
  <c r="X6" i="1"/>
  <c r="R4" i="4" s="1"/>
  <c r="Q6" i="1"/>
  <c r="K4" i="4" s="1"/>
  <c r="Y6" i="1"/>
  <c r="S4" i="4" s="1"/>
  <c r="R6" i="1"/>
  <c r="L4" i="4" s="1"/>
  <c r="Z6" i="1"/>
  <c r="T4" i="4" s="1"/>
  <c r="K6" i="1"/>
  <c r="E4" i="4" s="1"/>
  <c r="S6" i="1"/>
  <c r="M4" i="4" s="1"/>
  <c r="AA6" i="1"/>
  <c r="U4" i="4" s="1"/>
  <c r="L11" i="1"/>
  <c r="P11" i="1"/>
  <c r="K11" i="1"/>
  <c r="V10" i="1"/>
  <c r="AA10" i="1"/>
  <c r="K4" i="1"/>
  <c r="E2" i="4" s="1"/>
  <c r="S4" i="1"/>
  <c r="AA4" i="1"/>
  <c r="T4" i="1"/>
  <c r="AB4" i="1"/>
  <c r="M4" i="1"/>
  <c r="U4" i="1"/>
  <c r="AC4" i="1"/>
  <c r="N4" i="1"/>
  <c r="V4" i="1"/>
  <c r="AD4" i="1"/>
  <c r="O4" i="1"/>
  <c r="W4" i="1"/>
  <c r="P4" i="1"/>
  <c r="X4" i="1"/>
  <c r="Q4" i="1"/>
  <c r="Y4" i="1"/>
  <c r="R4" i="1"/>
  <c r="Z4" i="1"/>
  <c r="D9" i="17" l="1"/>
  <c r="D7" i="17" s="1"/>
  <c r="F7" i="17" s="1"/>
  <c r="AN41" i="2"/>
  <c r="U42" i="2"/>
  <c r="U41" i="2"/>
  <c r="V42" i="2" s="1"/>
  <c r="T42" i="2"/>
  <c r="L14" i="16"/>
  <c r="AI50" i="2"/>
  <c r="N5" i="16"/>
  <c r="R36" i="2"/>
  <c r="V44" i="2"/>
  <c r="I19" i="16"/>
  <c r="R34" i="2"/>
  <c r="N3" i="16"/>
  <c r="Q8" i="1"/>
  <c r="K17" i="4" s="1"/>
  <c r="Z59" i="1"/>
  <c r="W60" i="1"/>
  <c r="Q82" i="4" s="1"/>
  <c r="AE60" i="1"/>
  <c r="Y82" i="4" s="1"/>
  <c r="R59" i="1"/>
  <c r="O60" i="1"/>
  <c r="I82" i="4" s="1"/>
  <c r="L20" i="1"/>
  <c r="T20" i="1"/>
  <c r="AB20" i="1"/>
  <c r="N21" i="1"/>
  <c r="H70" i="4" s="1"/>
  <c r="V21" i="1"/>
  <c r="P70" i="4" s="1"/>
  <c r="AD21" i="1"/>
  <c r="X70" i="4" s="1"/>
  <c r="Y21" i="1"/>
  <c r="S70" i="4" s="1"/>
  <c r="V60" i="1"/>
  <c r="P82" i="4" s="1"/>
  <c r="Q59" i="1"/>
  <c r="M21" i="1"/>
  <c r="G70" i="4" s="1"/>
  <c r="AA59" i="1"/>
  <c r="X60" i="1"/>
  <c r="R82" i="4" s="1"/>
  <c r="AF60" i="1"/>
  <c r="Z82" i="4" s="1"/>
  <c r="K59" i="1"/>
  <c r="S59" i="1"/>
  <c r="P60" i="1"/>
  <c r="J82" i="4" s="1"/>
  <c r="M20" i="1"/>
  <c r="U20" i="1"/>
  <c r="AC20" i="1"/>
  <c r="O21" i="1"/>
  <c r="I70" i="4" s="1"/>
  <c r="W21" i="1"/>
  <c r="Q70" i="4" s="1"/>
  <c r="AE21" i="1"/>
  <c r="Y70" i="4" s="1"/>
  <c r="W20" i="1"/>
  <c r="AD60" i="1"/>
  <c r="X82" i="4" s="1"/>
  <c r="U21" i="1"/>
  <c r="O70" i="4" s="1"/>
  <c r="AB59" i="1"/>
  <c r="Y60" i="1"/>
  <c r="S82" i="4" s="1"/>
  <c r="L59" i="1"/>
  <c r="T59" i="1"/>
  <c r="Q60" i="1"/>
  <c r="K82" i="4" s="1"/>
  <c r="N20" i="1"/>
  <c r="V20" i="1"/>
  <c r="AD20" i="1"/>
  <c r="P21" i="1"/>
  <c r="J70" i="4" s="1"/>
  <c r="X21" i="1"/>
  <c r="R70" i="4" s="1"/>
  <c r="AF21" i="1"/>
  <c r="Z70" i="4" s="1"/>
  <c r="J20" i="1"/>
  <c r="U59" i="1"/>
  <c r="J59" i="1"/>
  <c r="O20" i="1"/>
  <c r="Q21" i="1"/>
  <c r="K70" i="4" s="1"/>
  <c r="Y59" i="1"/>
  <c r="N60" i="1"/>
  <c r="H82" i="4" s="1"/>
  <c r="AA20" i="1"/>
  <c r="AC59" i="1"/>
  <c r="Z60" i="1"/>
  <c r="T82" i="4" s="1"/>
  <c r="M59" i="1"/>
  <c r="R60" i="1"/>
  <c r="L82" i="4" s="1"/>
  <c r="AE20" i="1"/>
  <c r="S20" i="1"/>
  <c r="AC21" i="1"/>
  <c r="W70" i="4" s="1"/>
  <c r="V59" i="1"/>
  <c r="AD59" i="1"/>
  <c r="AA60" i="1"/>
  <c r="U82" i="4" s="1"/>
  <c r="N59" i="1"/>
  <c r="K60" i="1"/>
  <c r="E82" i="4" s="1"/>
  <c r="S60" i="1"/>
  <c r="M82" i="4" s="1"/>
  <c r="P20" i="1"/>
  <c r="X20" i="1"/>
  <c r="AF20" i="1"/>
  <c r="R21" i="1"/>
  <c r="L70" i="4" s="1"/>
  <c r="Z21" i="1"/>
  <c r="T70" i="4" s="1"/>
  <c r="P59" i="1"/>
  <c r="AB21" i="1"/>
  <c r="V70" i="4" s="1"/>
  <c r="W59" i="1"/>
  <c r="AE59" i="1"/>
  <c r="AB60" i="1"/>
  <c r="V82" i="4" s="1"/>
  <c r="O59" i="1"/>
  <c r="L60" i="1"/>
  <c r="F82" i="4" s="1"/>
  <c r="T60" i="1"/>
  <c r="N82" i="4" s="1"/>
  <c r="Q20" i="1"/>
  <c r="Y20" i="1"/>
  <c r="K21" i="1"/>
  <c r="E70" i="4" s="1"/>
  <c r="S21" i="1"/>
  <c r="M70" i="4" s="1"/>
  <c r="AA21" i="1"/>
  <c r="U70" i="4" s="1"/>
  <c r="AF59" i="1"/>
  <c r="M60" i="1"/>
  <c r="G82" i="4" s="1"/>
  <c r="L21" i="1"/>
  <c r="F70" i="4" s="1"/>
  <c r="X59" i="1"/>
  <c r="AC60" i="1"/>
  <c r="W82" i="4" s="1"/>
  <c r="U60" i="1"/>
  <c r="O82" i="4" s="1"/>
  <c r="R20" i="1"/>
  <c r="Z20" i="1"/>
  <c r="T21" i="1"/>
  <c r="N70" i="4" s="1"/>
  <c r="K20" i="1"/>
  <c r="AC58" i="1"/>
  <c r="W80" i="4" s="1"/>
  <c r="M58" i="1"/>
  <c r="G80" i="4" s="1"/>
  <c r="U58" i="1"/>
  <c r="O80" i="4" s="1"/>
  <c r="R19" i="1"/>
  <c r="L68" i="4" s="1"/>
  <c r="Z19" i="1"/>
  <c r="T68" i="4" s="1"/>
  <c r="V58" i="1"/>
  <c r="P80" i="4" s="1"/>
  <c r="AD58" i="1"/>
  <c r="X80" i="4" s="1"/>
  <c r="N58" i="1"/>
  <c r="H80" i="4" s="1"/>
  <c r="K19" i="1"/>
  <c r="E68" i="4" s="1"/>
  <c r="S19" i="1"/>
  <c r="M68" i="4" s="1"/>
  <c r="AA19" i="1"/>
  <c r="U68" i="4" s="1"/>
  <c r="M19" i="1"/>
  <c r="G68" i="4" s="1"/>
  <c r="T58" i="1"/>
  <c r="N80" i="4" s="1"/>
  <c r="Q19" i="1"/>
  <c r="K68" i="4" s="1"/>
  <c r="W58" i="1"/>
  <c r="Q80" i="4" s="1"/>
  <c r="AE58" i="1"/>
  <c r="Y80" i="4" s="1"/>
  <c r="O58" i="1"/>
  <c r="I80" i="4" s="1"/>
  <c r="L19" i="1"/>
  <c r="F68" i="4" s="1"/>
  <c r="T19" i="1"/>
  <c r="N68" i="4" s="1"/>
  <c r="AB19" i="1"/>
  <c r="V68" i="4" s="1"/>
  <c r="AC19" i="1"/>
  <c r="W68" i="4" s="1"/>
  <c r="Y19" i="1"/>
  <c r="S68" i="4" s="1"/>
  <c r="X58" i="1"/>
  <c r="R80" i="4" s="1"/>
  <c r="AF58" i="1"/>
  <c r="Z80" i="4" s="1"/>
  <c r="P58" i="1"/>
  <c r="J80" i="4" s="1"/>
  <c r="U19" i="1"/>
  <c r="O68" i="4" s="1"/>
  <c r="Y58" i="1"/>
  <c r="S80" i="4" s="1"/>
  <c r="Q58" i="1"/>
  <c r="K80" i="4" s="1"/>
  <c r="J58" i="1"/>
  <c r="D80" i="4" s="1"/>
  <c r="N19" i="1"/>
  <c r="H68" i="4" s="1"/>
  <c r="V19" i="1"/>
  <c r="P68" i="4" s="1"/>
  <c r="AD19" i="1"/>
  <c r="X68" i="4" s="1"/>
  <c r="P19" i="1"/>
  <c r="J68" i="4" s="1"/>
  <c r="AB58" i="1"/>
  <c r="V80" i="4" s="1"/>
  <c r="Z58" i="1"/>
  <c r="T80" i="4" s="1"/>
  <c r="R58" i="1"/>
  <c r="L80" i="4" s="1"/>
  <c r="J19" i="1"/>
  <c r="D68" i="4" s="1"/>
  <c r="O19" i="1"/>
  <c r="I68" i="4" s="1"/>
  <c r="W19" i="1"/>
  <c r="Q68" i="4" s="1"/>
  <c r="AE19" i="1"/>
  <c r="Y68" i="4" s="1"/>
  <c r="AA58" i="1"/>
  <c r="U80" i="4" s="1"/>
  <c r="K58" i="1"/>
  <c r="E80" i="4" s="1"/>
  <c r="AF19" i="1"/>
  <c r="Z68" i="4" s="1"/>
  <c r="S58" i="1"/>
  <c r="M80" i="4" s="1"/>
  <c r="X19" i="1"/>
  <c r="R68" i="4" s="1"/>
  <c r="L58" i="1"/>
  <c r="F80" i="4" s="1"/>
  <c r="K2" i="4"/>
  <c r="W2" i="4"/>
  <c r="F2" i="4"/>
  <c r="H2" i="4"/>
  <c r="R2" i="4"/>
  <c r="O2" i="4"/>
  <c r="G2" i="4"/>
  <c r="Q2" i="4"/>
  <c r="Y2" i="4"/>
  <c r="P2" i="4"/>
  <c r="V2" i="4"/>
  <c r="I2" i="4"/>
  <c r="N2" i="4"/>
  <c r="J2" i="4"/>
  <c r="T2" i="4"/>
  <c r="X2" i="4"/>
  <c r="U2" i="4"/>
  <c r="Z2" i="4"/>
  <c r="L2" i="4"/>
  <c r="M2" i="4"/>
  <c r="S2" i="4"/>
  <c r="D2" i="4"/>
  <c r="AG4" i="1"/>
  <c r="M52" i="1"/>
  <c r="G29" i="4" s="1"/>
  <c r="U52" i="1"/>
  <c r="O29" i="4" s="1"/>
  <c r="AC52" i="1"/>
  <c r="W29" i="4" s="1"/>
  <c r="N52" i="1"/>
  <c r="H29" i="4" s="1"/>
  <c r="V52" i="1"/>
  <c r="P29" i="4" s="1"/>
  <c r="AD52" i="1"/>
  <c r="X29" i="4" s="1"/>
  <c r="AB52" i="1"/>
  <c r="V29" i="4" s="1"/>
  <c r="J52" i="1"/>
  <c r="O52" i="1"/>
  <c r="I29" i="4" s="1"/>
  <c r="W52" i="1"/>
  <c r="Q29" i="4" s="1"/>
  <c r="AE52" i="1"/>
  <c r="Y29" i="4" s="1"/>
  <c r="L52" i="1"/>
  <c r="F29" i="4" s="1"/>
  <c r="P52" i="1"/>
  <c r="J29" i="4" s="1"/>
  <c r="X52" i="1"/>
  <c r="R29" i="4" s="1"/>
  <c r="AF52" i="1"/>
  <c r="Z29" i="4" s="1"/>
  <c r="S52" i="1"/>
  <c r="M29" i="4" s="1"/>
  <c r="Q52" i="1"/>
  <c r="K29" i="4" s="1"/>
  <c r="Y52" i="1"/>
  <c r="S29" i="4" s="1"/>
  <c r="T52" i="1"/>
  <c r="N29" i="4" s="1"/>
  <c r="R52" i="1"/>
  <c r="L29" i="4" s="1"/>
  <c r="Z52" i="1"/>
  <c r="T29" i="4" s="1"/>
  <c r="K52" i="1"/>
  <c r="E29" i="4" s="1"/>
  <c r="AA52" i="1"/>
  <c r="U29" i="4" s="1"/>
  <c r="P47" i="1"/>
  <c r="J24" i="4" s="1"/>
  <c r="AA47" i="1"/>
  <c r="U24" i="4" s="1"/>
  <c r="Q47" i="1"/>
  <c r="K24" i="4" s="1"/>
  <c r="AB47" i="1"/>
  <c r="V24" i="4" s="1"/>
  <c r="R47" i="1"/>
  <c r="L24" i="4" s="1"/>
  <c r="AC47" i="1"/>
  <c r="W24" i="4" s="1"/>
  <c r="N47" i="1"/>
  <c r="H24" i="4" s="1"/>
  <c r="K47" i="1"/>
  <c r="E24" i="4" s="1"/>
  <c r="S47" i="1"/>
  <c r="M24" i="4" s="1"/>
  <c r="V47" i="1"/>
  <c r="P24" i="4" s="1"/>
  <c r="AD47" i="1"/>
  <c r="X24" i="4" s="1"/>
  <c r="Z47" i="1"/>
  <c r="T24" i="4" s="1"/>
  <c r="L47" i="1"/>
  <c r="F24" i="4" s="1"/>
  <c r="T47" i="1"/>
  <c r="N24" i="4" s="1"/>
  <c r="W47" i="1"/>
  <c r="Q24" i="4" s="1"/>
  <c r="AE47" i="1"/>
  <c r="O47" i="1"/>
  <c r="I24" i="4" s="1"/>
  <c r="M47" i="1"/>
  <c r="G24" i="4" s="1"/>
  <c r="U47" i="1"/>
  <c r="O24" i="4" s="1"/>
  <c r="X47" i="1"/>
  <c r="R24" i="4" s="1"/>
  <c r="AF47" i="1"/>
  <c r="Y47" i="1"/>
  <c r="S24" i="4" s="1"/>
  <c r="Z11" i="4"/>
  <c r="Z14" i="4" s="1"/>
  <c r="Y121" i="4" s="1"/>
  <c r="J60" i="1"/>
  <c r="D82" i="4" s="1"/>
  <c r="F78" i="4"/>
  <c r="J21" i="1"/>
  <c r="Y11" i="4"/>
  <c r="Y14" i="4" s="1"/>
  <c r="X121" i="4" s="1"/>
  <c r="AG23" i="1"/>
  <c r="AG6" i="1"/>
  <c r="S7" i="4"/>
  <c r="S11" i="4" s="1"/>
  <c r="S14" i="4" s="1"/>
  <c r="R121" i="4" s="1"/>
  <c r="L18" i="4"/>
  <c r="P18" i="4"/>
  <c r="G20" i="4"/>
  <c r="O19" i="4"/>
  <c r="T7" i="4"/>
  <c r="T11" i="4" s="1"/>
  <c r="T14" i="4" s="1"/>
  <c r="K7" i="4"/>
  <c r="K11" i="4" s="1"/>
  <c r="K14" i="4" s="1"/>
  <c r="J121" i="4" s="1"/>
  <c r="E19" i="4"/>
  <c r="AG15" i="1"/>
  <c r="D64" i="4"/>
  <c r="AG55" i="1"/>
  <c r="D55" i="1"/>
  <c r="H55" i="1" s="1"/>
  <c r="D77" i="4"/>
  <c r="AG14" i="1"/>
  <c r="D63" i="4"/>
  <c r="E18" i="4"/>
  <c r="H18" i="4"/>
  <c r="X20" i="4"/>
  <c r="AG57" i="1"/>
  <c r="D57" i="1"/>
  <c r="H57" i="1" s="1"/>
  <c r="D79" i="4"/>
  <c r="AG18" i="1"/>
  <c r="D67" i="4"/>
  <c r="V19" i="4"/>
  <c r="Z19" i="4"/>
  <c r="Y20" i="4"/>
  <c r="H7" i="4"/>
  <c r="H11" i="4" s="1"/>
  <c r="H14" i="4" s="1"/>
  <c r="G121" i="4" s="1"/>
  <c r="S18" i="4"/>
  <c r="M18" i="4"/>
  <c r="Z20" i="4"/>
  <c r="U19" i="4"/>
  <c r="P20" i="4"/>
  <c r="U20" i="4"/>
  <c r="M20" i="4"/>
  <c r="I19" i="4"/>
  <c r="W7" i="4"/>
  <c r="W11" i="4" s="1"/>
  <c r="W14" i="4" s="1"/>
  <c r="V121" i="4" s="1"/>
  <c r="R7" i="4"/>
  <c r="R11" i="4" s="1"/>
  <c r="R14" i="4" s="1"/>
  <c r="Q121" i="4" s="1"/>
  <c r="W19" i="4"/>
  <c r="AG54" i="1"/>
  <c r="D54" i="1"/>
  <c r="H54" i="1" s="1"/>
  <c r="D76" i="4"/>
  <c r="AG9" i="1"/>
  <c r="D18" i="4"/>
  <c r="T18" i="4"/>
  <c r="V18" i="4"/>
  <c r="M19" i="4"/>
  <c r="Q19" i="4"/>
  <c r="G19" i="4"/>
  <c r="R19" i="4"/>
  <c r="P19" i="4"/>
  <c r="S20" i="4"/>
  <c r="V20" i="4"/>
  <c r="AG50" i="1"/>
  <c r="D27" i="4"/>
  <c r="Q20" i="4"/>
  <c r="O7" i="4"/>
  <c r="O11" i="4" s="1"/>
  <c r="O14" i="4" s="1"/>
  <c r="N121" i="4" s="1"/>
  <c r="J7" i="4"/>
  <c r="J11" i="4" s="1"/>
  <c r="J14" i="4" s="1"/>
  <c r="I121" i="4" s="1"/>
  <c r="I20" i="4"/>
  <c r="AG49" i="1"/>
  <c r="D26" i="4"/>
  <c r="AG53" i="1"/>
  <c r="D75" i="4"/>
  <c r="D53" i="1"/>
  <c r="AG16" i="1"/>
  <c r="D65" i="4"/>
  <c r="I18" i="4"/>
  <c r="N18" i="4"/>
  <c r="J19" i="4"/>
  <c r="Y19" i="4"/>
  <c r="AG11" i="1"/>
  <c r="D20" i="4"/>
  <c r="R20" i="4"/>
  <c r="D62" i="1"/>
  <c r="H62" i="1" s="1"/>
  <c r="AG62" i="1"/>
  <c r="M7" i="4"/>
  <c r="M11" i="4" s="1"/>
  <c r="M14" i="4" s="1"/>
  <c r="L121" i="4" s="1"/>
  <c r="G7" i="4"/>
  <c r="G11" i="4" s="1"/>
  <c r="G14" i="4" s="1"/>
  <c r="F121" i="4" s="1"/>
  <c r="Q7" i="4"/>
  <c r="Q11" i="4" s="1"/>
  <c r="Q14" i="4" s="1"/>
  <c r="P121" i="4" s="1"/>
  <c r="R18" i="4"/>
  <c r="F18" i="4"/>
  <c r="F19" i="4"/>
  <c r="Z18" i="4"/>
  <c r="AG44" i="1"/>
  <c r="D8" i="4"/>
  <c r="X19" i="4"/>
  <c r="E20" i="4"/>
  <c r="J20" i="4"/>
  <c r="AG12" i="1"/>
  <c r="D21" i="4"/>
  <c r="H20" i="4"/>
  <c r="AG63" i="1"/>
  <c r="D63" i="1"/>
  <c r="H63" i="1" s="1"/>
  <c r="E7" i="4"/>
  <c r="E11" i="4" s="1"/>
  <c r="E14" i="4" s="1"/>
  <c r="D121" i="4" s="1"/>
  <c r="V7" i="4"/>
  <c r="V11" i="4" s="1"/>
  <c r="V14" i="4" s="1"/>
  <c r="U121" i="4" s="1"/>
  <c r="I7" i="4"/>
  <c r="I11" i="4" s="1"/>
  <c r="I14" i="4" s="1"/>
  <c r="H121" i="4" s="1"/>
  <c r="K18" i="4"/>
  <c r="W18" i="4"/>
  <c r="AG45" i="1"/>
  <c r="D9" i="4"/>
  <c r="H19" i="4"/>
  <c r="AG10" i="1"/>
  <c r="D19" i="4"/>
  <c r="Y18" i="4"/>
  <c r="O20" i="4"/>
  <c r="AG43" i="1"/>
  <c r="D7" i="4"/>
  <c r="D43" i="1"/>
  <c r="H43" i="1" s="1"/>
  <c r="K20" i="4"/>
  <c r="L7" i="4"/>
  <c r="L11" i="4" s="1"/>
  <c r="L14" i="4" s="1"/>
  <c r="K121" i="4" s="1"/>
  <c r="N7" i="4"/>
  <c r="N11" i="4" s="1"/>
  <c r="N14" i="4" s="1"/>
  <c r="M121" i="4" s="1"/>
  <c r="X7" i="4"/>
  <c r="X11" i="4" s="1"/>
  <c r="X14" i="4" s="1"/>
  <c r="W121" i="4" s="1"/>
  <c r="L20" i="4"/>
  <c r="J18" i="4"/>
  <c r="Q18" i="4"/>
  <c r="O18" i="4"/>
  <c r="K19" i="4"/>
  <c r="S19" i="4"/>
  <c r="AG48" i="1"/>
  <c r="D25" i="4"/>
  <c r="F20" i="4"/>
  <c r="AG5" i="1"/>
  <c r="W20" i="4"/>
  <c r="U7" i="4"/>
  <c r="U11" i="4" s="1"/>
  <c r="U14" i="4" s="1"/>
  <c r="T121" i="4" s="1"/>
  <c r="F7" i="4"/>
  <c r="F11" i="4" s="1"/>
  <c r="F14" i="4" s="1"/>
  <c r="E121" i="4" s="1"/>
  <c r="P7" i="4"/>
  <c r="P11" i="4" s="1"/>
  <c r="P14" i="4" s="1"/>
  <c r="O121" i="4" s="1"/>
  <c r="N20" i="4"/>
  <c r="T20" i="4"/>
  <c r="AG51" i="1"/>
  <c r="D28" i="4"/>
  <c r="T19" i="4"/>
  <c r="U18" i="4"/>
  <c r="X18" i="4"/>
  <c r="G18" i="4"/>
  <c r="L19" i="4"/>
  <c r="N19" i="4"/>
  <c r="D52" i="4"/>
  <c r="AG69" i="1"/>
  <c r="D41" i="4"/>
  <c r="AG30" i="1"/>
  <c r="D18" i="1"/>
  <c r="H18" i="1" s="1"/>
  <c r="N78" i="4"/>
  <c r="U66" i="4"/>
  <c r="H78" i="4"/>
  <c r="S66" i="4"/>
  <c r="K78" i="4"/>
  <c r="T66" i="4"/>
  <c r="I66" i="4"/>
  <c r="W66" i="4"/>
  <c r="G66" i="4"/>
  <c r="AE13" i="1"/>
  <c r="Y22" i="4" s="1"/>
  <c r="AF13" i="1"/>
  <c r="Z22" i="4" s="1"/>
  <c r="AC8" i="1"/>
  <c r="AF8" i="1"/>
  <c r="AE8" i="1"/>
  <c r="U78" i="4"/>
  <c r="L66" i="4"/>
  <c r="R66" i="4"/>
  <c r="X66" i="4"/>
  <c r="W78" i="4"/>
  <c r="I78" i="4"/>
  <c r="S78" i="4"/>
  <c r="N66" i="4"/>
  <c r="J66" i="4"/>
  <c r="P66" i="4"/>
  <c r="O78" i="4"/>
  <c r="F66" i="4"/>
  <c r="M78" i="4"/>
  <c r="K66" i="4"/>
  <c r="T78" i="4"/>
  <c r="H66" i="4"/>
  <c r="G78" i="4"/>
  <c r="X78" i="4"/>
  <c r="J78" i="4"/>
  <c r="Q78" i="4"/>
  <c r="V66" i="4"/>
  <c r="E66" i="4"/>
  <c r="E78" i="4"/>
  <c r="R78" i="4"/>
  <c r="V78" i="4"/>
  <c r="P78" i="4"/>
  <c r="L78" i="4"/>
  <c r="M66" i="4"/>
  <c r="Q66" i="4"/>
  <c r="O66" i="4"/>
  <c r="Z66" i="4"/>
  <c r="Y78" i="4"/>
  <c r="Y66" i="4"/>
  <c r="Z78" i="4"/>
  <c r="Z8" i="1"/>
  <c r="O8" i="1"/>
  <c r="D45" i="1"/>
  <c r="H45" i="1" s="1"/>
  <c r="R8" i="1"/>
  <c r="X8" i="1"/>
  <c r="M8" i="1"/>
  <c r="S8" i="1"/>
  <c r="AB8" i="1"/>
  <c r="AD8" i="1"/>
  <c r="L8" i="1"/>
  <c r="V8" i="1"/>
  <c r="T8" i="1"/>
  <c r="U8" i="1"/>
  <c r="W8" i="1"/>
  <c r="P8" i="1"/>
  <c r="J8" i="1"/>
  <c r="AA8" i="1"/>
  <c r="N8" i="1"/>
  <c r="Y8" i="1"/>
  <c r="K8" i="1"/>
  <c r="D10" i="1"/>
  <c r="H10" i="1" s="1"/>
  <c r="D16" i="1"/>
  <c r="H16" i="1" s="1"/>
  <c r="J47" i="1"/>
  <c r="D49" i="1"/>
  <c r="H49" i="1" s="1"/>
  <c r="D9" i="1"/>
  <c r="H9" i="1" s="1"/>
  <c r="D30" i="1"/>
  <c r="H30" i="1" s="1"/>
  <c r="D23" i="1"/>
  <c r="H23" i="1" s="1"/>
  <c r="D69" i="1"/>
  <c r="H69" i="1" s="1"/>
  <c r="D15" i="1"/>
  <c r="H15" i="1" s="1"/>
  <c r="D14" i="1"/>
  <c r="D51" i="1"/>
  <c r="H51" i="1" s="1"/>
  <c r="D44" i="1"/>
  <c r="H44" i="1" s="1"/>
  <c r="D48" i="1"/>
  <c r="H48" i="1" s="1"/>
  <c r="D50" i="1"/>
  <c r="D11" i="1"/>
  <c r="H11" i="1" s="1"/>
  <c r="D12" i="1"/>
  <c r="H12" i="1" s="1"/>
  <c r="D6" i="1"/>
  <c r="H6" i="1" s="1"/>
  <c r="D5" i="1"/>
  <c r="H5" i="1" s="1"/>
  <c r="D4" i="1"/>
  <c r="H4" i="1" s="1"/>
  <c r="M13" i="1"/>
  <c r="G22" i="4" s="1"/>
  <c r="U13" i="1"/>
  <c r="O22" i="4" s="1"/>
  <c r="AC13" i="1"/>
  <c r="W22" i="4" s="1"/>
  <c r="N13" i="1"/>
  <c r="H22" i="4" s="1"/>
  <c r="V13" i="1"/>
  <c r="P22" i="4" s="1"/>
  <c r="AD13" i="1"/>
  <c r="X22" i="4" s="1"/>
  <c r="Z13" i="1"/>
  <c r="T22" i="4" s="1"/>
  <c r="K13" i="1"/>
  <c r="E22" i="4" s="1"/>
  <c r="AA13" i="1"/>
  <c r="U22" i="4" s="1"/>
  <c r="O13" i="1"/>
  <c r="I22" i="4" s="1"/>
  <c r="W13" i="1"/>
  <c r="Q22" i="4" s="1"/>
  <c r="J13" i="1"/>
  <c r="S13" i="1"/>
  <c r="M22" i="4" s="1"/>
  <c r="T13" i="1"/>
  <c r="N22" i="4" s="1"/>
  <c r="AB13" i="1"/>
  <c r="V22" i="4" s="1"/>
  <c r="P13" i="1"/>
  <c r="J22" i="4" s="1"/>
  <c r="X13" i="1"/>
  <c r="R22" i="4" s="1"/>
  <c r="L13" i="1"/>
  <c r="F22" i="4" s="1"/>
  <c r="Q13" i="1"/>
  <c r="K22" i="4" s="1"/>
  <c r="Y13" i="1"/>
  <c r="S22" i="4" s="1"/>
  <c r="R13" i="1"/>
  <c r="L22" i="4" s="1"/>
  <c r="S121" i="4" l="1"/>
  <c r="C14" i="4"/>
  <c r="F9" i="17"/>
  <c r="M14" i="16"/>
  <c r="AN40" i="2"/>
  <c r="AC41" i="2"/>
  <c r="O5" i="16"/>
  <c r="S37" i="2"/>
  <c r="S36" i="2"/>
  <c r="AO40" i="2"/>
  <c r="W44" i="2"/>
  <c r="J19" i="16"/>
  <c r="S34" i="2"/>
  <c r="O3" i="16"/>
  <c r="D58" i="1"/>
  <c r="H58" i="1" s="1"/>
  <c r="D19" i="1"/>
  <c r="H19" i="1" s="1"/>
  <c r="AG19" i="1"/>
  <c r="AG58" i="1"/>
  <c r="AB61" i="1"/>
  <c r="V83" i="4" s="1"/>
  <c r="L61" i="1"/>
  <c r="F83" i="4" s="1"/>
  <c r="T61" i="1"/>
  <c r="N83" i="4" s="1"/>
  <c r="P22" i="1"/>
  <c r="J71" i="4" s="1"/>
  <c r="X22" i="1"/>
  <c r="R71" i="4" s="1"/>
  <c r="AF22" i="1"/>
  <c r="Z71" i="4" s="1"/>
  <c r="W22" i="1"/>
  <c r="Q71" i="4" s="1"/>
  <c r="AC61" i="1"/>
  <c r="W83" i="4" s="1"/>
  <c r="M61" i="1"/>
  <c r="G83" i="4" s="1"/>
  <c r="U61" i="1"/>
  <c r="O83" i="4" s="1"/>
  <c r="Q22" i="1"/>
  <c r="K71" i="4" s="1"/>
  <c r="Y22" i="1"/>
  <c r="S71" i="4" s="1"/>
  <c r="J22" i="1"/>
  <c r="D71" i="4" s="1"/>
  <c r="V61" i="1"/>
  <c r="P83" i="4" s="1"/>
  <c r="AD61" i="1"/>
  <c r="X83" i="4" s="1"/>
  <c r="N61" i="1"/>
  <c r="H83" i="4" s="1"/>
  <c r="J61" i="1"/>
  <c r="D83" i="4" s="1"/>
  <c r="R22" i="1"/>
  <c r="L71" i="4" s="1"/>
  <c r="Z22" i="1"/>
  <c r="T71" i="4" s="1"/>
  <c r="W61" i="1"/>
  <c r="Q83" i="4" s="1"/>
  <c r="S22" i="1"/>
  <c r="M71" i="4" s="1"/>
  <c r="O22" i="1"/>
  <c r="I71" i="4" s="1"/>
  <c r="AE61" i="1"/>
  <c r="Y83" i="4" s="1"/>
  <c r="O61" i="1"/>
  <c r="I83" i="4" s="1"/>
  <c r="K22" i="1"/>
  <c r="E71" i="4" s="1"/>
  <c r="AA22" i="1"/>
  <c r="U71" i="4" s="1"/>
  <c r="AA61" i="1"/>
  <c r="U83" i="4" s="1"/>
  <c r="S61" i="1"/>
  <c r="M83" i="4" s="1"/>
  <c r="X61" i="1"/>
  <c r="R83" i="4" s="1"/>
  <c r="AF61" i="1"/>
  <c r="Z83" i="4" s="1"/>
  <c r="P61" i="1"/>
  <c r="J83" i="4" s="1"/>
  <c r="L22" i="1"/>
  <c r="F71" i="4" s="1"/>
  <c r="T22" i="1"/>
  <c r="N71" i="4" s="1"/>
  <c r="AB22" i="1"/>
  <c r="V71" i="4" s="1"/>
  <c r="K61" i="1"/>
  <c r="E83" i="4" s="1"/>
  <c r="AE22" i="1"/>
  <c r="Y71" i="4" s="1"/>
  <c r="Y61" i="1"/>
  <c r="S83" i="4" s="1"/>
  <c r="Q61" i="1"/>
  <c r="K83" i="4" s="1"/>
  <c r="M22" i="1"/>
  <c r="G71" i="4" s="1"/>
  <c r="U22" i="1"/>
  <c r="O71" i="4" s="1"/>
  <c r="AC22" i="1"/>
  <c r="W71" i="4" s="1"/>
  <c r="Z61" i="1"/>
  <c r="T83" i="4" s="1"/>
  <c r="R61" i="1"/>
  <c r="L83" i="4" s="1"/>
  <c r="V22" i="1"/>
  <c r="P71" i="4" s="1"/>
  <c r="N22" i="1"/>
  <c r="H71" i="4" s="1"/>
  <c r="AD22" i="1"/>
  <c r="X71" i="4" s="1"/>
  <c r="D21" i="1"/>
  <c r="H21" i="1" s="1"/>
  <c r="D70" i="4"/>
  <c r="D60" i="1"/>
  <c r="H60" i="1" s="1"/>
  <c r="D11" i="4"/>
  <c r="D14" i="4" s="1"/>
  <c r="H30" i="4"/>
  <c r="H33" i="4" s="1"/>
  <c r="G129" i="4" s="1"/>
  <c r="F30" i="4"/>
  <c r="F33" i="4" s="1"/>
  <c r="E129" i="4" s="1"/>
  <c r="L30" i="4"/>
  <c r="L33" i="4" s="1"/>
  <c r="K129" i="4" s="1"/>
  <c r="R30" i="4"/>
  <c r="R33" i="4" s="1"/>
  <c r="Q129" i="4" s="1"/>
  <c r="G30" i="4"/>
  <c r="G33" i="4" s="1"/>
  <c r="F129" i="4" s="1"/>
  <c r="I30" i="4"/>
  <c r="I33" i="4" s="1"/>
  <c r="H129" i="4" s="1"/>
  <c r="T30" i="4"/>
  <c r="T33" i="4" s="1"/>
  <c r="V30" i="4"/>
  <c r="V33" i="4" s="1"/>
  <c r="U129" i="4" s="1"/>
  <c r="X30" i="4"/>
  <c r="X33" i="4" s="1"/>
  <c r="W129" i="4" s="1"/>
  <c r="S6" i="4"/>
  <c r="S13" i="4" s="1"/>
  <c r="S17" i="4"/>
  <c r="S23" i="4" s="1"/>
  <c r="S32" i="4" s="1"/>
  <c r="P17" i="4"/>
  <c r="P23" i="4" s="1"/>
  <c r="P32" i="4" s="1"/>
  <c r="O127" i="4" s="1"/>
  <c r="P6" i="4"/>
  <c r="P13" i="4" s="1"/>
  <c r="O119" i="4" s="1"/>
  <c r="Y6" i="4"/>
  <c r="Y13" i="4" s="1"/>
  <c r="Y17" i="4"/>
  <c r="Y23" i="4" s="1"/>
  <c r="Y32" i="4" s="1"/>
  <c r="X127" i="4" s="1"/>
  <c r="K6" i="4"/>
  <c r="K13" i="4" s="1"/>
  <c r="AG60" i="1"/>
  <c r="AG21" i="1"/>
  <c r="AG13" i="1"/>
  <c r="D22" i="4"/>
  <c r="AG52" i="1"/>
  <c r="D29" i="4"/>
  <c r="M30" i="4"/>
  <c r="M33" i="4" s="1"/>
  <c r="L129" i="4" s="1"/>
  <c r="N30" i="4"/>
  <c r="N33" i="4" s="1"/>
  <c r="M129" i="4" s="1"/>
  <c r="P30" i="4"/>
  <c r="P33" i="4" s="1"/>
  <c r="O129" i="4" s="1"/>
  <c r="H17" i="4"/>
  <c r="H23" i="4" s="1"/>
  <c r="H32" i="4" s="1"/>
  <c r="G127" i="4" s="1"/>
  <c r="H6" i="4"/>
  <c r="H13" i="4" s="1"/>
  <c r="F17" i="4"/>
  <c r="F23" i="4" s="1"/>
  <c r="F32" i="4" s="1"/>
  <c r="E127" i="4" s="1"/>
  <c r="F6" i="4"/>
  <c r="F13" i="4" s="1"/>
  <c r="Y24" i="4"/>
  <c r="Y30" i="4" s="1"/>
  <c r="Y33" i="4" s="1"/>
  <c r="X129" i="4" s="1"/>
  <c r="E17" i="4"/>
  <c r="E23" i="4" s="1"/>
  <c r="E32" i="4" s="1"/>
  <c r="D127" i="4" s="1"/>
  <c r="E6" i="4"/>
  <c r="E13" i="4" s="1"/>
  <c r="U17" i="4"/>
  <c r="U23" i="4" s="1"/>
  <c r="U32" i="4" s="1"/>
  <c r="T127" i="4" s="1"/>
  <c r="U6" i="4"/>
  <c r="U13" i="4" s="1"/>
  <c r="X6" i="4"/>
  <c r="X13" i="4" s="1"/>
  <c r="X17" i="4"/>
  <c r="X23" i="4" s="1"/>
  <c r="X32" i="4" s="1"/>
  <c r="W127" i="4" s="1"/>
  <c r="T6" i="4"/>
  <c r="T13" i="4" s="1"/>
  <c r="T17" i="4"/>
  <c r="T23" i="4" s="1"/>
  <c r="T32" i="4" s="1"/>
  <c r="S127" i="4" s="1"/>
  <c r="Z24" i="4"/>
  <c r="Z30" i="4" s="1"/>
  <c r="Z33" i="4" s="1"/>
  <c r="Y129" i="4" s="1"/>
  <c r="AG56" i="1"/>
  <c r="D56" i="1"/>
  <c r="H56" i="1" s="1"/>
  <c r="D78" i="4"/>
  <c r="N17" i="4"/>
  <c r="N23" i="4" s="1"/>
  <c r="N32" i="4" s="1"/>
  <c r="M127" i="4" s="1"/>
  <c r="N6" i="4"/>
  <c r="N13" i="4" s="1"/>
  <c r="K23" i="4"/>
  <c r="K32" i="4" s="1"/>
  <c r="J127" i="4" s="1"/>
  <c r="J30" i="4"/>
  <c r="J33" i="4" s="1"/>
  <c r="I129" i="4" s="1"/>
  <c r="S30" i="4"/>
  <c r="S33" i="4" s="1"/>
  <c r="R129" i="4" s="1"/>
  <c r="AG8" i="1"/>
  <c r="D17" i="4"/>
  <c r="D6" i="4"/>
  <c r="V6" i="4"/>
  <c r="V13" i="4" s="1"/>
  <c r="V17" i="4"/>
  <c r="V23" i="4" s="1"/>
  <c r="V32" i="4" s="1"/>
  <c r="U127" i="4" s="1"/>
  <c r="Z6" i="4"/>
  <c r="Z13" i="4" s="1"/>
  <c r="Z17" i="4"/>
  <c r="Z23" i="4" s="1"/>
  <c r="Z32" i="4" s="1"/>
  <c r="Y127" i="4" s="1"/>
  <c r="E30" i="4"/>
  <c r="E33" i="4" s="1"/>
  <c r="D129" i="4" s="1"/>
  <c r="K30" i="4"/>
  <c r="K33" i="4" s="1"/>
  <c r="J129" i="4" s="1"/>
  <c r="J17" i="4"/>
  <c r="J23" i="4" s="1"/>
  <c r="J32" i="4" s="1"/>
  <c r="I127" i="4" s="1"/>
  <c r="J6" i="4"/>
  <c r="J13" i="4" s="1"/>
  <c r="M17" i="4"/>
  <c r="M23" i="4" s="1"/>
  <c r="M32" i="4" s="1"/>
  <c r="L127" i="4" s="1"/>
  <c r="M6" i="4"/>
  <c r="M13" i="4" s="1"/>
  <c r="I17" i="4"/>
  <c r="I23" i="4" s="1"/>
  <c r="I32" i="4" s="1"/>
  <c r="H127" i="4" s="1"/>
  <c r="I6" i="4"/>
  <c r="I13" i="4" s="1"/>
  <c r="H119" i="4" s="1"/>
  <c r="W6" i="4"/>
  <c r="W13" i="4" s="1"/>
  <c r="W17" i="4"/>
  <c r="W23" i="4" s="1"/>
  <c r="W32" i="4" s="1"/>
  <c r="V127" i="4" s="1"/>
  <c r="AG17" i="1"/>
  <c r="D66" i="4"/>
  <c r="L6" i="4"/>
  <c r="L13" i="4" s="1"/>
  <c r="L17" i="4"/>
  <c r="L23" i="4" s="1"/>
  <c r="L32" i="4" s="1"/>
  <c r="K127" i="4" s="1"/>
  <c r="W30" i="4"/>
  <c r="W33" i="4" s="1"/>
  <c r="V129" i="4" s="1"/>
  <c r="AG47" i="1"/>
  <c r="D24" i="4"/>
  <c r="Q17" i="4"/>
  <c r="Q23" i="4" s="1"/>
  <c r="Q32" i="4" s="1"/>
  <c r="P127" i="4" s="1"/>
  <c r="Q6" i="4"/>
  <c r="Q13" i="4" s="1"/>
  <c r="P119" i="4" s="1"/>
  <c r="G17" i="4"/>
  <c r="G23" i="4" s="1"/>
  <c r="G32" i="4" s="1"/>
  <c r="F127" i="4" s="1"/>
  <c r="G6" i="4"/>
  <c r="G13" i="4" s="1"/>
  <c r="U30" i="4"/>
  <c r="U33" i="4" s="1"/>
  <c r="T129" i="4" s="1"/>
  <c r="O30" i="4"/>
  <c r="O33" i="4" s="1"/>
  <c r="N129" i="4" s="1"/>
  <c r="Q30" i="4"/>
  <c r="Q33" i="4" s="1"/>
  <c r="P129" i="4" s="1"/>
  <c r="O17" i="4"/>
  <c r="O23" i="4" s="1"/>
  <c r="O32" i="4" s="1"/>
  <c r="N127" i="4" s="1"/>
  <c r="O6" i="4"/>
  <c r="O13" i="4" s="1"/>
  <c r="N119" i="4" s="1"/>
  <c r="R17" i="4"/>
  <c r="R23" i="4" s="1"/>
  <c r="R32" i="4" s="1"/>
  <c r="Q127" i="4" s="1"/>
  <c r="R6" i="4"/>
  <c r="R13" i="4" s="1"/>
  <c r="Q119" i="4" s="1"/>
  <c r="D17" i="1"/>
  <c r="H17" i="1" s="1"/>
  <c r="I69" i="4"/>
  <c r="G81" i="4"/>
  <c r="X69" i="4"/>
  <c r="Q69" i="4"/>
  <c r="H69" i="4"/>
  <c r="X81" i="4"/>
  <c r="W81" i="4"/>
  <c r="O69" i="4"/>
  <c r="T81" i="4"/>
  <c r="T69" i="4"/>
  <c r="S81" i="4"/>
  <c r="N81" i="4"/>
  <c r="V69" i="4"/>
  <c r="R69" i="4"/>
  <c r="E81" i="4"/>
  <c r="S69" i="4"/>
  <c r="E69" i="4"/>
  <c r="K81" i="4"/>
  <c r="L81" i="4"/>
  <c r="F81" i="4"/>
  <c r="P69" i="4"/>
  <c r="J69" i="4"/>
  <c r="M81" i="4"/>
  <c r="M69" i="4"/>
  <c r="P81" i="4"/>
  <c r="K69" i="4"/>
  <c r="L69" i="4"/>
  <c r="V81" i="4"/>
  <c r="J81" i="4"/>
  <c r="Y81" i="4"/>
  <c r="Z69" i="4"/>
  <c r="Y69" i="4"/>
  <c r="Z81" i="4"/>
  <c r="R81" i="4"/>
  <c r="O81" i="4"/>
  <c r="G69" i="4"/>
  <c r="H81" i="4"/>
  <c r="U69" i="4"/>
  <c r="N69" i="4"/>
  <c r="U81" i="4"/>
  <c r="F69" i="4"/>
  <c r="I81" i="4"/>
  <c r="D8" i="1"/>
  <c r="H8" i="1" s="1"/>
  <c r="C43" i="1"/>
  <c r="G43" i="1" s="1"/>
  <c r="D52" i="1"/>
  <c r="H52" i="1" s="1"/>
  <c r="D47" i="1"/>
  <c r="H47" i="1" s="1"/>
  <c r="H53" i="1"/>
  <c r="H14" i="1"/>
  <c r="H50" i="1"/>
  <c r="D13" i="1"/>
  <c r="H13" i="1" s="1"/>
  <c r="C4" i="1"/>
  <c r="G4" i="1" s="1"/>
  <c r="R119" i="4" l="1"/>
  <c r="C13" i="4"/>
  <c r="S129" i="4"/>
  <c r="Y15" i="4"/>
  <c r="X119" i="4"/>
  <c r="Z15" i="4"/>
  <c r="Y119" i="4"/>
  <c r="T15" i="4"/>
  <c r="S119" i="4"/>
  <c r="F15" i="4"/>
  <c r="E119" i="4"/>
  <c r="M15" i="4"/>
  <c r="L119" i="4"/>
  <c r="N15" i="4"/>
  <c r="M119" i="4"/>
  <c r="G15" i="4"/>
  <c r="F119" i="4"/>
  <c r="L15" i="4"/>
  <c r="K119" i="4"/>
  <c r="V15" i="4"/>
  <c r="U119" i="4"/>
  <c r="X15" i="4"/>
  <c r="W119" i="4"/>
  <c r="H15" i="4"/>
  <c r="G119" i="4"/>
  <c r="S31" i="4"/>
  <c r="R127" i="4"/>
  <c r="J15" i="4"/>
  <c r="I119" i="4"/>
  <c r="U15" i="4"/>
  <c r="T119" i="4"/>
  <c r="E15" i="4"/>
  <c r="D119" i="4"/>
  <c r="K15" i="4"/>
  <c r="J119" i="4"/>
  <c r="C121" i="4"/>
  <c r="C122" i="4" s="1"/>
  <c r="D122" i="4" s="1"/>
  <c r="E122" i="4" s="1"/>
  <c r="F122" i="4" s="1"/>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C107" i="4"/>
  <c r="AG107" i="4" s="1"/>
  <c r="W15" i="4"/>
  <c r="V119" i="4"/>
  <c r="V74" i="4"/>
  <c r="V88" i="4" s="1"/>
  <c r="U135" i="4" s="1"/>
  <c r="J86" i="4"/>
  <c r="J89" i="4" s="1"/>
  <c r="I137" i="4" s="1"/>
  <c r="P5" i="16"/>
  <c r="T36" i="2"/>
  <c r="T37" i="2"/>
  <c r="S15" i="4"/>
  <c r="S12" i="4"/>
  <c r="E6" i="17"/>
  <c r="AE39" i="2"/>
  <c r="AP109" i="1" s="1"/>
  <c r="AW109" i="1" s="1"/>
  <c r="H86" i="4"/>
  <c r="H89" i="4" s="1"/>
  <c r="G137" i="4" s="1"/>
  <c r="X44" i="2"/>
  <c r="K19" i="16"/>
  <c r="P3" i="16"/>
  <c r="T34" i="2"/>
  <c r="P74" i="4"/>
  <c r="P88" i="4" s="1"/>
  <c r="O135" i="4" s="1"/>
  <c r="F74" i="4"/>
  <c r="F88" i="4" s="1"/>
  <c r="E135" i="4" s="1"/>
  <c r="R15" i="4"/>
  <c r="L74" i="4"/>
  <c r="L88" i="4" s="1"/>
  <c r="K135" i="4" s="1"/>
  <c r="O86" i="4"/>
  <c r="O89" i="4" s="1"/>
  <c r="N137" i="4" s="1"/>
  <c r="Q15" i="4"/>
  <c r="G86" i="4"/>
  <c r="G89" i="4" s="1"/>
  <c r="F137" i="4" s="1"/>
  <c r="Z86" i="4"/>
  <c r="Z89" i="4" s="1"/>
  <c r="Y137" i="4" s="1"/>
  <c r="K74" i="4"/>
  <c r="K88" i="4" s="1"/>
  <c r="J135" i="4" s="1"/>
  <c r="N74" i="4"/>
  <c r="N88" i="4" s="1"/>
  <c r="M135" i="4" s="1"/>
  <c r="R86" i="4"/>
  <c r="R89" i="4" s="1"/>
  <c r="Q137" i="4" s="1"/>
  <c r="T74" i="4"/>
  <c r="T88" i="4" s="1"/>
  <c r="S135" i="4" s="1"/>
  <c r="H74" i="4"/>
  <c r="H88" i="4" s="1"/>
  <c r="G135" i="4" s="1"/>
  <c r="K86" i="4"/>
  <c r="K89" i="4" s="1"/>
  <c r="J137" i="4" s="1"/>
  <c r="D61" i="1"/>
  <c r="H61" i="1" s="1"/>
  <c r="AG61" i="1"/>
  <c r="Y74" i="4"/>
  <c r="Y88" i="4" s="1"/>
  <c r="X135" i="4" s="1"/>
  <c r="S74" i="4"/>
  <c r="S88" i="4" s="1"/>
  <c r="C88" i="4" s="1"/>
  <c r="AG22" i="1"/>
  <c r="D22" i="1"/>
  <c r="H22" i="1" s="1"/>
  <c r="Y86" i="4"/>
  <c r="Y89" i="4" s="1"/>
  <c r="X137" i="4" s="1"/>
  <c r="M86" i="4"/>
  <c r="M89" i="4" s="1"/>
  <c r="L137" i="4" s="1"/>
  <c r="N86" i="4"/>
  <c r="N89" i="4" s="1"/>
  <c r="M137" i="4" s="1"/>
  <c r="J74" i="4"/>
  <c r="J88" i="4" s="1"/>
  <c r="I135" i="4" s="1"/>
  <c r="R74" i="4"/>
  <c r="R88" i="4" s="1"/>
  <c r="Q135" i="4" s="1"/>
  <c r="W86" i="4"/>
  <c r="W89" i="4" s="1"/>
  <c r="V137" i="4" s="1"/>
  <c r="L86" i="4"/>
  <c r="L89" i="4" s="1"/>
  <c r="K137" i="4" s="1"/>
  <c r="F86" i="4"/>
  <c r="F89" i="4" s="1"/>
  <c r="E137" i="4" s="1"/>
  <c r="S86" i="4"/>
  <c r="S89" i="4" s="1"/>
  <c r="R137" i="4" s="1"/>
  <c r="I86" i="4"/>
  <c r="I89" i="4" s="1"/>
  <c r="H137" i="4" s="1"/>
  <c r="V86" i="4"/>
  <c r="V89" i="4" s="1"/>
  <c r="U137" i="4" s="1"/>
  <c r="X86" i="4"/>
  <c r="X89" i="4" s="1"/>
  <c r="W137" i="4" s="1"/>
  <c r="Z74" i="4"/>
  <c r="Z88" i="4" s="1"/>
  <c r="Y135" i="4" s="1"/>
  <c r="U74" i="4"/>
  <c r="U88" i="4" s="1"/>
  <c r="T135" i="4" s="1"/>
  <c r="U86" i="4"/>
  <c r="U89" i="4" s="1"/>
  <c r="T137" i="4" s="1"/>
  <c r="T86" i="4"/>
  <c r="T89" i="4" s="1"/>
  <c r="E74" i="4"/>
  <c r="E88" i="4" s="1"/>
  <c r="D135" i="4" s="1"/>
  <c r="P86" i="4"/>
  <c r="P89" i="4" s="1"/>
  <c r="O137" i="4" s="1"/>
  <c r="Q74" i="4"/>
  <c r="Q88" i="4" s="1"/>
  <c r="P135" i="4" s="1"/>
  <c r="O74" i="4"/>
  <c r="O88" i="4" s="1"/>
  <c r="N135" i="4" s="1"/>
  <c r="E86" i="4"/>
  <c r="E89" i="4" s="1"/>
  <c r="D137" i="4" s="1"/>
  <c r="G74" i="4"/>
  <c r="G88" i="4" s="1"/>
  <c r="F135" i="4" s="1"/>
  <c r="M74" i="4"/>
  <c r="M88" i="4" s="1"/>
  <c r="L135" i="4" s="1"/>
  <c r="X74" i="4"/>
  <c r="X88" i="4" s="1"/>
  <c r="W135" i="4" s="1"/>
  <c r="I74" i="4"/>
  <c r="I88" i="4" s="1"/>
  <c r="H135" i="4" s="1"/>
  <c r="F34" i="4"/>
  <c r="D13" i="4"/>
  <c r="H34" i="4"/>
  <c r="O15" i="4"/>
  <c r="L34" i="4"/>
  <c r="I15" i="4"/>
  <c r="Z34" i="4"/>
  <c r="M34" i="4"/>
  <c r="N34" i="4"/>
  <c r="V34" i="4"/>
  <c r="P15" i="4"/>
  <c r="D23" i="4"/>
  <c r="D32" i="4" s="1"/>
  <c r="C32" i="4" s="1"/>
  <c r="W34" i="4"/>
  <c r="R34" i="4"/>
  <c r="I34" i="4"/>
  <c r="T34" i="4"/>
  <c r="G34" i="4"/>
  <c r="O34" i="4"/>
  <c r="Q34" i="4"/>
  <c r="Q81" i="4"/>
  <c r="E34" i="4"/>
  <c r="K34" i="4"/>
  <c r="W69" i="4"/>
  <c r="D30" i="4"/>
  <c r="D33" i="4" s="1"/>
  <c r="C33" i="4" s="1"/>
  <c r="Y34" i="4"/>
  <c r="AG59" i="1"/>
  <c r="D81" i="4"/>
  <c r="D59" i="1"/>
  <c r="H59" i="1" s="1"/>
  <c r="X34" i="4"/>
  <c r="AG20" i="1"/>
  <c r="D69" i="4"/>
  <c r="P34" i="4"/>
  <c r="J34" i="4"/>
  <c r="U34" i="4"/>
  <c r="S34" i="4"/>
  <c r="D20" i="1"/>
  <c r="H20" i="1" s="1"/>
  <c r="C47" i="1"/>
  <c r="G47" i="1" s="1"/>
  <c r="C8" i="1"/>
  <c r="G8" i="1" s="1"/>
  <c r="C15" i="4" l="1"/>
  <c r="S137" i="4"/>
  <c r="C89" i="4"/>
  <c r="S87" i="4"/>
  <c r="R135" i="4"/>
  <c r="C108" i="4"/>
  <c r="AG108" i="4" s="1"/>
  <c r="C129" i="4"/>
  <c r="C130" i="4" s="1"/>
  <c r="D130" i="4" s="1"/>
  <c r="E130" i="4" s="1"/>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J103" i="1"/>
  <c r="AO104" i="1" s="1"/>
  <c r="AV104" i="1" s="1"/>
  <c r="C127" i="4"/>
  <c r="D15" i="4"/>
  <c r="C119" i="4"/>
  <c r="AJ104" i="1"/>
  <c r="E5" i="18"/>
  <c r="F5" i="18" s="1"/>
  <c r="F6" i="17"/>
  <c r="C18" i="17"/>
  <c r="D18" i="17" s="1"/>
  <c r="D5" i="18"/>
  <c r="U36" i="2"/>
  <c r="V37" i="2" s="1"/>
  <c r="Q5" i="16"/>
  <c r="L19" i="16"/>
  <c r="AC44" i="2"/>
  <c r="Q3" i="16"/>
  <c r="AJ33" i="2"/>
  <c r="AK33" i="2" s="1"/>
  <c r="AC34" i="2"/>
  <c r="H90" i="4"/>
  <c r="O90" i="4"/>
  <c r="L90" i="4"/>
  <c r="E90" i="4"/>
  <c r="J90" i="4"/>
  <c r="N90" i="4"/>
  <c r="I90" i="4"/>
  <c r="R90" i="4"/>
  <c r="M90" i="4"/>
  <c r="G90" i="4"/>
  <c r="K90" i="4"/>
  <c r="X90" i="4"/>
  <c r="Z90" i="4"/>
  <c r="Y90" i="4"/>
  <c r="T90" i="4"/>
  <c r="C90" i="4" s="1"/>
  <c r="F90" i="4"/>
  <c r="U90" i="4"/>
  <c r="S90" i="4"/>
  <c r="V90" i="4"/>
  <c r="W74" i="4"/>
  <c r="W88" i="4" s="1"/>
  <c r="D74" i="4"/>
  <c r="D88" i="4" s="1"/>
  <c r="Q86" i="4"/>
  <c r="Q89" i="4" s="1"/>
  <c r="P137" i="4" s="1"/>
  <c r="D86" i="4"/>
  <c r="D89" i="4" s="1"/>
  <c r="C137" i="4" s="1"/>
  <c r="C138" i="4" s="1"/>
  <c r="D138" i="4" s="1"/>
  <c r="E138" i="4" s="1"/>
  <c r="F138" i="4" s="1"/>
  <c r="G138" i="4" s="1"/>
  <c r="H138" i="4" s="1"/>
  <c r="I138" i="4" s="1"/>
  <c r="J138" i="4" s="1"/>
  <c r="K138" i="4" s="1"/>
  <c r="L138" i="4" s="1"/>
  <c r="M138" i="4" s="1"/>
  <c r="N138" i="4" s="1"/>
  <c r="O138" i="4" s="1"/>
  <c r="P138" i="4" s="1"/>
  <c r="Q138" i="4" s="1"/>
  <c r="R138" i="4" s="1"/>
  <c r="AK104" i="1"/>
  <c r="D16" i="4"/>
  <c r="P90" i="4"/>
  <c r="D34" i="4"/>
  <c r="C34" i="4" s="1"/>
  <c r="C14" i="1"/>
  <c r="G14" i="1" s="1"/>
  <c r="C53" i="1"/>
  <c r="G53" i="1" s="1"/>
  <c r="S138" i="4" l="1"/>
  <c r="T138" i="4" s="1"/>
  <c r="U138" i="4" s="1"/>
  <c r="V138" i="4" s="1"/>
  <c r="W138" i="4" s="1"/>
  <c r="X138" i="4" s="1"/>
  <c r="Y138" i="4" s="1"/>
  <c r="Z138" i="4" s="1"/>
  <c r="AA138" i="4" s="1"/>
  <c r="AB138" i="4" s="1"/>
  <c r="C120" i="4"/>
  <c r="D120" i="4" s="1"/>
  <c r="E120" i="4" s="1"/>
  <c r="F120" i="4" s="1"/>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C128" i="4"/>
  <c r="D128" i="4" s="1"/>
  <c r="E128" i="4" s="1"/>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1" i="38" a="1"/>
  <c r="C135" i="4"/>
  <c r="W90" i="4"/>
  <c r="V135" i="4"/>
  <c r="Y25" i="1"/>
  <c r="S36" i="4" s="1"/>
  <c r="Z25" i="1"/>
  <c r="T36" i="4" s="1"/>
  <c r="AA25" i="1"/>
  <c r="U36" i="4" s="1"/>
  <c r="AB25" i="1"/>
  <c r="V36" i="4" s="1"/>
  <c r="AC25" i="1"/>
  <c r="W36" i="4" s="1"/>
  <c r="AD25" i="1"/>
  <c r="X36" i="4" s="1"/>
  <c r="AE25" i="1"/>
  <c r="Y36" i="4" s="1"/>
  <c r="AF25" i="1"/>
  <c r="Z36" i="4" s="1"/>
  <c r="R5" i="16"/>
  <c r="AC36" i="2"/>
  <c r="E5" i="17" s="1"/>
  <c r="E4" i="18" s="1"/>
  <c r="AP103" i="1"/>
  <c r="W27" i="1"/>
  <c r="Q38" i="4" s="1"/>
  <c r="AF27" i="1"/>
  <c r="Z38" i="4" s="1"/>
  <c r="AA66" i="1"/>
  <c r="U49" i="4" s="1"/>
  <c r="U66" i="1"/>
  <c r="O49" i="4" s="1"/>
  <c r="N27" i="1"/>
  <c r="H38" i="4" s="1"/>
  <c r="AD27" i="1"/>
  <c r="X38" i="4" s="1"/>
  <c r="Q66" i="1"/>
  <c r="K49" i="4" s="1"/>
  <c r="V66" i="1"/>
  <c r="P49" i="4" s="1"/>
  <c r="AE27" i="1"/>
  <c r="Y38" i="4" s="1"/>
  <c r="O66" i="1"/>
  <c r="I49" i="4" s="1"/>
  <c r="Q27" i="1"/>
  <c r="K38" i="4" s="1"/>
  <c r="AE66" i="1"/>
  <c r="Y49" i="4" s="1"/>
  <c r="L27" i="1"/>
  <c r="F38" i="4" s="1"/>
  <c r="W66" i="1"/>
  <c r="Q49" i="4" s="1"/>
  <c r="P66" i="1"/>
  <c r="J49" i="4" s="1"/>
  <c r="S66" i="1"/>
  <c r="M49" i="4" s="1"/>
  <c r="S27" i="1"/>
  <c r="M38" i="4" s="1"/>
  <c r="AD66" i="1"/>
  <c r="X49" i="4" s="1"/>
  <c r="Z66" i="1"/>
  <c r="T49" i="4" s="1"/>
  <c r="Y66" i="1"/>
  <c r="S49" i="4" s="1"/>
  <c r="C9" i="17"/>
  <c r="C7" i="17" s="1"/>
  <c r="B19" i="17" s="1"/>
  <c r="D19" i="17" s="1"/>
  <c r="X66" i="1"/>
  <c r="R49" i="4" s="1"/>
  <c r="R66" i="1"/>
  <c r="L49" i="4" s="1"/>
  <c r="AF66" i="1"/>
  <c r="Z49" i="4" s="1"/>
  <c r="X27" i="1"/>
  <c r="R38" i="4" s="1"/>
  <c r="AA27" i="1"/>
  <c r="U38" i="4" s="1"/>
  <c r="P27" i="1"/>
  <c r="J38" i="4" s="1"/>
  <c r="M27" i="1"/>
  <c r="G38" i="4" s="1"/>
  <c r="K27" i="1"/>
  <c r="E38" i="4" s="1"/>
  <c r="AB66" i="1"/>
  <c r="V49" i="4" s="1"/>
  <c r="AO41" i="2"/>
  <c r="M66" i="1"/>
  <c r="G49" i="4" s="1"/>
  <c r="AC27" i="1"/>
  <c r="W38" i="4" s="1"/>
  <c r="N66" i="1"/>
  <c r="H49" i="4" s="1"/>
  <c r="O27" i="1"/>
  <c r="I38" i="4" s="1"/>
  <c r="AE44" i="2"/>
  <c r="AP110" i="1" s="1"/>
  <c r="AW110" i="1" s="1"/>
  <c r="T66" i="1"/>
  <c r="N49" i="4" s="1"/>
  <c r="AC66" i="1"/>
  <c r="W49" i="4" s="1"/>
  <c r="U27" i="1"/>
  <c r="O38" i="4" s="1"/>
  <c r="Z27" i="1"/>
  <c r="T38" i="4" s="1"/>
  <c r="J66" i="1"/>
  <c r="V27" i="1"/>
  <c r="P38" i="4" s="1"/>
  <c r="J27" i="1"/>
  <c r="Y27" i="1"/>
  <c r="S38" i="4" s="1"/>
  <c r="R27" i="1"/>
  <c r="L38" i="4" s="1"/>
  <c r="L66" i="1"/>
  <c r="AE43" i="2"/>
  <c r="AO110" i="1" s="1"/>
  <c r="AV110" i="1" s="1"/>
  <c r="K66" i="1"/>
  <c r="E49" i="4" s="1"/>
  <c r="T27" i="1"/>
  <c r="N38" i="4" s="1"/>
  <c r="AB27" i="1"/>
  <c r="V38" i="4" s="1"/>
  <c r="AO103" i="1"/>
  <c r="AV103" i="1" s="1"/>
  <c r="D5" i="17"/>
  <c r="C5" i="17"/>
  <c r="AE33" i="2"/>
  <c r="AE34" i="2"/>
  <c r="M64" i="1"/>
  <c r="G47" i="4" s="1"/>
  <c r="R25" i="1"/>
  <c r="L36" i="4" s="1"/>
  <c r="U25" i="1"/>
  <c r="O36" i="4" s="1"/>
  <c r="W47" i="4"/>
  <c r="O64" i="1"/>
  <c r="I47" i="4" s="1"/>
  <c r="P64" i="1"/>
  <c r="J47" i="4" s="1"/>
  <c r="P25" i="1"/>
  <c r="J36" i="4" s="1"/>
  <c r="J25" i="1"/>
  <c r="W64" i="1"/>
  <c r="Q47" i="4" s="1"/>
  <c r="X64" i="1"/>
  <c r="R47" i="4" s="1"/>
  <c r="Q64" i="1"/>
  <c r="K47" i="4" s="1"/>
  <c r="X25" i="1"/>
  <c r="R36" i="4" s="1"/>
  <c r="S64" i="1"/>
  <c r="M47" i="4" s="1"/>
  <c r="N64" i="1"/>
  <c r="H47" i="4" s="1"/>
  <c r="Y47" i="4"/>
  <c r="Z47" i="4"/>
  <c r="S47" i="4"/>
  <c r="Q25" i="1"/>
  <c r="K36" i="4" s="1"/>
  <c r="V64" i="1"/>
  <c r="P47" i="4" s="1"/>
  <c r="N25" i="1"/>
  <c r="H36" i="4" s="1"/>
  <c r="V25" i="1"/>
  <c r="P36" i="4" s="1"/>
  <c r="L64" i="1"/>
  <c r="X47" i="4"/>
  <c r="O25" i="1"/>
  <c r="I36" i="4" s="1"/>
  <c r="R64" i="1"/>
  <c r="L47" i="4" s="1"/>
  <c r="J64" i="1"/>
  <c r="T64" i="1"/>
  <c r="N47" i="4" s="1"/>
  <c r="U64" i="1"/>
  <c r="O47" i="4" s="1"/>
  <c r="K25" i="1"/>
  <c r="E36" i="4" s="1"/>
  <c r="L25" i="1"/>
  <c r="F36" i="4" s="1"/>
  <c r="K64" i="1"/>
  <c r="E47" i="4" s="1"/>
  <c r="W25" i="1"/>
  <c r="Q36" i="4" s="1"/>
  <c r="V47" i="4"/>
  <c r="T47" i="4"/>
  <c r="S25" i="1"/>
  <c r="M36" i="4" s="1"/>
  <c r="T25" i="1"/>
  <c r="N36" i="4" s="1"/>
  <c r="M25" i="1"/>
  <c r="G36" i="4" s="1"/>
  <c r="U47" i="4"/>
  <c r="Q90" i="4"/>
  <c r="D35" i="4"/>
  <c r="AK103" i="1"/>
  <c r="AP104" i="1" s="1"/>
  <c r="AW104" i="1" s="1"/>
  <c r="D90" i="4"/>
  <c r="AJ105" i="1"/>
  <c r="AO106" i="1" s="1"/>
  <c r="AV106" i="1" s="1"/>
  <c r="AL104" i="1"/>
  <c r="AI119" i="1" s="1"/>
  <c r="P26" i="1"/>
  <c r="AB26" i="1"/>
  <c r="Q26" i="1"/>
  <c r="AC26" i="1"/>
  <c r="W26" i="1"/>
  <c r="R26" i="1"/>
  <c r="AD26" i="1"/>
  <c r="S26" i="1"/>
  <c r="AE26" i="1"/>
  <c r="K26" i="1"/>
  <c r="L26" i="1"/>
  <c r="M26" i="1"/>
  <c r="Y26" i="1"/>
  <c r="N26" i="1"/>
  <c r="Z26" i="1"/>
  <c r="O26" i="1"/>
  <c r="AA26" i="1"/>
  <c r="T26" i="1"/>
  <c r="AF26" i="1"/>
  <c r="X26" i="1"/>
  <c r="U26" i="1"/>
  <c r="V26" i="1"/>
  <c r="AF65" i="1"/>
  <c r="AE65" i="1"/>
  <c r="R65" i="1"/>
  <c r="W65" i="1"/>
  <c r="J26" i="1"/>
  <c r="Y65" i="1"/>
  <c r="AB65" i="1"/>
  <c r="AA65" i="1"/>
  <c r="L65" i="1"/>
  <c r="Z65" i="1"/>
  <c r="AD65" i="1"/>
  <c r="M65" i="1"/>
  <c r="AC65" i="1"/>
  <c r="Q65" i="1"/>
  <c r="O65" i="1"/>
  <c r="N65" i="1"/>
  <c r="U65" i="1"/>
  <c r="K65" i="1"/>
  <c r="V65" i="1"/>
  <c r="S65" i="1"/>
  <c r="X65" i="1"/>
  <c r="J65" i="1"/>
  <c r="P65" i="1"/>
  <c r="T65" i="1"/>
  <c r="C136" i="4" l="1"/>
  <c r="D136" i="4" s="1"/>
  <c r="E136" i="4" s="1"/>
  <c r="F136" i="4" s="1"/>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1" i="38"/>
  <c r="N2" i="38"/>
  <c r="A2" i="37" a="1"/>
  <c r="AL103" i="1"/>
  <c r="AI118" i="1" s="1"/>
  <c r="AW103" i="1"/>
  <c r="D66" i="1"/>
  <c r="H66" i="1" s="1"/>
  <c r="F49" i="4"/>
  <c r="AG27" i="1"/>
  <c r="D27" i="1"/>
  <c r="H27" i="1" s="1"/>
  <c r="D38" i="4"/>
  <c r="AG66" i="1"/>
  <c r="D49" i="4"/>
  <c r="AG64" i="1"/>
  <c r="D47" i="4"/>
  <c r="F47" i="4"/>
  <c r="D64" i="1"/>
  <c r="H64" i="1" s="1"/>
  <c r="D25" i="1"/>
  <c r="H25" i="1" s="1"/>
  <c r="AG25" i="1"/>
  <c r="D36" i="4"/>
  <c r="C4" i="18"/>
  <c r="F4" i="18" s="1"/>
  <c r="F5" i="17"/>
  <c r="AK105" i="1"/>
  <c r="AP106" i="1" s="1"/>
  <c r="AW106" i="1" s="1"/>
  <c r="C109" i="4"/>
  <c r="AG109" i="4" s="1"/>
  <c r="D91" i="4"/>
  <c r="F48" i="4"/>
  <c r="AG65" i="1"/>
  <c r="D37" i="4"/>
  <c r="AG26" i="1"/>
  <c r="R37" i="4"/>
  <c r="M37" i="4"/>
  <c r="S48" i="4"/>
  <c r="U37" i="4"/>
  <c r="Q37" i="4"/>
  <c r="G48" i="4"/>
  <c r="G37" i="4"/>
  <c r="Z48" i="4"/>
  <c r="T48" i="4"/>
  <c r="E37" i="4"/>
  <c r="O37" i="4"/>
  <c r="V48" i="4"/>
  <c r="X37" i="4"/>
  <c r="N37" i="4"/>
  <c r="H48" i="4"/>
  <c r="W37" i="4"/>
  <c r="D48" i="4"/>
  <c r="I37" i="4"/>
  <c r="V37" i="4"/>
  <c r="N48" i="4"/>
  <c r="J48" i="4"/>
  <c r="X48" i="4"/>
  <c r="F37" i="4"/>
  <c r="P37" i="4"/>
  <c r="R48" i="4"/>
  <c r="Y37" i="4"/>
  <c r="M48" i="4"/>
  <c r="U48" i="4"/>
  <c r="P48" i="4"/>
  <c r="Z37" i="4"/>
  <c r="E48" i="4"/>
  <c r="L37" i="4"/>
  <c r="O48" i="4"/>
  <c r="I48" i="4"/>
  <c r="Q48" i="4"/>
  <c r="T37" i="4"/>
  <c r="K37" i="4"/>
  <c r="K48" i="4"/>
  <c r="L48" i="4"/>
  <c r="H37" i="4"/>
  <c r="W48" i="4"/>
  <c r="Y48" i="4"/>
  <c r="S37" i="4"/>
  <c r="J37" i="4"/>
  <c r="D65" i="1"/>
  <c r="D26" i="1"/>
  <c r="H26" i="1" s="1"/>
  <c r="A2" i="37" l="1"/>
  <c r="N2" i="37"/>
  <c r="AL105" i="1"/>
  <c r="AI120" i="1" s="1"/>
  <c r="H65" i="1"/>
  <c r="N2" i="39" l="1"/>
  <c r="R48" i="2"/>
  <c r="R88" i="2" l="1"/>
  <c r="R89" i="2" s="1"/>
  <c r="S89" i="2" s="1"/>
  <c r="C25" i="16"/>
  <c r="R49" i="2"/>
  <c r="C26" i="16" l="1"/>
  <c r="T89" i="2"/>
  <c r="S49" i="2"/>
  <c r="T49" i="2" l="1"/>
  <c r="T52" i="2" s="1"/>
  <c r="D26" i="16"/>
  <c r="H53" i="4"/>
  <c r="V42" i="4"/>
  <c r="H42" i="4"/>
  <c r="I53" i="4"/>
  <c r="Q53" i="4"/>
  <c r="W53" i="4"/>
  <c r="Q42" i="4"/>
  <c r="U42" i="4"/>
  <c r="N42" i="4"/>
  <c r="M42" i="4"/>
  <c r="K42" i="4"/>
  <c r="G42" i="4"/>
  <c r="N53" i="4"/>
  <c r="R42" i="4"/>
  <c r="Y53" i="4"/>
  <c r="O53" i="4"/>
  <c r="T53" i="4"/>
  <c r="E42" i="4"/>
  <c r="S53" i="4"/>
  <c r="J53" i="4"/>
  <c r="Z42" i="4"/>
  <c r="M53" i="4"/>
  <c r="P42" i="4"/>
  <c r="T42" i="4"/>
  <c r="X42" i="4"/>
  <c r="L42" i="4"/>
  <c r="U53" i="4"/>
  <c r="L53" i="4"/>
  <c r="G53" i="4"/>
  <c r="I42" i="4"/>
  <c r="P53" i="4"/>
  <c r="W42" i="4"/>
  <c r="Z53" i="4"/>
  <c r="F42" i="4"/>
  <c r="J42" i="4"/>
  <c r="X53" i="4"/>
  <c r="Y42" i="4"/>
  <c r="O42" i="4"/>
  <c r="S42" i="4"/>
  <c r="K53" i="4"/>
  <c r="V53" i="4"/>
  <c r="R53" i="4"/>
  <c r="U49" i="2" l="1"/>
  <c r="D11" i="17" s="1"/>
  <c r="E26" i="16"/>
  <c r="D31" i="1"/>
  <c r="H31" i="1" s="1"/>
  <c r="AG31" i="1"/>
  <c r="D42" i="4"/>
  <c r="D70" i="1"/>
  <c r="H70" i="1" s="1"/>
  <c r="F53" i="4"/>
  <c r="D10" i="17" l="1"/>
  <c r="F10" i="17" s="1"/>
  <c r="F11" i="17"/>
  <c r="V49" i="2"/>
  <c r="F26" i="16"/>
  <c r="W49" i="2" l="1"/>
  <c r="G26" i="16"/>
  <c r="X49" i="2" l="1"/>
  <c r="H26" i="16"/>
  <c r="Y49" i="2" l="1"/>
  <c r="I26" i="16"/>
  <c r="Z49" i="2" l="1"/>
  <c r="J26" i="16"/>
  <c r="AA49" i="2" l="1"/>
  <c r="K26" i="16"/>
  <c r="AB49" i="2" l="1"/>
  <c r="AC49" i="2" s="1"/>
  <c r="L26" i="16"/>
  <c r="C11" i="17" l="1"/>
  <c r="AE49" i="2"/>
  <c r="AE48" i="2"/>
  <c r="L67" i="1"/>
  <c r="AB67" i="1"/>
  <c r="V50" i="4" s="1"/>
  <c r="U28" i="1"/>
  <c r="O39" i="4" s="1"/>
  <c r="X28" i="1"/>
  <c r="R39" i="4" s="1"/>
  <c r="AF67" i="1"/>
  <c r="Z50" i="4" s="1"/>
  <c r="Y28" i="1"/>
  <c r="S39" i="4" s="1"/>
  <c r="K67" i="1"/>
  <c r="E50" i="4" s="1"/>
  <c r="N28" i="1"/>
  <c r="H39" i="4" s="1"/>
  <c r="P67" i="1"/>
  <c r="J50" i="4" s="1"/>
  <c r="AA28" i="1"/>
  <c r="U39" i="4" s="1"/>
  <c r="AB28" i="1"/>
  <c r="V39" i="4" s="1"/>
  <c r="O67" i="1"/>
  <c r="I50" i="4" s="1"/>
  <c r="M28" i="1"/>
  <c r="G39" i="4" s="1"/>
  <c r="Y67" i="1"/>
  <c r="S50" i="4" s="1"/>
  <c r="R28" i="1"/>
  <c r="L39" i="4" s="1"/>
  <c r="AC28" i="1"/>
  <c r="W39" i="4" s="1"/>
  <c r="AF28" i="1"/>
  <c r="Z39" i="4" s="1"/>
  <c r="K28" i="1"/>
  <c r="E39" i="4" s="1"/>
  <c r="W28" i="1"/>
  <c r="Q39" i="4" s="1"/>
  <c r="T67" i="1"/>
  <c r="N50" i="4" s="1"/>
  <c r="AC67" i="1"/>
  <c r="W50" i="4" s="1"/>
  <c r="Z67" i="1"/>
  <c r="T50" i="4" s="1"/>
  <c r="V67" i="1"/>
  <c r="P50" i="4" s="1"/>
  <c r="Z28" i="1"/>
  <c r="T39" i="4" s="1"/>
  <c r="AA67" i="1"/>
  <c r="U50" i="4" s="1"/>
  <c r="AE67" i="1"/>
  <c r="Y50" i="4" s="1"/>
  <c r="T28" i="1"/>
  <c r="N39" i="4" s="1"/>
  <c r="S67" i="1"/>
  <c r="M50" i="4" s="1"/>
  <c r="W67" i="1"/>
  <c r="Q50" i="4" s="1"/>
  <c r="P28" i="1"/>
  <c r="J39" i="4" s="1"/>
  <c r="O28" i="1"/>
  <c r="I39" i="4" s="1"/>
  <c r="Q67" i="1"/>
  <c r="K50" i="4" s="1"/>
  <c r="J28" i="1"/>
  <c r="S28" i="1"/>
  <c r="M39" i="4" s="1"/>
  <c r="V28" i="1"/>
  <c r="P39" i="4" s="1"/>
  <c r="AD67" i="1"/>
  <c r="X50" i="4" s="1"/>
  <c r="N67" i="1"/>
  <c r="H50" i="4" s="1"/>
  <c r="AD28" i="1"/>
  <c r="X39" i="4" s="1"/>
  <c r="X67" i="1"/>
  <c r="R50" i="4" s="1"/>
  <c r="AE28" i="1"/>
  <c r="Y39" i="4" s="1"/>
  <c r="J67" i="1"/>
  <c r="R67" i="1"/>
  <c r="L50" i="4" s="1"/>
  <c r="U67" i="1"/>
  <c r="O50" i="4" s="1"/>
  <c r="M67" i="1"/>
  <c r="G50" i="4" s="1"/>
  <c r="L28" i="1"/>
  <c r="F39" i="4" s="1"/>
  <c r="Q28" i="1"/>
  <c r="K39" i="4" s="1"/>
  <c r="B20" i="17" l="1"/>
  <c r="D20" i="17" s="1"/>
  <c r="C10" i="17"/>
  <c r="D50" i="4"/>
  <c r="AG67" i="1"/>
  <c r="D39" i="4"/>
  <c r="AG28" i="1"/>
  <c r="D28" i="1"/>
  <c r="H28" i="1" s="1"/>
  <c r="F50" i="4"/>
  <c r="D67" i="1"/>
  <c r="H67" i="1" s="1"/>
  <c r="U53" i="2" l="1"/>
  <c r="G32" i="16" l="1"/>
  <c r="G13" i="17"/>
  <c r="U88" i="2"/>
  <c r="U89" i="2" s="1"/>
  <c r="AN42" i="2" s="1"/>
  <c r="U54" i="2"/>
  <c r="D13" i="17" s="1"/>
  <c r="G12" i="17" l="1"/>
  <c r="G11" i="18"/>
  <c r="G9" i="18" s="1"/>
  <c r="F13" i="17"/>
  <c r="F12" i="17" s="1"/>
  <c r="D12" i="17"/>
  <c r="V54" i="2"/>
  <c r="G33" i="16"/>
  <c r="V89" i="2"/>
  <c r="W89" i="2" s="1"/>
  <c r="X89" i="2" s="1"/>
  <c r="Y89" i="2" s="1"/>
  <c r="Z89" i="2" s="1"/>
  <c r="AA89" i="2" s="1"/>
  <c r="AB89" i="2" s="1"/>
  <c r="K11" i="18"/>
  <c r="K9" i="18" s="1"/>
  <c r="J12" i="17"/>
  <c r="W54" i="2" l="1"/>
  <c r="H33" i="16"/>
  <c r="AC89" i="2"/>
  <c r="AE89" i="2" l="1"/>
  <c r="AP112" i="1" s="1"/>
  <c r="AW112" i="1" s="1"/>
  <c r="AO42" i="2"/>
  <c r="AE88" i="2"/>
  <c r="AO112" i="1" s="1"/>
  <c r="AV112" i="1" s="1"/>
  <c r="J70" i="1"/>
  <c r="K70" i="1"/>
  <c r="E53" i="4" s="1"/>
  <c r="I33" i="16"/>
  <c r="X54" i="2"/>
  <c r="Y54" i="2" l="1"/>
  <c r="J33" i="16"/>
  <c r="AG70" i="1"/>
  <c r="D53" i="4"/>
  <c r="Z54" i="2" l="1"/>
  <c r="K33" i="16"/>
  <c r="AA54" i="2" l="1"/>
  <c r="L33" i="16"/>
  <c r="M33" i="16" l="1"/>
  <c r="AB54" i="2"/>
  <c r="N33" i="16" l="1"/>
  <c r="AC54" i="2"/>
  <c r="J29" i="1" l="1"/>
  <c r="AC29" i="1"/>
  <c r="Q68" i="1"/>
  <c r="Y29" i="1"/>
  <c r="S29" i="1"/>
  <c r="M29" i="1"/>
  <c r="U68" i="1"/>
  <c r="AE54" i="2"/>
  <c r="K29" i="1"/>
  <c r="V68" i="1"/>
  <c r="X29" i="1"/>
  <c r="AD29" i="1"/>
  <c r="N29" i="1"/>
  <c r="AE53" i="2"/>
  <c r="AF68" i="1"/>
  <c r="T68" i="1"/>
  <c r="P29" i="1"/>
  <c r="X68" i="1"/>
  <c r="U29" i="1"/>
  <c r="AF57" i="2"/>
  <c r="K68" i="1"/>
  <c r="V29" i="1"/>
  <c r="Z68" i="1"/>
  <c r="T29" i="1"/>
  <c r="O68" i="1"/>
  <c r="Q29" i="1"/>
  <c r="O29" i="1"/>
  <c r="AA68" i="1"/>
  <c r="W29" i="1"/>
  <c r="AE29" i="1"/>
  <c r="AB29" i="1"/>
  <c r="AE68" i="1"/>
  <c r="AC68" i="1"/>
  <c r="Y68" i="1"/>
  <c r="R29" i="1"/>
  <c r="C13" i="17"/>
  <c r="C12" i="17" s="1"/>
  <c r="S68" i="1"/>
  <c r="M68" i="1"/>
  <c r="AB68" i="1"/>
  <c r="W68" i="1"/>
  <c r="P68" i="1"/>
  <c r="N68" i="1"/>
  <c r="AA29" i="1"/>
  <c r="L68" i="1"/>
  <c r="L29" i="1"/>
  <c r="Z29" i="1"/>
  <c r="AD68" i="1"/>
  <c r="R68" i="1"/>
  <c r="J68" i="1"/>
  <c r="AF29" i="1"/>
  <c r="AE78" i="1" l="1"/>
  <c r="Y51" i="4"/>
  <c r="Y57" i="4" s="1"/>
  <c r="Y60" i="4" s="1"/>
  <c r="X145" i="4" s="1"/>
  <c r="AE39" i="1"/>
  <c r="Y40" i="4"/>
  <c r="Y46" i="4" s="1"/>
  <c r="Y59" i="4" s="1"/>
  <c r="X143" i="4" s="1"/>
  <c r="Q51" i="4"/>
  <c r="Q57" i="4" s="1"/>
  <c r="Q60" i="4" s="1"/>
  <c r="P145" i="4" s="1"/>
  <c r="W78" i="1"/>
  <c r="T78" i="1"/>
  <c r="N51" i="4"/>
  <c r="N57" i="4" s="1"/>
  <c r="N60" i="4" s="1"/>
  <c r="M145" i="4" s="1"/>
  <c r="V51" i="4"/>
  <c r="V57" i="4" s="1"/>
  <c r="V60" i="4" s="1"/>
  <c r="U145" i="4" s="1"/>
  <c r="AB78" i="1"/>
  <c r="AF78" i="1"/>
  <c r="Z51" i="4"/>
  <c r="Z57" i="4" s="1"/>
  <c r="Z60" i="4" s="1"/>
  <c r="Y145" i="4" s="1"/>
  <c r="M51" i="4"/>
  <c r="M57" i="4" s="1"/>
  <c r="M60" i="4" s="1"/>
  <c r="L145" i="4" s="1"/>
  <c r="S78" i="1"/>
  <c r="U51" i="4"/>
  <c r="U57" i="4" s="1"/>
  <c r="U60" i="4" s="1"/>
  <c r="T145" i="4" s="1"/>
  <c r="AA78" i="1"/>
  <c r="T39" i="1"/>
  <c r="N40" i="4"/>
  <c r="N46" i="4" s="1"/>
  <c r="N59" i="4" s="1"/>
  <c r="M143" i="4" s="1"/>
  <c r="O51" i="4"/>
  <c r="O57" i="4" s="1"/>
  <c r="O60" i="4" s="1"/>
  <c r="N145" i="4" s="1"/>
  <c r="U78" i="1"/>
  <c r="N39" i="1"/>
  <c r="H40" i="4"/>
  <c r="H46" i="4" s="1"/>
  <c r="H59" i="4" s="1"/>
  <c r="G143" i="4" s="1"/>
  <c r="U40" i="4"/>
  <c r="U46" i="4" s="1"/>
  <c r="U59" i="4" s="1"/>
  <c r="T143" i="4" s="1"/>
  <c r="AA39" i="1"/>
  <c r="L51" i="4"/>
  <c r="L57" i="4" s="1"/>
  <c r="L60" i="4" s="1"/>
  <c r="K145" i="4" s="1"/>
  <c r="R78" i="1"/>
  <c r="AD78" i="1"/>
  <c r="X51" i="4"/>
  <c r="X57" i="4" s="1"/>
  <c r="X60" i="4" s="1"/>
  <c r="W145" i="4" s="1"/>
  <c r="Z78" i="1"/>
  <c r="Z92" i="1" s="1"/>
  <c r="T51" i="4"/>
  <c r="T57" i="4" s="1"/>
  <c r="T60" i="4" s="1"/>
  <c r="G51" i="4"/>
  <c r="G57" i="4" s="1"/>
  <c r="G60" i="4" s="1"/>
  <c r="F145" i="4" s="1"/>
  <c r="M78" i="1"/>
  <c r="M39" i="1"/>
  <c r="G40" i="4"/>
  <c r="G46" i="4" s="1"/>
  <c r="G59" i="4" s="1"/>
  <c r="F143" i="4" s="1"/>
  <c r="E51" i="4"/>
  <c r="E57" i="4" s="1"/>
  <c r="E60" i="4" s="1"/>
  <c r="D145" i="4" s="1"/>
  <c r="K78" i="1"/>
  <c r="X39" i="1"/>
  <c r="R40" i="4"/>
  <c r="R46" i="4" s="1"/>
  <c r="R59" i="4" s="1"/>
  <c r="Q143" i="4" s="1"/>
  <c r="AF39" i="1"/>
  <c r="Z40" i="4"/>
  <c r="Z46" i="4" s="1"/>
  <c r="Z59" i="4" s="1"/>
  <c r="Y143" i="4" s="1"/>
  <c r="Q39" i="1"/>
  <c r="K40" i="4"/>
  <c r="K46" i="4" s="1"/>
  <c r="K59" i="4" s="1"/>
  <c r="J143" i="4" s="1"/>
  <c r="V78" i="1"/>
  <c r="P51" i="4"/>
  <c r="P57" i="4" s="1"/>
  <c r="P60" i="4" s="1"/>
  <c r="O145" i="4" s="1"/>
  <c r="AC39" i="1"/>
  <c r="W40" i="4"/>
  <c r="W46" i="4" s="1"/>
  <c r="W59" i="4" s="1"/>
  <c r="V143" i="4" s="1"/>
  <c r="V40" i="4"/>
  <c r="V46" i="4" s="1"/>
  <c r="V59" i="4" s="1"/>
  <c r="U143" i="4" s="1"/>
  <c r="AB39" i="1"/>
  <c r="Z39" i="1"/>
  <c r="T40" i="4"/>
  <c r="T46" i="4" s="1"/>
  <c r="T59" i="4" s="1"/>
  <c r="S143" i="4" s="1"/>
  <c r="V39" i="1"/>
  <c r="P40" i="4"/>
  <c r="P46" i="4" s="1"/>
  <c r="P59" i="4" s="1"/>
  <c r="O143" i="4" s="1"/>
  <c r="F40" i="4"/>
  <c r="F46" i="4" s="1"/>
  <c r="F59" i="4" s="1"/>
  <c r="E143" i="4" s="1"/>
  <c r="Q40" i="4"/>
  <c r="Q46" i="4" s="1"/>
  <c r="Q59" i="4" s="1"/>
  <c r="P143" i="4" s="1"/>
  <c r="W39" i="1"/>
  <c r="S39" i="1"/>
  <c r="M40" i="4"/>
  <c r="M46" i="4" s="1"/>
  <c r="M59" i="4" s="1"/>
  <c r="L143" i="4" s="1"/>
  <c r="L78" i="1"/>
  <c r="F51" i="4"/>
  <c r="F57" i="4" s="1"/>
  <c r="F60" i="4" s="1"/>
  <c r="E145" i="4" s="1"/>
  <c r="D68" i="1"/>
  <c r="AD39" i="1"/>
  <c r="X40" i="4"/>
  <c r="X46" i="4" s="1"/>
  <c r="X59" i="4" s="1"/>
  <c r="W143" i="4" s="1"/>
  <c r="Y39" i="1"/>
  <c r="S40" i="4"/>
  <c r="S46" i="4" s="1"/>
  <c r="S59" i="4" s="1"/>
  <c r="C59" i="4" s="1"/>
  <c r="L40" i="4"/>
  <c r="L46" i="4" s="1"/>
  <c r="L59" i="4" s="1"/>
  <c r="R39" i="1"/>
  <c r="I40" i="4"/>
  <c r="I46" i="4" s="1"/>
  <c r="I59" i="4" s="1"/>
  <c r="H143" i="4" s="1"/>
  <c r="O39" i="1"/>
  <c r="O40" i="4"/>
  <c r="O46" i="4" s="1"/>
  <c r="O59" i="4" s="1"/>
  <c r="N143" i="4" s="1"/>
  <c r="U39" i="1"/>
  <c r="K51" i="4"/>
  <c r="K57" i="4" s="1"/>
  <c r="K60" i="4" s="1"/>
  <c r="J145" i="4" s="1"/>
  <c r="Q78" i="1"/>
  <c r="H51" i="4"/>
  <c r="H57" i="4" s="1"/>
  <c r="H60" i="4" s="1"/>
  <c r="G145" i="4" s="1"/>
  <c r="N78" i="1"/>
  <c r="S51" i="4"/>
  <c r="S57" i="4" s="1"/>
  <c r="S60" i="4" s="1"/>
  <c r="R145" i="4" s="1"/>
  <c r="Y78" i="1"/>
  <c r="R51" i="4"/>
  <c r="R57" i="4" s="1"/>
  <c r="R60" i="4" s="1"/>
  <c r="Q145" i="4" s="1"/>
  <c r="X78" i="1"/>
  <c r="D51" i="4"/>
  <c r="D57" i="4" s="1"/>
  <c r="D60" i="4" s="1"/>
  <c r="C145" i="4" s="1"/>
  <c r="C146" i="4" s="1"/>
  <c r="D146" i="4" s="1"/>
  <c r="E146" i="4" s="1"/>
  <c r="F146" i="4" s="1"/>
  <c r="G146" i="4" s="1"/>
  <c r="H146" i="4" s="1"/>
  <c r="I146" i="4" s="1"/>
  <c r="J146" i="4" s="1"/>
  <c r="K146" i="4" s="1"/>
  <c r="L146" i="4" s="1"/>
  <c r="M146" i="4" s="1"/>
  <c r="N146" i="4" s="1"/>
  <c r="O146" i="4" s="1"/>
  <c r="P146" i="4" s="1"/>
  <c r="AG68" i="1"/>
  <c r="J78" i="1"/>
  <c r="J51" i="4"/>
  <c r="J57" i="4" s="1"/>
  <c r="J60" i="4" s="1"/>
  <c r="I145" i="4" s="1"/>
  <c r="P78" i="1"/>
  <c r="AC78" i="1"/>
  <c r="W51" i="4"/>
  <c r="W57" i="4" s="1"/>
  <c r="W60" i="4" s="1"/>
  <c r="V145" i="4" s="1"/>
  <c r="I51" i="4"/>
  <c r="I57" i="4" s="1"/>
  <c r="I60" i="4" s="1"/>
  <c r="H145" i="4" s="1"/>
  <c r="O78" i="1"/>
  <c r="P39" i="1"/>
  <c r="J40" i="4"/>
  <c r="J46" i="4" s="1"/>
  <c r="J59" i="4" s="1"/>
  <c r="I143" i="4" s="1"/>
  <c r="K39" i="1"/>
  <c r="L39" i="1" s="1"/>
  <c r="E40" i="4"/>
  <c r="E46" i="4" s="1"/>
  <c r="E59" i="4" s="1"/>
  <c r="D143" i="4" s="1"/>
  <c r="D40" i="4"/>
  <c r="D46" i="4" s="1"/>
  <c r="D59" i="4" s="1"/>
  <c r="C143" i="4" s="1"/>
  <c r="C144" i="4" s="1"/>
  <c r="D144" i="4" s="1"/>
  <c r="AG29" i="1"/>
  <c r="D29" i="1"/>
  <c r="J39" i="1"/>
  <c r="Q146" i="4" l="1"/>
  <c r="S145" i="4"/>
  <c r="C60" i="4"/>
  <c r="AK106" i="1" s="1"/>
  <c r="AP108" i="1" s="1"/>
  <c r="AW108" i="1" s="1"/>
  <c r="E144" i="4"/>
  <c r="F144" i="4" s="1"/>
  <c r="G144" i="4" s="1"/>
  <c r="H144" i="4" s="1"/>
  <c r="I144" i="4" s="1"/>
  <c r="J144" i="4" s="1"/>
  <c r="S58" i="4"/>
  <c r="R143" i="4"/>
  <c r="L61" i="4"/>
  <c r="K143" i="4"/>
  <c r="K144" i="4" s="1"/>
  <c r="L144" i="4" s="1"/>
  <c r="M144" i="4" s="1"/>
  <c r="N144" i="4" s="1"/>
  <c r="O144" i="4" s="1"/>
  <c r="P144" i="4" s="1"/>
  <c r="Q144" i="4" s="1"/>
  <c r="R144" i="4" s="1"/>
  <c r="S144" i="4" s="1"/>
  <c r="T144" i="4" s="1"/>
  <c r="U144" i="4" s="1"/>
  <c r="V144" i="4" s="1"/>
  <c r="W144" i="4" s="1"/>
  <c r="X144" i="4" s="1"/>
  <c r="Y144" i="4" s="1"/>
  <c r="Z144" i="4" s="1"/>
  <c r="AA144" i="4" s="1"/>
  <c r="AB144" i="4" s="1"/>
  <c r="R146" i="4"/>
  <c r="E61" i="4"/>
  <c r="P61" i="4"/>
  <c r="AJ106" i="1"/>
  <c r="M61" i="4"/>
  <c r="U61" i="4"/>
  <c r="X61" i="4"/>
  <c r="Z61" i="4"/>
  <c r="V61" i="4"/>
  <c r="Q61" i="4"/>
  <c r="O61" i="4"/>
  <c r="F61" i="4"/>
  <c r="Y61" i="4"/>
  <c r="L90" i="1"/>
  <c r="Y90" i="1"/>
  <c r="M92" i="1"/>
  <c r="AA90" i="1"/>
  <c r="H29" i="1"/>
  <c r="C25" i="1"/>
  <c r="G25" i="1" s="1"/>
  <c r="AF90" i="1"/>
  <c r="AF96" i="1" s="1"/>
  <c r="T92" i="1"/>
  <c r="AG39" i="1"/>
  <c r="J90" i="1"/>
  <c r="J91" i="1" s="1"/>
  <c r="J40" i="1"/>
  <c r="K40" i="1" s="1"/>
  <c r="L40" i="1" s="1"/>
  <c r="M40" i="1" s="1"/>
  <c r="N40" i="1" s="1"/>
  <c r="O40" i="1" s="1"/>
  <c r="P40" i="1" s="1"/>
  <c r="Q40" i="1" s="1"/>
  <c r="R40" i="1" s="1"/>
  <c r="S40" i="1" s="1"/>
  <c r="T40" i="1" s="1"/>
  <c r="U40" i="1" s="1"/>
  <c r="V40" i="1" s="1"/>
  <c r="W40" i="1" s="1"/>
  <c r="X40" i="1" s="1"/>
  <c r="Y40" i="1" s="1"/>
  <c r="Z40" i="1" s="1"/>
  <c r="AA40" i="1" s="1"/>
  <c r="AB40" i="1" s="1"/>
  <c r="AC40" i="1" s="1"/>
  <c r="AD40" i="1" s="1"/>
  <c r="AE40" i="1" s="1"/>
  <c r="AF40" i="1" s="1"/>
  <c r="U90" i="1"/>
  <c r="W61" i="4"/>
  <c r="R61" i="4"/>
  <c r="H61" i="4"/>
  <c r="S92" i="1"/>
  <c r="W92" i="1"/>
  <c r="O92" i="1"/>
  <c r="AD90" i="1"/>
  <c r="D61" i="4"/>
  <c r="Y92" i="1"/>
  <c r="O90" i="1"/>
  <c r="H68" i="1"/>
  <c r="C64" i="1"/>
  <c r="G64" i="1" s="1"/>
  <c r="AC90" i="1"/>
  <c r="X90" i="1"/>
  <c r="N90" i="1"/>
  <c r="K92" i="1"/>
  <c r="U92" i="1"/>
  <c r="AB90" i="1"/>
  <c r="P92" i="1"/>
  <c r="K90" i="1"/>
  <c r="R90" i="1"/>
  <c r="L92" i="1"/>
  <c r="V90" i="1"/>
  <c r="V92" i="1"/>
  <c r="AE90" i="1"/>
  <c r="W90" i="1"/>
  <c r="X92" i="1"/>
  <c r="J61" i="4"/>
  <c r="T61" i="4"/>
  <c r="K61" i="4"/>
  <c r="G61" i="4"/>
  <c r="R92" i="1"/>
  <c r="N61" i="4"/>
  <c r="I61" i="4"/>
  <c r="N92" i="1"/>
  <c r="J79" i="1"/>
  <c r="J93" i="1" s="1"/>
  <c r="J92" i="1"/>
  <c r="P90" i="1"/>
  <c r="Q92" i="1"/>
  <c r="S61" i="4"/>
  <c r="S90" i="1"/>
  <c r="Z90" i="1"/>
  <c r="Q90" i="1"/>
  <c r="M90" i="1"/>
  <c r="T90" i="1"/>
  <c r="C61" i="4" l="1"/>
  <c r="S146" i="4"/>
  <c r="T146" i="4" s="1"/>
  <c r="U146" i="4" s="1"/>
  <c r="V146" i="4" s="1"/>
  <c r="W146" i="4" s="1"/>
  <c r="X146" i="4" s="1"/>
  <c r="Y146" i="4" s="1"/>
  <c r="Z146" i="4" s="1"/>
  <c r="AA146" i="4" s="1"/>
  <c r="AB146" i="4" s="1"/>
  <c r="C110" i="4"/>
  <c r="AG110" i="4" s="1"/>
  <c r="D62" i="4"/>
  <c r="K79" i="1"/>
  <c r="K93" i="1" s="1"/>
  <c r="AC96" i="1"/>
  <c r="AC94" i="1" s="1"/>
  <c r="AG40" i="1"/>
  <c r="AL106" i="1"/>
  <c r="AI121" i="1" s="1"/>
  <c r="AO108" i="1"/>
  <c r="AV108" i="1" s="1"/>
  <c r="K91" i="1"/>
  <c r="L91" i="1" s="1"/>
  <c r="M91" i="1" s="1"/>
  <c r="N91" i="1" s="1"/>
  <c r="O91" i="1" s="1"/>
  <c r="P91" i="1" s="1"/>
  <c r="Q91" i="1" s="1"/>
  <c r="R91" i="1" s="1"/>
  <c r="S91" i="1" s="1"/>
  <c r="T91" i="1" s="1"/>
  <c r="U91" i="1" s="1"/>
  <c r="V91" i="1" s="1"/>
  <c r="W91" i="1" s="1"/>
  <c r="AA96" i="1"/>
  <c r="AA94" i="1" s="1"/>
  <c r="AF94" i="1"/>
  <c r="Z96" i="1"/>
  <c r="Z94" i="1" s="1"/>
  <c r="AD96" i="1"/>
  <c r="AD94" i="1" s="1"/>
  <c r="AE96" i="1"/>
  <c r="AE94" i="1" s="1"/>
  <c r="AB96" i="1"/>
  <c r="AB94" i="1" s="1"/>
  <c r="N2" i="40" l="1"/>
  <c r="L79" i="1"/>
  <c r="M79" i="1" s="1"/>
  <c r="X91" i="1"/>
  <c r="L93" i="1" l="1"/>
  <c r="Y91" i="1"/>
  <c r="AJ109" i="1"/>
  <c r="M93" i="1"/>
  <c r="N79" i="1"/>
  <c r="Z91" i="1" l="1"/>
  <c r="AA91" i="1" s="1"/>
  <c r="AB91" i="1" s="1"/>
  <c r="AC91" i="1" s="1"/>
  <c r="AD91" i="1" s="1"/>
  <c r="AE91" i="1" s="1"/>
  <c r="AF91" i="1" s="1"/>
  <c r="Z98" i="1"/>
  <c r="N2" i="34" s="1"/>
  <c r="N93" i="1"/>
  <c r="O79" i="1"/>
  <c r="O93" i="1" l="1"/>
  <c r="P79" i="1"/>
  <c r="P93" i="1" l="1"/>
  <c r="Q79" i="1"/>
  <c r="Q93" i="1" l="1"/>
  <c r="R79" i="1"/>
  <c r="R93" i="1" l="1"/>
  <c r="S79" i="1"/>
  <c r="S93" i="1" l="1"/>
  <c r="T79" i="1"/>
  <c r="T93" i="1" l="1"/>
  <c r="U79" i="1"/>
  <c r="U93" i="1" l="1"/>
  <c r="V79" i="1"/>
  <c r="V93" i="1" l="1"/>
  <c r="W79" i="1"/>
  <c r="Z81" i="1"/>
  <c r="AA81" i="1" s="1"/>
  <c r="AB81" i="1" s="1"/>
  <c r="AC81" i="1" s="1"/>
  <c r="AD81" i="1" s="1"/>
  <c r="AE81" i="1" s="1"/>
  <c r="AF81" i="1" s="1"/>
  <c r="W93" i="1" l="1"/>
  <c r="AK109" i="1" s="1"/>
  <c r="AL109" i="1" s="1"/>
  <c r="AI124" i="1" s="1"/>
  <c r="X79" i="1"/>
  <c r="X93" i="1" l="1"/>
  <c r="Y79" i="1"/>
  <c r="Y93" i="1" l="1"/>
  <c r="Z79" i="1"/>
  <c r="AA79" i="1" l="1"/>
  <c r="AB79" i="1" s="1"/>
  <c r="AC79" i="1" s="1"/>
  <c r="AD79" i="1" s="1"/>
  <c r="AE79" i="1" s="1"/>
  <c r="AF79" i="1" s="1"/>
  <c r="Z93" i="1"/>
  <c r="Z99" i="1" s="1"/>
  <c r="Z102" i="1" s="1"/>
  <c r="Y95" i="1"/>
  <c r="Z95" i="1" s="1"/>
  <c r="AA95" i="1" s="1"/>
  <c r="AB95" i="1" l="1"/>
  <c r="AC95" i="1" s="1"/>
  <c r="AD95" i="1" s="1"/>
  <c r="AE95" i="1" s="1"/>
  <c r="AF95" i="1" s="1"/>
  <c r="AG95" i="1" s="1"/>
  <c r="AH95" i="1" s="1"/>
  <c r="AI95" i="1" s="1"/>
  <c r="AJ95" i="1" s="1"/>
  <c r="AK95" i="1" s="1"/>
  <c r="A1" i="34" l="1" a="1"/>
  <c r="A1" i="3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<sst xmlns="http://schemas.openxmlformats.org/spreadsheetml/2006/main" count="11970" uniqueCount="2290">
  <si>
    <t>S No</t>
  </si>
  <si>
    <t>Description</t>
  </si>
  <si>
    <t>C</t>
  </si>
  <si>
    <t>Statutory Approvals</t>
  </si>
  <si>
    <t>Pre Project Activity</t>
  </si>
  <si>
    <t>Tendering and Contracting</t>
  </si>
  <si>
    <t>Contractor Finalization</t>
  </si>
  <si>
    <t>Mechanical Packages</t>
  </si>
  <si>
    <t>E &amp; I Packages</t>
  </si>
  <si>
    <t>Process Packages</t>
  </si>
  <si>
    <t>Engineering</t>
  </si>
  <si>
    <t>Mechanical and Process</t>
  </si>
  <si>
    <t>Plate Fabrication Drawings</t>
  </si>
  <si>
    <t>Civil Engineering</t>
  </si>
  <si>
    <t>Structural Engineering - GA</t>
  </si>
  <si>
    <t>Structural Engineering - Tekla</t>
  </si>
  <si>
    <t>E&amp;I Engg.</t>
  </si>
  <si>
    <t>Delivery</t>
  </si>
  <si>
    <t>TOR/Structural Steel</t>
  </si>
  <si>
    <t>Construction</t>
  </si>
  <si>
    <t>Excavation</t>
  </si>
  <si>
    <t>RCC</t>
  </si>
  <si>
    <t>Erection</t>
  </si>
  <si>
    <t>Electrical &amp; Instrument</t>
  </si>
  <si>
    <t>Refractory</t>
  </si>
  <si>
    <t>Commissioning</t>
  </si>
  <si>
    <t>No Load Trials</t>
  </si>
  <si>
    <t>Group Trials</t>
  </si>
  <si>
    <t>Kiln Light Up</t>
  </si>
  <si>
    <t>Commissioning with WT</t>
  </si>
  <si>
    <t>Month Plan</t>
  </si>
  <si>
    <t>Cumulative Plan</t>
  </si>
  <si>
    <t>Month Actual</t>
  </si>
  <si>
    <t>Cumulative Actual</t>
  </si>
  <si>
    <t>Month Forecast</t>
  </si>
  <si>
    <t>Cumulative Forecast</t>
  </si>
  <si>
    <t>Plan Till Date</t>
  </si>
  <si>
    <t>Type</t>
  </si>
  <si>
    <t>Dept</t>
  </si>
  <si>
    <t>Sec</t>
  </si>
  <si>
    <t>Eng</t>
  </si>
  <si>
    <t>M &amp; P</t>
  </si>
  <si>
    <t>Plan</t>
  </si>
  <si>
    <t>Cumm Plan</t>
  </si>
  <si>
    <t>Actual</t>
  </si>
  <si>
    <t>Cumm Actual</t>
  </si>
  <si>
    <t>E&amp;I</t>
  </si>
  <si>
    <t>Civil</t>
  </si>
  <si>
    <t>Mech</t>
  </si>
  <si>
    <t>Plate Fab</t>
  </si>
  <si>
    <t>Str Fab - GA</t>
  </si>
  <si>
    <t>Str Fab - Tekla</t>
  </si>
  <si>
    <t>Const</t>
  </si>
  <si>
    <t>Str Erec</t>
  </si>
  <si>
    <t>P&amp;E Erec</t>
  </si>
  <si>
    <t>Process</t>
  </si>
  <si>
    <t>Const.</t>
  </si>
  <si>
    <t>OVER ALL</t>
  </si>
  <si>
    <t>Mechanical</t>
  </si>
  <si>
    <t>T&amp;C</t>
  </si>
  <si>
    <t>Cont</t>
  </si>
  <si>
    <t>Overall</t>
  </si>
  <si>
    <t>TOR + STL</t>
  </si>
  <si>
    <t>Workshop + SF</t>
  </si>
  <si>
    <t>Str Fab</t>
  </si>
  <si>
    <t>Equipment</t>
  </si>
  <si>
    <t>Manuf</t>
  </si>
  <si>
    <t>W1</t>
  </si>
  <si>
    <t>W2</t>
  </si>
  <si>
    <t>TW1</t>
  </si>
  <si>
    <t>TW2</t>
  </si>
  <si>
    <t>TW</t>
  </si>
  <si>
    <t>W</t>
  </si>
  <si>
    <t>Fabricated Items - Structural (MANUF)</t>
  </si>
  <si>
    <t>Fabricated Items - Structural (DILEVERY)</t>
  </si>
  <si>
    <t>Fabricated Items - Structural (INSPE)</t>
  </si>
  <si>
    <t>Equipment's (M)</t>
  </si>
  <si>
    <t>Equipment's (IN)</t>
  </si>
  <si>
    <t>Equipment's (DEL)</t>
  </si>
  <si>
    <t>Electrical Items (M)</t>
  </si>
  <si>
    <t>Electrical Items (IN)</t>
  </si>
  <si>
    <t>Electrical Items (DEL)</t>
  </si>
  <si>
    <t>backlog</t>
  </si>
  <si>
    <r>
      <rPr>
        <sz val="8.5"/>
        <rFont val="Calibri"/>
        <family val="1"/>
      </rPr>
      <t>Excavation</t>
    </r>
  </si>
  <si>
    <r>
      <rPr>
        <sz val="8.5"/>
        <rFont val="Calibri"/>
        <family val="1"/>
      </rPr>
      <t>RCC</t>
    </r>
  </si>
  <si>
    <r>
      <rPr>
        <sz val="8.5"/>
        <rFont val="Calibri"/>
        <family val="1"/>
      </rPr>
      <t>Plate Fabrication</t>
    </r>
  </si>
  <si>
    <r>
      <rPr>
        <sz val="8.5"/>
        <rFont val="Calibri"/>
        <family val="1"/>
      </rPr>
      <t>Structure Erection</t>
    </r>
  </si>
  <si>
    <r>
      <rPr>
        <sz val="8.5"/>
        <rFont val="Calibri"/>
        <family val="1"/>
      </rPr>
      <t>Mechnaical Erection (P + E)</t>
    </r>
  </si>
  <si>
    <r>
      <rPr>
        <sz val="8.5"/>
        <rFont val="Calibri"/>
        <family val="1"/>
      </rPr>
      <t>Electrical  &amp; Instrument</t>
    </r>
  </si>
  <si>
    <r>
      <rPr>
        <sz val="8.5"/>
        <rFont val="Calibri"/>
        <family val="1"/>
      </rPr>
      <t xml:space="preserve">Refractory  </t>
    </r>
    <r>
      <rPr>
        <sz val="8.5"/>
        <color rgb="FF0E0E0E"/>
        <rFont val="Calibri"/>
        <family val="1"/>
      </rPr>
      <t xml:space="preserve">&amp; </t>
    </r>
    <r>
      <rPr>
        <sz val="8.5"/>
        <rFont val="Calibri"/>
        <family val="1"/>
      </rPr>
      <t>Insulation</t>
    </r>
  </si>
  <si>
    <t>Cum</t>
  </si>
  <si>
    <t>Slippage</t>
  </si>
  <si>
    <t>Sections</t>
  </si>
  <si>
    <t>Scope</t>
  </si>
  <si>
    <t>Duration</t>
  </si>
  <si>
    <t>BL Start</t>
  </si>
  <si>
    <t>BL Finish</t>
  </si>
  <si>
    <t xml:space="preserve">Limestone Crusher &amp; Transport </t>
  </si>
  <si>
    <t>LimeStone Stockpile and Feeding</t>
  </si>
  <si>
    <t>Raw Material Hopper</t>
  </si>
  <si>
    <t>Raw Mill (Roller Press Building 1 &amp; 2)</t>
  </si>
  <si>
    <t>Raw Mill Bag House</t>
  </si>
  <si>
    <t>Raw Meal Silo (Blending Silo)</t>
  </si>
  <si>
    <t>PreHeater</t>
  </si>
  <si>
    <t>Kiln</t>
  </si>
  <si>
    <t>Clinker Cooler</t>
  </si>
  <si>
    <t>Cooler ESP Building</t>
  </si>
  <si>
    <t>Reject Silo</t>
  </si>
  <si>
    <t>Clinker Loading Silos (3S 01, 02)</t>
  </si>
  <si>
    <t>Correctives Unloading and Transport</t>
  </si>
  <si>
    <t>Correctives Storage and Transport</t>
  </si>
  <si>
    <t>Receiving of Coal &amp; Additives Transport</t>
  </si>
  <si>
    <t>Coal Reclaming and Transport</t>
  </si>
  <si>
    <t>Fuel Grinding</t>
  </si>
  <si>
    <t>LS Crusher Sub Station LC 31</t>
  </si>
  <si>
    <t>Raw Material Transport to Storage LC 32</t>
  </si>
  <si>
    <t>Raw Material Handling LC 33</t>
  </si>
  <si>
    <t>Clinker Cooler &amp; Coal Mill LC 25</t>
  </si>
  <si>
    <t xml:space="preserve">Wagon Tippler &amp; Coal Handling LC 36 </t>
  </si>
  <si>
    <t>Corrective Handling LC 37</t>
  </si>
  <si>
    <t>Water Treatment &amp; Fire Hydrant LC 38</t>
  </si>
  <si>
    <t>Clinker Silo LC 39</t>
  </si>
  <si>
    <t>Clinker Loading LC 39 A</t>
  </si>
  <si>
    <t>Compressed Air Station</t>
  </si>
  <si>
    <t>WTP</t>
  </si>
  <si>
    <t>Cable Gallery - Foundation</t>
  </si>
  <si>
    <t>H0 - CCR</t>
  </si>
  <si>
    <t xml:space="preserve">401-3E1 - Raw mill &amp; Preheater ER.      </t>
  </si>
  <si>
    <t xml:space="preserve">301-3E1 - Raw Mil Hopper BLED ER.     </t>
  </si>
  <si>
    <t>D0 - General Plant Services</t>
  </si>
  <si>
    <t>N0 - Sewage Treatment Plant</t>
  </si>
  <si>
    <t>Roads &amp; Drains</t>
  </si>
  <si>
    <t>Total</t>
  </si>
  <si>
    <t>D33 - Compressed Air Station</t>
  </si>
  <si>
    <t>Structure Erection Plan for 3 month (Based on L5 schedule) with backlog</t>
  </si>
  <si>
    <t>Cable Gallery - Fabrication</t>
  </si>
  <si>
    <t>Substation Staircase</t>
  </si>
  <si>
    <t>M32/53 - Combined/Fire Water Pump Station</t>
  </si>
  <si>
    <t xml:space="preserve">Process Water Piping System          </t>
  </si>
  <si>
    <t>Plate</t>
  </si>
  <si>
    <t>Compressed Air Station and Pipeline Erection</t>
  </si>
  <si>
    <t>WTP Readiness with Water Pipeline Erection</t>
  </si>
  <si>
    <t>a</t>
  </si>
  <si>
    <t>Task Name</t>
  </si>
  <si>
    <t>Baseline Duration</t>
  </si>
  <si>
    <t>Baseline Start</t>
  </si>
  <si>
    <t>Baseline Finish</t>
  </si>
  <si>
    <t>% Complete</t>
  </si>
  <si>
    <t>Start</t>
  </si>
  <si>
    <t>Finish</t>
  </si>
  <si>
    <t>413 days</t>
  </si>
  <si>
    <t>404 days</t>
  </si>
  <si>
    <t>EXCAVATION</t>
  </si>
  <si>
    <t>PCC+RCC</t>
  </si>
  <si>
    <t>Plate Fabrication</t>
  </si>
  <si>
    <t>61 days</t>
  </si>
  <si>
    <t>100 days</t>
  </si>
  <si>
    <t>Structure Fabrication and Delivery to Site</t>
  </si>
  <si>
    <t>96 days</t>
  </si>
  <si>
    <t>160 days</t>
  </si>
  <si>
    <t>Structure Erection</t>
  </si>
  <si>
    <t>107 days</t>
  </si>
  <si>
    <t>170 days</t>
  </si>
  <si>
    <t>Plate and Equipment Erection</t>
  </si>
  <si>
    <t>149.1 days</t>
  </si>
  <si>
    <t>217 days</t>
  </si>
  <si>
    <t>Electrical and Instumentation</t>
  </si>
  <si>
    <t>88 days</t>
  </si>
  <si>
    <t>76 days</t>
  </si>
  <si>
    <t>30 days</t>
  </si>
  <si>
    <t>5 days</t>
  </si>
  <si>
    <t>MONTH</t>
  </si>
  <si>
    <t>DAYS</t>
  </si>
  <si>
    <t>387 days</t>
  </si>
  <si>
    <t>381 days</t>
  </si>
  <si>
    <t xml:space="preserve">   Plate Fabrication</t>
  </si>
  <si>
    <t>15 days</t>
  </si>
  <si>
    <t xml:space="preserve">   Structure Fabrication and Delivery to Site</t>
  </si>
  <si>
    <t>45 days</t>
  </si>
  <si>
    <t xml:space="preserve">   Structure Erection</t>
  </si>
  <si>
    <t>198.8 days</t>
  </si>
  <si>
    <t>97 days</t>
  </si>
  <si>
    <t xml:space="preserve">   Plate and Equipment Erection</t>
  </si>
  <si>
    <t>230.2 days</t>
  </si>
  <si>
    <t>211 days</t>
  </si>
  <si>
    <t xml:space="preserve">   Electrical and Instumentation</t>
  </si>
  <si>
    <t>107.8 days</t>
  </si>
  <si>
    <t>47 days</t>
  </si>
  <si>
    <t>355.8 days</t>
  </si>
  <si>
    <t>349 days</t>
  </si>
  <si>
    <t>277.8 days</t>
  </si>
  <si>
    <t>271 days</t>
  </si>
  <si>
    <t>80 days</t>
  </si>
  <si>
    <t>158 days</t>
  </si>
  <si>
    <t>140 days</t>
  </si>
  <si>
    <t>177 days</t>
  </si>
  <si>
    <t>180 days</t>
  </si>
  <si>
    <t>51 days</t>
  </si>
  <si>
    <t>Plan vs actual</t>
  </si>
  <si>
    <t>Saturday</t>
  </si>
  <si>
    <t>Sunday</t>
  </si>
  <si>
    <t>Monday</t>
  </si>
  <si>
    <t>Tuesday</t>
  </si>
  <si>
    <t>Wednesday</t>
  </si>
  <si>
    <t>Thursday</t>
  </si>
  <si>
    <t>Friday</t>
  </si>
  <si>
    <t>project start date</t>
  </si>
  <si>
    <t>current date</t>
  </si>
  <si>
    <t>#</t>
  </si>
  <si>
    <t>Key Parameters (Actual/Plan/Scope)</t>
  </si>
  <si>
    <t>Current Run-Rate / day</t>
  </si>
  <si>
    <t>Shortfall (As per IBS)</t>
  </si>
  <si>
    <t>Asking Run-Rate / day</t>
  </si>
  <si>
    <t>Assumption (Asking Rate)</t>
  </si>
  <si>
    <t>start date</t>
  </si>
  <si>
    <t>end date</t>
  </si>
  <si>
    <t>5 (m3/Man/Month)</t>
  </si>
  <si>
    <t>2 (MT/Man/Month)</t>
  </si>
  <si>
    <t>5 (MT/Man/Month)</t>
  </si>
  <si>
    <t>Area</t>
  </si>
  <si>
    <t>% Wtg.</t>
  </si>
  <si>
    <t>Cum. Plan</t>
  </si>
  <si>
    <t>Cum. Actual</t>
  </si>
  <si>
    <t>Gap</t>
  </si>
  <si>
    <t>Ordering</t>
  </si>
  <si>
    <t>Deliveries</t>
  </si>
  <si>
    <t>Statutory Approval</t>
  </si>
  <si>
    <t>Reasons</t>
  </si>
  <si>
    <t>Mitigation Plan</t>
  </si>
  <si>
    <t>Clinker Cooler &amp; Coal Mill LC 35</t>
  </si>
  <si>
    <t xml:space="preserve">801 - Power cable routing                </t>
  </si>
  <si>
    <t>M32(1) - Combined Water Pump Station(1)</t>
  </si>
  <si>
    <t>M32(2) - Combined Water Pump Station(2)</t>
  </si>
  <si>
    <t>M53(1) - Fire Water Pump House(1)</t>
  </si>
  <si>
    <t>M53(2) - Fire Water Pump House(2)</t>
  </si>
  <si>
    <t xml:space="preserve">401-3E1 - Raw Mill &amp; Preheater ER.      </t>
  </si>
  <si>
    <t>EarthWork &amp; Leveling</t>
  </si>
  <si>
    <t>LS Crusher Sub Station LC 21</t>
  </si>
  <si>
    <t>Raw Material Transport to Storage LC 22</t>
  </si>
  <si>
    <t>Raw Material Handling LC 23</t>
  </si>
  <si>
    <t xml:space="preserve">Wagon Tippler &amp; Coal Handling LC 26 </t>
  </si>
  <si>
    <t>Corrective Handling LC 27</t>
  </si>
  <si>
    <t>Water Treatment &amp; Fire Hydrant LC 28</t>
  </si>
  <si>
    <t>Raw Mill Hopper LC 24 A</t>
  </si>
  <si>
    <t>LC-23A MCC Room near TT3</t>
  </si>
  <si>
    <t>Cable Gallery - Erection</t>
  </si>
  <si>
    <t>Str Fab Engineering</t>
  </si>
  <si>
    <t>212 - LimeStone Crushing to storage</t>
  </si>
  <si>
    <t>312 - Limestone reclaiming and transport</t>
  </si>
  <si>
    <t>X12 - Correctives unloading and storage</t>
  </si>
  <si>
    <t>X92 - Correctives reclaiming and transport</t>
  </si>
  <si>
    <t>L12 - Wagong tippler and conveying</t>
  </si>
  <si>
    <t>L22 - Coal reclaiming and transport</t>
  </si>
  <si>
    <t>332 - Raw mill feed</t>
  </si>
  <si>
    <t>362 - Raw mill</t>
  </si>
  <si>
    <t>412 - Raw meal silo</t>
  </si>
  <si>
    <t>442 - Preheater</t>
  </si>
  <si>
    <t>462 - Kiln</t>
  </si>
  <si>
    <t>472 - Cooler</t>
  </si>
  <si>
    <t>492 - Clinker transport</t>
  </si>
  <si>
    <t>6K2 - Clinker loading silos (rail)</t>
  </si>
  <si>
    <t>L62 - Fuel grinding</t>
  </si>
  <si>
    <t>D33 - Compressed air station</t>
  </si>
  <si>
    <t>Others</t>
  </si>
  <si>
    <t>Tekla Drawing</t>
  </si>
  <si>
    <t>Cable Laying - KM</t>
  </si>
  <si>
    <t>Panels/Transformer Erection - Nos</t>
  </si>
  <si>
    <t>E&amp;I Work - Buildings</t>
  </si>
  <si>
    <t>Transmission Line Work</t>
  </si>
  <si>
    <t>E&amp;I Work - Sub stations</t>
  </si>
  <si>
    <t>Mechanical &amp; Process Drawing</t>
  </si>
  <si>
    <t>Target</t>
  </si>
  <si>
    <t>E&amp;I Drawing</t>
  </si>
  <si>
    <t>PLAN UP TO DATE</t>
  </si>
  <si>
    <t>Achive UP TO DATE</t>
  </si>
  <si>
    <t>HO</t>
  </si>
  <si>
    <t>Cable Laying</t>
  </si>
  <si>
    <t>Panels</t>
  </si>
  <si>
    <t>Balance</t>
  </si>
  <si>
    <t>TOR + STEEL</t>
  </si>
  <si>
    <t>Package</t>
  </si>
  <si>
    <t>Contractor</t>
  </si>
  <si>
    <t>Forecast</t>
  </si>
  <si>
    <t>BAL-NUMBER</t>
  </si>
  <si>
    <t>STUCTURE</t>
  </si>
  <si>
    <t>Mech (EQ)</t>
  </si>
  <si>
    <t>Progress</t>
  </si>
  <si>
    <t xml:space="preserve">Plan </t>
  </si>
  <si>
    <t>Civil (Concrete)</t>
  </si>
  <si>
    <t>Fabrication PLATE</t>
  </si>
  <si>
    <t xml:space="preserve">                   E&amp;I</t>
  </si>
  <si>
    <t>PCC/RCC</t>
  </si>
  <si>
    <t>PLATE FABRICATION</t>
  </si>
  <si>
    <t>STRUCTURE ERECTION</t>
  </si>
  <si>
    <t>P&amp;E ERECTION</t>
  </si>
  <si>
    <t>PLAN</t>
  </si>
  <si>
    <t>ACTUAL</t>
  </si>
  <si>
    <t>Items</t>
  </si>
  <si>
    <t>UOM</t>
  </si>
  <si>
    <t>Total Scope</t>
  </si>
  <si>
    <t>Cumulative</t>
  </si>
  <si>
    <t>3-months plan</t>
  </si>
  <si>
    <t>Manpower –  24</t>
  </si>
  <si>
    <t>Original Target Compl’n</t>
  </si>
  <si>
    <t>Revised Commitment</t>
  </si>
  <si>
    <t>Remark / Reason for Slippage in preceding month, if any</t>
  </si>
  <si>
    <t>Plan till date (as per L5)</t>
  </si>
  <si>
    <t>Actual till date</t>
  </si>
  <si>
    <t>%</t>
  </si>
  <si>
    <t>Monthly Plan</t>
  </si>
  <si>
    <t>Commitment / Reqd</t>
  </si>
  <si>
    <t>(As per L5)</t>
  </si>
  <si>
    <t>(Forecast)</t>
  </si>
  <si>
    <t>Contractor Deployment</t>
  </si>
  <si>
    <t>AAA Supply</t>
  </si>
  <si>
    <t>Equipment Ordering</t>
  </si>
  <si>
    <t>Nos.</t>
  </si>
  <si>
    <t>Civil Excavation</t>
  </si>
  <si>
    <t>m3</t>
  </si>
  <si>
    <t>Civil (RCC+PCC)</t>
  </si>
  <si>
    <t>Fabrication</t>
  </si>
  <si>
    <t>MT</t>
  </si>
  <si>
    <t xml:space="preserve"> Structure (in china)</t>
  </si>
  <si>
    <t xml:space="preserve">Structure </t>
  </si>
  <si>
    <t>Equipment &amp; Plate Erection(M)</t>
  </si>
  <si>
    <t>Equipment &amp; Plate Erection</t>
  </si>
  <si>
    <t>1st Cement</t>
  </si>
  <si>
    <t>Monthly Progress</t>
  </si>
  <si>
    <t>Committed Completion Date</t>
  </si>
  <si>
    <t xml:space="preserve">Scope </t>
  </si>
  <si>
    <t xml:space="preserve">Actual </t>
  </si>
  <si>
    <t>-</t>
  </si>
  <si>
    <t>CIVIL RCC</t>
  </si>
  <si>
    <t xml:space="preserve"> Structure</t>
  </si>
  <si>
    <t>Km</t>
  </si>
  <si>
    <t xml:space="preserve">Cable Tray </t>
  </si>
  <si>
    <t xml:space="preserve">Cable Laying </t>
  </si>
  <si>
    <t xml:space="preserve">Panels </t>
  </si>
  <si>
    <t>Nos</t>
  </si>
  <si>
    <t>Transformer</t>
  </si>
  <si>
    <t>Week-1</t>
  </si>
  <si>
    <t>Week-2</t>
  </si>
  <si>
    <t>Week-3</t>
  </si>
  <si>
    <t>Week-4</t>
  </si>
  <si>
    <t>Week-5</t>
  </si>
  <si>
    <t>previous week</t>
  </si>
  <si>
    <t>Manpower Mar-25</t>
  </si>
  <si>
    <t>Mar-25 Plan</t>
  </si>
  <si>
    <t>Mar-25 Actual</t>
  </si>
  <si>
    <t>on+off</t>
  </si>
  <si>
    <t>ACHIVED</t>
  </si>
  <si>
    <t>STRUCTURE NAME</t>
  </si>
  <si>
    <t>SCOPE</t>
  </si>
  <si>
    <t>STRUCTURE</t>
  </si>
  <si>
    <t>Quantity exceeded</t>
  </si>
  <si>
    <t>Excavation + Area Grading (204214 /192447/267135m3)</t>
  </si>
  <si>
    <t>PCC &amp; RCC (34213/59999/87100m3)</t>
  </si>
  <si>
    <t>Plate fabrication (828/3849/5074 MT)</t>
  </si>
  <si>
    <t>Mechanical &amp; Str Erection (2293/9618/42410MT)</t>
  </si>
  <si>
    <t>Section</t>
  </si>
  <si>
    <t>Department</t>
  </si>
  <si>
    <t>Sub Phase 1</t>
  </si>
  <si>
    <t>Particular</t>
  </si>
  <si>
    <t>DRAWING RELESED</t>
  </si>
  <si>
    <t>Current Month Plan</t>
  </si>
  <si>
    <t>Current Month Actual</t>
  </si>
  <si>
    <t>Cummulative Planned</t>
  </si>
  <si>
    <t>Cummulative completed</t>
  </si>
  <si>
    <t>Sub Phase 2</t>
  </si>
  <si>
    <t>DURATION</t>
  </si>
  <si>
    <t>Rank</t>
  </si>
  <si>
    <t>1</t>
  </si>
  <si>
    <t>2</t>
  </si>
  <si>
    <t>3</t>
  </si>
  <si>
    <t>4</t>
  </si>
  <si>
    <t>Activity ID</t>
  </si>
  <si>
    <t>Activity Name</t>
  </si>
  <si>
    <t>BL Duration</t>
  </si>
  <si>
    <t>Original Duration</t>
  </si>
  <si>
    <t>AL Start</t>
  </si>
  <si>
    <t>AL Finish</t>
  </si>
  <si>
    <t>Expected Finish</t>
  </si>
  <si>
    <t>Maratha Clinkerization Unit Expansion Project</t>
  </si>
  <si>
    <t>Statutory approvals</t>
  </si>
  <si>
    <t>Civil Contractor</t>
  </si>
  <si>
    <t>Mechanical -Fabrication and Erection Contractor</t>
  </si>
  <si>
    <t>Plate Fabrication Contractor</t>
  </si>
  <si>
    <t>Finalization of Structural Workshop</t>
  </si>
  <si>
    <t>Finalization of Erection Contractors</t>
  </si>
  <si>
    <t>E&amp;I Contractor</t>
  </si>
  <si>
    <t>Finalization of E&amp;I Contractors</t>
  </si>
  <si>
    <t>Refractory &amp; Insulation Contractor</t>
  </si>
  <si>
    <t>Finalization of Refractory and Insulation Contractor</t>
  </si>
  <si>
    <t xml:space="preserve">Engineering </t>
  </si>
  <si>
    <t>Layout Drawings</t>
  </si>
  <si>
    <t>Layout Drawing</t>
  </si>
  <si>
    <t>Process and Architecture</t>
  </si>
  <si>
    <t>212 - LimeStone Crushing</t>
  </si>
  <si>
    <t>292 - Limestone transport to storage</t>
  </si>
  <si>
    <t>K92 - Additives reclaiming and transport</t>
  </si>
  <si>
    <t>M32(1,2) - Combined Water Pump Station(1,2)</t>
  </si>
  <si>
    <t>HVAC</t>
  </si>
  <si>
    <t>Plate Fabrication Drawing</t>
  </si>
  <si>
    <t>Civil Construction Drawing</t>
  </si>
  <si>
    <t>Steel Structural GA Details</t>
  </si>
  <si>
    <t>Steel Structural - Tekla Drawings</t>
  </si>
  <si>
    <t>E&amp;I Engineering</t>
  </si>
  <si>
    <t>Limestone Crusher (201-3E1 LC#31) - 214</t>
  </si>
  <si>
    <t>Raw Material Transport to Storage (201-3E2 LC#32)</t>
  </si>
  <si>
    <t>Raw Material Handling (201-3E3 LC#33)</t>
  </si>
  <si>
    <t>Raw Mill &amp; Preheater (401-3E1 LC#34)</t>
  </si>
  <si>
    <t>Raw mill Hopper (301-3E1 LC#34A)</t>
  </si>
  <si>
    <t>Clinker Cooler &amp; Coal Mill (401-3E2 LC#35)</t>
  </si>
  <si>
    <t>Wagon tippler &amp; Coal handling (L01-3E1 LC#36)</t>
  </si>
  <si>
    <t>Corrective handling (201-3E4 LC#37)</t>
  </si>
  <si>
    <t>Water Treatment &amp; Fire Hydrant (M33-3E1 LC#38)</t>
  </si>
  <si>
    <t>Clinker Silo (401-3E5 LC#39)</t>
  </si>
  <si>
    <t>Clinker Loading (Rail) (401-3E6 LC#39A)</t>
  </si>
  <si>
    <t>801-Powe Cable Routing</t>
  </si>
  <si>
    <t>Procurement</t>
  </si>
  <si>
    <t>Offshore Equipment</t>
  </si>
  <si>
    <t>Vertical Mill For Coal</t>
  </si>
  <si>
    <t>Roller Press</t>
  </si>
  <si>
    <t>Seperator</t>
  </si>
  <si>
    <t>Polyethyleue Liner</t>
  </si>
  <si>
    <t>Wearable Liner</t>
  </si>
  <si>
    <t>Wear Resistant Ceramics Material</t>
  </si>
  <si>
    <t>MV Motor</t>
  </si>
  <si>
    <t>Metal Detector</t>
  </si>
  <si>
    <t>Metal Separator</t>
  </si>
  <si>
    <t>Sampler</t>
  </si>
  <si>
    <t>HT Sampler</t>
  </si>
  <si>
    <t>Preheater (Diptube, Expansion Joint, Valves)</t>
  </si>
  <si>
    <t>Grate Cooler</t>
  </si>
  <si>
    <t>Burner</t>
  </si>
  <si>
    <t>Tertiary Duct/Kiln Hood</t>
  </si>
  <si>
    <t>Process Valve/Non Standard Valve</t>
  </si>
  <si>
    <t>Explosion Valve</t>
  </si>
  <si>
    <t>Motorized Actuator</t>
  </si>
  <si>
    <t>Expansion Joint/Soft Joint</t>
  </si>
  <si>
    <t>Wear Resistant Bend</t>
  </si>
  <si>
    <t>Sinter Zone Refractory (Brick for Kiln)</t>
  </si>
  <si>
    <t>Other Refractory Brick</t>
  </si>
  <si>
    <t>Ceramic Fibre Plate</t>
  </si>
  <si>
    <t>Calcium Silicate</t>
  </si>
  <si>
    <t>Other Refracotry Material（Anchor Etc.)</t>
  </si>
  <si>
    <t>Water Treatment System</t>
  </si>
  <si>
    <t>Water Spraying System</t>
  </si>
  <si>
    <t>Cooling Tower/Filter</t>
  </si>
  <si>
    <t>Water Pump</t>
  </si>
  <si>
    <t>Water Valve</t>
  </si>
  <si>
    <t>Water Instrument</t>
  </si>
  <si>
    <t>Bucket Elevator (Silo Feeding And Kiln Feeding)</t>
  </si>
  <si>
    <t>Bucket Elevator (Others)</t>
  </si>
  <si>
    <t>Motorized Ball Valve</t>
  </si>
  <si>
    <t>Manhole/Measure Hole</t>
  </si>
  <si>
    <t>Belt Conveyor</t>
  </si>
  <si>
    <t>OLBC - Belt Conveyor</t>
  </si>
  <si>
    <t>Belt (If purchase seprately)</t>
  </si>
  <si>
    <t>Pan Conveyor (DPC)</t>
  </si>
  <si>
    <t>Air Slide</t>
  </si>
  <si>
    <t>Screw Conveyor</t>
  </si>
  <si>
    <t>FU Conveyor (Chain Conveyor)</t>
  </si>
  <si>
    <t>Surface Feeder</t>
  </si>
  <si>
    <t>Rotor-Feeder For Coal From European</t>
  </si>
  <si>
    <t>Rotor-Feeder For Coal From China</t>
  </si>
  <si>
    <t>Rotor-Feeder For Raw Meal From European</t>
  </si>
  <si>
    <t>Apron Weighing Feeder/Belt Scale/Weighing Feeder/Impact Flow Scale</t>
  </si>
  <si>
    <t>Control Valve For Raw Meal Silo/Kiln Feeding System Valve</t>
  </si>
  <si>
    <t>Wagon Bulk Loader</t>
  </si>
  <si>
    <t>Truck Bulk Loader</t>
  </si>
  <si>
    <t>Process Bag House</t>
  </si>
  <si>
    <t>ESP</t>
  </si>
  <si>
    <t>Roots Blower</t>
  </si>
  <si>
    <t>Air Compressor</t>
  </si>
  <si>
    <t>Air Dryer</t>
  </si>
  <si>
    <t>Air Tank</t>
  </si>
  <si>
    <t>Air Cannon</t>
  </si>
  <si>
    <t>Silencer</t>
  </si>
  <si>
    <t>Onshore Equipment</t>
  </si>
  <si>
    <t>Limestone Crusher</t>
  </si>
  <si>
    <t>Sizer</t>
  </si>
  <si>
    <t>X-Ray Analyzer</t>
  </si>
  <si>
    <t>Online Cross Analyzer</t>
  </si>
  <si>
    <t>Local Fabrication - Preheater</t>
  </si>
  <si>
    <t>Local Fabrication - Kiln</t>
  </si>
  <si>
    <t>Local Fabrication - Cooler</t>
  </si>
  <si>
    <t>Local Fabrication - Coal Mill</t>
  </si>
  <si>
    <t>Local Fabrication - Bag House</t>
  </si>
  <si>
    <t>Local Fabrication - Bucket Elvator</t>
  </si>
  <si>
    <t>Local Fabrication - ESP</t>
  </si>
  <si>
    <t>Pipes And Parts</t>
  </si>
  <si>
    <t>Elevator</t>
  </si>
  <si>
    <t>Castable</t>
  </si>
  <si>
    <t>Stacker And Reclaimer</t>
  </si>
  <si>
    <t>Belt</t>
  </si>
  <si>
    <t>Load Cell</t>
  </si>
  <si>
    <t>Weighing Bridge</t>
  </si>
  <si>
    <t>Wagon Tippler</t>
  </si>
  <si>
    <t>Truck Tippler</t>
  </si>
  <si>
    <t>Nuisance Bag Filter</t>
  </si>
  <si>
    <t>Grate Cooler Fan</t>
  </si>
  <si>
    <t>Process Fan</t>
  </si>
  <si>
    <t>Small Fan</t>
  </si>
  <si>
    <t>Air Conditioner</t>
  </si>
  <si>
    <t>Ventilation System</t>
  </si>
  <si>
    <t>Insulation Material</t>
  </si>
  <si>
    <t>Insulation Auxiliary Material (Steel Plate/Bolts Etc.)</t>
  </si>
  <si>
    <t>Fire Equipment (Extinguisher/Outdoor Fire Hydrant)</t>
  </si>
  <si>
    <t>Fire Fighting System (N2 Etc.)</t>
  </si>
  <si>
    <t>Electrical Hoist</t>
  </si>
  <si>
    <t>Double/Single Crane</t>
  </si>
  <si>
    <t>Lubrication Oil</t>
  </si>
  <si>
    <t>E &amp; I Items (Onshore)</t>
  </si>
  <si>
    <t>MV Switchboards</t>
  </si>
  <si>
    <t>MV Drives</t>
  </si>
  <si>
    <t>LRS</t>
  </si>
  <si>
    <t>MV Capacitors</t>
  </si>
  <si>
    <t>Transformers - Power And Distribution</t>
  </si>
  <si>
    <t>Lighting Power Transformer</t>
  </si>
  <si>
    <t>LV Panels - PCC/ MCC / MLDB/ MPDB/ EPDB</t>
  </si>
  <si>
    <t>LV Bus Duct</t>
  </si>
  <si>
    <t>LV Capacitor Panels</t>
  </si>
  <si>
    <t>SPDB (Sub Main Distribution Board)</t>
  </si>
  <si>
    <t>LV Drives</t>
  </si>
  <si>
    <t>UPS / UPS DB / DCS DB</t>
  </si>
  <si>
    <t>Battery / Battery Charger</t>
  </si>
  <si>
    <t>Switches / Sockets/ Single Phase Receptacle/ Welding Socket Outlet/ Exit Sign Boards</t>
  </si>
  <si>
    <t>Local Push Buttons /Panic Stop Push Buttons/ VCS</t>
  </si>
  <si>
    <t>Analog / Digital Junction Box Various Sizes 5TB To 200 TB</t>
  </si>
  <si>
    <t>Magnetic Starter Panel/Power Junction Box</t>
  </si>
  <si>
    <t>Hooter And Flasher</t>
  </si>
  <si>
    <t>Ligthing SLD With Timer</t>
  </si>
  <si>
    <t>AAQMS (Ambient Air Quality Monitoring System)</t>
  </si>
  <si>
    <t>Dust Monitors</t>
  </si>
  <si>
    <t>Temperature Transmitters</t>
  </si>
  <si>
    <t>Pressure Transmitters / DP Transmitters</t>
  </si>
  <si>
    <t>Radar Type Level Transmitter</t>
  </si>
  <si>
    <t>Ultrasonic Level Transmitters</t>
  </si>
  <si>
    <t>Hopper Level Switch</t>
  </si>
  <si>
    <t>Vibration Transmitters</t>
  </si>
  <si>
    <t>RTD / Thermocouple</t>
  </si>
  <si>
    <t>Plant DCS / PLC System / DCS System / Control Desk / Computers / Servers</t>
  </si>
  <si>
    <t>Sub Control System Panel (Part Of Mechanical Equipmentgs Package）</t>
  </si>
  <si>
    <t>Fire Alarm System (For Load Centers)</t>
  </si>
  <si>
    <t>CCTV Monitoring System</t>
  </si>
  <si>
    <t>Energy Management System</t>
  </si>
  <si>
    <t>Telephone System</t>
  </si>
  <si>
    <t>PA System</t>
  </si>
  <si>
    <t>Access Control System</t>
  </si>
  <si>
    <t>Fiber Optic Cables / Ethernet Cable</t>
  </si>
  <si>
    <t>Cable Trays Various Sizes</t>
  </si>
  <si>
    <t>MV Power Cables</t>
  </si>
  <si>
    <t>LV Power Cables</t>
  </si>
  <si>
    <t>Control And Signal Cables</t>
  </si>
  <si>
    <t>Lighting Cable Various Sizes</t>
  </si>
  <si>
    <t>Earthing Junction Box</t>
  </si>
  <si>
    <t>Earthing Electrode</t>
  </si>
  <si>
    <t>Earthing Flat / Wire - Different Sizes</t>
  </si>
  <si>
    <t>Outdoor Led Lamps/Fluorscent Led Lamp/Emergency Led Lamps With Battery Back-Up/Road / Street Lamps</t>
  </si>
  <si>
    <t>High Mast</t>
  </si>
  <si>
    <t>Aviation And All Other Lighting Related Items</t>
  </si>
  <si>
    <t>Cable Glands And Lugs, Termination Kits</t>
  </si>
  <si>
    <t>Safety And PPE Equipment Exit Sign Boards</t>
  </si>
  <si>
    <t>ETAP Study</t>
  </si>
  <si>
    <t>LV Motors</t>
  </si>
  <si>
    <t xml:space="preserve">Manufacturing </t>
  </si>
  <si>
    <t>Inspection</t>
  </si>
  <si>
    <t>Civil construction (RCC Works)</t>
  </si>
  <si>
    <t>Structural Fabrication</t>
  </si>
  <si>
    <t>Structural Erection</t>
  </si>
  <si>
    <t>Plate &amp; Equipment Erection</t>
  </si>
  <si>
    <t>Refractory Works</t>
  </si>
  <si>
    <t>E &amp; I works - Buildings</t>
  </si>
  <si>
    <t>E &amp; I works - Substations</t>
  </si>
  <si>
    <t xml:space="preserve">Raw Mill and Pre Heater LC 34 </t>
  </si>
  <si>
    <t>Raw Mill Hopper LC 34 A</t>
  </si>
  <si>
    <t>Transmission Line Readiness</t>
  </si>
  <si>
    <t xml:space="preserve">Cable Laying Throught Plant </t>
  </si>
  <si>
    <t>E &amp; I works - Substation Charging</t>
  </si>
  <si>
    <t xml:space="preserve"> Commissioning </t>
  </si>
  <si>
    <t>No load Trials</t>
  </si>
  <si>
    <t>Clinker Commissioning</t>
  </si>
  <si>
    <t>Commissioning With WT</t>
  </si>
  <si>
    <t>Particulars</t>
  </si>
  <si>
    <t>Drawing Released</t>
  </si>
  <si>
    <t>Cumulative Planned</t>
  </si>
  <si>
    <t>Cumulative completed</t>
  </si>
  <si>
    <t>Structure Fabrication</t>
  </si>
  <si>
    <t>RM</t>
  </si>
  <si>
    <t>Panels Erection</t>
  </si>
  <si>
    <t>Drives Erection</t>
  </si>
  <si>
    <t>Drives Trial</t>
  </si>
  <si>
    <t>In Progress</t>
  </si>
  <si>
    <t>Sudhakar Pandey</t>
  </si>
  <si>
    <t>State Electrical Board</t>
  </si>
  <si>
    <t>220KV Work Start approval</t>
  </si>
  <si>
    <t>Achieved</t>
  </si>
  <si>
    <t>State Pollution Control Board</t>
  </si>
  <si>
    <t>CTO for Batching Plant</t>
  </si>
  <si>
    <t>CTE for Batching Plant</t>
  </si>
  <si>
    <t>DPR &amp; ESP completed date on 05-Jul-24
Pending at DRM/GM office at Secunderabad</t>
  </si>
  <si>
    <t>DRM/GM Railways</t>
  </si>
  <si>
    <t>Approval from Railways 
(FSR, IPA, DPR &amp; ESP)</t>
  </si>
  <si>
    <t>Required before commissioning</t>
  </si>
  <si>
    <t>Divisional Fire Officer</t>
  </si>
  <si>
    <t>Fire Clearance</t>
  </si>
  <si>
    <t>Consent to Operate mines</t>
  </si>
  <si>
    <t>Consent to Establish for Mines</t>
  </si>
  <si>
    <t>MoEF / SIEAA</t>
  </si>
  <si>
    <t>MoEF / SIEAA clearance for Mines</t>
  </si>
  <si>
    <t>Chief Inspector of Factories</t>
  </si>
  <si>
    <t>Construction drawing approval as per factories act</t>
  </si>
  <si>
    <t>Weights &amp; Measures Dept</t>
  </si>
  <si>
    <t>Silos and packing plant certification</t>
  </si>
  <si>
    <t>Consent to operate</t>
  </si>
  <si>
    <t>Consent to Establish</t>
  </si>
  <si>
    <t>MoEF / SIEAA clearance</t>
  </si>
  <si>
    <t>Member Secretary, Central Ground Water Authority,
New Delhi or to the Regional Director, 
Central Ground Water Board of concerned State</t>
  </si>
  <si>
    <t>CGWA clearance / Permission to extract ground water</t>
  </si>
  <si>
    <t>Status</t>
  </si>
  <si>
    <t>Remarks</t>
  </si>
  <si>
    <t>Expected/ Actual Date</t>
  </si>
  <si>
    <t>Plan Date</t>
  </si>
  <si>
    <t>Responsibility</t>
  </si>
  <si>
    <t>Authority</t>
  </si>
  <si>
    <t>Category</t>
  </si>
  <si>
    <t>Sr No</t>
  </si>
  <si>
    <t>No. of. 
Drives</t>
  </si>
  <si>
    <t>Required For Commissioing</t>
  </si>
  <si>
    <t xml:space="preserve">Drive 
Placement </t>
  </si>
  <si>
    <t>Drive alignment &amp; Welding</t>
  </si>
  <si>
    <t>LCS/JB Fixng</t>
  </si>
  <si>
    <t>Power &amp; Control Cable laying</t>
  </si>
  <si>
    <t>Cable Termination Panel</t>
  </si>
  <si>
    <t>Cable Termination 
Motor</t>
  </si>
  <si>
    <t>Motor Trial</t>
  </si>
  <si>
    <t>Individual Trial</t>
  </si>
  <si>
    <t>Load trial</t>
  </si>
  <si>
    <t>LS Crusher to Stacker</t>
  </si>
  <si>
    <t>LS Reclaimer To RMH</t>
  </si>
  <si>
    <t>Additive Reclaimer to RMH</t>
  </si>
  <si>
    <t>RMH To Blending Silo Top</t>
  </si>
  <si>
    <t>Blending Silo Extraction To Clinker Silo Top</t>
  </si>
  <si>
    <t>Coal Reclaimer to Fine Coal</t>
  </si>
  <si>
    <t xml:space="preserve">Compressor, Pump House and Auxiliaries </t>
  </si>
  <si>
    <t>Wagon Tippler (Unloading and Transport)</t>
  </si>
  <si>
    <t>Total No. of Groups</t>
  </si>
  <si>
    <t>Total No of Drives</t>
  </si>
  <si>
    <t>No of Drives Req for commissioning</t>
  </si>
  <si>
    <t>No. of Drive Trials Completed</t>
  </si>
  <si>
    <t>Total No of Drive Trials Pending for commissioning</t>
  </si>
  <si>
    <t>No. of Group Trials Completed</t>
  </si>
  <si>
    <t>% Trials Completed</t>
  </si>
  <si>
    <t>LS Crusher to RMH</t>
  </si>
  <si>
    <t>Raw Grinding</t>
  </si>
  <si>
    <t>Corrective Unloading and Transport</t>
  </si>
  <si>
    <t>Blending Silo Extraction To Clinker Bulk Loading</t>
  </si>
  <si>
    <t>Fuel Stockpile, Transport &amp; Grinding</t>
  </si>
  <si>
    <t>Actual Date</t>
  </si>
  <si>
    <t>Mechanical &amp; Process</t>
  </si>
  <si>
    <t>212 - LIMESTONE CRUSHER</t>
  </si>
  <si>
    <t>3D MODEL - MT002-TDIC-GA10-2120000-0000</t>
  </si>
  <si>
    <t>Closed</t>
  </si>
  <si>
    <t>PLAN LAYOUT - MT002-TDIC-GA10-2120000-0001</t>
  </si>
  <si>
    <t>SECTION 1-1 - MT002-TDIC-GA10-2120000-0002</t>
  </si>
  <si>
    <t>SECTION 2-2, 3-3, 4-4 - MT002-TDIC-GA10-2120000-0003</t>
  </si>
  <si>
    <t>PLAN -5.000, 0.000, 4.000, 5.000-6.787, 5.000-7.437, 8.395, 19.800, 24.000 - MT002-TDIC-GA10-2120000-0004</t>
  </si>
  <si>
    <t>PLAN VIEW -5.000 - MT002-TDIC-GA10-2120000-0005</t>
  </si>
  <si>
    <t>PLAN VIEW -9.000 - MT002-TDIC-GA10-2120000-0006</t>
  </si>
  <si>
    <t>PLAN FOUNDATION -5.000, 0.000, 4.000, 5.000-6.787, 5.000-7.437, 6.600, 8.359 - MT002-TDIC-GA11-2120000-0001</t>
  </si>
  <si>
    <t>PLAN FOUNDATION 14.715, 19.800,24.000 - MT002-TDIC-GA11-2120000-0002</t>
  </si>
  <si>
    <t>APRON FEEDER EQUIPMENT DRAWING - MT002-TDIC-ME12-212AF01-0001</t>
  </si>
  <si>
    <t>WOBBLER FEEDER EQUIPMENT DRAWING - MT002-TDIC-ME12-212WQ01-0001</t>
  </si>
  <si>
    <t>FLOW SHEET - MT002-TDIC-ME01-2120000-0001</t>
  </si>
  <si>
    <t>PROCESS EQUIPMENT LIST - MT002-TDIC-ME04-2120000-0001</t>
  </si>
  <si>
    <t>LIMESTONE CRUSHING SPRAY DUST SUPPRESSIONG SYSTEM 1</t>
  </si>
  <si>
    <t>LIMESTONE CRUSHING SPRAY DUST SUPPRESSIONG SYSTEM 2</t>
  </si>
  <si>
    <t>EQUIPMENT DRAWING - MT002-TDIC-ME12-2120000-0001</t>
  </si>
  <si>
    <t>EQUIPMENT DRAWING - MT002-TDIC-ME12-2120000-0002</t>
  </si>
  <si>
    <t>EQUIPMENT DRAWING - MT002-TDIC-ME12-2120000-0003</t>
  </si>
  <si>
    <t>APRON FEEDER EQUIPMENT DRAWING</t>
  </si>
  <si>
    <t>WOBBLER FEEDER EQUIPMENT DRAWING</t>
  </si>
  <si>
    <t>EQUIPMENT DRAWING - MT002-TDIC-ME12-2120000-0008</t>
  </si>
  <si>
    <t>EQUIPMENT DRAWING - MT002-TDIC-ME12-2120000-0009</t>
  </si>
  <si>
    <t>AIR COMPRESSOR equipment drawing</t>
  </si>
  <si>
    <t>AIR COMPRESSOR equipment data sheet</t>
  </si>
  <si>
    <t>PUMP STATION ASSLY FOR APRON, IMPACTOR</t>
  </si>
  <si>
    <t>PUMP STATION ASSLY FOR WOBBLER</t>
  </si>
  <si>
    <t>BAG FILTER Equipment drawing</t>
  </si>
  <si>
    <t>LIMESTONE CRUSHING SPRAY DUST SUPPRESSIONG SYSTEM 1 - MT002-TDIC-ME12-212IJ01-0001</t>
  </si>
  <si>
    <t>LIMESTONE CRUSHING SPRAY DUST SUPPRESSIONG SYSTEM 2 - MT002-TDIC-ME12-212IJ01-0002</t>
  </si>
  <si>
    <t>292 - LIMESTONE TRANSPORT TO STORAGE</t>
  </si>
  <si>
    <t>LAYOUT - MT002-TDIC-GA01-2920000-0001</t>
  </si>
  <si>
    <t>LAYOUT - MT002-TDIC-GA01-2920000-0002</t>
  </si>
  <si>
    <t>PLAN LAYOUT - MT002-TDIC-GA10-2920000-0001</t>
  </si>
  <si>
    <t>PLAN 3.000, 3.500, 6.000, 6.500, 15.500, 22.500, SECTION 1-1 - MT002-TDIC-GA10-2920000-0002</t>
  </si>
  <si>
    <t>VERTICAL SECTION OF NO.2 BELT CONVEYOR - MT002-TDIC-GA10-2920000-0101</t>
  </si>
  <si>
    <t>VERTICAL SECTION OF NO.3 BELT CONVEYOR - MT002-TDIC-GA10-2920000-0201</t>
  </si>
  <si>
    <t>VERTICAL SECTION OF NO.4 BELT CONVEYOR - MT002-TDIC-GA10-2920000-0301</t>
  </si>
  <si>
    <t>FOUNDATION DRAWING - MT002-TDIC-GA11-2920000-0101</t>
  </si>
  <si>
    <t>Open</t>
  </si>
  <si>
    <t>FOUNDATION DRAWING - MT002-TDIC-GA11-2920000-0201</t>
  </si>
  <si>
    <t>FOUNDATION DRAWING - MT002-TDIC-GA11-2920000-0301</t>
  </si>
  <si>
    <t>FOUNDATION DRAWING - MT002-TDIC-GA11-2920000-0401</t>
  </si>
  <si>
    <t>FOUNDATION DRAWING - MT002-TDIC-GA11-2920000-0501</t>
  </si>
  <si>
    <t>FLOW SHEET - MT002-TDIC-ME01-2920000-0001</t>
  </si>
  <si>
    <t>FLOW SHEET - MT002-TDIC-ME01-2920000-0101</t>
  </si>
  <si>
    <t>FLOW SHEET - MT002-TDIC-ME01-2920000-0201</t>
  </si>
  <si>
    <t>FLOW SHEET - MT002-TDIC-ME01-2920000-0301</t>
  </si>
  <si>
    <t>PROCESS EQUIPMENT LIST - MT002-TDIC-ME04-2920000-0001</t>
  </si>
  <si>
    <t>PROCESS EQUIPMENT LIST - MT002-TDIC-ME04-2920000-0101</t>
  </si>
  <si>
    <t>PROCESS EQUIPMENT LIST - MT002-TDIC-ME04-2920000-0201</t>
  </si>
  <si>
    <t>PROCESS EQUIPMENT LIST - MT002-TDIC-ME04-2920000-0301</t>
  </si>
  <si>
    <t>BELT WEIGHER equipment drawing - MT002-TDIC-ME12-292BW01-0001</t>
  </si>
  <si>
    <t>LOAD CELL equipment drawing - MT002-TDIC-ME12-292LC01-0001</t>
  </si>
  <si>
    <t>BELT CONVEYOR 2nd batch equipment drawing - MT002-TDIC-ME12-292BC04-0001</t>
  </si>
  <si>
    <t>EQUIPMENT DRAWING - MT002-TDIC-ME12-2920000-0004</t>
  </si>
  <si>
    <t>EQUIPMENT DRAWING - MT002-TDIC-ME12-2920000-0005</t>
  </si>
  <si>
    <t>EQUIPMENT DRAWING - MT002-TDIC-ME12-2920000-0006</t>
  </si>
  <si>
    <t>EQUIPMENT DRAWING - MT002-TDIC-ME12-2920000-0007</t>
  </si>
  <si>
    <t>EQUIPMENT DRAWING - MT002-TDIC-ME12-2920000-0008</t>
  </si>
  <si>
    <t>EQUIPMENT DRAWING - MT002-TDIC-ME12-2920000-0009</t>
  </si>
  <si>
    <t>EQUIPMENT DRAWING - MT002-TDIC-ME12-2920000-0010</t>
  </si>
  <si>
    <t>EQUIPMENT DRAWING - MT002-TDIC-ME12-2920000-0011</t>
  </si>
  <si>
    <t>EQUIPMENT DRAWING - MT002-TDIC-ME12-2920000-0012</t>
  </si>
  <si>
    <t>EQUIPMENT DRAWING - MT002-TDIC-ME12-2920000-0013</t>
  </si>
  <si>
    <t>EQUIPMENT DRAWING - MT002-TDIC-ME12-2920000-0014</t>
  </si>
  <si>
    <t>EQUIPMENT DRAWING - MT002-TDIC-ME12-2920000-0015</t>
  </si>
  <si>
    <t>EQUIPMENT DRAWING - MT002-TDIC-ME12-2920000-0016</t>
  </si>
  <si>
    <t>EQUIPMENT DRAWING - MT002-TDIC-ME12-2920000-0017</t>
  </si>
  <si>
    <t>METAL SEPARATOR DATA SHEET - MT002-TDIC-ME10-292MS01-0001</t>
  </si>
  <si>
    <t>METAL SEPARATOR  EQUIPMENT DRAWING - MT002-TDIC-ME12-292MS01-0001</t>
  </si>
  <si>
    <t>METAL SEPARATOR  EQUIPMENT DRAWING - MT002-TDIC-ME12-312MS01-0001</t>
  </si>
  <si>
    <t>312-1-LIMESTONE TRANSPORT AND STORAGE</t>
  </si>
  <si>
    <t>PLAN LAYOUT - MT002-TDIC-GA10-3120000-0001</t>
  </si>
  <si>
    <t>SECTION 1-1 - MT002-TDIC-GA10-3120000-0002</t>
  </si>
  <si>
    <t>SECTION 2-2 - MT002-TDIC-GA10-3120000-0003</t>
  </si>
  <si>
    <t>SECTION 3-3 - MT002-TDIC-GA10-3120000-0004</t>
  </si>
  <si>
    <t>SECTION C-C,D-D,PLAN FOUNDATION ±0.000,4.000 - MT002-TDIC-GA10-3120000-0005</t>
  </si>
  <si>
    <t>PLAN XXX；SECTION 5-5，6-6 - MT002-TDIC-GA10-3120000-0006</t>
  </si>
  <si>
    <t>PLANFOUNDATION XXX - MT002-TDIC-GA11-3120000-0001</t>
  </si>
  <si>
    <t>PLANFOUNDATION XXX - MT002-TDIC-GA11-3120000-0002</t>
  </si>
  <si>
    <t>FLOW SHEET - MT002-TDIC-ME01-3120000-0001</t>
  </si>
  <si>
    <t>PROCESS EQUIPMENT LIST - MT002-TDIC-ME04-3120000-0001</t>
  </si>
  <si>
    <t>3D MODELING - MT002-TDIC-GA10-3120000-0000</t>
  </si>
  <si>
    <t>Piping General Arrangement- Isometric drawings - MT002-TDIC-ME50-3120000-0001</t>
  </si>
  <si>
    <t>Piping- Bill of quantities - MT002-TDIC-ME51-3120000-0001</t>
  </si>
  <si>
    <t>GA DRAWING FOR LUFFING STACKER - MT002-TDIC-ME12-292ST01-0001</t>
  </si>
  <si>
    <t>GA DRAWING FOR LUFFING STACKER - MT002-TDIC-ME12-292ST01-0002</t>
  </si>
  <si>
    <t>STOCKPILE LAYOUT FOR LIMESTONE SYSTEM(292ST01&amp;312RE01) - MT002-TDIC-ME12-292ST01-0003</t>
  </si>
  <si>
    <t>STOCKPILE LAYOUT FOR LIMESTONE SYSTEM(292ST01&amp;312RE01) - MT002-TDIC-ME12-292ST01-0004</t>
  </si>
  <si>
    <t>WHEEL LOAD DATA FOR LUFFING STACKER - MT002-TDIC-ME12-292ST01-0005</t>
  </si>
  <si>
    <t>RAIL FIXING AND FOUNDATION ARRANGEMENT FOR LUFFING STACKER (292ST01)</t>
  </si>
  <si>
    <t>RAIL FIXING AND FOUNDATION ARRANGEMENT FOR LUFFING STACKER (292ST01) BUFFER TG-514</t>
  </si>
  <si>
    <t>GA DRAWING FOR BRIDGE RECLAIMER - MT002-TDIC-ME12-312RE01-0001</t>
  </si>
  <si>
    <t>WHEEL LOAD DATA OF BRIDGE RECLAIMER - MT002-TDIC-ME12-312RE01-0002</t>
  </si>
  <si>
    <t>RAIL FIXING AND FOUNDATION ARRANGEMENT FOR BRIDGE RECLAIMER (312RE01)</t>
  </si>
  <si>
    <t>RAIL FIXING AND FOUNDATION ARRANGEMENT FOR BRIDGE RECLAIMER (312RE01) BUFFER TG-514</t>
  </si>
  <si>
    <t>DATA SHEET OF STACKER  &amp; RECLAIMER - MT002-TDIC-ME10-292ST01-0001</t>
  </si>
  <si>
    <t>BELT SCALE 293BW01 - MT002-TDIC-ME12-292BW01-0001</t>
  </si>
  <si>
    <t>BELT SCALE 313BW01 - MT002-TDIC-ME12-312BW01-0001</t>
  </si>
  <si>
    <t>BUTTERFLY DAMPER 294BV01 - MT002-TDIC-ME12-292BV01-0001</t>
  </si>
  <si>
    <t>BUTTERFLY DAMPER 294BV02 - MT002-TDIC-ME12-292BV02-0001</t>
  </si>
  <si>
    <t>TWO-WAY VALVE 294MW01 - MT002-TDIC-ME12-292MW01-0001</t>
  </si>
  <si>
    <t>TWO-WAY VALVE 294MW02 - MT002-TDIC-ME12-292MW02-0001</t>
  </si>
  <si>
    <t>NEEDLE GATE 312NG01 - MT002-TDIC-ME12-312NG01-0001</t>
  </si>
  <si>
    <t>NEEDLE GATE 312NG02 - MT002-TDIC-ME12-312NG02-0001</t>
  </si>
  <si>
    <t>BAG FILTER 294BF01 - MT002-TDIC-ME12-292BF01-0001</t>
  </si>
  <si>
    <t>BAG FILTER 294BF02 - MT002-TDIC-ME12-292BF02-0001</t>
  </si>
  <si>
    <t>BAG FILTER 312BF01 - MT002-TDIC-ME12-312BF01-0001</t>
  </si>
  <si>
    <t>FAN 294FN01 - MT002-TDIC-ME12-292 FN01-0001</t>
  </si>
  <si>
    <t>FAN 294FN02 - MT002-TDIC-ME12-292 FN02-0001</t>
  </si>
  <si>
    <t>FAN 312FN01 - MT002-TDIC-ME12-312 FN01-0001</t>
  </si>
  <si>
    <t>312-2- LIMESTONE CONVEYING TO EIXSTING LINE</t>
  </si>
  <si>
    <t>PLAN LAYOUT - MT002-TDIC-GA10-3120000-0101</t>
  </si>
  <si>
    <t>SECTION 1-1 - MT002-TDIC-GA10-3120000-0102</t>
  </si>
  <si>
    <t>SECTION 2-2 - MT002-TDIC-GA10-3120000-0103</t>
  </si>
  <si>
    <t>PLAN FOUNDATION XXX - MT002-TDIC-GA11-3120000-0101</t>
  </si>
  <si>
    <t>Belt Conveyor 312BC03 - MT002-TDIC-ME12-312BC03-0001</t>
  </si>
  <si>
    <t>332-1 RAW MILL HOPPER</t>
  </si>
  <si>
    <t>3D MODELING - MT002-TDIC-GA10-3320000-0000</t>
  </si>
  <si>
    <t>PLAN LAYOUT(1) - MT002-TDIC-GA10-3320000-0001</t>
  </si>
  <si>
    <t>SECTION 1-1 - MT002-TDIC-GA10-3320000-0002</t>
  </si>
  <si>
    <t>SECTION 2-2,3-3 - MT002-TDIC-GA10-3320000-0003</t>
  </si>
  <si>
    <t>SECTION 4-4 - MT002-TDIC-GA10-3320000-0004</t>
  </si>
  <si>
    <t>PLAN ±0.00,4.700,10.800,23.000,26.300,29.500,33.700 - MT002-TDIC-GA10-3320000-0005</t>
  </si>
  <si>
    <t>PLAN LAYOUT/PLAN LAYOUT(2) - MT002-TDIC-GA10-3320000-0101</t>
  </si>
  <si>
    <t>SECTION 1-1、SECTION 5-5 - MT002-TDIC-GA10-3320000-0102</t>
  </si>
  <si>
    <t>SECTION 2-2、SECTION 6-6 - MT002-TDIC-GA10-3320000-0103</t>
  </si>
  <si>
    <t>PLAN 21.000-30.600, 25.000-34.000, PLAN 28.100,33.500, 43.800 - MT002-TDIC-GA10-3320000-0104</t>
  </si>
  <si>
    <t>PLAN FOUNDATION 4.700,8.000,11.200,16.000 - MT002-TDIC-GA11-3320000-0001</t>
  </si>
  <si>
    <t>PLAN FOUNDATION19.000,22.200,23.000,26.300,28.700,29.500,33.700 - MT002-TDIC-GA11-3320000-0002</t>
  </si>
  <si>
    <t>PLAN ±0.000-14.500,11.000-41.700,DETAIL D1-D5 - MT002-TDIC-GA11-3320000-0003</t>
  </si>
  <si>
    <t>PLAN FOUNDATION 28.100,33.500, 41.100,43.800,51.000,DETAIL D6-D7 - MT002-TDIC-GA11-3320000-0101</t>
  </si>
  <si>
    <t>PLAN FOUNDATION 21.000-30.600,25.000-34.000 - MT002-TDIC-GA11-3320000-0102</t>
  </si>
  <si>
    <t>FLOW SHEET - MT002-TDIC-ME01-3320000-0001</t>
  </si>
  <si>
    <t>PROCESS EQUIPMENT LIST - MT002-TDIC-ME04-3320000-0001</t>
  </si>
  <si>
    <t>3D MODELING - MT002-TDIC-GA10-3320000-0100</t>
  </si>
  <si>
    <t>PROCESS PIPING DRAWING - MT002-TDIC-ME50-3320000-0001</t>
  </si>
  <si>
    <t>LIST OF PROCESS PIPING MATERIAL - MT002-TDIC-ME51-3320000-0001</t>
  </si>
  <si>
    <t>Load Cell 313LC01-03 - MT002-TDIC-ME12-313LC01-0001</t>
  </si>
  <si>
    <t>Load Cell X92LC01-03 - MT002-TDIC-ME12-X92LC01-0001</t>
  </si>
  <si>
    <t>Load Cell X92LC04-06 - MT002-TDIC-ME12-X92LC04-0001</t>
  </si>
  <si>
    <t>Needle Gate 332NG01 - MT002-TDIC-ME12-332NG01-0001</t>
  </si>
  <si>
    <t>Needle Gate 332NG02 - MT002-TDIC-ME12-332NG02-0001</t>
  </si>
  <si>
    <t>Needle Gate 332NG03 - MT002-TDIC-ME12-332NG03-0001</t>
  </si>
  <si>
    <t>Belt Weigh feeder 332WF01 - MT002-TDIC-ME12-332WF01-0001</t>
  </si>
  <si>
    <t>Belt Weigh feeder 332WF02 - MT002-TDIC-ME12-332WF02-0001</t>
  </si>
  <si>
    <t>Belt Weigh feeder 332WF03 - MT002-TDIC-ME12-332WF03-0001</t>
  </si>
  <si>
    <t>Load Cell 332LC01-03 - MT002-TDIC-ME12-332LC01-0001</t>
  </si>
  <si>
    <t>Load Cell 332LC04-06 - MT002-TDIC-ME12-332LC04-0001</t>
  </si>
  <si>
    <t>Needle Gate 332NG05 - MT002-TDIC-ME12-332NG05-0001</t>
  </si>
  <si>
    <t>Needle Gate 332NG06 - MT002-TDIC-ME12-332NG06-0001</t>
  </si>
  <si>
    <t>Belt Weigh feeder 332WF05 - MT002-TDIC-ME12-332WF05-0001</t>
  </si>
  <si>
    <t>Belt Weigh feeder 332WF06 - MT002-TDIC-ME12-332WF06-0001</t>
  </si>
  <si>
    <t>Bag Filter 332BF01 - MT002-TDIC-ME12-332BF01-0001</t>
  </si>
  <si>
    <t>Fan  332FN01 - MT002-TDIC-ME12-332FN01-0001</t>
  </si>
  <si>
    <t>Bag Filter 332BF02 - MT002-TDIC-ME12-332BF02-0001</t>
  </si>
  <si>
    <t>Fan  332FN02 - MT002-TDIC-ME12-332FN02-0001</t>
  </si>
  <si>
    <t>Bag Filter 332BF03 - MT002-TDIC-ME12-332BF03-0001</t>
  </si>
  <si>
    <t>Fan  332FN03 - MT002-TDIC-ME12-332FN03-0001</t>
  </si>
  <si>
    <t>Bag Filter 332BF04 - MT002-TDIC-ME12-332BF04-0001</t>
  </si>
  <si>
    <t>Fan  332FN04 - MT002-TDIC-ME12-332FN04-0001</t>
  </si>
  <si>
    <t>Bag Filter 332BF05 - MT002-TDIC-ME12-332BF05-0001</t>
  </si>
  <si>
    <t>Fan  332FN05 - MT002-TDIC-ME12-332FN05-0001</t>
  </si>
  <si>
    <t>Bag Filter 332BF06 - MT002-TDIC-ME12-332BF06-0001</t>
  </si>
  <si>
    <t>Fan  332FN06 - MT002-TDIC-ME12-332FN06-0001</t>
  </si>
  <si>
    <t>Belt Conveyor 332BC01 - MT002-TDIC-ME12-332BC01-0001</t>
  </si>
  <si>
    <t>Belt Conveyor 332BC02 - MT002-TDIC-ME12-332BC02-0001</t>
  </si>
  <si>
    <t>Belt Conveyor 332BC03 - MT002-TDIC-ME12-332BC03-0001</t>
  </si>
  <si>
    <t>Belt Conveyor 332BC04 - MT002-TDIC-ME12-332BC04-0001</t>
  </si>
  <si>
    <t>METAL SEPARATOR EQUIPMENT DRAWING - MT002-TDIC-ME12-332MS01-0001</t>
  </si>
  <si>
    <t>Pneumatic Arc Gate 332CM01 - MT002-TDIC-ME12-332CM01-0001</t>
  </si>
  <si>
    <t>Pneumatic Arc Gate 332CM02 - MT002-TDIC-ME12-332CM02-0001</t>
  </si>
  <si>
    <t>Electric Hoist 332EH01 - MT002-TDIC-ME12-332EH01-0001</t>
  </si>
  <si>
    <t>Manual Monorail Trolley 332EH02 - MT002-TDIC-ME12-332EH02-0001</t>
  </si>
  <si>
    <t>Manual Monorail Trolley 332EH03 - MT002-TDIC-ME12-332EH03-0001</t>
  </si>
  <si>
    <t>Pneumatic Butterfly Damper 332BV01 - MT002-TDIC-ME12-332BV01-0001</t>
  </si>
  <si>
    <t>Pneumatic Butterfly Damper 332BV02 - MT002-TDIC-ME12-332BV02-0001</t>
  </si>
  <si>
    <t>332-2 RAW MILL FEEDING</t>
  </si>
  <si>
    <t>PLAN LAYOUT - MT002-TDIC-GA10-3320000-0101</t>
  </si>
  <si>
    <t>SECTION 1-1 - MT002-TDIC-GA10-3320000-0102</t>
  </si>
  <si>
    <t>SECTION 2-2 - MT002-TDIC-GA10-3320000-0103</t>
  </si>
  <si>
    <t>PLAN 21.000-30.600,25.000-34.000
PLAN 28.100,33.500,43.800 - MT002-TDIC-GA10-3320000-0104</t>
  </si>
  <si>
    <t>PLAN FOUNDATION 21.000-30.600,25.000-34.000
PLAN FOUNDATION 28.100,33.500,43.800 - MT002-TDIC-GA10-3320000-0105</t>
  </si>
  <si>
    <t>362 - RAW MILL GRINDING</t>
  </si>
  <si>
    <t>GENERAL   PLAN - MT002-TDIC-GA10-3620000-0001</t>
  </si>
  <si>
    <t>SECTION 1-1,3-3 - MT002-TDIC-GA10-3620000-0002</t>
  </si>
  <si>
    <t>SECTION 2-2 - MT002-TDIC-GA10-3620000-0003</t>
  </si>
  <si>
    <t>SECTION 4-4,5-5 - MT002-TDIC-GA10-3620000-0004</t>
  </si>
  <si>
    <t>SECTION 6-6,7-7.12-12 - MT002-TDIC-GA10-3620000-0005</t>
  </si>
  <si>
    <t>SECTION 8-8,9-9 - MT002-TDIC-GA10-3620000-0006</t>
  </si>
  <si>
    <t>SECTION 10-10,13-13 - MT002-TDIC-GA10-3620000-0007</t>
  </si>
  <si>
    <t>SECTION 11-11 - MT002-TDIC-GA10-3620000-0008</t>
  </si>
  <si>
    <t>PLAN ±0.000 - MT002-TDIC-GA10-3620000-0009</t>
  </si>
  <si>
    <t>PLAN -3.150,6.500,7.000 - MT002-TDIC-GA10-3620000-0010</t>
  </si>
  <si>
    <t>PLAN 2.500-10.500,6.500,7.000,9.000 - MT002-TDIC-GA10-3620000-0011</t>
  </si>
  <si>
    <t>PLAN 13.300,16.500,16.310 - MT002-TDIC-GA10-3620000-0012</t>
  </si>
  <si>
    <t>PLAN 17.500,20.212,20.500,22.000,29.400 - MT002-TDIC-GA10-3620000-0013</t>
  </si>
  <si>
    <t>PLAN FOUNDATION -3.150,±0.000,4.300 - MT002-TDIC-GA11-3620000-0001</t>
  </si>
  <si>
    <t>PLAN FOUNDATION 6.500,7.000,13.300,16.500,16.310,16.000-17.500 - MT002-TDIC-GA11-3620000-0002</t>
  </si>
  <si>
    <t>PLAN FOUNDATION 2.500-10.500,9.000.12.600-18.000 - MT002-TDIC-GA11-3620000-0003</t>
  </si>
  <si>
    <t>PLAN FOUNDATION 17.500,20.212,20.500,22.000 - MT002-TDIC-GA11-3620000-0004</t>
  </si>
  <si>
    <t>PLAN FOUNDATION   23.000,26.500,31.900,32.100,35.100,43.400,45.000 - MT002-TDIC-GA11-3620000-0005</t>
  </si>
  <si>
    <t>PLAN FOUNDATION 4.500-7.000,6.500,7.000,10.000,12.700 - MT002-TDIC-GA11-3620000-0006</t>
  </si>
  <si>
    <t>PLAN FOUNDATION 34.000,37.400,38.900,42.900 - MT002-TDIC-GA11-3620000-0007</t>
  </si>
  <si>
    <t>FLOW SHEET:RAW MILL GRINDING 3# - MT002-TDIC-ME01-3620000-0001</t>
  </si>
  <si>
    <t>FLOW SHEET:RAW MILL GRINDING 4# - MT002-TDIC-ME01-3630000-0001</t>
  </si>
  <si>
    <t>FLOW SHEET:RAW MEAL CONVEYING TO SILO - MT002-TDIC-ME01-3920000-0001</t>
  </si>
  <si>
    <t>FLOW SHEET:DEDUSTING OF KILN SYSTEM - MT002-TDIC-ME01-4220000-0001</t>
  </si>
  <si>
    <t>HEAT BALANCE - MT002-TDIC-ME03-362RP01-0001</t>
  </si>
  <si>
    <t>PROCESS EQUIPMENT LIST:RAW MILL GRINDING 3# - MT002-TDIC-ME04-3620000-0001</t>
  </si>
  <si>
    <t>PROCESS EQUIPMENT LIST:RAW MILL GRINDING 4# - MT002-TDIC-ME04-3630000-0001</t>
  </si>
  <si>
    <t>PROCESS EQUIPMENT LIST:RAW MEAL CONVEYING TO SILO - MT002-TDIC-ME04-3920000-0001</t>
  </si>
  <si>
    <t>PROCESS EQUIPMENT LIST:DEDUSTING OF KILN SYSTEM - MT002-TDIC-ME04-4220000-0001</t>
  </si>
  <si>
    <t>MT002-TDIC-ME04-3620000-0101</t>
  </si>
  <si>
    <t>PROCESS PIPING DRAWING - MT002-TDIC-ME50-3620000-0001</t>
  </si>
  <si>
    <t>LIST OF PROCESS PIPING MATERIAL - MT002-TDIC-ME51-3620000-0001</t>
  </si>
  <si>
    <t>Bucket Elevator 363BE01 - MT002-TDIC-ME12-363BE01-0001</t>
  </si>
  <si>
    <t>Bucket Elevator 363BE02 - MT002-TDIC-ME12-363BE02-0001</t>
  </si>
  <si>
    <t>Bucket Elevator 362BE01 - MT002-TDIC-ME12-362BE01-0001</t>
  </si>
  <si>
    <t>Bucket Elevator 362BE02 - MT002-TDIC-ME12-362BE02-0001</t>
  </si>
  <si>
    <t>DATASHEET of Bucket Elevator 363BE01 - MT002-TDIC-ME10-363BE01-0001</t>
  </si>
  <si>
    <t>DATASHEET of Bucket Elevator 363BE02 - MT002-TDIC-ME10-363BE02-0001</t>
  </si>
  <si>
    <t>DATASHEET of Bucket Elevator 362BE01 - MT002-TDIC-ME10-362BE01-0001</t>
  </si>
  <si>
    <t>DATASHEET of Bucket Elevator 362BE02 - MT002-TDIC-ME10-362BE02-0001</t>
  </si>
  <si>
    <t>2-Φ6800 Cyclone 363CN01 - MT002-TDIC-ME12-363CN01-0001</t>
  </si>
  <si>
    <t>2-Φ6800 Cyclone 362CN01 - MT002-TDIC-ME12-362CN01-0001</t>
  </si>
  <si>
    <t>DATASHEET of Cyclone 362CN01 - MT002-TDIC-ME10-362CN01-0001</t>
  </si>
  <si>
    <t>DATASHEET of Cyclone 363CN01 - MT002-TDIC-ME10-363CN01-0001</t>
  </si>
  <si>
    <t>EQUIPMENT DRAWING - MT002-TDIC-ME12-362FN01-0001</t>
  </si>
  <si>
    <t>EQUIPMENT DRAWING - MT002-TDIC-ME12-363FN01-0001</t>
  </si>
  <si>
    <t>DATASHEET of Process Fan 363FN01 - MT002-TDIC-ME10-362FN01-0001</t>
  </si>
  <si>
    <t>DATASHEET of Process Fan 362FN01 - MT002-TDIC-ME10-362FN01-0001</t>
  </si>
  <si>
    <t>TRP220-180:NEEDLE GATE - MT002-TDIC-ME12-362NG01-0001</t>
  </si>
  <si>
    <t>TRP220-180:NEEDLE GATE - MT002-TDIC-ME12-363NG01-0001</t>
  </si>
  <si>
    <t>TRP220-180: ELECTRO-HYDRAULIC ROD VALVES - MT002-TDIC-ME12-362NG04-0001</t>
  </si>
  <si>
    <t>TRP220-180: ELECTRO-HYDRAULIC ROD VALVES - MT002-TDIC-ME12-363NG04-0001</t>
  </si>
  <si>
    <t>TRP220-180:ROLLER PRESS - MT002-TDIC-ME12-363RP01-0001</t>
  </si>
  <si>
    <t>TRP220-180:ROLLER PRESS - MT002-TDIC-ME12-362RP01-0001</t>
  </si>
  <si>
    <t>TASr-540Combined Separator 363SR01 - MT002-TDIC-ME12-363SR01-0001</t>
  </si>
  <si>
    <t>TASr-540Combined Separator 362SR01 - MT002-TDIC-ME12-362SR01-0001</t>
  </si>
  <si>
    <t>HYDRAULIC SYSTEM DIAGRAM - MT002-TDIC-ME12-363HS01-0001</t>
  </si>
  <si>
    <t>DATA SHEET - MT002-TDIC-ME10-363RP01-0001</t>
  </si>
  <si>
    <t>DATASHEET of  Separator 362SR01 - MT002-TDIC-ME10-362SR01-0001</t>
  </si>
  <si>
    <t>TDM-512/2×7 BAG FILTER - MT002-TDIC-ME12-422BF01-0001</t>
  </si>
  <si>
    <t>TECHNOLOGICAL PARAMETER, ELECTRICAL MATERIAL FOR EACH DUSTCOLLECTOR - MT002-TDIC-ME12-422BF01-0002</t>
  </si>
  <si>
    <t>BAG FILTER FOUNDATION DRAWING - MT002-TDIC-ME12-422BF01-0003</t>
  </si>
  <si>
    <t>DRAG CHAIN FOUNDATION DRAWING - MT002-TDIC-ME12-422BF01-0004</t>
  </si>
  <si>
    <t>DATASHEET of   Process Bag house 422BH01 - MT002-TDIC-ME10-422BH01-0001</t>
  </si>
  <si>
    <t>EQUIPMENT DRAWING - MT002-TDIC-ME12-422FN01-0001</t>
  </si>
  <si>
    <t>DATASHEET of  Process Fan 422FN01 - MT002-TDIC-ME10-422FN01-0001</t>
  </si>
  <si>
    <t>TRP220-180 WEIGHT HOPPER - MT002-TDIC-ME12-3633B01-0001</t>
  </si>
  <si>
    <t>TRP220-180 WEIGHT HOPPER - MT002-TDIC-ME12-3623B01-0001</t>
  </si>
  <si>
    <t>CHUTE METAL SEPARATOR 363MS01 - MT002-TDIC-ME12-362MS01-0001</t>
  </si>
  <si>
    <t>Bag Filter 363BF01 - MT002-TDIC-ME12-362BF01-0001</t>
  </si>
  <si>
    <t>Bag Filter 363BF02 - MT002-TDIC-ME12-362BF02-0001</t>
  </si>
  <si>
    <t>Bag Filter 362BF01 - MT002-TDIC-ME12-362BF01-0001</t>
  </si>
  <si>
    <t>Bag Filter 362BF02 - MT002-TDIC-ME12-362BF02-0001</t>
  </si>
  <si>
    <t>Bag Filter 393BF01 - MT002-TDIC-ME12-392BF01-0001</t>
  </si>
  <si>
    <t>Bag Filter 393BF02 - MT002-TDIC-ME12-392BF02-0001</t>
  </si>
  <si>
    <t>Bag Filter Fan 363FN03 - MT002-TDIC-ME12-362FN03-0001</t>
  </si>
  <si>
    <t>Bag Filter Fan 363FN02 - MT002-TDIC-ME12-362FN02-0001</t>
  </si>
  <si>
    <t>Bag Filter Fan 362FN03 - MT002-TDIC-ME12-362FN03-0001</t>
  </si>
  <si>
    <t>Bag Filter Fan 362FN02 - MT002-TDIC-ME12-362FN02-0001</t>
  </si>
  <si>
    <t>Bag Filter Fan 393FN01 - MT002-TDIC-ME12-392FN01-0001</t>
  </si>
  <si>
    <t>Bag Filter Fan 393FN02 - MT002-TDIC-ME12-392FN02-0001</t>
  </si>
  <si>
    <t>Air Slide Fan 393FA01 - MT002-TDIC-ME12-392FA01-0001</t>
  </si>
  <si>
    <t>Air Slide Fan 393FA02 - MT002-TDIC-ME12-392FA02-0001</t>
  </si>
  <si>
    <t>Air Slide Fan 393FA03 - MT002-TDIC-ME12-392FA03-0001</t>
  </si>
  <si>
    <t>Air Slide Fan 393FA04 - MT002-TDIC-ME12-392FA04-0001</t>
  </si>
  <si>
    <t>Air Slide Fan 393FA05 - MT002-TDIC-ME12-392FA05-0001</t>
  </si>
  <si>
    <t>Air Slide Fan 393FA06 - MT002-TDIC-ME12-392FA06-0001</t>
  </si>
  <si>
    <t>Air Slide Fan 393FA07 - MT002-TDIC-ME12-392FA07-0001</t>
  </si>
  <si>
    <t>Air Slide Fan 393FA08 - MT002-TDIC-ME12-392FA08-0001</t>
  </si>
  <si>
    <t>MT600×25000mm CHAIN CONVEYOR - MT002-TDIC-ME12-422CV03-0001</t>
  </si>
  <si>
    <t>MT600×21000mm CHAIN CONVEYOR - MT002-TDIC-ME12-422CV04-0001</t>
  </si>
  <si>
    <t>MT500×8500mm CHAIN CONVEYOR - MT002-TDIC-ME12-422CV05-0001</t>
  </si>
  <si>
    <t>DATASHEET of  Chain conveyor 422CV03 - MT002-TDIC-ME10-422CV03-0001</t>
  </si>
  <si>
    <t>DATASHEET of  Chain conveyor 422CV04 - MT002-TDIC-ME10-422CV04-0001</t>
  </si>
  <si>
    <t>DATASHEET of  Chain conveyor 422CV05 - MT002-TDIC-ME10-422CV05-0001</t>
  </si>
  <si>
    <t>SAMPLER - MT002-TDIC-ME12-392SM01-0001</t>
  </si>
  <si>
    <t>SAMPLER - MT002-TDIC-ME12-392SM02-0001</t>
  </si>
  <si>
    <t>SAMPLER - MT002-TDIC-ME12-392SM03-0001</t>
  </si>
  <si>
    <t>DATA SHEET - MT002-TDIC-ME10-392SM01-0001</t>
  </si>
  <si>
    <t>SAMPLER - MT002-TDIC-ME12-422SM01-0001</t>
  </si>
  <si>
    <t>SAMPLER - MT002-TDIC-ME12-432SM01-0001</t>
  </si>
  <si>
    <t>METAL EXPANSION JOINT - MT002-TDIC-ME12-363EJ01-0001</t>
  </si>
  <si>
    <t>METAL EXPANSION JOINT - MT002-TDIC-ME12-363EJ02-0001</t>
  </si>
  <si>
    <t>METAL EXPANSION JOINT - MT002-TDIC-ME12-363EJ03-0001</t>
  </si>
  <si>
    <t>METAL EXPANSION JOINT - MT002-TDIC-ME12-363EJ04-0001</t>
  </si>
  <si>
    <t>METAL EXPANSION JOINT - MT002-TDIC-ME12-363EJ06-0001</t>
  </si>
  <si>
    <t>METAL EXPANSION JOINT - MT002-TDIC-ME12-363EJ08-0001</t>
  </si>
  <si>
    <t>METAL EXPANSION JOINT - MT002-TDIC-ME12-363EJ09-0001</t>
  </si>
  <si>
    <t>METAL EXPANSION JOINT - MT002-TDIC-ME12-422EJ01-0001</t>
  </si>
  <si>
    <t>METAL EXPANSION JOINT - MT002-TDIC-ME12-422EJ04-0001</t>
  </si>
  <si>
    <t>METAL EXPANSION JOINT - MT002-TDIC-ME12-422EJ05-0001</t>
  </si>
  <si>
    <t>METAL EXPANSION JOINT - MT002-TDIC-ME12-422EJ06-0001</t>
  </si>
  <si>
    <t>METAL EXPANSION JOINT - MT002-TDIC-ME12-422EJ07-0001</t>
  </si>
  <si>
    <t>Air Slide 393AS01 - MT002-TDIC-ME12-392AS01-0001</t>
  </si>
  <si>
    <t>Air Slide 393AS12 - MT002-TDIC-ME12-392AS12-0001</t>
  </si>
  <si>
    <t>Air Slide 393AS13 - MT002-TDIC-ME12-392AS13-0001</t>
  </si>
  <si>
    <t>METAL SEPARATOR DATA SHEET - MT002-TDIC-ME10-362MS01-0001</t>
  </si>
  <si>
    <t>Belt Conveyor 363BC02 - MT002-TDIC-ME12-362BC02-0001</t>
  </si>
  <si>
    <t>Belt Conveyor 362BC02 - MT002-TDIC-ME12-362BC02-0001</t>
  </si>
  <si>
    <t>Load Cell 363LC01~363LC03 - MT002-TDIC-ME12-362LC01-0001</t>
  </si>
  <si>
    <t>Load Cell 363LC04~363LC06 - MT002-TDIC-ME12-362LC04-0001</t>
  </si>
  <si>
    <t>Load Cell 362LC01~362LC03 - MT002-TDIC-ME12-362LC01-0001</t>
  </si>
  <si>
    <t>Load Cell 362LC04~362LC06 - MT002-TDIC-ME12-362LC04-0001</t>
  </si>
  <si>
    <t>Butterfly Damper 363BV01 - MT002-TDIC-ME12-362BV01-0001</t>
  </si>
  <si>
    <t>Louver Damper 363LD01 - MT002-TDIC-ME12-362LD01-0001</t>
  </si>
  <si>
    <t>Louver Damper 363LD02 - MT002-TDIC-ME12-362LD02-0001</t>
  </si>
  <si>
    <t>Louver Damper 363LD03 - MT002-TDIC-ME12-362LD03-0001</t>
  </si>
  <si>
    <t>Pneumatic Two-way Valve 363MW01 - MT002-TDIC-ME12-362MW01-0001</t>
  </si>
  <si>
    <t>Pneumatic Two-way Valve 363MW02 - MT002-TDIC-ME12-362MW02-0001</t>
  </si>
  <si>
    <t>Needle Gate 363NG02 - MT002-TDIC-ME12-362NG02-0001</t>
  </si>
  <si>
    <t>Needle Gate 363NG03 - MT002-TDIC-ME12-362NG03-0001</t>
  </si>
  <si>
    <t>Pneumatic Slide Gate 363PG02 - MT002-TDIC-ME12-362PG02-0001</t>
  </si>
  <si>
    <t>Pneumatic Slide Gate 363PG03 - MT002-TDIC-ME12-362PG03-0001</t>
  </si>
  <si>
    <t>Pneumatic Slide Gate 363PG04 - MT002-TDIC-ME12-362PG04-0001</t>
  </si>
  <si>
    <t>Pneumatic Slide Gate 363PG05 - MT002-TDIC-ME12-362PG05-0001</t>
  </si>
  <si>
    <t>Rotary Airlock 363RF03 - MT002-TDIC-ME12-362RF03-0001</t>
  </si>
  <si>
    <t>Rotary Airlock 363RF04 - MT002-TDIC-ME12-362RF04-0001</t>
  </si>
  <si>
    <t>Moterized Guilotine Damper 363SD01 - MT002-TDIC-ME12-362SD01-0001</t>
  </si>
  <si>
    <t>Moterized Guilotine Damper 363SD02 - MT002-TDIC-ME12-362SD02-0001</t>
  </si>
  <si>
    <t>Slide Gate  363SG03 - MT002-TDIC-ME12-362SG03-0001</t>
  </si>
  <si>
    <t>Slide Gate  363SG04 - MT002-TDIC-ME12-362SG04-0001</t>
  </si>
  <si>
    <t>Slide Gate  363SG06 - MT002-TDIC-ME12-362SG06-0001</t>
  </si>
  <si>
    <t>Butterfly Damper 362BV01 - MT002-TDIC-ME12-362BV01-0001</t>
  </si>
  <si>
    <t>Louver Damper 362LD01 - MT002-TDIC-ME12-362LD01-0001</t>
  </si>
  <si>
    <t>Louver Damper 362LD02 - MT002-TDIC-ME12-362LD02-0001</t>
  </si>
  <si>
    <t>Louver Damper 362LD03 - MT002-TDIC-ME12-362LD03-0001</t>
  </si>
  <si>
    <t>Pneumatic Two-way Valve 362MW01 - MT002-TDIC-ME12-362MW01-0001</t>
  </si>
  <si>
    <t>Pneumatic Two-way Valve 362MW02 - MT002-TDIC-ME12-362MW02-0001</t>
  </si>
  <si>
    <t>Needle Gate 362NG02 - MT002-TDIC-ME12-362NG02-0001</t>
  </si>
  <si>
    <t>Needle Gate 362NG03 - MT002-TDIC-ME12-362NG03-0001</t>
  </si>
  <si>
    <t>Pneumatic Slide Gate 362PG02 - MT002-TDIC-ME12-362PG02-0001</t>
  </si>
  <si>
    <t>Pneumatic Slide Gate 362PG03 - MT002-TDIC-ME12-362PG03-0001</t>
  </si>
  <si>
    <t>Pneumatic Slide Gate 362PG04 - MT002-TDIC-ME12-362PG04-0001</t>
  </si>
  <si>
    <t>Pneumatic Slide Gate 362PG05 - MT002-TDIC-ME12-362PG05-0001</t>
  </si>
  <si>
    <t>Rotary Airlock 362RF03 - MT002-TDIC-ME12-362RF03-0001</t>
  </si>
  <si>
    <t>Rotary Airlock 362RF04 - MT002-TDIC-ME12-362RF04-0001</t>
  </si>
  <si>
    <t>Moterized Guilotine Damper 362SD01 - MT002-TDIC-ME12-362SD01-0001</t>
  </si>
  <si>
    <t>Moterized Guilotine Damper 362SD02 - MT002-TDIC-ME12-362SD02-0001</t>
  </si>
  <si>
    <t>Slide Gate  362SG03 - MT002-TDIC-ME12-362SG03-0001</t>
  </si>
  <si>
    <t>Slide Gate  362SG04 - MT002-TDIC-ME12-362SG04-0001</t>
  </si>
  <si>
    <t>Slide Gate  362SG06 - MT002-TDIC-ME12-362SG06-0001</t>
  </si>
  <si>
    <t>Butterfly Damper 422BV01 - MT002-TDIC-ME12-422BV01-0001</t>
  </si>
  <si>
    <t>Butterfly Damper 422BV02 - MT002-TDIC-ME12-422BV02-0001</t>
  </si>
  <si>
    <t>Louver Damper 422LD01 - MT002-TDIC-ME12-422LD01-0001</t>
  </si>
  <si>
    <t>Slide Gate  422SG15 - MT002-TDIC-ME12-422SG15-0001</t>
  </si>
  <si>
    <t>Rotary Airlock 422RF15 - MT002-TDIC-ME12-422RF15-0001</t>
  </si>
  <si>
    <t>392 -RAW MEAL SILO</t>
  </si>
  <si>
    <t>GENERAL PLAN - MT002-TDIC-GA10-3920000-0001</t>
  </si>
  <si>
    <t>SECTION 1-1 - MT002-TDIC-GA10-3920000-0002</t>
  </si>
  <si>
    <t>SECTION 2-2,3-3，4-4 - MT002-TDIC-GA10-3920000-0003</t>
  </si>
  <si>
    <t>PLAN  63.500,71.100 - MT002-TDIC-GA10-3920000-0004</t>
  </si>
  <si>
    <t>PLAN 11.100,FOUNDATION INSIDE SILO - MT002-TDIC-GA10-3920000-0005</t>
  </si>
  <si>
    <t>PLAN FOUNDATION ±0.000,11.100 - MT002-TDIC-GA11-3920000-0001</t>
  </si>
  <si>
    <t>PLAN FOUNDATION 63.500,66.000-67.100,71.100,DETAIL D15 - MT002-TDIC-GA11-3920000-0002</t>
  </si>
  <si>
    <t>PLAN OF SILO BOTTOM,DETAIL D16 - MT002-TDIC-GA11-3920000-0003</t>
  </si>
  <si>
    <t>DETAIL D1-D14 - MT002-TDIC-GA11-3920000-0004</t>
  </si>
  <si>
    <t>FLOW SHEET - MT002-TDIC-ME01-4120000-0001</t>
  </si>
  <si>
    <t>PROCESS EQUIPMENT LIST - MT002-TDIC-ME04-4120000-0001</t>
  </si>
  <si>
    <t>3D MODELING - MT002-TDIC-GA10-3920000-0000</t>
  </si>
  <si>
    <t>Piping General Arrangement- Isometric drawings - MT002-TDIC-ME50-3920000-0001</t>
  </si>
  <si>
    <t>Piping- Bill of quantities - MT002-TDIC-ME51-3920000-0001</t>
  </si>
  <si>
    <t>Bucket Elevator EQUIPMENT DRAWING - MT002-TDIC-ME12-392BE01-0001</t>
  </si>
  <si>
    <t>Bucket Elevator DATASHEET  - MT002-TDIC-ME10-392BE01-0001</t>
  </si>
  <si>
    <t>HGBW-HCA 1100×71000 - MT002-TDIC-ME12-392BE02-0001</t>
  </si>
  <si>
    <t>DATA SHEET - MT002-TDIC-ME10-392BE02-0001</t>
  </si>
  <si>
    <t>Bag Filter - MT002-TDIC-ME12-392BF03-0001</t>
  </si>
  <si>
    <t>Fan - MT002-TDIC-ME12-392FN03-0001</t>
  </si>
  <si>
    <t>Air Slide - MT002-TDIC-ME12-392AS03-0001</t>
  </si>
  <si>
    <t>Air Slide - MT002-TDIC-ME12-392DB01-0001</t>
  </si>
  <si>
    <t>Air Slide - MT002-TDIC-ME12-412AE01-0001</t>
  </si>
  <si>
    <t>Air Slide - MT002-TDIC-ME12-412AS01-0001</t>
  </si>
  <si>
    <t>Air Slide - MT002-TDIC-ME12-412AS10-0001</t>
  </si>
  <si>
    <t>Fan - MT002-TDIC-ME12-392FA09-0001</t>
  </si>
  <si>
    <t>Fan - MT002-TDIC-ME12-392FA10-0001</t>
  </si>
  <si>
    <t>Fan - MT002-TDIC-ME12-392FA11-0001</t>
  </si>
  <si>
    <t>Fan - MT002-TDIC-ME12-392FA12-0001</t>
  </si>
  <si>
    <t>Fan - MT002-TDIC-ME12-412FA01-0001</t>
  </si>
  <si>
    <t>Fan - MT002-TDIC-ME12-412FA02-0001</t>
  </si>
  <si>
    <t>Fan - MT002-TDIC-ME12-412FA03-0001</t>
  </si>
  <si>
    <t>Fan - MT002-TDIC-ME12-412FA04-0001</t>
  </si>
  <si>
    <t>ELECTRIC FLOW CONTROL VALVE B630 - MT002-TDIC-ME12-412PG01-0001</t>
  </si>
  <si>
    <t>MANUAL GATE VALVE B630 - MT002-TDIC-ME12-412SG01-0001</t>
  </si>
  <si>
    <t>HREE-WAY VALVE ASSEMBLY DIAGRAM B630 - MT002-TDIC-ME12-412SG01-0002</t>
  </si>
  <si>
    <t>PNEUMATIC GATE VALVE B630 - MT002-TDIC-ME12-412SV01-0001</t>
  </si>
  <si>
    <t>DATA SHEET - MT002-TDIC-ME10-412BL01-0001</t>
  </si>
  <si>
    <t>DATA SHEET - MT002-TDIC-ME10-412BL02-0001</t>
  </si>
  <si>
    <t>Blower - MT002-TDIC-ME12-412BL01-0001</t>
  </si>
  <si>
    <t>Blower - MT002-TDIC-ME12-412BL02-0001</t>
  </si>
  <si>
    <t>Penumatic  Butterfly Damper - MT002-TDIC-ME12-392BV01-0001</t>
  </si>
  <si>
    <t>Penumatic  Butterfly Damper - MT002-TDIC-ME12-392BV02-0001</t>
  </si>
  <si>
    <t>Vent Valve - MT002-TDIC-ME12-392VE01-0001</t>
  </si>
  <si>
    <t>Equipment drawing of 412BV01 - MT002-TDIC-ME12-412BV01-0001</t>
  </si>
  <si>
    <t>Equipment drawing of 412BV11 - MT002-TDIC-ME12-412BV11-0001</t>
  </si>
  <si>
    <t>DATA SHEET - MT002-TDIC-ME10-432BE01-0001</t>
  </si>
  <si>
    <t>HGBW-HC 900×158500 - MT002-TDIC-ME12-432BE01-0001</t>
  </si>
  <si>
    <t>442 - PREHEATING</t>
  </si>
  <si>
    <t>PLAN ±0.000 - MT002-TDIC-GA10-4420000-0001</t>
  </si>
  <si>
    <t>SECTION 1-1,3-3,4-4 - MT002-TDIC-GA10-4420000-0002</t>
  </si>
  <si>
    <t>SECTION 2-2,5-5 - MT002-TDIC-GA10-4420000-0003</t>
  </si>
  <si>
    <t>PLAN 10.140,26.490 - MT002-TDIC-GA10-4420000-0004</t>
  </si>
  <si>
    <t>PLAN 46.340,68.740 - MT002-TDIC-GA10-4420000-0005</t>
  </si>
  <si>
    <t>PLAN 90.340,109.190 - MT002-TDIC-GA10-4420000-0006</t>
  </si>
  <si>
    <t>PLAN 128.040,142.740 - MT002-TDIC-GA10-4420000-0007</t>
  </si>
  <si>
    <t>PLAN 14.800,17.800,18.300,21.440,23.490,61.140,61.800,62.340,66.340 - MT002-TDIC-GA10-4420000-0008</t>
  </si>
  <si>
    <t>PLAN 37.800,51.900,52.590,56.800,59.300,145.800,147.700 - MT002-TDIC-GA10-4420000-0009</t>
  </si>
  <si>
    <t>PLAN 81.440,82.220,100.340,102.320,119.600,121.170 - MT002-TDIC-GA10-4420000-0010</t>
  </si>
  <si>
    <t>SECTION 6-6；PLAN 138.000,23.440 - MT002-TDIC-GA10-4420000-0011</t>
  </si>
  <si>
    <t>PLAN FOUNDATION ±0.000 - MT002-TDIC-GA11-4420000-0001</t>
  </si>
  <si>
    <t>PLAN FOUNDATION 10.140,26.490 - MT002-TDIC-GA11-4420000-0002</t>
  </si>
  <si>
    <t>PLAN FOUNDATION 46.340,68.740 - MT002-TDIC-GA11-4420000-0003</t>
  </si>
  <si>
    <t>PLAN FOUNDATION 90.340,109.190 - MT002-TDIC-GA11-4420000-0004</t>
  </si>
  <si>
    <t>PLAN FOUNDATION 128.040,142.740 - MT002-TDIC-GA11-4420000-0005</t>
  </si>
  <si>
    <t>PLAN FOUNDATION 5.400-3.700,5.000,16.300, 31.740,145.800,147.700,154.500,159.300,151.740-150.500-148.300 - MT002-TDIC-GA11-4420000-0006</t>
  </si>
  <si>
    <t>DETAIL D4,D5,D7,D9 - MT002-TDIC-GA11-4420000-0007</t>
  </si>
  <si>
    <t>DETAIL D1-D3,D6,D8 - MT002-TDIC-GA11-4420000-0008</t>
  </si>
  <si>
    <t>FLOW SHEET - MT002-TDIC-ME01-4320000-0001</t>
  </si>
  <si>
    <t>PROCESS EQUIPMENT LIST - MT002-TDIC-ME04-4320000-0001</t>
  </si>
  <si>
    <t>FLOW SHEET - MT002-TDIC-ME01-4420000-0001</t>
  </si>
  <si>
    <t>PROCESS EQUIPMENT LIST - MT002-TDIC-ME04-4420000-0001</t>
  </si>
  <si>
    <t>3D MODELING - MT002-TDIC-GA10-4420000-0000</t>
  </si>
  <si>
    <t>PROCESS PIPING DRAWING - MT002-TDIC-ME50-4420000-0001</t>
  </si>
  <si>
    <t>LIST OF PROCESS PIPING MATERIAL - MT002-TDIC-ME51-4420000-0001</t>
  </si>
  <si>
    <t>TGD1250×30150mm - MT002-TDIC-ME12-412BE01-0001</t>
  </si>
  <si>
    <t>DATA SHEET - MT002-TDIC-ME10-412BE01-0001</t>
  </si>
  <si>
    <t>Bucket Elevator 432BE01 - MT002-TDIC-ME12-432BE01-0001</t>
  </si>
  <si>
    <t>HEAT BALANCE - MT002-TDIC-ME03-442PH01-0001</t>
  </si>
  <si>
    <t>PREHEATER 442PH01 DATASHEET - MT002-TDIC-ME10-442PH01-0001</t>
  </si>
  <si>
    <t>11000TPD PREHEATER SYSTEM - MT002-TDIC-ME12-442PH01-0001</t>
  </si>
  <si>
    <t>11000TPD PREHEATER SYSTEM - MT002-TDIC-ME12-442PH01-0002</t>
  </si>
  <si>
    <t>11000TPD PREHEATER SYSTEM - MT002-TDIC-ME12-442PH01-0003</t>
  </si>
  <si>
    <t>DATA SHEET - MT002-TDIC-ME10-452PR01-0001</t>
  </si>
  <si>
    <t>EQUIPMENT DRAWING - MT002-TDIC-ME12-442FN01-0001</t>
  </si>
  <si>
    <t>DATASHEET of PROCESS FAN 442FN01 - MT002-TDIC-ME10-442FN01-0001</t>
  </si>
  <si>
    <t>MULTICOR S1250 WITH B500 - MT002-TDIC-ME12-432PF01-0001</t>
  </si>
  <si>
    <t>DATASHEET of Coriolis powder Feeding system 432PF01 - MT002-TDIC-ME10-432PF01-0001</t>
  </si>
  <si>
    <t>Impact Flow Meter 432FM01 - MT002-TDIC-ME12-432FM01-0001</t>
  </si>
  <si>
    <t>DATASHEET of Impact Flow Meter 432FM01 - MT002-TDIC-ME10-432FM01-0001</t>
  </si>
  <si>
    <t>DATA SHEET - MT002-TDIC-ME10-432BL01-0001</t>
  </si>
  <si>
    <t>DATA SHEET - MT002-TDIC-ME10-432BL02-0001</t>
  </si>
  <si>
    <t>Roots Blower 432BL01 - MT002-TDIC-ME12-432BL01-0001</t>
  </si>
  <si>
    <t>Roots Blower 432BL02 - MT002-TDIC-ME12-432BL02-0001</t>
  </si>
  <si>
    <t>Load Cell 412LC01~412LC03 - MT002-TDIC-ME12-412LC01-0001</t>
  </si>
  <si>
    <t>Pneumatic butterfly Damper 432BV03 - MT002-TDIC-ME12-432BV03-0001</t>
  </si>
  <si>
    <t>Pneumatic butterfly Damper 432BV04 - MT002-TDIC-ME12-432BV04-0001</t>
  </si>
  <si>
    <t>Pneumatic butterfly Damper 432BV05 - MT002-TDIC-ME12-432BV05-0001</t>
  </si>
  <si>
    <t>Pneumatic butterfly Damper 432BV06 - MT002-TDIC-ME12-432BV06-0001</t>
  </si>
  <si>
    <t>Pneumatic butterfly Damper 432BV07 - MT002-TDIC-ME12-432BV07-0001</t>
  </si>
  <si>
    <t>Pneumatic butterfly Damper 432BV08 - MT002-TDIC-ME12-432BV08-0001</t>
  </si>
  <si>
    <t>Pneumatic Shut-off Gate 432SG05 - MT002-TDIC-ME12-432SG05-0001</t>
  </si>
  <si>
    <t>Pneumatic Shut-off Gate 432SG06 - MT002-TDIC-ME12-432SG06-0001</t>
  </si>
  <si>
    <t>Pneumatic Ball Valve 432BV01 - MT002-TDIC-ME12-432BV01-0001</t>
  </si>
  <si>
    <t>Pneumatic Ball Valve 432BV02 - MT002-TDIC-ME12-432BV02-0001</t>
  </si>
  <si>
    <t>Hot meal Sampler 442SM01 - MT002-TDIC-ME12-442SM01-0001</t>
  </si>
  <si>
    <t>Hot meal Sampler 442SM02 - MT002-TDIC-ME12-442SM02-0001</t>
  </si>
  <si>
    <t>PNEUMATIC GATE VALVE B630 - MT002-TDIC-ME12-432SV01-0001</t>
  </si>
  <si>
    <t>MANUAL GATE VALVE B630 - MT002-TDIC-ME12-432SG01-0001</t>
  </si>
  <si>
    <t>THREE-WAY VALVE ASSEMBLY DIAGRAM B630 - MT002-TDIC-ME12-432SG01-0002</t>
  </si>
  <si>
    <t>PNEUMATIC FLOW CONTROL VALVE B630 - MT002-TDIC-ME12-432PG01-0001</t>
  </si>
  <si>
    <t>PNEUMATIC GATE VALVE 650*650 - MT002-TDIC-ME12-432SG0A-0001</t>
  </si>
  <si>
    <t>HIGH TEMPERATURE ROTARY AIR LOCK VALVE 800*1000 - MT002-TDIC-ME12-432RF0A-0001</t>
  </si>
  <si>
    <t>ELECTRIC DISTRIBUTOR VALVE, EDV Φ1200-B800/B630, SCHEME DIAGRAM - MT002-TDIC-ME12-432MW01-0001</t>
  </si>
  <si>
    <t>DATA SHEET - MT002-TDIC-ME10-412PG01-0001</t>
  </si>
  <si>
    <t>DATA SHEET - MT002-TDIC-ME10-412SG01-0001</t>
  </si>
  <si>
    <t>DATA SHEET - MT002-TDIC-ME10-412SV01-0001</t>
  </si>
  <si>
    <t>DATA SHEET - MT002-TDIC-ME10-432MW01-0001</t>
  </si>
  <si>
    <t>DATA SHEET - MT002-TDIC-ME10-432PG01-0001</t>
  </si>
  <si>
    <t>DATA SHEET - MT002-TDIC-ME10-432RF0A-0001</t>
  </si>
  <si>
    <t>DATA SHEET - MT002-TDIC-ME10-432SG0A-0001</t>
  </si>
  <si>
    <t>DATA SHEET - MT002-TDIC-ME10-432SG01-0001</t>
  </si>
  <si>
    <t>DATA SHEET - MT002-TDIC-ME10-432SV01-0001</t>
  </si>
  <si>
    <t>METAL EXPANSION JOINT - MT002-TDIC-ME12-442EJ01-0001</t>
  </si>
  <si>
    <t>METAL EXPANSION JOINT - MT002-TDIC-ME12-442EJ09-0001</t>
  </si>
  <si>
    <t>METAL EXPANSION JOINT - MT002-TDIC-ME12-442EJ11-0001</t>
  </si>
  <si>
    <t>METAL EXPANSION JOINT - MT002-TDIC-ME12-442EJ12-0001</t>
  </si>
  <si>
    <t>FLOW SHEET - MT002-TDIC-ME10-442AB01-0001</t>
  </si>
  <si>
    <t>OUTLINE DIMENSION DRAWING - MT002-TDIC-ME12-442AB01-0001</t>
  </si>
  <si>
    <t>AIR BLASTER SYSTEM DIAGRAM - MT002-TDIC-ME12-442AB01-0002</t>
  </si>
  <si>
    <t>INSTALLATION LAYOUT DIAGRAM - MT002-TDIC-ME12-442AB01-0003</t>
  </si>
  <si>
    <t>DN100 FLAT NOZZLE ASSEMBLY - MT002-TDIC-ME12-442AB01-0004</t>
  </si>
  <si>
    <t>Bag Filter  412BF01 - MT002-TDIC-ME12-412BF01-0001</t>
  </si>
  <si>
    <t>Bag Filter  432BF01 - MT002-TDIC-ME12-432BF01-0001</t>
  </si>
  <si>
    <t>FAN  412FN01 - MT002-TDIC-ME12-412FN01-0001</t>
  </si>
  <si>
    <t>FAN  432FN01 - MT002-TDIC-ME12-432FN01-0001</t>
  </si>
  <si>
    <t>AIR SLIDE FAN  432FA05 - MT002-TDIC-ME12-432FA05-0001</t>
  </si>
  <si>
    <t>AIR SLIDE FAN  412FA05~06 - MT002-TDIC-ME12-412FA05-0001</t>
  </si>
  <si>
    <t>AIR SLIDE FAN  432FA01~02 - MT002-TDIC-ME12-432FA01-0001</t>
  </si>
  <si>
    <t>AIR SLIDE FAN  432FA03~04 - MT002-TDIC-ME12-432FA03-0001</t>
  </si>
  <si>
    <t>Open Air Slides 412AE02 - MT002-TDIC-ME12-412AE02-0001</t>
  </si>
  <si>
    <t>AIR SLIDE 432AS01~04 - MT002-TDIC-ME12-432AS01-0001</t>
  </si>
  <si>
    <t>AIR SLIDE 432AS06 - MT002-TDIC-ME12-432AS06-0001</t>
  </si>
  <si>
    <t>AIR SLIDE 412AS11 - MT002-TDIC-ME12-412AS11-0001</t>
  </si>
  <si>
    <t>AIR SLIDE 432AS05 - MT002-TDIC-ME12-432AS05-0001</t>
  </si>
  <si>
    <t>EQUIPMENT DRAWINGS - MT002-TDIC-ME21-442PH01-0001</t>
  </si>
  <si>
    <t>462 - KILN</t>
  </si>
  <si>
    <t>PLAN LAYOUT - MT002-TDIC-GA10-4620000-0001</t>
  </si>
  <si>
    <t>SECTION 1-1 - MT002-TDIC-GA10-4620000-0002</t>
  </si>
  <si>
    <t>SECTION 2-2,3-3,4-4 - MT002-TDIC-GA10-4620000-0003</t>
  </si>
  <si>
    <t>SECTION 5-5,6-6,7-7 - MT002-TDIC-GA10-4620000-0004</t>
  </si>
  <si>
    <t>PLAN FOUNDATION OF KILN；PLAN FOUNDATION OF 6.900, 8.000, 9.200, 11.000 - MT002-TDIC-GA11-4620000-0001</t>
  </si>
  <si>
    <t>DETAIL D1-D2 - MT002-TDIC-GA11-4620000-0002</t>
  </si>
  <si>
    <t>DETAIL D3-D4 - MT002-TDIC-GA11-4620000-0003</t>
  </si>
  <si>
    <t>FLOW SHEET - MT002-TDIC-ME01-4620000-0001</t>
  </si>
  <si>
    <t>Process Equipment List - MT002-TDIC-ME04-4620000-0001</t>
  </si>
  <si>
    <t>3D model - MT002-TDIC-GA10-4620000-0000</t>
  </si>
  <si>
    <t>Piping General Arrangement- Isometric drawings - MT002-TDIC-ME50-4620000-0001</t>
  </si>
  <si>
    <t>Piping- Bill of quantities - MT002-TDIC-ME51-4620000-0001</t>
  </si>
  <si>
    <t>Outside and foundation Drawing of Kiln Hood - MT002-TDIC-ME12-462KH01-0001</t>
  </si>
  <si>
    <t>Φ5.8*86 Outside Drawing of Rotarykiln - MT002-TDIC-ME12-462KL01-0001</t>
  </si>
  <si>
    <t>Φ5.8*86 Outside Drawing of Rotarykiln - MT002-TDIC-ME12-462KL01-0002</t>
  </si>
  <si>
    <t>Φ5.8*86 Foundation Drawing of Rotarykiln - MT002-TDIC-ME12-462KL01-0003</t>
  </si>
  <si>
    <t>Φ5.8*86 Load Diagram of Rotarykiln - MT002-TDIC-ME12-462KL01-0004</t>
  </si>
  <si>
    <t>Electric Wiring and Control Diagram of Φ5.8*86 Rotarykiln - MT002-TDIC-ME12-462KL01-0005</t>
  </si>
  <si>
    <t>DATASHEET of 462KL01 - MT002-TDIC-ME10-462KL01-0001</t>
  </si>
  <si>
    <t>Foundation Drawing of TA Duct(1) - MT002-TDIC-ME12-452DU01-0001</t>
  </si>
  <si>
    <t>Foundation Drawing of TA Duct(2) - MT002-TDIC-ME12-452DU01-0002</t>
  </si>
  <si>
    <t>TERTIARY AIR DUCT EQUIPMENT DRAWING - MT002-TDIC-ME21-452DU01-0001</t>
  </si>
  <si>
    <t>FAN 462FA01 - MT002-TDIC-ME12-462FA01-0001</t>
  </si>
  <si>
    <t>FAN 462FA02 - MT002-TDIC-ME12-462FA02-0001</t>
  </si>
  <si>
    <t>FAN 462FA03 - MT002-TDIC-ME12-462FA03-0001</t>
  </si>
  <si>
    <t>FAN 462FA04 - MT002-TDIC-ME12-462FA04-0001</t>
  </si>
  <si>
    <t>472 - CLINKER COOLING</t>
  </si>
  <si>
    <t>PLAN LAYOUT - MT002-TDIC-GA10-4720000-0001</t>
  </si>
  <si>
    <t>SECTION 1-1 - MT002-TDIC-GA10-4720000-0002</t>
  </si>
  <si>
    <t>SECTION 2-2,3-3,4-4,5-5,6-6 - MT002-TDIC-GA10-4720000-0003</t>
  </si>
  <si>
    <t>SECTION 7-7,8-8 - MT002-TDIC-GA10-4720000-0004</t>
  </si>
  <si>
    <t>PLAN ±0.000,2.800 - MT002-TDIC-GA10-4720000-0005</t>
  </si>
  <si>
    <t>SECTION9-9,10-10,11-11,12-12,13-13 - MT002-TDIC-GA10-4720000-0006</t>
  </si>
  <si>
    <t>SECTION 14-14 - MT002-TDIC-GA10-4720000-0007</t>
  </si>
  <si>
    <t>PLAN FOUNDATION -6.500 - 28.800,-2.000,±0.000,2.000,2.800 - MT002-TDIC-GA11-4720000-0001</t>
  </si>
  <si>
    <t>PLAN FOUNDATION 7.500,7.600,7.800,11.000 - MT002-TDIC-GA11-4720000-0002</t>
  </si>
  <si>
    <t>PLAN FOUNDATION -4.100，,5.100 - MT002-TDIC-GA11-4720000-0003</t>
  </si>
  <si>
    <t>PLAN FOUNDATION OF DUCT - MT002-TDIC-GA11-4720000-0004</t>
  </si>
  <si>
    <t>FLOW SHEET (1/2) - MT002-TDIC-ME01-4720000-0001</t>
  </si>
  <si>
    <t>FLOW SHEET (2/2) - MT002-TDIC-ME01-4720000-0002</t>
  </si>
  <si>
    <t>PROCESS EQUIPMENT LIST - MT002-TDIC-ME04-4720000-0001</t>
  </si>
  <si>
    <t>3D model - MT002-TDIC-GA10-4720000-0000</t>
  </si>
  <si>
    <t>Piping General Arrangement- Isometric drawings - MT002-TDIC-ME50-4720000-0001</t>
  </si>
  <si>
    <t>Piping- Bill of quantities - MT002-TDIC-ME51-4720000-0001</t>
  </si>
  <si>
    <t>EQUIPMENT DRAWING - MT002-TDIC-ME12-472FN01-0001</t>
  </si>
  <si>
    <t>DATASHEET of Fan 472FN01 - MT002-TDIC-ME10-472FN01-0001</t>
  </si>
  <si>
    <t>2×31/15/4×9/0.45 EP - MT002-TDIC-ME12-472EP01-0001</t>
  </si>
  <si>
    <t>TECHNICAL REQUIREMENTS - MT002-TDIC-ME12-472EP01-0002</t>
  </si>
  <si>
    <t>LOADS - MT002-TDIC-ME12-472EP01-0003</t>
  </si>
  <si>
    <t>DRAG CHAIN FOUNDATION DRAWING - MT002-TDIC-ME12-472EP01-0004</t>
  </si>
  <si>
    <t>DATASHEET of  Electrostatic Precipitator 472EP01 - MT002-TDIC-ME10-472EP01-0001</t>
  </si>
  <si>
    <t>Cooler Fan 472FA01 - MT002-TDIC-ME12-472FA01-0001</t>
  </si>
  <si>
    <t>Cooler Fan 472FA02 - MT002-TDIC-ME12-472FA02-0001</t>
  </si>
  <si>
    <t>Cooler Fan 472FA03 - MT002-TDIC-ME12-472FA03-0001</t>
  </si>
  <si>
    <t>Cooler Fan 472FA04 - MT002-TDIC-ME12-472FA04-0001</t>
  </si>
  <si>
    <t>Cooler Fan 472FA05 - MT002-TDIC-ME12-472FA05-0001</t>
  </si>
  <si>
    <t>Cooler Fan 472FA06 - MT002-TDIC-ME12-472FA06-0001</t>
  </si>
  <si>
    <t>Cooler Fan 472FA07 - MT002-TDIC-ME12-472FA07-0001</t>
  </si>
  <si>
    <t>Cooler Fan 472FA08 - MT002-TDIC-ME12-472FA08-0001</t>
  </si>
  <si>
    <t>Cooler Fan 472FA09 - MT002-TDIC-ME12-472FA09-0001</t>
  </si>
  <si>
    <t>Cooler Fan 472FA10 - MT002-TDIC-ME12-472FA10-0001</t>
  </si>
  <si>
    <t>Cooler Fan 472FA11 - MT002-TDIC-ME12-472FA11-0001</t>
  </si>
  <si>
    <t>Cooler Fan 472FA12 - MT002-TDIC-ME12-472FA12-0001</t>
  </si>
  <si>
    <t>Cooler Fan 472FA13 - MT002-TDIC-ME12-472FA13-0001</t>
  </si>
  <si>
    <t>Cooler Fan 472FA14 - MT002-TDIC-ME12-472FA14-0001</t>
  </si>
  <si>
    <t>Cooler Fan 472FA15 - MT002-TDIC-ME12-472FA15-0001</t>
  </si>
  <si>
    <t>Cooler Fan 472FA16 - MT002-TDIC-ME12-472FA16-0001</t>
  </si>
  <si>
    <t>Fan 472FA17 - MT002-TDIC-ME12-472FA17-0001</t>
  </si>
  <si>
    <t>Fan 472FA18 - MT002-TDIC-ME12-472FA18-0001</t>
  </si>
  <si>
    <t>DATASHEET of Cooler Fan 472FA01 - MT002-TDIC-ME10-472FA01-0001</t>
  </si>
  <si>
    <t>DATASHEET of Cooler Fan 472FA02 - MT002-TDIC-ME10-472FA02-0001</t>
  </si>
  <si>
    <t>DATASHEET of Cooler Fan 472FA03 - MT002-TDIC-ME10-472FA03-0001</t>
  </si>
  <si>
    <t>DATASHEET of Cooler Fan 472FA04 - MT002-TDIC-ME10-472FA04-0001</t>
  </si>
  <si>
    <t>DATASHEET of Cooler Fan 472FA05 - MT002-TDIC-ME10-472FA05-0001</t>
  </si>
  <si>
    <t>DATASHEET of Cooler Fan 472FA06 - MT002-TDIC-ME10-472FA06-0001</t>
  </si>
  <si>
    <t>DATASHEET of Cooler Fan 472FA07 - MT002-TDIC-ME10-472FA07-0001</t>
  </si>
  <si>
    <t>DATASHEET of Cooler Fan 472FA08 - MT002-TDIC-ME10-472FA08-0001</t>
  </si>
  <si>
    <t>DATASHEET of Cooler Fan 472FA09 - MT002-TDIC-ME10-472FA09-0001</t>
  </si>
  <si>
    <t>DATASHEET of Cooler Fan 472FA10 - MT002-TDIC-ME10-472FA10-0001</t>
  </si>
  <si>
    <t>DATASHEET of Cooler Fan 472FA11 - MT002-TDIC-ME10-472FA11-0001</t>
  </si>
  <si>
    <t>DATASHEET of Cooler Fan 472FA12 - MT002-TDIC-ME10-472FA12-0001</t>
  </si>
  <si>
    <t>DATASHEET of Cooler Fan 472FA13 - MT002-TDIC-ME10-472FA13-0001</t>
  </si>
  <si>
    <t>DATASHEET of Cooler Fan 472FA14 - MT002-TDIC-ME10-472FA14-0001</t>
  </si>
  <si>
    <t>DATASHEET of Cooler Fan 472FA15 - MT002-TDIC-ME10-472FA15-0001</t>
  </si>
  <si>
    <t>DATASHEET of Cooler Fan 472FA16 - MT002-TDIC-ME10-472FA16-0001</t>
  </si>
  <si>
    <t>CLINKER COOLER DRAWINGS - MT002-TDIC-ME12-472GQ01-0001</t>
  </si>
  <si>
    <t>Grate Clinker Cooler 472GQ01 - MT002-TDIC-ME12-472GQ01-0002</t>
  </si>
  <si>
    <t>Grate Clinker Cooler 472GQ01 - MT002-TDIC-ME12-472GQ01-0003</t>
  </si>
  <si>
    <t>Grate Clinker Cooler 472GQ01 - MT002-TDIC-ME12-472GQ01-0004</t>
  </si>
  <si>
    <t>Grate Clinker Cooler 472GQ01 - MT002-TDIC-ME12-472GQ01-0005</t>
  </si>
  <si>
    <t>Grate Clinker Cooler 472GQ01 - MT002-TDIC-ME12-472GQ01-0006</t>
  </si>
  <si>
    <t>Grate Clinker Cooler 472GQ01 - MT002-TDIC-ME12-472GQ01-0007</t>
  </si>
  <si>
    <t>Grate Clinker Cooler 472GQ01 - MT002-TDIC-ME12-472GQ01-0008</t>
  </si>
  <si>
    <t>DATASHEET of Grate Clinker Cooler 472GQ01 - MT002-TDIC-ME10-472GQ01-0001</t>
  </si>
  <si>
    <t>Single Girder Electirc Crane 472CA01 - MT002-TDIC-ME12-472CA01-0001</t>
  </si>
  <si>
    <t>MT500×20000mm CHAIN CONVEYOR - MT002-TDIC-ME12-492CV05-0001</t>
  </si>
  <si>
    <t>MT400×13000mm CHAIN CONVEYOR - MT002-TDIC-ME12-492CV06-0001</t>
  </si>
  <si>
    <t>DATA SHEET - MT002-TDIC-ME10-492CV05-0001</t>
  </si>
  <si>
    <t>Bag Filter  492BF01 - MT002-TDIC-ME12-492BF01-0001</t>
  </si>
  <si>
    <t>Fan 492FA01 - MT002-TDIC-ME12-492FA01-0001</t>
  </si>
  <si>
    <t>Auto Sampler 472SM01 - MT002-TDIC-ME12-472SM01-0001</t>
  </si>
  <si>
    <t>WATER SPRAYING SYSTEM FOR CLINKER COOLER - MT002-TDIC-ME12-472IJ01-0001</t>
  </si>
  <si>
    <t>Electric Louver Damper 472LD01 - MT002-TDIC-ME12-472LD01-0001</t>
  </si>
  <si>
    <t>Electric Louver Damper 472LD02 - MT002-TDIC-ME12-472LD02-0001</t>
  </si>
  <si>
    <t>Electric Louver Damper 472LD03 - MT002-TDIC-ME12-472LD03-0001</t>
  </si>
  <si>
    <t>Electric Louver Damper 472LD04 - MT002-TDIC-ME12-472LD04-0001</t>
  </si>
  <si>
    <t>Electric Louver Damper 472LD05 - MT002-TDIC-ME12-472LD05-0001</t>
  </si>
  <si>
    <t>Electric Louver Damper 472LD06 - MT002-TDIC-ME12-472LD06-0001</t>
  </si>
  <si>
    <t>Electric Louver Damper 472LD07 - MT002-TDIC-ME12-472LD07-0001</t>
  </si>
  <si>
    <t>Electric Louver Damper 472LD08 - MT002-TDIC-ME12-472LD08-0001</t>
  </si>
  <si>
    <t>Electric Louver Damper 472LD09 - MT002-TDIC-ME12-472LD09-0001</t>
  </si>
  <si>
    <t>Electric Louver Damper 472LD10 - MT002-TDIC-ME12-472LD10-0001</t>
  </si>
  <si>
    <t>Electric Louver Damper 472LD12 - MT002-TDIC-ME12-472LD12-0001</t>
  </si>
  <si>
    <t>Electric Louver Damper 472LD13 - MT002-TDIC-ME12-472LD13-0001</t>
  </si>
  <si>
    <t>Electric Louver Damper 472LD14 - MT002-TDIC-ME12-472LD14-0001</t>
  </si>
  <si>
    <t>Electric Louver Damper 472LD15 - MT002-TDIC-ME12-472LD15-0001</t>
  </si>
  <si>
    <t>Electric Louver Damper 472LD16 - MT002-TDIC-ME12-472LD16-0001</t>
  </si>
  <si>
    <t>Electric Louver Damper 472LD17 - MT002-TDIC-ME12-472LD17-0001</t>
  </si>
  <si>
    <t>Electric Louver Damper 472LD18 - MT002-TDIC-ME12-472LD18-0001</t>
  </si>
  <si>
    <t>Electric Louver Damper 472LD19 - MT002-TDIC-ME12-472LD19-0001</t>
  </si>
  <si>
    <t>Electric Louver Damper 472LD20 - MT002-TDIC-ME12-472LD20-0001</t>
  </si>
  <si>
    <t>Electric Louver Damper 472LD21 - MT002-TDIC-ME12-472LD21-0001</t>
  </si>
  <si>
    <t>Electric Louver Damper 472LD22 - MT002-TDIC-ME12-472LD22-0001</t>
  </si>
  <si>
    <t>Electric Louver Damper 472LD23 - MT002-TDIC-ME12-472LD23-0001</t>
  </si>
  <si>
    <t>Electric Louver Damper 472LD24 - MT002-TDIC-ME12-472LD24-0001</t>
  </si>
  <si>
    <t>Moterized Butterfly Damper 472BV09 - MT002-TDIC-ME12-472BV09-0001</t>
  </si>
  <si>
    <t>Electric Hoist 472EH01 - MT002-TDIC-ME12-472EH01-0001</t>
  </si>
  <si>
    <t>Electric Hoist 472EH02 - MT002-TDIC-ME12-472EH02-0001</t>
  </si>
  <si>
    <t>Electric Hoist 472EH04 - MT002-TDIC-ME12-472EH04-0001</t>
  </si>
  <si>
    <t>Clinker conveyor 492CA01 - MT002-TDIC-ME12-492CA01-0001</t>
  </si>
  <si>
    <t>DATA SHEET - MT002-TDIC-ME10-482BL03-0001</t>
  </si>
  <si>
    <t>DATA SHEET - MT002-TDIC-ME10-482BL04-0001</t>
  </si>
  <si>
    <t>Roots Blower 482BL03 - MT002-TDIC-ME12-482BL03-0001</t>
  </si>
  <si>
    <t>Roots Blower 482BL04 - MT002-TDIC-ME12-482BL04-0001</t>
  </si>
  <si>
    <t>KILN MAIN BURNER DATA SHEET - MT002-TDIC-ME10-482BU01-0001</t>
  </si>
  <si>
    <t>KILN MAIN BURNER EQUIPMENT DRAWINGS - MT002-TDIC-ME12-482BU01-0001</t>
  </si>
  <si>
    <t>Burner 482BU01 - MT002-TDIC-ME12-482BU01-0002</t>
  </si>
  <si>
    <t>Burner 482BU01 - MT002-TDIC-ME12-482BU01-0003</t>
  </si>
  <si>
    <t>Pneumatic Knife gate valve 482SD02 - MT002-TDIC-ME12-482SD02-0001</t>
  </si>
  <si>
    <t>Pneumatic Knife gate valve 482SD03 - MT002-TDIC-ME12-482SD03-0001</t>
  </si>
  <si>
    <t>Moterized Butterfly Damper 492BV01 - MT002-TDIC-ME12-492BV01-0001</t>
  </si>
  <si>
    <t>Motorized arc gate  492CM01 - MT002-TDIC-ME12-492CM01-0001</t>
  </si>
  <si>
    <t>Needle Gate 492NG01 - MT002-TDIC-ME12-492NG01-0001</t>
  </si>
  <si>
    <t>FLOW SHEET - MT002-TDIC-ME10-472AB01-0001</t>
  </si>
  <si>
    <t>OUTLINE DIMENSION DRAWING - MT002-TDIC-ME12-472AB01-0001</t>
  </si>
  <si>
    <t>AIR BLASTER SYSTEM DIAGRAM - MT002-TDIC-ME12-472AB01-0002</t>
  </si>
  <si>
    <t>INSTALLATION LAYOUT DIAGRAM - MT002-TDIC-ME12-472AB01-0003</t>
  </si>
  <si>
    <t>FAN-SHAPED NOZZLE ASSEMBLY - MT002-TDIC-ME12-472AB01-0004</t>
  </si>
  <si>
    <t>METAL EXPANSION JOINT - MT002-TDIC-ME12-473EJ01-0001</t>
  </si>
  <si>
    <t>METAL EXPANSION JOINT - MT002-TDIC-ME12-473EJ02-0001</t>
  </si>
  <si>
    <t>METAL EXPANSION JOINT - MT002-TDIC-ME12-473EJ03-0001</t>
  </si>
  <si>
    <t>METAL EXPANSION JOINT - MT002-TDIC-ME12-473EJ04-0001</t>
  </si>
  <si>
    <t>METAL EXPANSION JOINT - MT002-TDIC-ME12-473EJ05-0001</t>
  </si>
  <si>
    <t>METAL EXPANSION JOINT - MT002-TDIC-ME12-473EJ11-0001</t>
  </si>
  <si>
    <t>METAL EXPANSION JOINT - MT002-TDIC-ME12-473EJ12-0001</t>
  </si>
  <si>
    <t>METAL EXPANSION JOINT - MT002-TDIC-ME12-473EJ13-0001</t>
  </si>
  <si>
    <t>METAL EXPANSION JOINT - MT002-TDIC-ME12-473EJ14-0001</t>
  </si>
  <si>
    <t>METAL EXPANSION JOINT - MT002-TDIC-ME12-473EJ15-0001</t>
  </si>
  <si>
    <t>METAL EXPANSION JOINT - MT002-TDIC-ME12-473EJ16-0001</t>
  </si>
  <si>
    <t>METAL EXPANSION JOINT - MT002-TDIC-ME12-473EJ17-0001</t>
  </si>
  <si>
    <t>METAL EXPANSION JOINT - MT002-TDIC-ME12-473EJ18-0001</t>
  </si>
  <si>
    <t>METAL EXPANSION JOINT - MT002-TDIC-ME12-473EJ19-0001</t>
  </si>
  <si>
    <t>492 - CLINKER TRANSPORT &amp; STORAGE</t>
  </si>
  <si>
    <t>PLAN LAYOUT - MT002-TDIC-GA10-4920000-0001</t>
  </si>
  <si>
    <t>SECTION 1-1,2-2 - MT002-TDIC-GA10-4920000-0002</t>
  </si>
  <si>
    <t>SECTION 3-3 - MT002-TDIC-GA10-4920000-0003</t>
  </si>
  <si>
    <t>SECTION 4-4,5-5 - MT002-TDIC-GA10-4920000-0004</t>
  </si>
  <si>
    <t>PLAN 6.000,24.000,34.500 - MT002-TDIC-GA10-4920000-0005</t>
  </si>
  <si>
    <t>PLAN FOUNDATION 6.000,29.800,34.500 - MT002-TDIC-GA10-4920000-0006</t>
  </si>
  <si>
    <t>PLAN FOUNDATION 24.000-40.190,46.100 - MT002-TDIC-GA10-4920000-0007</t>
  </si>
  <si>
    <t>PLAN FOUNDATION XXXX - MT002-TDIC-GA11-4920000-0001</t>
  </si>
  <si>
    <t>PLAN FOUNDATION XXX - MT002-TDIC-GA11-4920000-0002</t>
  </si>
  <si>
    <t>PLAN FOUNDATION XXX - MT002-TDIC-GA11-4920000-0003</t>
  </si>
  <si>
    <t>PLAN FOUNDATION XXX - MT002-TDIC-GA11-4920000-0004</t>
  </si>
  <si>
    <t>3D MODELING - MT002-TDIC-GA10-4920000-0000</t>
  </si>
  <si>
    <t>FLOW SHEET - MT002-TDIC-ME01-4920000-0001</t>
  </si>
  <si>
    <t>PROCESS EQUIPMENT LIST - MT002-TDIC-ME04-4920000-0001</t>
  </si>
  <si>
    <t>Piping General Arrangement- Isometric drawings - MT002-TDIC-ME50-4920000-0001</t>
  </si>
  <si>
    <t>Piping- Bill of quantities - MT002-TDIC-ME51-4920000-0001</t>
  </si>
  <si>
    <t>SCD1600×115144mm PAN CONVEYOR - MT002-TDIC-ME12-492AC01-0001</t>
  </si>
  <si>
    <t>DATASHEET of PAN CONVEYOR 492AC01 - MT002-TDIC-ME10-492AC02-0001</t>
  </si>
  <si>
    <t>SCD1600×63340mm PAN CONVEYOR - MT002-TDIC-ME12-492AC02-0001</t>
  </si>
  <si>
    <t>DATASHEET of PAN CONVEYOR 492AC02 - MT002-TDIC-ME10-492AC01-0001</t>
  </si>
  <si>
    <t>WAGON LOADER: PLAN VIEW AND SECTION VIEW - MT002-TDIC-ME12-6K2LA01-0001</t>
  </si>
  <si>
    <t>DATA SHEET - MT002-TDIC-ME10-6K2LA01-0001</t>
  </si>
  <si>
    <t>DATA SHEET - MT002-TDIC-ME10-6K2TC01-0001</t>
  </si>
  <si>
    <t>CLINKER TRAIN BULK EQUIPMENT: PLAN VIEW AND SECTION VIEW - MT002-TDIC-ME12-6K2TC01-0001</t>
  </si>
  <si>
    <t>6K2 -1  CLINKER CONVEYING TO LOADING SYSTEM</t>
  </si>
  <si>
    <t>PLAN 34.000,39.400 - MT002-TDIC-GA10-6K20000-0001</t>
  </si>
  <si>
    <t>PLAN 7.400,10.200 - MT002-TDIC-GA10-6K20000-0002</t>
  </si>
  <si>
    <t>SECTION 1-1 - MT002-TDIC-GA10-6K20000-0003</t>
  </si>
  <si>
    <t>SECTION 2-2,3-3 - MT002-TDIC-GA10-6K20000-0004</t>
  </si>
  <si>
    <t>FLOW SHEET - MT002-TDIC-ME01-6K20000-0001</t>
  </si>
  <si>
    <t>Equipment List - MT002-TDIC-ME04-6K20000-0001</t>
  </si>
  <si>
    <t>3D MODELING - MT002-TDIC-GA10-6K20000-0100</t>
  </si>
  <si>
    <t>Piping General Arrangement- Isometric drawings - MT002-TDIC-ME50-6K20000-0001</t>
  </si>
  <si>
    <t>Piping- Bill of quantities - MT002-TDIC-ME51-6K20000-0001</t>
  </si>
  <si>
    <t>SCD1200×116635mm PAN CONVEYOR - MT002-TDIC-ME12-6K2AC01-0001</t>
  </si>
  <si>
    <t>DATASHEET of PAN CONVEYOR 6K2AC01 - MT002-TDIC-ME10-6K2AC02-0001</t>
  </si>
  <si>
    <t>SCD1200×132535mm PAN CONVEYOR - MT002-TDIC-ME12-6K2AC02-0001</t>
  </si>
  <si>
    <t>DATASHEET of PAN CONVEYOR 6K2AC02 - MT002-TDIC-ME10-6K2AC01-0001</t>
  </si>
  <si>
    <t>6K2-2 - CLINKER WAGON LOADING SYSTEM</t>
  </si>
  <si>
    <t>PLAN 7.400,10.200,15.950 - MT002-TDIC-GA10-6K20000-0002</t>
  </si>
  <si>
    <t>FLOW SHEET - MT002-TDIC-ME01-6K20000-0002</t>
  </si>
  <si>
    <t>Equipment List - MT002-TDIC-ME04-6K20000-0002</t>
  </si>
  <si>
    <t>3D MODELING - MT002-TDIC-GA10-6K20000-0000</t>
  </si>
  <si>
    <t>BULK LOADER 6K2TC01 - MT002-TDIC-ME12-6K2TC01-0001</t>
  </si>
  <si>
    <t>DATASHEET of BULK LOADER 6K2TC01 - MT002-TDIC-ME10-6K2TC02-0001</t>
  </si>
  <si>
    <t>L12-1 - COAL UNLOADING WAGON TIPPLER</t>
  </si>
  <si>
    <t>PLAN XXX - MT002-TDIC-GA10-L120000-0001</t>
  </si>
  <si>
    <t>PLAN XXX - MT002-TDIC-GA10-L120000-0002</t>
  </si>
  <si>
    <t>SECTION 1-1 - MT002-TDIC-GA10-L120000-0003</t>
  </si>
  <si>
    <t>SECTION 2-2,3-3 - MT002-TDIC-GA10-L120000-0004</t>
  </si>
  <si>
    <t>FLOW SHEET - MT002-TDIC-ME01-L120000-0001</t>
  </si>
  <si>
    <t>Equipment List - MT002-TDIC-ME04-L120000-0001</t>
  </si>
  <si>
    <t>GA AND LOAD DATA OF WAGON TIPPLER COMPLEX - MT002-TDIC-GA10-L12TI01-0001</t>
  </si>
  <si>
    <t>GENERAL LAYOUT - MT002-TDIC-GA10-L12TI01-0004</t>
  </si>
  <si>
    <t>LOAD DATA AND FOUNDATION DETAILS OF SIDE ARM CHARGER - MT002-TDIC-GA11-L12SC01-0001</t>
  </si>
  <si>
    <t>LOAD DATA AND FOUNDATION DETAILS OF TRANSFER CAR AND EJECTOR - MT002-TDIC-GA11-L12SH01-0001</t>
  </si>
  <si>
    <t>LOAD DATA AND FOUNDATION DETAILS OF WAGON TIPPLER - MT002-TDIC-GA11-L12TI01-0001</t>
  </si>
  <si>
    <t>METAL SEPARATOR DATA SHEET - MT002-TDIC-ME10-L12MS01-0001</t>
  </si>
  <si>
    <t>METAL SEPARATOR EQUIPMENT DRAWING - MT002-TDIC-ME12-L12MS01-0001</t>
  </si>
  <si>
    <t>GA AND LOAD DATA OF APRON CONVEYOR - MT002-TDIC-ME12-L12AF01-0001</t>
  </si>
  <si>
    <t>GA OF ROTASIDE SIDE ARM CHARGER - MT002-TDIC-ME12-L12SC01-0001</t>
  </si>
  <si>
    <t>GA OF TRANSFER CAR AND EJECTOR - MT002-TDIC-ME12-L12SH01-0001</t>
  </si>
  <si>
    <t>GA OF TRANSFER CAR AND EJECTOR - MT002-TDIC-ME12-L12SH01-0002</t>
  </si>
  <si>
    <t>GA OF ROTA-SIDE WAGON TIPPLER - MT002-TDIC-ME12-L12TI01-0001</t>
  </si>
  <si>
    <t>L12-2 - COAL TRANSPORT TO STORAGE</t>
  </si>
  <si>
    <t>PLAN XXX - MT002-TDIC-GA10-L120000-0101</t>
  </si>
  <si>
    <t>PLAN XXX - MT002-TDIC-GA10-L120000-0102</t>
  </si>
  <si>
    <t>SECTION 1-1 - MT002-TDIC-GA10-L120000-0103</t>
  </si>
  <si>
    <t>SECTION 2-2,3-3 - MT002-TDIC-GA10-L120000-0104</t>
  </si>
  <si>
    <t>FLOW SHEET - MT002-TDIC-ME01-L120000-0002</t>
  </si>
  <si>
    <t>Equipment List - MT002-TDIC-ME04-L120000-0002</t>
  </si>
  <si>
    <t>3D MODELING - MT002-TDIC-GA10-L120000-0000</t>
  </si>
  <si>
    <t>Piping General Arrangement- Isometric drawings - MT002-TDIC-ME50-L120000-0001</t>
  </si>
  <si>
    <t>Piping- Bill of quantities - MT002-TDIC-ME51-L120000-0001</t>
  </si>
  <si>
    <t>STACKER &amp; RECLAIMER - MT002-TDIC-ME12-L12ST01-0001</t>
  </si>
  <si>
    <t>GENERAL ARRANGEMENT DRAWING FOR LUFFING STACKER ( L12ST01) - MT002-TDIC-ME12-L12ST01-0002</t>
  </si>
  <si>
    <t>STOCKPILE LAYOUT FOR COAL SYSTEM (L12ST01, L22RE01 &amp; L23RE01) - MT002-TDIC-ME12-L12ST01-0003</t>
  </si>
  <si>
    <t>STOCKPILE LAYOUT FOR COAL SYSTEM (L12ST01, L22RE01 &amp; L23RE01) - MT002-TDIC-ME12-L12ST01-0004</t>
  </si>
  <si>
    <t>WHEEL LOAD DATA FOR LUFFING STACKER ( L12ST01) - MT002-TDIC-ME12-L12ST01-0005</t>
  </si>
  <si>
    <t>DATASHEET of STACKER &amp; RECLAIMER - MT002-TDIC-ME10-L12ST01-0001</t>
  </si>
  <si>
    <t>L12-3 - COAL CRUSHING SYSTEM</t>
  </si>
  <si>
    <t>PLAN XXX - MT002-TDIC-GA10-L120000-0201</t>
  </si>
  <si>
    <t>PLAN XXX - MT002-TDIC-GA10-L120000-0202</t>
  </si>
  <si>
    <t>SECTION 1-1 - MT002-TDIC-GA10-L120000-0203</t>
  </si>
  <si>
    <t>SECTION 2-2,3-3 - MT002-TDIC-GA10-L120000-0204</t>
  </si>
  <si>
    <t>SIZER - MT002-TDIC-ME12-L12RC01-0001</t>
  </si>
  <si>
    <t>DATASHEET of SIZER - MT002-TDIC-ME10-L12RC01-0001</t>
  </si>
  <si>
    <t>L22-1 - COAL RECLAIMING AND STORAGE</t>
  </si>
  <si>
    <t>PLAN LAYOUT - MT002-TDIC-GA10-L220000-0001</t>
  </si>
  <si>
    <t>SECTION 1-1，4-4 - MT002-TDIC-GA10-L220000-0002</t>
  </si>
  <si>
    <t>SECTION 2-2 - MT002-TDIC-GA10-L220000-0003</t>
  </si>
  <si>
    <t>SECTION 3-3 - MT002-TDIC-GA10-L220000-0004</t>
  </si>
  <si>
    <t>SECTION 5-5；PLAN 14.000 - MT002-TDIC-GA10-L220000-0003</t>
  </si>
  <si>
    <t>PLAN FOUNDATION ±0.000-3.000,±0.000-11.000 - MT002-TDIC-GA11-L220000-0001</t>
  </si>
  <si>
    <t>PLAN FOUNDATION 8.000-44.034；DETAIL D1-D5 - MT002-TDIC-GA11-L220000-0004</t>
  </si>
  <si>
    <t>FLOW SHEET - MT002-TDIC-ME01-L220000-0001</t>
  </si>
  <si>
    <t>Equipment List - MT002-TDIC-ME04-L220000-0001</t>
  </si>
  <si>
    <t>3D MODELING - MT002-TDIC-GA10-L220000-0000</t>
  </si>
  <si>
    <t>Piping General Arrangement- Isometric drawings - MT002-TDIC-ME50-L220000-0001</t>
  </si>
  <si>
    <t>Piping- Bill of quantities - MT002-TDIC-ME51-L220000-0001</t>
  </si>
  <si>
    <t>STOCK PILE LAYOUT  FOR COAL &amp; PETCOKE SYSTEM - MT002-TDIC-ME12-L22ST01-0001</t>
  </si>
  <si>
    <t>STOCK PILE LAYOUT  FOR COAL &amp; PETCOKE SYSTEM - MT002-TDIC-ME12-L22ST01-0002</t>
  </si>
  <si>
    <t xml:space="preserve">GENERAL ARRANGEMENT DRAWING FOR BRIDGE RECLAIMER (L22RE01) - MT002-TDIC-ME12-L22RE01-0001
</t>
  </si>
  <si>
    <t>RAIL FIXING &amp; FOUNDATION ARRANGEMENT FOR BRIDGE RECLAIMER &amp; SIDE SCRAPER RECLAIMER (COAL &amp; PETCOKE HANDLING) (L22RE01 &amp; L22RE02) - MT002-TDIC-ME12-L22RE01-0003</t>
  </si>
  <si>
    <t>WHEEL LOAD DATA OF BRIDGE RECLAIMER FOR COAL HANDLING(L22RE01) - MT002-TDIC-ME12-L22RE01-0002</t>
  </si>
  <si>
    <t>METAL SEPARATOR DATA SHEET - MT002-TDIC-ME10-L22MS01-0001</t>
  </si>
  <si>
    <t>METAL SEPARATOR EQUIPMENT DRAWING - MT002-TDIC-ME12-L22MS01-0001</t>
  </si>
  <si>
    <t>RAIL FIXING &amp; FOUNDATION ARRANGEMENT FOR BRIDGE RECLAIMER &amp; SIDE SCRAPER RECLAIMER (COAL &amp; PETCOKE HANDLING) (L22RE01 &amp; L22RE02) - MT002-TDIC-ME12-L22RE01-0004</t>
  </si>
  <si>
    <t>RAIL FIXING &amp; FOUNDATION ARRANGEMENT FOR BRIDGE RECLAIMER &amp; SIDE SCRAPER RECLAIMER (COAL &amp; PETCOKE HANDLING) (L22RE01 &amp; L22RE02) - MT002-TDIC-ME12-L22RE01-0005</t>
  </si>
  <si>
    <t>RAIL FIXING &amp; FOUNDATION ARRANGEMENT FOR BRIDGE RECLAIMER &amp; SIDE SCRAPER RECLAIMER (COAL &amp; PETCOKE HANDLING)  (L22RE01) - MT002-TDIC-ME12-L22RE01-0006</t>
  </si>
  <si>
    <t>RAIL FIXING &amp; FOUNDATION ARRANGEMENT FOR BRIDGE RECLAIMER &amp; SIDE SCRAPER RECLAIMER (COAL &amp; PETCOKE HANDLING)  (L22RE02) - MT002-TDIC-ME12-L22RE01-0007</t>
  </si>
  <si>
    <t>RAIL FIXING &amp; FOUNDATION ARRANGEMENT FOR BRIDGE RECLAIMER &amp; SIDE SCRAPER RECLAIMER BUFFER TG-514 (COAL &amp; PETCOKE HANDLING)  (L22RE01 &amp; L22RE02) - MT002-TDIC-ME12-L22RE01-0008</t>
  </si>
  <si>
    <t xml:space="preserve">GENERAL ARRANGEMENT DRAWING FOR SIDE SCRAPER RECLAIMER PETCOKE HANDLING SYSTEM (L22RE02) - MT002-TDIC-ME12-L22RE02-0001
</t>
  </si>
  <si>
    <t>GENERAL ARRANGEMENT DRAWING FOR SIDE SCRAPER RECLAIMER PETCOKE HANDLING SYSTEM (L22RE02) - MT002-TDIC-ME12-L22RE02-0002</t>
  </si>
  <si>
    <t>GENERAL ARRANGEMENT DRAWING FOR SIDE SCRAPER RECLAIMER PETCOKE HANDLING SYSTEM (L22RE02) - MT002-TDIC-ME12-L22RE02-0003</t>
  </si>
  <si>
    <t>Needle Gate L22NG01 - MT002-TDIC-ME12-L22NG01-0001</t>
  </si>
  <si>
    <t>Needle Gate L22NG02 - MT002-TDIC-ME12-L22NG02-0001</t>
  </si>
  <si>
    <t>Belt Conveyor L22BC01 - MT002-TDIC-ME12-L22BC01-0001</t>
  </si>
  <si>
    <t>Belt Conveyor L22BC02 - MT002-TDIC-ME12-L22BC02-0001</t>
  </si>
  <si>
    <t>Belt Conveyor L22BC03 - MT002-TDIC-ME12-L22BC03-0001</t>
  </si>
  <si>
    <t>BMP Belt Scale L22BW01 - MT002-TDIC-ME12-L22BW01-0001</t>
  </si>
  <si>
    <t>Bag Filter L22BF01 - MT002-TDIC-ME12-L22BF01-0001</t>
  </si>
  <si>
    <t>Bag Filter L22BF02 - MT002-TDIC-ME12-L22BF02-0001</t>
  </si>
  <si>
    <t>FAN L22FN01 - MT002-TDIC-ME12-L22FN01-0001</t>
  </si>
  <si>
    <t>FAN L22FN02 - MT002-TDIC-ME12-L22FN02-0001</t>
  </si>
  <si>
    <t>Metal Detector L22MY01 - MT002-TDIC-ME12-L22MY01-0001</t>
  </si>
  <si>
    <t>L22-2 - COAL CONVEYING TO NEW LINE</t>
  </si>
  <si>
    <t>PLAN LAYOUT - MT002-TDIC-GA10-L220000-0101</t>
  </si>
  <si>
    <t>SECTION 1-1，4-4 - MT002-TDIC-GA10-L220000-0102</t>
  </si>
  <si>
    <t>SECTION 2-2 - MT002-TDIC-GA10-L220000-0103</t>
  </si>
  <si>
    <t>SECTION 3-3 - MT002-TDIC-GA10-L220000-0104</t>
  </si>
  <si>
    <t>SECTION 5-5；PLAN 14.000 - MT002-TDIC-GA10-L220000-0103</t>
  </si>
  <si>
    <t>PLAN FOUNDATION ±0.000-3.000,±0.000-11.000 - MT002-TDIC-GA11-L220000-0101</t>
  </si>
  <si>
    <t>PLAN FOUNDATION 8.000-44.034；DETAIL D1-D5 - MT002-TDIC-GA11-L220000-0102</t>
  </si>
  <si>
    <t>L22-3 - COAL CONVEYING TO EXSITNG LINE</t>
  </si>
  <si>
    <t>PLAN LAYOUT - MT002-TDIC-GA10-L220000-0201</t>
  </si>
  <si>
    <t>SECTION 1-1，4-4 - MT002-TDIC-GA10-L220000-0202</t>
  </si>
  <si>
    <t>SECTION 2-2 - MT002-TDIC-GA10-L220000-0203</t>
  </si>
  <si>
    <t>SECTION 3-3 - MT002-TDIC-GA10-L220000-0204</t>
  </si>
  <si>
    <t>SECTION 5-5；PLAN 14.000 - MT002-TDIC-GA10-L220000-0205</t>
  </si>
  <si>
    <t>PLAN FOUNDATION ±0.000-3.000,±0.000-11.000 - MT002-TDIC-GA11-L220000-0201</t>
  </si>
  <si>
    <t>PLAN FOUNDATION 8.000-44.034；DETAIL D1-D5 - MT002-TDIC-GA11-L220000-0202</t>
  </si>
  <si>
    <t>L23-1 - COAL RECLAIMING AND TRANSPORT</t>
  </si>
  <si>
    <t>PLAN LAYOUT - MT002-TDIC-GA10-L230000-0001</t>
  </si>
  <si>
    <t>SECTION 1-1，4-4 - MT002-TDIC-GA10-L230000-0002</t>
  </si>
  <si>
    <t>SECTION 2-2 - MT002-TDIC-GA10-L230000-0003</t>
  </si>
  <si>
    <t>SECTION 3-3 - MT002-TDIC-GA10-L230000-0004</t>
  </si>
  <si>
    <t>PLAN XX - MT002-TDIC-GA10-L230000-0005</t>
  </si>
  <si>
    <t>PLAN FOUNDATION XXX - MT002-TDIC-GA11-L230000-0001</t>
  </si>
  <si>
    <t>PLAN FOUNDATION XXX - MT002-TDIC-GA11-L230000-0002</t>
  </si>
  <si>
    <t>3D MODELING - MT002-TDIC-GA10-L230000-0000</t>
  </si>
  <si>
    <t>L23-5 - COAL RECLAIMING AND TRANSPORT</t>
  </si>
  <si>
    <t>Piping General Arrangement- Isometric drawings - MT002-TDIC-ME50-L230000-0001</t>
  </si>
  <si>
    <t>Piping- Bill of quantities - MT002-TDIC-ME51-L230000-0001</t>
  </si>
  <si>
    <t>L23-2 - COAL RECLAIMING AND TRANSPORT</t>
  </si>
  <si>
    <t>METAL SEPARATOR EQUIPMENT DRAWING - MT002-TDIC-ME12-L23MS01-0001</t>
  </si>
  <si>
    <t>GENERAL ARRANGEMENT DRAWING FOR SIDE SCRAPER RECLAIMER (L23RE01) - MT002-TDIC-ME12-L23RE01-0001</t>
  </si>
  <si>
    <t>GENERAL ARRANGEMENT DRAWING FOR SIDE SCRAPER RECLAIMER (L23RE01) - MT002-TDIC-ME12-L23RE01-0002</t>
  </si>
  <si>
    <t>WHEEL LOAD DATA FOR SIDE SCRAPER RECLAIMER (L23RE01) - MT002-TDIC-ME12-L23RE01-0003</t>
  </si>
  <si>
    <t>L23-2 - COAL TRANSPORT TO EXISTING CPP</t>
  </si>
  <si>
    <t>PLAN LAYOUT - MT002-TDIC-GA10-L230000-0101</t>
  </si>
  <si>
    <t>SECTION 1-1 - MT002-TDIC-GA10-L230000-0102</t>
  </si>
  <si>
    <t>SECTION 2-2 - MT002-TDIC-GA10-L230000-0103</t>
  </si>
  <si>
    <t>SECTION 3-3 - MT002-TDIC-GA10-L230000-0104</t>
  </si>
  <si>
    <t>PLAN XX - MT002-TDIC-GA10-L230000-0105</t>
  </si>
  <si>
    <t>PLAN FOUNDATION XXX - MT002-TDIC-GA11-L230000-0101</t>
  </si>
  <si>
    <t>PLAN FOUNDATION XXX - MT002-TDIC-GA11-L230000-0102</t>
  </si>
  <si>
    <t>L62 - FUEL GRINDING</t>
  </si>
  <si>
    <t>PLAN LAYOUT - MT002-TDIC-GA10-L620000-0001</t>
  </si>
  <si>
    <t>SECTION 1-1 - MT002-TDIC-GA10-L620000-0002</t>
  </si>
  <si>
    <t>SECTION 2-2 - MT002-TDIC-GA10-L620000-0003</t>
  </si>
  <si>
    <t>SECTION 3-3,4-4,5-5 - MT002-TDIC-GA10-L620000-0004</t>
  </si>
  <si>
    <t>SECTION 6-6,7-7 - MT002-TDIC-GA10-L620000-0005</t>
  </si>
  <si>
    <t>SECTION 8-8,9-9 - MT002-TDIC-GA10-L620000-0006</t>
  </si>
  <si>
    <t>PLAN 16.000,17.100,24.500,27.100,30.300,32.800 - MT002-TDIC-GA10-L620000-0007</t>
  </si>
  <si>
    <t>PLAN 2.500,7.200(I),7.200(II),20.200,26.300, 34.400,35.500,40.800,42.000,52.000,62.500 - MT002-TDIC-GA10-L620000-0008</t>
  </si>
  <si>
    <t>SECTION 10-10,11-11,12-12,VIEW A - MT002-TDIC-GA10-L620000-0009</t>
  </si>
  <si>
    <t>PLAN 3.300,4.300,6.000,6.800,8.300,13.850,20.000,38.000,39.000 - MT002-TDIC-GA10-L620000-0010</t>
  </si>
  <si>
    <t>SECTION 13-13 - MT002-TDIC-GA10-L620000-0011</t>
  </si>
  <si>
    <t>PLAN FOUNDATION ±0.000,41.500,DETAIL D14 - MT002-TDIC-GA11-L620000-0001</t>
  </si>
  <si>
    <t>PLAN FOUNDATION 6.000,7.200(I),7.200(II),16.000,17.100,26.300,42.600 - MT002-TDIC-GA11-L620000-0002</t>
  </si>
  <si>
    <t>PLAN FOUNDATION ±0.000-9.600,12.900,20.200,27.100,30.300,32.800,35.500 - MT002-TDIC-GA11-L620000-0003</t>
  </si>
  <si>
    <t>PLAN FOUNDATION 2.500,3.000,3.300,4.500,13.850,23.500,24.500 - MT002-TDIC-GA11-L620000-0004</t>
  </si>
  <si>
    <t>FLOW SHEET - MT002-TDIC-ME01-L620000-0001</t>
  </si>
  <si>
    <t>PROCESS EQUIPMENT LIST - MT002-TDIC-ME04-L620000-0001</t>
  </si>
  <si>
    <t>FLOW SHEET - MT002-TDIC-ME01-L920000-0001</t>
  </si>
  <si>
    <t>PROCESS EQUIPMENT LIST - MT002-TDIC-ME04-L920000-0001</t>
  </si>
  <si>
    <t>FLOW SHEET - MT002-TDIC-ME01-4520000-0001</t>
  </si>
  <si>
    <t>PROCESS EQUIPMENT LIST - MT002-TDIC-ME04-4520000-0001</t>
  </si>
  <si>
    <t>FLOW SHEET - MT002-TDIC-ME01-4820000-0001</t>
  </si>
  <si>
    <t>PROCESS EQUIPMENT LIST - MT002-TDIC-ME04-4820000-0001</t>
  </si>
  <si>
    <t>3D MODELING - MT002-TDIC-GA10-L620000-0000</t>
  </si>
  <si>
    <t>HEAT BALANCE - MT002-TDIC-ME03-L62RM01-0001</t>
  </si>
  <si>
    <t>PROCESS PIPING DRAWING - MT002-TDIC-ME50-L620000-0001</t>
  </si>
  <si>
    <t>LIST OF PROCESS PIPING MATERIAL - MT002-TDIC-ME51-L620000-0001</t>
  </si>
  <si>
    <t>DATA SHEET - MT002-TDIC-ME10-L62RM01-0001</t>
  </si>
  <si>
    <t>TRMC42.4 Outline Drawing of Roller Mill - MT002-TDIC-ME12-L62RM01-0001</t>
  </si>
  <si>
    <t>TRMC42.4 Foundation Drawing - MT002-TDIC-ME12-L62RM01-0002</t>
  </si>
  <si>
    <t>FAN L62FA01 - MT002-TDIC-ME12-L62FA01-0001</t>
  </si>
  <si>
    <t>TDM(M)-126/2×12 COAL MILL BAG FILTER - MT002-TDIC-ME12-L62BF01-0001</t>
  </si>
  <si>
    <t>TECHNICAL INFORMATION - MT002-TDIC-ME12-L62BF01-0002</t>
  </si>
  <si>
    <t>STEEL SUPPORT LAYOUT AND LOADS - MT002-TDIC-ME12-L62BF01-0003</t>
  </si>
  <si>
    <t>GAS FLOW - MT002-TDIC-ME12-L62BF01-0004</t>
  </si>
  <si>
    <t>EQUIPMENT DRAWING - MT002-TDIC-ME12-L62FN01-0001</t>
  </si>
  <si>
    <t>Bag Filter L62BF02 - MT002-TDIC-ME12-L62BF02-0001</t>
  </si>
  <si>
    <t>Bag Filter L62BF03 - MT002-TDIC-ME12-L62BF03-0001</t>
  </si>
  <si>
    <t>Bag Filter L92BF01 - MT002-TDIC-ME12-L92BF01-0001</t>
  </si>
  <si>
    <t>Bag Filter L92BF02 - MT002-TDIC-ME12-L92BF02-0001</t>
  </si>
  <si>
    <t>FAN L62FA02 - MT002-TDIC-ME12-L62FN02-0001</t>
  </si>
  <si>
    <t>FAN L62FA03 - MT002-TDIC-ME12-L62FN03-0001</t>
  </si>
  <si>
    <t>FAN L92FN01 - MT002-TDIC-ME12-L92FN01-0001</t>
  </si>
  <si>
    <t>FAN L92FN02 - MT002-TDIC-ME12-L92FN02-0001</t>
  </si>
  <si>
    <t>Load Cell L62LC01~03 - MT002-TDIC-ME12-L62LC01-0001</t>
  </si>
  <si>
    <t>Load Cell L62LC04~06 - MT002-TDIC-ME12-L62LC04-0001</t>
  </si>
  <si>
    <t>MT500×38395mm CHAIN CONVEYOR - MT002-TDIC-ME12-L62CV01-0001</t>
  </si>
  <si>
    <t>DATA SHEET - MT002-TDIC-ME10-L62CV01-0001</t>
  </si>
  <si>
    <t>BELT WEIGHT FEEDER L62WF01 - MT002-TDIC-ME12-L62WF01-0001</t>
  </si>
  <si>
    <t>BELT WEIGHT FEEDER L62WF02 - MT002-TDIC-ME12-L62WF02-0001</t>
  </si>
  <si>
    <t>MTD800×9500mm SCREW CONVEYOR - MT002-TDIC-ME12-L92SC01-0001</t>
  </si>
  <si>
    <t>MTD800×9500mm SCREW CONVEYOR - MT002-TDIC-ME12-L92SC02-0001</t>
  </si>
  <si>
    <t>MTD1250×9000mm SCREW CONVEYOR - MT002-TDIC-ME12-L92SC05-0001</t>
  </si>
  <si>
    <t>MTD1250×9900mm SCREW CONVEYOR - MT002-TDIC-ME12-L92SC06-0001</t>
  </si>
  <si>
    <t>MTD800×9500mm SCREW CONVEYOR - MT002-TDIC-ME10-L92SC01-0001</t>
  </si>
  <si>
    <t>MTD800×9500mm SCREW CONVEYOR - MT002-TDIC-ME10-L92SC02-0001</t>
  </si>
  <si>
    <t>MTD1250×9000mm SCREW CONVEYOR - MT002-TDIC-ME10-L92SC05-0001</t>
  </si>
  <si>
    <t>MTD1250×9900mm SCREW CONVEYOR - MT002-TDIC-ME10-L92SC06-0001</t>
  </si>
  <si>
    <t>Belt Conveyor L62BC01 - MT002-TDIC-ME12-L62BC01-0001</t>
  </si>
  <si>
    <t>BUTTERFLY DAMPER L62BV01 - MT002-TDIC-ME12-L62BV01-0001</t>
  </si>
  <si>
    <t>BUTTERFLY DAMPER L62BV02 - MT002-TDIC-ME12-L62BV02-0001</t>
  </si>
  <si>
    <t>Explosion Gate L62EX01 - MT002-TDIC-ME12-L62EX01-0001</t>
  </si>
  <si>
    <t>Explosion Gate L62EX02 - MT002-TDIC-ME12-L62EX02-0001</t>
  </si>
  <si>
    <t>Louver Damper L62LD01 - MT002-TDIC-ME12-L62LD01-0001</t>
  </si>
  <si>
    <t>Louver Damper L62LD02 - MT002-TDIC-ME12-L62LD02-0001</t>
  </si>
  <si>
    <t>Louver Damper L62LD03 - MT002-TDIC-ME12-L62LD03-0001</t>
  </si>
  <si>
    <t>Needle Gate L62NG01 - MT002-TDIC-ME12-L62NG01-0001</t>
  </si>
  <si>
    <t>Needle Gate L62NG02 - MT002-TDIC-ME12-L62NG02-0001</t>
  </si>
  <si>
    <t>Shut-off Damper L62SD01 - MT002-TDIC-ME12-L62SD01-0001</t>
  </si>
  <si>
    <t>Shut-off Damper L62SD02 - MT002-TDIC-ME12-L62SD02-0001</t>
  </si>
  <si>
    <t>Moterized Shut-off Damper L62SD03 - MT002-TDIC-ME12-L62SD03-0001</t>
  </si>
  <si>
    <t>Moterized Shut-off Damper L62SD04 - MT002-TDIC-ME12-L62SD04-0001</t>
  </si>
  <si>
    <t>Moterized Shut-off Damper L62SD05 - MT002-TDIC-ME12-L62SD05-0001</t>
  </si>
  <si>
    <t>Shut-off Damper L62SG16 - MT002-TDIC-ME12-L62SG16-0001</t>
  </si>
  <si>
    <t>Pneumatic Shut-off Damper L62SG17 - MT002-TDIC-ME12-L62SG17-0001</t>
  </si>
  <si>
    <t>Shut-off Damper L62SG18 - MT002-TDIC-ME12-L62SG18-0001</t>
  </si>
  <si>
    <t>Pneumatic Shut-off Damper L62SG19 - MT002-TDIC-ME12-L62SG19-0001</t>
  </si>
  <si>
    <t>Explosion Gate L92EX01 - MT002-TDIC-ME12-L92EX01-0001</t>
  </si>
  <si>
    <t>Explosion Gate L92EX02 - MT002-TDIC-ME12-L92EX02-0001</t>
  </si>
  <si>
    <t>Rotary Airlock L92RF01 - MT002-TDIC-ME12-L92RF01-0001</t>
  </si>
  <si>
    <t>Rotary Airlock L92RF02 - MT002-TDIC-ME12-L92RF02-0001</t>
  </si>
  <si>
    <t>Pneumatic Shut-off Damper L92SG01~02 - MT002-TDIC-ME12-L92SG01~02-0001</t>
  </si>
  <si>
    <t>Pneumatic Shut-off Damper L92SG03~04 - MT002-TDIC-ME12-L92SG03~04-0001</t>
  </si>
  <si>
    <t>Mannual Screw Gate L92SG05~06 - MT002-TDIC-ME12-L92SG05~06-0001</t>
  </si>
  <si>
    <t>Pnuematic Shut-off Damper 452SG01 - MT002-TDIC-ME12-452SG01-0001</t>
  </si>
  <si>
    <t>Pnuematic Shut-off Damper 452SG03 - MT002-TDIC-ME12-452SG03-0001</t>
  </si>
  <si>
    <t>Pnuematic Cut-off Valve 452VA01 - MT002-TDIC-ME12-452VA01-0001</t>
  </si>
  <si>
    <t>Pnuematic Cut-off Valve 452VA02 - MT002-TDIC-ME12-452VA02-0001</t>
  </si>
  <si>
    <t>PULVERIZED COAL WEIGH FEEDER - MT002-TDIC-ME12-452PF01-0001</t>
  </si>
  <si>
    <t>DATA SHEET - MT002-TDIC-ME10-452PF01-0001</t>
  </si>
  <si>
    <t>DATA SHEET - MT002-TDIC-ME10-452PF02-0001</t>
  </si>
  <si>
    <t>Pnuematic Shut-off Damper 482SG01 - MT002-TDIC-ME12-482SG01-0001</t>
  </si>
  <si>
    <t>Sampler L92SM01 - MT002-TDIC-ME12-L92SM01-0001</t>
  </si>
  <si>
    <t>DATA SHEET - MT002-TDIC-ME10-452BL01-0001</t>
  </si>
  <si>
    <t>DATA SHEET - MT002-TDIC-ME10-452BL02-0001</t>
  </si>
  <si>
    <t>Roots Blower 452BL01 - MT002-TDIC-ME12-452BL01-0001</t>
  </si>
  <si>
    <t>Roots Blower 452BL02 - MT002-TDIC-ME12-452BL02-0001</t>
  </si>
  <si>
    <t>DATA SHEET - MT002-TDIC-ME10-482BL01-0001</t>
  </si>
  <si>
    <t>DATA SHEET - MT002-TDIC-ME10-482BL02-0001</t>
  </si>
  <si>
    <t>Roots Blower 482BL01 - MT002-TDIC-ME12-482BL01-0001</t>
  </si>
  <si>
    <t>Roots Blower 482BL02 - MT002-TDIC-ME12-482BL02-0001</t>
  </si>
  <si>
    <t>PULVERIZED COAL WEIGH FEEDER - MT002-TDIC-ME12-482PF01-0001</t>
  </si>
  <si>
    <t>DATA SHEET - MT002-TDIC-ME10-482PF01-0001</t>
  </si>
  <si>
    <t>Nitrogen generation L62IP01 - MT002-TDIC-ME12-L62IP01-0001</t>
  </si>
  <si>
    <t>Nitrogen generation L62IP01 - MT002-TDIC-ME12-L62IP01-0002</t>
  </si>
  <si>
    <t>Nitrogen generation L62IP01 - MT002-TDIC-ME12-L62IP01-0003</t>
  </si>
  <si>
    <t>Nitrogen generation L62IP01 - MT002-TDIC-ME12-L62IP01-0004</t>
  </si>
  <si>
    <t>Nitrogen generation L62IP01 - MT002-TDIC-ME12-L62IP01-0005</t>
  </si>
  <si>
    <t>Nitrogen generation L62IP01 - MT002-TDIC-ME12-L62IP01-0006</t>
  </si>
  <si>
    <t>Nitrogen generation L62IP01 - MT002-TDIC-ME12-L62IP01-0007</t>
  </si>
  <si>
    <t>Nitrogen generation L62IP01 - MT002-TDIC-ME12-L62IP01-0008</t>
  </si>
  <si>
    <t>Nitrogen generation L62IP01 - MT002-TDIC-ME12-L62IP01-0009</t>
  </si>
  <si>
    <t>Electric Hoist L62EH01 - MT002-TDIC-ME12-L62EH01-0001</t>
  </si>
  <si>
    <t>Electric Hoist 452EH01 - MT002-TDIC-ME12-452EH01-0001</t>
  </si>
  <si>
    <t>Electric Hoist 482EH02 - MT002-TDIC-ME12-482EH01-0001</t>
  </si>
  <si>
    <t>METAL EXPANSION JOINT - MT002-TDIC-ME12-L62EJ02-0001</t>
  </si>
  <si>
    <t>METAL EXPANSION JOINT - MT002-TDIC-ME12-L62EJ03-0001</t>
  </si>
  <si>
    <t>METAL EXPANSION JOINT - MT002-TDIC-ME12-L62EJ04-0001</t>
  </si>
  <si>
    <t>METAL EXPANSION JOINT - MT002-TDIC-ME12-L62EJ06-0001</t>
  </si>
  <si>
    <t>METAL EXPANSION JOINT - MT002-TDIC-ME12-L62EJ08-0001</t>
  </si>
  <si>
    <t>METAL EXPANSION JOINT - MT002-TDIC-ME12-L62EJ10-0001</t>
  </si>
  <si>
    <t>METAL EXPANSION JOINT - MT002-TDIC-ME12-L62EJ11-0001</t>
  </si>
  <si>
    <t>METAL EXPANSION JOINT - MT002-TDIC-ME12-L62EJ13-0001</t>
  </si>
  <si>
    <t>K92-ADDITIVES RECLAIMING AND TRANSPORT</t>
  </si>
  <si>
    <t>PLAN   LAYOUT - MT002-TDIC-GA10-K920000-0001</t>
  </si>
  <si>
    <t>SECTION 1-1 - MT002-TDIC-GA10-K920000-0002</t>
  </si>
  <si>
    <t>SECTION 2-2 - MT002-TDIC-GA10-K920000-0003</t>
  </si>
  <si>
    <t>FLOW SHEET - MT002-TDIC-ME01-K920000-0001</t>
  </si>
  <si>
    <t>Process Equipment List - MT002-TDIC-ME04-K920000-0001</t>
  </si>
  <si>
    <t>3D modeling - MT002-TDIC-GA10-K920000-0000</t>
  </si>
  <si>
    <t>Piping General Arrangement- Isometric drawings - MT002-TDIC-ME50-K920000-0001</t>
  </si>
  <si>
    <t>Piping- Bill of quantities - MT002-TDIC-ME51-K920000-0001</t>
  </si>
  <si>
    <t>STOCK PILE LAYOUT  FOR ADDITIVE SYSTEM - MT002-TDIC-ME12-K920000-0001</t>
  </si>
  <si>
    <t>GENERAL ARRANGEMENT DRAWING FOR SIDE SCRAPER RECLAIMER ( K92RE01) - MT002-TDIC-ME12-K92RE01-0001</t>
  </si>
  <si>
    <t>GENERAL ARRANGEMENT DRAWING FOR SIDE SCRAPER RECLAIMER ( K92RE01) - MT002-TDIC-ME12-K92RE01-0002</t>
  </si>
  <si>
    <t>WHEEL LOAD DATA FOR SIDE SCRAPER RECLAIMER (K92RE01) - MT002-TDIC-ME12-K92RE01-0003</t>
  </si>
  <si>
    <t>METAL SEPARATOR  DATA SHEET - MT002-TDIC-ME10-K92MS01-0001</t>
  </si>
  <si>
    <t>METAL SEPARATOR  EQUIPMENT DRAWING - MT002-TDIC-ME12-K92MS01-0001</t>
  </si>
  <si>
    <t>GA DRAWING FOR LUFFING STACKER - MT002-TDIC-ME12-K92ST01-0001</t>
  </si>
  <si>
    <t>GENERAL ARRANGEMENT DRAWING FOR LUFFING STACKER ADDITIVE HANDLING SYSTEM (K92ST01) - MT002-TDIC-ME12-K92ST01-0002</t>
  </si>
  <si>
    <t>GENERAL ARRANGEMENT DRAWING FOR LUFFING STACKER ADDITIVE HANDLING SYSTEM (K92ST01) - MT002-TDIC-ME12-K92ST01-0003</t>
  </si>
  <si>
    <t>WHEEL LOAD DATA FOR LUFFING STACKER ADDITIVE HANDLING SYSTEM (K92ST01) - MT002-TDIC-ME12-K92ST01-0004</t>
  </si>
  <si>
    <t>RAIL FIXING &amp; FOUNDATION ARRANGEMENT FOR LUFFING STACKER  (K92ST01)
(ADDITIVE HANDLING) - MT002-TDIC-ME12-K92ST01-0005</t>
  </si>
  <si>
    <t>RAIL FIXING &amp; FOUNDATION ARRANGEMENT FOR LUFFING STACKER (K92ST01)
(ADDITIVE HANDLING) - MT002-TDIC-ME12-K92ST01-0006</t>
  </si>
  <si>
    <t>RAIL FIXING &amp; FOUNDATION ARRANGEMENT FOR LUFFING STACKER  (K92ST01)
(ADDITIVE HANDLING) - MT002-TDIC-ME12-K92ST01-0007</t>
  </si>
  <si>
    <t>RAIL FIXING &amp; FOUNDATION ARRANGEMENT FOR LUFFING STACKER  (K92ST01)
BUFFER TG-514
(ADDITIVE HANDLING) - MT002-TDIC-ME12-K92ST01-0008</t>
  </si>
  <si>
    <t>DATASHEET of K92ST01 - MT002-TDIC-ME10-K92ST01-0001</t>
  </si>
  <si>
    <t>X12 - CORRECTIVES UNLOADING AND TRANSPORT</t>
  </si>
  <si>
    <t>PLAN LAYOUT - MT002-TDIC-GA10-X120000-0001</t>
  </si>
  <si>
    <t>SECTION 1-1 - MT002-TDIC-GA10-X120000-0002</t>
  </si>
  <si>
    <t>SECTION 2-2,3-3 - MT002-TDIC-GA10-X120000-0003</t>
  </si>
  <si>
    <t>SECTION 4-4 - MT002-TDIC-GA10-X120000-0004</t>
  </si>
  <si>
    <t>PLAN FOUNDATION -4.700- -3.700,±0.000,13.500 - MT002-TDIC-GA11-X120000-0001</t>
  </si>
  <si>
    <t>PLAN FOUNDATION -6.500 - 9.500,5.900,6.300 - MT002-TDIC-GA11-X120000-0002</t>
  </si>
  <si>
    <t>FLOW SHEET - MT002-TDIC-ME01-X120000-0001</t>
  </si>
  <si>
    <t>PROCESS EQUIPMENT LIST - MT002-TDIC-ME04-X120000-0001</t>
  </si>
  <si>
    <t>3D modeling - MT002-TDIC-GA10-X120000-0000</t>
  </si>
  <si>
    <t>Piping General Arrangement- Isometric drawings - MT002-TDIC-ME50-X120000-0001</t>
  </si>
  <si>
    <t>Piping- Bill of quantities - MT002-TDIC-ME51-X120000-0001</t>
  </si>
  <si>
    <t>Surface Feeder X12SF01 - MT002-TDIC-ME12-X12SF01-0001</t>
  </si>
  <si>
    <t>DATASHEET of Surface Feeder X12SF01 - MT002-TDIC-ME10-X12SF01-0001</t>
  </si>
  <si>
    <t>SIZER - MT002-TDIC-ME12-X12RC01-0001</t>
  </si>
  <si>
    <t>DATASHEET of SIZER - MT002-TDIC-ME10-X12RC01-0001</t>
  </si>
  <si>
    <t>Bag Filter X12BF01 - MT002-TDIC-ME12-X12BF01-0001</t>
  </si>
  <si>
    <t>Bag Filter X12BF02 - MT002-TDIC-ME12-X12BF02-0001</t>
  </si>
  <si>
    <t>Bag Filter X12BF03 - MT002-TDIC-ME12-X12BF03-0001</t>
  </si>
  <si>
    <t>FAN X12FN01 - MT002-TDIC-ME12-X12FN01-0001</t>
  </si>
  <si>
    <t>CLosed</t>
  </si>
  <si>
    <t>FAN X12FN02 - MT002-TDIC-ME12-X12FN02-0001</t>
  </si>
  <si>
    <t>FAN X12FN03 - MT002-TDIC-ME12-X12FN03-0001</t>
  </si>
  <si>
    <t>Belt Conveyor X12BC01 - MT002-TDIC-ME12-X12BC01-0001</t>
  </si>
  <si>
    <t>Belt Conveyor X12BC02 - MT002-TDIC-ME12-X12BC02-0001</t>
  </si>
  <si>
    <t>Belt Scale X12BW01 - MT002-TDIC-ME12-X12BW01-0001</t>
  </si>
  <si>
    <t>Magnetic Separator X12MS01 - MT002-TDIC-ME12-X12MS01-0001</t>
  </si>
  <si>
    <t>TRUCK TIPPLER SPRAY DUST SUPPRESSION SYSTEM 1 - MT002-TDIC-ME12-X12IJ01-0001</t>
  </si>
  <si>
    <t>TRUCK TIPPLER SPRAY DUST SUPPRESSION SYSTEM 2 - MT002-TDIC-ME12-X12IJ01-0002</t>
  </si>
  <si>
    <t>GENERAL ARRANGEMENT DRAWING FOR LUFFING STACKER (X12ST01) - MT002-TDIC-ME12-X12ST01- 0001</t>
  </si>
  <si>
    <t>GENERAL ARRANGEMENT DRAWING FOR LUFFING STACKER (X12ST01) - MT002-TDIC-ME12-X12ST01- 0002</t>
  </si>
  <si>
    <t>STOCKPILE LAYOUT FOR ADDITIVE &amp; CORRECTIVE SYSTEM(X12ST01, K92RE01 &amp; X92RE01) - MT002-TDIC-ME12-X12ST01- 0003</t>
  </si>
  <si>
    <t>STOCKPILE LAYOUT FOR ADDITIVE &amp; CORRECTIVE SYSTEM(X12ST01, K92RE01 &amp; X92RE01) - MT002-TDIC-ME12-X12ST01- 0004</t>
  </si>
  <si>
    <t>WHEEL LOAD DATA FOR LUFFING STACKER ( X12ST01) - MT002-TDIC-ME12-X12ST01- 0005</t>
  </si>
  <si>
    <t>X92 - CORRECTIVES RECLAIMING AND TRANSPORT</t>
  </si>
  <si>
    <t>PLAN LAYOUT - MT002-TDIC-GA10-X920000-0001</t>
  </si>
  <si>
    <t>SECTION 1-1, SECTION 2-2 - MT002-TDIC-GA10-X920000-0002</t>
  </si>
  <si>
    <t>SECTION 3-3 - MT002-TDIC-GA10-X920000-0003</t>
  </si>
  <si>
    <t>SECTION 4-4 - MT002-TDIC-GA10-X920000-0004</t>
  </si>
  <si>
    <t>SECTION 5-5 - MT002-TDIC-GA10-X920000-0005</t>
  </si>
  <si>
    <t>SECTION 6-6 - MT002-TDIC-GA10-X920000-0006</t>
  </si>
  <si>
    <t>PLAN ±0.000-10.000 - MT002-TDIC-GA10-X920000-0007</t>
  </si>
  <si>
    <t>PLAN 7.000-9.500 - MT002-TDIC-GA10-X920000-0008</t>
  </si>
  <si>
    <t>PLAN 6.300,9.500,12.500 - MT002-TDIC-GA10-X920000-0009</t>
  </si>
  <si>
    <t>PLAN FOUNDATION ±0.000,3.800 - MT002-TDIC-GA11-X920000-0001</t>
  </si>
  <si>
    <t>PLAN FOUNDATION ±0.000-10.000,3.500,6.200,13.200 - MT002-TDIC-GA11-X920000-0002</t>
  </si>
  <si>
    <t>PLAN FOUNDATION 7.000-9.500 - MT002-TDIC-GA11-X920000-0003</t>
  </si>
  <si>
    <t>PLAN FOUNDATION 3.700,6.300,9.500,12.500 - MT002-TDIC-GA11-X920000-0004</t>
  </si>
  <si>
    <t>FLOW SHEET - MT002-TDIC-ME01-X920000-0001</t>
  </si>
  <si>
    <t>3D modeling - MT002-TDIC-GA10-X920000-0000</t>
  </si>
  <si>
    <t>Piping General Arrangement- Isometric drawings - MT002-TDIC-ME50-X920000-0001</t>
  </si>
  <si>
    <t>Stacker X13ST01 - MT002-TDIC-ME12-X13ST01-0001</t>
  </si>
  <si>
    <t>X92-2- CORRECTIVES TRANSPORT TO EXISTING LINE</t>
  </si>
  <si>
    <t>PLAN LAYOUT - MT002-TDIC-GA10-X920000-0101</t>
  </si>
  <si>
    <t>SECTION 1-1 - MT002-TDIC-GA10-X920000-0102</t>
  </si>
  <si>
    <t>SECTION 2-2 - MT002-TDIC-GA10-X920000-0103</t>
  </si>
  <si>
    <t>PLAN ±0.000-10.000 - MT002-TDIC-GA10-X920000-0104</t>
  </si>
  <si>
    <t>PLAN 7.000-9.500 - MT002-TDIC-GA10-X920000-0105</t>
  </si>
  <si>
    <t>PLAN FOUNDATION ±0.000-10.000 - MT002-TDIC-GA11-X920000-0101</t>
  </si>
  <si>
    <t>PLAN FOUNDATION 7.000-9.500 - MT002-TDIC-GA11-X920000-0102</t>
  </si>
  <si>
    <t>D32 - COMPRESSED AIR STATION</t>
  </si>
  <si>
    <t>PLAN ±0.000；SECTION 1-1,2-2,3-3,4-4 - MT002-TDIC-GA10-D320000-0001</t>
  </si>
  <si>
    <t>PLAN FOUNDATION ±0.000,7.200；AXIS 3 WALL HOLE DETAIL - MT002-TDIC-GA11-D320000-0001</t>
  </si>
  <si>
    <t>FLOW SHEET - MT002-TDIC-ME01-D320000-0001</t>
  </si>
  <si>
    <t>FLOW SHEET - MT002-TDIC-ME01-D320000-0002</t>
  </si>
  <si>
    <t>PROCESS EQUIPMENT LIST - MT002-TDIC-ME04-D320000-0001</t>
  </si>
  <si>
    <t>3D modeling - MT002-TDIC-GA10-D320000-0000</t>
  </si>
  <si>
    <t>Piping General Arrangement- Isometric drawings - MT002-TDIC-ME50-D320000-0001</t>
  </si>
  <si>
    <t>Piping- Bill of quantities - MT002-TDIC-ME51-D320000-0001</t>
  </si>
  <si>
    <t>Compressor D32CX01~03 - MT002-TDIC-ME12-D32CX01-0001</t>
  </si>
  <si>
    <t>DATASHEET of Compressor D32CX01~03 - MT002-TDIC-ME10-D32CX01-0001</t>
  </si>
  <si>
    <t>Compressor D32CX05~06 - MT002-TDIC-ME12-D32CX05-0001</t>
  </si>
  <si>
    <t>DATASHEET of Compressor D32CX05~06 - MT002-TDIC-ME10-D32CX05-0001</t>
  </si>
  <si>
    <t>Air Dryer D32AY01~03 - MT002-TDIC-ME12-D32AY01-0001</t>
  </si>
  <si>
    <t>Air Dryer D32AY05~06 - MT002-TDIC-ME12-D32AY05-0001</t>
  </si>
  <si>
    <t>Filter D32WS01~03 - MT002-TDIC-ME12-D32WS01-0001</t>
  </si>
  <si>
    <t>Filter D32WS05~07 - MT002-TDIC-ME12-D32WS05-0001</t>
  </si>
  <si>
    <t>Filter D32WS08~09 - MT002-TDIC-ME12-D32WS08-0001</t>
  </si>
  <si>
    <t>Filter D32WS10~11 - MT002-TDIC-ME12-D32WS10-0001</t>
  </si>
  <si>
    <t>AIR TANK D32PV01 - MT002-TDIC-ME12-D32PV01-0001</t>
  </si>
  <si>
    <t>AIR TANK D32PV02 - MT002-TDIC-ME12-D32PV02-0001</t>
  </si>
  <si>
    <t>AIR TANK D32PV03 - MT002-TDIC-ME12-D32PV03-0001</t>
  </si>
  <si>
    <t>AIR TANK D32PV05 - MT002-TDIC-ME12-D32PV05-0001</t>
  </si>
  <si>
    <t>AIR TANK D32PV06 - MT002-TDIC-ME12-D32PV06-0001</t>
  </si>
  <si>
    <t>AIR TANK D32PV07 - MT002-TDIC-ME12-D32PV07-0001</t>
  </si>
  <si>
    <t>AIR TANK D32PV08 - MT002-TDIC-ME12-D32PV08-0001</t>
  </si>
  <si>
    <t>AIR TANK D32PV09 - MT002-TDIC-ME12-D32PV09-0001</t>
  </si>
  <si>
    <t>AIR TANK D32PV10 - MT002-TDIC-ME12-D32PV10-0001</t>
  </si>
  <si>
    <t>AIR TANK D32PV11 - MT002-TDIC-ME12-D32PV11-0001</t>
  </si>
  <si>
    <t>AIR TANK D32PV12 - MT002-TDIC-ME12-D32PV12-0001</t>
  </si>
  <si>
    <t>AIR TANK D32PV13 - MT002-TDIC-ME12-D32PV13-0001</t>
  </si>
  <si>
    <t>AIR TANK D32PV14 - MT002-TDIC-ME12-D32PV14-0001</t>
  </si>
  <si>
    <t>AIR TANK D32PV15 - MT002-TDIC-ME12-D32PV15-0001</t>
  </si>
  <si>
    <t>AIR TANK D32PV16 - MT002-TDIC-ME12-D32PV16-0001</t>
  </si>
  <si>
    <t>AIR TANK D32PV17 - MT002-TDIC-ME12-D32PV17-0001</t>
  </si>
  <si>
    <t>AIR TANK D32PV18 - MT002-TDIC-ME12-D32PV18-0001</t>
  </si>
  <si>
    <t>COMMON DOCUMENTS</t>
  </si>
  <si>
    <t xml:space="preserve">Maximum demand calculation &amp; Power Transformer Sizing - </t>
  </si>
  <si>
    <t xml:space="preserve">LV &amp; MV Switchboard Feeder list - </t>
  </si>
  <si>
    <t xml:space="preserve">Typical IMCC wiring scheme - </t>
  </si>
  <si>
    <t xml:space="preserve">Over all plant Earthing calculation - </t>
  </si>
  <si>
    <t xml:space="preserve">MV / LV Power cable sizing Concept - </t>
  </si>
  <si>
    <t xml:space="preserve">MV Key Single line diagram - </t>
  </si>
  <si>
    <t xml:space="preserve">Emergency Power Distribution Scheme - </t>
  </si>
  <si>
    <t xml:space="preserve">Over all Cable tray routing along with cross section details of Gantry/trench/Tunnel - </t>
  </si>
  <si>
    <t xml:space="preserve">Over all Plant Earthing along with details &amp; notes - </t>
  </si>
  <si>
    <t xml:space="preserve">Street lighting and pipe crossing location for roads - </t>
  </si>
  <si>
    <t xml:space="preserve">Over all plant Lightning protection with details &amp; notes  include risk assesment and LPL level calculation as per IEC. - </t>
  </si>
  <si>
    <t xml:space="preserve">Process and Instrumentation Diagram with Asset code - </t>
  </si>
  <si>
    <t xml:space="preserve">Instrumentation and Sensor list - </t>
  </si>
  <si>
    <t xml:space="preserve">Subcontrol system list - </t>
  </si>
  <si>
    <t xml:space="preserve">Instrument Hookup drawings - </t>
  </si>
  <si>
    <t xml:space="preserve">Block interlock diagrams Section wise - </t>
  </si>
  <si>
    <t xml:space="preserve">Process control System Architecture (PCS) - </t>
  </si>
  <si>
    <t xml:space="preserve">Load flow analysis with Motor Acceleration for Main Motors - </t>
  </si>
  <si>
    <t xml:space="preserve">Short Circuit Calculation - </t>
  </si>
  <si>
    <t xml:space="preserve">Relay setting &amp; Relay co-ordination chart - </t>
  </si>
  <si>
    <t xml:space="preserve">Arc Flash Study with Feeder Tags - </t>
  </si>
  <si>
    <t xml:space="preserve">Harmonics analysis after Commissioning - </t>
  </si>
  <si>
    <t xml:space="preserve">Erection bill of quantity - </t>
  </si>
  <si>
    <t xml:space="preserve">MV cable drum cutting Schedule - </t>
  </si>
  <si>
    <t xml:space="preserve">LV Consumer List with Motor Frame size make NDE and DE Bearing type - </t>
  </si>
  <si>
    <t xml:space="preserve">MV Consumer List with Motor Frame size make NDE and DE Bearing type - </t>
  </si>
  <si>
    <t xml:space="preserve">LV VFD Rating and Model Nos - </t>
  </si>
  <si>
    <t xml:space="preserve">MV VFD Rating and Model Nos - </t>
  </si>
  <si>
    <t xml:space="preserve">List of Power and Distribution and Converter duty Transformer - </t>
  </si>
  <si>
    <t xml:space="preserve">Battery &amp; Battery charger sizing calculation - </t>
  </si>
  <si>
    <t xml:space="preserve">Airconditiong System Consolidated list - </t>
  </si>
  <si>
    <t xml:space="preserve">MV Cable Vendor Datasheet as per Adani format' - </t>
  </si>
  <si>
    <t xml:space="preserve">LV Cable Vendor Datasheet as per Adani format' - </t>
  </si>
  <si>
    <t xml:space="preserve">Control  Cable Vendor Datasheet as per Adani format' - </t>
  </si>
  <si>
    <t xml:space="preserve">Signal Cable Vendor Datasheet as per Adani format' - </t>
  </si>
  <si>
    <t xml:space="preserve">Cable Tray Vendor Datasheet &amp; Drawing - </t>
  </si>
  <si>
    <t xml:space="preserve">Earthing Material Vendor Datasheet &amp; Drawing - </t>
  </si>
  <si>
    <t xml:space="preserve">High Mast and Lighting Vendor Datasheet &amp; Drawings - </t>
  </si>
  <si>
    <t xml:space="preserve">Network Layout of PCS Vendor Drawing - </t>
  </si>
  <si>
    <t xml:space="preserve">PCS BOQ - </t>
  </si>
  <si>
    <t xml:space="preserve">IO Assignment Drawing Controller wise - </t>
  </si>
  <si>
    <t xml:space="preserve">Network Backbone Architecture, GA and wiring Vendor drawing - </t>
  </si>
  <si>
    <t xml:space="preserve">Control room layout (in existing CCR &amp; LCR) - </t>
  </si>
  <si>
    <t xml:space="preserve">VCS GA and Rating  - </t>
  </si>
  <si>
    <t xml:space="preserve">LPBS GA, IGA and wiring drawing - </t>
  </si>
  <si>
    <t xml:space="preserve">Junction box GA drawing - </t>
  </si>
  <si>
    <t xml:space="preserve">Misc. Distribution Box Vendor Drawing - </t>
  </si>
  <si>
    <t xml:space="preserve">EMS Architecture Vendor Drawing - </t>
  </si>
  <si>
    <t xml:space="preserve">List of all software and licenses. - </t>
  </si>
  <si>
    <t xml:space="preserve">Energy management system including system configuration, Networking scheme &amp; integration with PCS, - </t>
  </si>
  <si>
    <t xml:space="preserve">Ambient Air Quality monitoring system: Technical specifications, BOM, GA/ IGA  Vendor Drawings - </t>
  </si>
  <si>
    <t xml:space="preserve">O&amp;M Manual list - </t>
  </si>
  <si>
    <t xml:space="preserve">As Built Drawings - </t>
  </si>
  <si>
    <t xml:space="preserve">Alarm and Trip schedule - </t>
  </si>
  <si>
    <t xml:space="preserve">Welding Sockets, 3ph/1ph Industrial Sockets and 1 ph Commercial Socket Vendor drawings  - </t>
  </si>
  <si>
    <t>MV MOTOR data sheet - MT002-TDIC-E810-212IM01-0001</t>
  </si>
  <si>
    <t>MV MOTOR data sheet - MT002-TDIC-E810-212IM01-0002</t>
  </si>
  <si>
    <t>MV MOTOR data sheet - MT002-TDIC-E810-362FN03-0001</t>
  </si>
  <si>
    <t>MV MOTOR data sheet - MT002-TDIC-E810-362GB0A-0001</t>
  </si>
  <si>
    <t>MV MOTOR data sheet - MT002-TDIC-E810-362GB0B-0001</t>
  </si>
  <si>
    <t>MV MOTOR data sheet - MT002-TDIC-E810-363FN03-0001</t>
  </si>
  <si>
    <t>MV MOTOR data sheet - MT002-TDIC-E810-363GB0A-0001</t>
  </si>
  <si>
    <t>MV MOTOR data sheet - MT002-TDIC-E810-363GB0B-0001</t>
  </si>
  <si>
    <t>MV MOTOR data sheet - MT002-TDIC-E810-422FN01-0001</t>
  </si>
  <si>
    <t>MV MOTOR data sheet - MT002-TDIC-E810-442FN01-0001</t>
  </si>
  <si>
    <t>MV MOTOR data sheet - MT002-TDIC-E810-462KL01-0001</t>
  </si>
  <si>
    <t>MV MOTOR data sheet - MT002-TDIC-E810-472FN03-0001</t>
  </si>
  <si>
    <t>MV MOTOR data sheet - MT002-TDIC-E810-L62FN01-0001</t>
  </si>
  <si>
    <t>MV MOTOR data sheet - MT002-TDIC-E810-L62RM01-0001</t>
  </si>
  <si>
    <t>MOTOR DATA SHEET - MT002-TDIC-E801-362BE01-0M01</t>
  </si>
  <si>
    <t>MOTOR DATA SHEET - MT002-TDIC-E801-362BE02-0M01</t>
  </si>
  <si>
    <t>MOTOR DATA SHEET - MT002-TDIC-E801-363BE01-0M01</t>
  </si>
  <si>
    <t>MOTOR DATA SHEET - MT002-TDIC-E801-363BE02-0M01</t>
  </si>
  <si>
    <t>MOTOR DATA SHEET - MT002-TDIC-E810-362BE01-0M01</t>
  </si>
  <si>
    <t>MOTOR DATA SHEET - MT002-TDIC-E810-362BE02-0M01</t>
  </si>
  <si>
    <t>MOTOR DATA SHEET - MT002-TDIC-E810-363BE01-0M01</t>
  </si>
  <si>
    <t>MOTOR DATA SHEET - MT002-TDIC-E810-363BE02-0M01</t>
  </si>
  <si>
    <t>MOTOR DATA SHEET - MT002-TDIC-E801-392BE01-0M01</t>
  </si>
  <si>
    <t>MOTOR DATA SHEET - MT002-TDIC-E801-432BE01-0M01</t>
  </si>
  <si>
    <t>MOTOR DATA SHEET - MT002-TDIC-E810-392BE01-0M01</t>
  </si>
  <si>
    <t>MOTOR DATA SHEET - MT002-TDIC-E810-432BE01-0M01</t>
  </si>
  <si>
    <t>Limestone Crusher (201-3E1 LC#21) - 214</t>
  </si>
  <si>
    <t xml:space="preserve">Equipment Layout Drawing  - </t>
  </si>
  <si>
    <t xml:space="preserve">Load centre Earthing &amp; Lightning Drawing with Calculation - </t>
  </si>
  <si>
    <t xml:space="preserve">Lighting calculation &amp; arrangement drawing for Load centre  - </t>
  </si>
  <si>
    <t xml:space="preserve">MV Single line diagram - </t>
  </si>
  <si>
    <t xml:space="preserve">LV Single line diagram - </t>
  </si>
  <si>
    <t xml:space="preserve">MV switchboard Vendor Drawings - </t>
  </si>
  <si>
    <t xml:space="preserve">PCC &amp; IMCC Vendor Drawings (GA,Scheme,BOM) - </t>
  </si>
  <si>
    <t xml:space="preserve">Power transformer Vendor Drawing - </t>
  </si>
  <si>
    <t xml:space="preserve">NIFPS System Vendor Drawing - </t>
  </si>
  <si>
    <t xml:space="preserve">LRS Vendor Drawing - </t>
  </si>
  <si>
    <t xml:space="preserve">NGR Vendor drawing - </t>
  </si>
  <si>
    <t xml:space="preserve">Busduct Vendor Drawing - </t>
  </si>
  <si>
    <t xml:space="preserve">MV motor GA Drawing with Datasheet - </t>
  </si>
  <si>
    <t xml:space="preserve">MV Capacitor Vendor Drawings - </t>
  </si>
  <si>
    <t xml:space="preserve">DG Set Vendor Drawing with AMF panel - </t>
  </si>
  <si>
    <t xml:space="preserve">LV Power Cable schedule  - </t>
  </si>
  <si>
    <t xml:space="preserve">Electrical Control Cable schedule - </t>
  </si>
  <si>
    <t xml:space="preserve">Pre charging Commissioning Test Report - </t>
  </si>
  <si>
    <t xml:space="preserve">Controller, I/O Panel (GA/IGA), Wiring, Networking Panel , server panel Vendor Drawing - </t>
  </si>
  <si>
    <t xml:space="preserve">Control Cable schedule - </t>
  </si>
  <si>
    <t xml:space="preserve">Signal Cable schedule  - </t>
  </si>
  <si>
    <t xml:space="preserve">Fire alarm system document GA/ IGA,  Detailed System architectural drawing, BOM, Detector / sensor layout &amp; looping Vendor drawings - </t>
  </si>
  <si>
    <t xml:space="preserve">IO Assignment  - </t>
  </si>
  <si>
    <t xml:space="preserve">Fibre and Network test - </t>
  </si>
  <si>
    <t xml:space="preserve">All Subcontrol system Vendor Drawings - </t>
  </si>
  <si>
    <t xml:space="preserve">Termination Schedule - </t>
  </si>
  <si>
    <t xml:space="preserve">Network Communication Cable Schedule - </t>
  </si>
  <si>
    <t xml:space="preserve">I/O Panel (GA/IGA), Wiring, Networking Panel  Vendor Drawing - </t>
  </si>
  <si>
    <t xml:space="preserve">IP addressing  Document ( iMCC, PCS, EMS) - </t>
  </si>
  <si>
    <t xml:space="preserve">Equipment location drawing (Instrument &amp; JBs/LPB etc.) of LS Crusher building - </t>
  </si>
  <si>
    <t xml:space="preserve">Equipment location drawing for 294BC02 - </t>
  </si>
  <si>
    <t xml:space="preserve">Cable tray routing with Cross section details for LS Crusher building - </t>
  </si>
  <si>
    <t xml:space="preserve">Cable tray routing with Cross section details for 294BC02 - </t>
  </si>
  <si>
    <t xml:space="preserve">Earthing arrangement of LS Crusher building - </t>
  </si>
  <si>
    <t xml:space="preserve">Lighting arrangement drawing for LS crusher building - </t>
  </si>
  <si>
    <t xml:space="preserve">Lightning protection arrangement drawing for LS crusher building - </t>
  </si>
  <si>
    <t xml:space="preserve">Communication Cable Schedule - </t>
  </si>
  <si>
    <t xml:space="preserve">Earthing arrangement along 293BC01 - </t>
  </si>
  <si>
    <t xml:space="preserve">Lighting arrangement along 293BC01 - </t>
  </si>
  <si>
    <t xml:space="preserve">Cable tray routing with Cross section detais for 293BC01 - </t>
  </si>
  <si>
    <t>Raw Material Handling (201-3E3 LC#23)</t>
  </si>
  <si>
    <t xml:space="preserve">Equipment Layout Drawing </t>
  </si>
  <si>
    <t>Load centre Earthing Drawing with Calculation</t>
  </si>
  <si>
    <t xml:space="preserve">Lighting calculation &amp; arrangement drawing for Load centre </t>
  </si>
  <si>
    <t>MV Single line diagram</t>
  </si>
  <si>
    <t>Battery &amp; Battery charger sizing calculation</t>
  </si>
  <si>
    <t>LV Single line diagram</t>
  </si>
  <si>
    <t>MV switchboard Vendor Drawings</t>
  </si>
  <si>
    <t>PCC &amp; IMCC Vendor Drawings (GA,Scheme,BOM)</t>
  </si>
  <si>
    <t>Busduct Vendor Drawing</t>
  </si>
  <si>
    <t>MV motor GA Drawing with Datasheet</t>
  </si>
  <si>
    <t>MV Capacitor Vendor Drawings</t>
  </si>
  <si>
    <t xml:space="preserve">LV Power Cable schedule </t>
  </si>
  <si>
    <t xml:space="preserve">Electrical Control Cable schedule </t>
  </si>
  <si>
    <t>Pre charging Commissioning Test Report</t>
  </si>
  <si>
    <t>Controller, I/O Panel (GA/IGA), Wiring, Networking Panel , server panel Vendor Drawing</t>
  </si>
  <si>
    <t>I/O Panel (GA/IGA), Wiring, Networking Panel  Vendor Drawing</t>
  </si>
  <si>
    <t>Control Cable schedule</t>
  </si>
  <si>
    <t xml:space="preserve">Signal Cable schedule </t>
  </si>
  <si>
    <t xml:space="preserve">Fire alarm system document GA/ IGA,  Detailed System architectural drawing, BOM, Detector / sensor layout &amp; looping Vendor drawings </t>
  </si>
  <si>
    <t xml:space="preserve">IO Assignment </t>
  </si>
  <si>
    <t>All Subcontrol system Vendor Drawings</t>
  </si>
  <si>
    <t>Termination Schedule</t>
  </si>
  <si>
    <t>Network Communication Cable Schedule</t>
  </si>
  <si>
    <t>IP addressing  Document ( iMCC, PCS, EMS)</t>
  </si>
  <si>
    <t>Communication Cable Schedule</t>
  </si>
  <si>
    <t>Cable tray routing with Cross section detais for LS Stockpile</t>
  </si>
  <si>
    <t>Earthing arrangement of LS Stockpile</t>
  </si>
  <si>
    <t>Lighting arrangement of LS Stockpile</t>
  </si>
  <si>
    <t>Lightning protection arrangement for LS Stockpile</t>
  </si>
  <si>
    <t>Raw Mill &amp; Preheater (401-3E1 LC#24)</t>
  </si>
  <si>
    <t>LRS Vendor Drawing</t>
  </si>
  <si>
    <t>Opacity Monitor GA, Datasheet Vendor drawings (LC applicable)</t>
  </si>
  <si>
    <t>CEMS Vendor drawing (Pyro)</t>
  </si>
  <si>
    <t>Gas Analyser Vendor drawing ( Pyro lc))</t>
  </si>
  <si>
    <t>Kiln Shell Scanner (Pyro lc) vendor Drawing</t>
  </si>
  <si>
    <t>TERMINAL DIAGRAM</t>
  </si>
  <si>
    <t>SCHEMATIC DIAGRAM</t>
  </si>
  <si>
    <t>Equipment location drawing for 333BC01</t>
  </si>
  <si>
    <t>Equipment location drawing for Raw material storage bin building</t>
  </si>
  <si>
    <t>Cable tray routing drawing for Raw material storage bin building</t>
  </si>
  <si>
    <t>Earthing arrangement drawing for Raw material storage bin building</t>
  </si>
  <si>
    <t>Lighting arrangement drawing for Raw material storage bin building</t>
  </si>
  <si>
    <t>Lightning protection arrangement drawing for Raw material storage bin building</t>
  </si>
  <si>
    <t>Equipment location drawing for Raw mill building-1</t>
  </si>
  <si>
    <t>Cable tray routing drawing for Raw mill building-1</t>
  </si>
  <si>
    <t>Earthing arrangement drawing for Raw mill building-1</t>
  </si>
  <si>
    <t>Lighting arrangement drawing for Raw mill building-1</t>
  </si>
  <si>
    <t>Lightning protection arrangement drawing for Raw mill building-1</t>
  </si>
  <si>
    <t>Equipment location drawing for Raw mill building-2</t>
  </si>
  <si>
    <t>Cable tray routing drawing for Raw mill building-2</t>
  </si>
  <si>
    <t>Earthing arrangement drawing for Raw mill building-2</t>
  </si>
  <si>
    <t>Lighting arrangement drawing for Raw mill building-2</t>
  </si>
  <si>
    <t>Lightning protection arrangement drawing for Raw mill building-2</t>
  </si>
  <si>
    <t>Equipment location drawing for Preheater building</t>
  </si>
  <si>
    <t>Cable tray routing drawing for Preheater building</t>
  </si>
  <si>
    <t>Earthing arrangement drawing for Preheater building</t>
  </si>
  <si>
    <t>Lighting arrangement drawing for Preheater building</t>
  </si>
  <si>
    <t>Lightning protection arrangement drawing for Preheater building</t>
  </si>
  <si>
    <t>Equipment location drawing for Raw meal silo</t>
  </si>
  <si>
    <t>Cable tray routing drawing for Raw meal silo</t>
  </si>
  <si>
    <t>Lighting arrangement drawing for Raw meal silo</t>
  </si>
  <si>
    <t>Earthing arrangement drawing for Raw meal silo</t>
  </si>
  <si>
    <t>Lightning protection arrangement drawing for Raw meal silo</t>
  </si>
  <si>
    <t>Equipment location drawing at Kiln platform</t>
  </si>
  <si>
    <t>Lighting arrangement drawing at Kiln platform</t>
  </si>
  <si>
    <t>Cable tray routing drawing at Kiln platform</t>
  </si>
  <si>
    <t>Earthing arrangement drawing at Kiln platform</t>
  </si>
  <si>
    <t>Equipment location drawing at Kiln dedusting area</t>
  </si>
  <si>
    <t>Cable tray routing drawing at Kiln dedusting</t>
  </si>
  <si>
    <t>Earthing arrangement drawing at Kiln dedusting</t>
  </si>
  <si>
    <t>Lighting arrangement drawing at Kiln dedusting</t>
  </si>
  <si>
    <t>RM BH opacity monitor drawing</t>
  </si>
  <si>
    <t>Equipment location drawing for 313BC02</t>
  </si>
  <si>
    <t>Cable tray routing for 313BC02</t>
  </si>
  <si>
    <t>Earthing arrangement for 313BC02</t>
  </si>
  <si>
    <t>Lighting arrangement for 313BC02</t>
  </si>
  <si>
    <t>Equipment location drawing for Raw mill feed hopper building</t>
  </si>
  <si>
    <t>Cable tray routing for Raw mill feed hopper building</t>
  </si>
  <si>
    <t>Earthing arrangement for Raw mill feed hopper building</t>
  </si>
  <si>
    <t>Lighting arrangement for Raw mill feed hopper building</t>
  </si>
  <si>
    <t>Lightning protection arrangement for Raw mill feed hopper building</t>
  </si>
  <si>
    <t>Clinker Cooler &amp; Coal Mill (401-3E2 LC#25)</t>
  </si>
  <si>
    <t>DG Set Vendor Drawing with AMF panel</t>
  </si>
  <si>
    <t xml:space="preserve">Fibre and Network test  </t>
  </si>
  <si>
    <t>Equipment location drawing for Cooler building</t>
  </si>
  <si>
    <t>Cable tray routing drawing for Cooler building</t>
  </si>
  <si>
    <t>Earthing arrangement drawing for Cooler building</t>
  </si>
  <si>
    <t>Lighting arrangement drawing for Cooler building</t>
  </si>
  <si>
    <t>Lightning protection arrangement drawing for Cooler building</t>
  </si>
  <si>
    <t>Equipment location drawing for Coal mill building</t>
  </si>
  <si>
    <t>Cable tray routing drawing for Coal mill building</t>
  </si>
  <si>
    <t>Earthing arrangement drawing for Coal mill building</t>
  </si>
  <si>
    <t>Lighting arrangement drawing for Coal mill building</t>
  </si>
  <si>
    <t>Lightning protection arrangement drawing for Coal mill building</t>
  </si>
  <si>
    <t>Coal dust feeder vendor drawing</t>
  </si>
  <si>
    <t>Coal dust feeder vendor datasheet</t>
  </si>
  <si>
    <t>Wagon tippler &amp; Coal handling (L01-3E1 LC#26)</t>
  </si>
  <si>
    <t>Equipment location drawing for Coal wagon tippler</t>
  </si>
  <si>
    <t>Cable tray routing drawing for Coal wagon tippler</t>
  </si>
  <si>
    <t>Earthing arrangement drawing for Coal wagon tippler</t>
  </si>
  <si>
    <t>Lighting arrangement drawing for Coal wagon tippler</t>
  </si>
  <si>
    <t>Lightning protection arrangement drawing for Coal wagon tippler</t>
  </si>
  <si>
    <t>Equipment location drawing for Additive storage shead</t>
  </si>
  <si>
    <t>Cable tray routing drawing for Additive storage shead</t>
  </si>
  <si>
    <t>Earthing arrangement drawing for Additive storage shead</t>
  </si>
  <si>
    <t>Lighting arrangement drawing for Additive storage shead</t>
  </si>
  <si>
    <t>Lightning protection arrangement drawing for Additive storage shead</t>
  </si>
  <si>
    <t>Corrective handling (201-3E4 LC#27)</t>
  </si>
  <si>
    <t>Equipment location drawing for Corrective storage shead</t>
  </si>
  <si>
    <t>Cable tray routing drawing for Corrective storage shead</t>
  </si>
  <si>
    <t>Earthing arrangement drawing for Corrective storage shead</t>
  </si>
  <si>
    <t>Lighting arrangement drawing for Corrective storage shead</t>
  </si>
  <si>
    <t>Lightning protection arrangement drawing for Corrective storage shead</t>
  </si>
  <si>
    <t>Water Treatment &amp; Fire Hydrant (M33-3E1 LC#28)</t>
  </si>
  <si>
    <t>Equipment location drawing for Fire water pump house</t>
  </si>
  <si>
    <t>Cable tray routing drawing for Fire water pump house</t>
  </si>
  <si>
    <t>Earthing arrangement drawing for Fire water pump house</t>
  </si>
  <si>
    <t>Lighting arrangement drawing for Fire water pump house</t>
  </si>
  <si>
    <t>Lightning protection arrangement drawing for Fire water pump house</t>
  </si>
  <si>
    <t>Clinker Silo (401-3E5 LC#29)</t>
  </si>
  <si>
    <t>Equipment location drawing for Clinker silo</t>
  </si>
  <si>
    <t>Cable tray routing drawing for Clinker silo</t>
  </si>
  <si>
    <t>Earthing arrangement drawing for Clinker silo</t>
  </si>
  <si>
    <t>Lighting arrangement drawing for Clinker silo</t>
  </si>
  <si>
    <t>Lightning protection arrangement drawing for Clinker silo</t>
  </si>
  <si>
    <t>Clinker Loading (Rail) (401-3E6 LC#29A)</t>
  </si>
  <si>
    <t>Equipment location drawing for Clinker unloading silo-1&amp;2</t>
  </si>
  <si>
    <t>Cable tray routing drawing for Clinker unloading silo-1&amp;2</t>
  </si>
  <si>
    <t>Earthing arrangement drawing for Clinker unloading silo-1&amp;2</t>
  </si>
  <si>
    <t>Lighting arrangement drawing for Clinker unloading silo-1&amp;2</t>
  </si>
  <si>
    <t>Lightning protection arrangement drawing for Clinker unloading silo-1&amp;2</t>
  </si>
  <si>
    <t>Item Description</t>
  </si>
  <si>
    <t>Equipment No</t>
  </si>
  <si>
    <t>Target Date</t>
  </si>
  <si>
    <t>Expected Date</t>
  </si>
  <si>
    <t>Vendor Name</t>
  </si>
  <si>
    <t>Overdue (In Days)</t>
  </si>
  <si>
    <t>Impact Project End Date</t>
  </si>
  <si>
    <t>Annotations</t>
  </si>
  <si>
    <t>Equipments</t>
  </si>
  <si>
    <t>Electrial Items</t>
  </si>
  <si>
    <t>HT Cables</t>
  </si>
  <si>
    <t>LT Cables</t>
  </si>
  <si>
    <t>Signal Cables</t>
  </si>
  <si>
    <t>LT Motors</t>
  </si>
  <si>
    <t>HT Motors</t>
  </si>
  <si>
    <t>Transformers</t>
  </si>
  <si>
    <t>Cable Tray</t>
  </si>
  <si>
    <t>Weigh Bridge</t>
  </si>
  <si>
    <t>Date</t>
  </si>
  <si>
    <t>SPI</t>
  </si>
  <si>
    <t>Data</t>
  </si>
  <si>
    <t>Project Name</t>
  </si>
  <si>
    <t>Maratha CU</t>
  </si>
  <si>
    <t>Plant Capacity</t>
  </si>
  <si>
    <t>10000 TPD</t>
  </si>
  <si>
    <t>Project Partners</t>
  </si>
  <si>
    <t>Image Attached</t>
  </si>
  <si>
    <t>Project Overview</t>
  </si>
  <si>
    <t>Maratha Project is Brown Field Expansion Project Located in a City of Korpana, Maharastra. The closest railway station to Ambuja Maratha Cement Works is Chandrapur Railway Station.For air travel, you can use the Nearest Airport is Nagpur, which is approximately 150 KM away from the cement works.</t>
  </si>
  <si>
    <t>Overall Progress</t>
  </si>
  <si>
    <t>This page will provide a brief summary of Project</t>
  </si>
  <si>
    <t>Procurement Status</t>
  </si>
  <si>
    <t>This page will provide a detail status of Procurement and Ordering</t>
  </si>
  <si>
    <t>This page will provide a detail progress of Engineering (Mech, Process and Civil design)</t>
  </si>
  <si>
    <t>This page will provide a detail phases of construction with Critical structures</t>
  </si>
  <si>
    <t>This page will provide a Status of Workshop fabrication, Equipment and Consumables availability</t>
  </si>
  <si>
    <t>This page will provide brief on when the production can start</t>
  </si>
  <si>
    <t>The Schedule Performance Index (SPI) is a measure of schedule efficiency, expressed as the ratio of earned value to planned value. If the value of SPI less than 1 (project behind schedule), of 1 (project on schedule), or greater than 1 (project ahead of schedule).</t>
  </si>
  <si>
    <t>Summary</t>
  </si>
  <si>
    <t>Statistics</t>
  </si>
  <si>
    <t>Total Mhr</t>
  </si>
  <si>
    <t>LTI</t>
  </si>
  <si>
    <t>NIL</t>
  </si>
  <si>
    <t>Man Hr/LTI</t>
  </si>
  <si>
    <t>SN</t>
  </si>
  <si>
    <t>Sub Phase - 1</t>
  </si>
  <si>
    <t>Package Name</t>
  </si>
  <si>
    <t>Vendor</t>
  </si>
  <si>
    <t>Sub -Vendor</t>
  </si>
  <si>
    <t>Planned Date</t>
  </si>
  <si>
    <t>Order Finalization
(LOI Confirmation)</t>
  </si>
  <si>
    <t>E&amp;I packages</t>
  </si>
  <si>
    <t>LNVT</t>
  </si>
  <si>
    <t>Schneider</t>
  </si>
  <si>
    <t>LOI/PO</t>
  </si>
  <si>
    <t>Hitachi Hirel Power Electronics Private Limited, Sanand</t>
  </si>
  <si>
    <t>Drawings Submitted</t>
  </si>
  <si>
    <t>M/s. Ploneer Electrlcal Works</t>
  </si>
  <si>
    <t>Inspection Finished</t>
  </si>
  <si>
    <t>Technicacl Clarification</t>
  </si>
  <si>
    <t>Danfoss</t>
  </si>
  <si>
    <t>Intrelec</t>
  </si>
  <si>
    <t>RFQ Floated</t>
  </si>
  <si>
    <t>Danfoss Industries Pvt. Ltd.</t>
  </si>
  <si>
    <t>RFQ Received</t>
  </si>
  <si>
    <t>RFQ not received</t>
  </si>
  <si>
    <t>Thermo Fisher Scientific India Pvt Ltd</t>
  </si>
  <si>
    <t>Mechanical Manufacturing</t>
  </si>
  <si>
    <t xml:space="preserve">SICK INDIA Pvt. Ltd. </t>
  </si>
  <si>
    <t>Vaibhav Tech Solutions</t>
  </si>
  <si>
    <t>Technical Clarification</t>
  </si>
  <si>
    <t>FLSmidth</t>
  </si>
  <si>
    <t>Kiln Shell Scanner</t>
  </si>
  <si>
    <t>Thermo Tecknix</t>
  </si>
  <si>
    <t>TORRENT</t>
  </si>
  <si>
    <t>Raipur</t>
  </si>
  <si>
    <t>First FOR site</t>
  </si>
  <si>
    <t>Bajaj</t>
  </si>
  <si>
    <t xml:space="preserve">M/s. Pyrotech Electronics Pvt Ltd..
</t>
  </si>
  <si>
    <t>TCDRI</t>
  </si>
  <si>
    <t>SINOMA-TCDRI</t>
  </si>
  <si>
    <t>Last FOR site</t>
  </si>
  <si>
    <t>Limestone Crusher (Double Impact Rotor Crusher/apron feeder/Spillage conveyor/Wobbler Feeder etc.)</t>
  </si>
  <si>
    <t>L&amp;T</t>
  </si>
  <si>
    <t>TAKRAF India Private Limited</t>
  </si>
  <si>
    <t>Ultrahigh molecular weight polyethylene Liner</t>
  </si>
  <si>
    <t>Tangyin New Eternal Wear Resistant Material Co. Ltd.</t>
  </si>
  <si>
    <t>Weihai Hongsong</t>
  </si>
  <si>
    <t>Wear resistant ceramic coating/Paster</t>
  </si>
  <si>
    <t>SINOMA</t>
  </si>
  <si>
    <t xml:space="preserve">SHANGHAI ELECTRIC GROUP </t>
  </si>
  <si>
    <t>Lubricants</t>
  </si>
  <si>
    <t>Magnetic Separator</t>
  </si>
  <si>
    <t>FUSHUN LONGJI</t>
  </si>
  <si>
    <t>Minebea Intec</t>
  </si>
  <si>
    <t>Cross Analyzer</t>
  </si>
  <si>
    <t>XIANGFAN ZHENGGUANG</t>
  </si>
  <si>
    <t>ITECA</t>
  </si>
  <si>
    <t>Site Fabrication</t>
  </si>
  <si>
    <t>Raw Material Prepared</t>
  </si>
  <si>
    <t>Invincible US Infrastructure Pvt Ltd., Hyderabad</t>
  </si>
  <si>
    <t>Invincible Us Infrastructure,Secunderabad, Hyderabad</t>
  </si>
  <si>
    <t>Diamond Engineering Pvt.Ltd</t>
  </si>
  <si>
    <t>Local fabrication - Cyclone and bin for roller</t>
  </si>
  <si>
    <t>Maventek Industries</t>
  </si>
  <si>
    <t>Sai Industries</t>
  </si>
  <si>
    <t>Diamond Engineering</t>
  </si>
  <si>
    <t>Local fabrication - Process duct/pressure relief cone/weighing bin</t>
  </si>
  <si>
    <t>Local fabrication - Steel structure (Bin/Cyclone/Hopper/Stack etc)</t>
  </si>
  <si>
    <t>Kiln (Including Damming Ring for locking brick)</t>
  </si>
  <si>
    <t>Last For Site</t>
  </si>
  <si>
    <t>Bucket Elevator (Preheater)</t>
  </si>
  <si>
    <t>Techno Industries Private Limited</t>
  </si>
  <si>
    <t>Yangzhou GaoBiao Machinery Co.,Ltd</t>
  </si>
  <si>
    <t>TIANJIN BAOHENG</t>
  </si>
  <si>
    <t>Package Finished</t>
  </si>
  <si>
    <t>Nantong Animate Machinery Co., Ltd</t>
  </si>
  <si>
    <t>last FOR site</t>
  </si>
  <si>
    <t>Wear Resistant Ceramic Elbow</t>
  </si>
  <si>
    <t>Yixing Huguang</t>
  </si>
  <si>
    <t xml:space="preserve">Refractory bricks (Including Magnesia brick for kiln) </t>
  </si>
  <si>
    <t>RHI Magnesita</t>
  </si>
  <si>
    <t xml:space="preserve">Refractory bricks (Including brick for preheater brick/TDA etc.) </t>
  </si>
  <si>
    <t xml:space="preserve">Refractory bricks (Including Haning brick etc.) </t>
  </si>
  <si>
    <t>Zhengzhou Shengshi Jinding Insulation Refractory Co.,Ltd</t>
  </si>
  <si>
    <t>Ceramic Fibre/Nano Plate</t>
  </si>
  <si>
    <t>Luoyang Sanhe Insulation Technology Co., LtdCo.,Ltd</t>
  </si>
  <si>
    <t>Refractory auxiliary material (Water glass)</t>
  </si>
  <si>
    <t>Jiangsu Jinyi Water Industry Equipment Co., ltd.</t>
  </si>
  <si>
    <t>Nanjing Seagle</t>
  </si>
  <si>
    <t>Water Pump/Fire pump/High pressure pump</t>
  </si>
  <si>
    <t>Shandong Shuanglun</t>
  </si>
  <si>
    <t>Painting</t>
  </si>
  <si>
    <t>Belt Bucket Elevator</t>
  </si>
  <si>
    <t>BEUMER Machinery (Shanghai) Co. Ltd.</t>
  </si>
  <si>
    <t>Last FOR Site</t>
  </si>
  <si>
    <t>Chain Bucket Elevator</t>
  </si>
  <si>
    <t>Hangzhou Boyu Machinery Co.,Ltd</t>
  </si>
  <si>
    <t>Hengyang Conveying Machinery Co.,Ltd</t>
  </si>
  <si>
    <t>Anhui Kezhong Technology Co. Ltd</t>
  </si>
  <si>
    <t>Botou Maite Cement Machinery Co.,Ltd</t>
  </si>
  <si>
    <t>First FOR Site</t>
  </si>
  <si>
    <t>Pulverized Coal  Weigh Feeder
(European part/China part)</t>
  </si>
  <si>
    <t>Schenck Process (Tianjin) Industrial Technology Co. Ltd.</t>
  </si>
  <si>
    <t>Raw Meal Weigh Feeder</t>
  </si>
  <si>
    <t>Schenck Process India Private Co.,Ltd</t>
  </si>
  <si>
    <t>Rice Lake Weighing Systems India Limited</t>
  </si>
  <si>
    <t>Zhejiang HENT Electromechanic Engineering Co.,Ltd</t>
  </si>
  <si>
    <t>first FOR site</t>
  </si>
  <si>
    <t xml:space="preserve">Jiangsu Green Mechanical Co., Ltd </t>
  </si>
  <si>
    <t>Mechanical
Manufacturing</t>
  </si>
  <si>
    <t>Perfect Hydrotech</t>
  </si>
  <si>
    <t>Thermax</t>
  </si>
  <si>
    <t>Reitz</t>
  </si>
  <si>
    <t>Howden Air and Gas India Private Limited</t>
  </si>
  <si>
    <t>Shandong Tomorrow</t>
  </si>
  <si>
    <t>Atlas Copco (SHANGHAI)</t>
  </si>
  <si>
    <t>NanjingHerman Technical Co., Ltd</t>
  </si>
  <si>
    <t>Tianjin Lanxing Oil and Gas Equipment Manufacturing Co., Ltd.</t>
  </si>
  <si>
    <t>RFQ received</t>
  </si>
  <si>
    <t>Singhania System Technologists Pvt. Ltd.</t>
  </si>
  <si>
    <t>Century Crane Engineers (P) Ltd</t>
  </si>
  <si>
    <t>Shandong Lijiu</t>
  </si>
  <si>
    <t>Steel Engineering outsourcing/Tekla（1）</t>
  </si>
  <si>
    <t>Nanjing Suyue Steel Structure Technology Consulting Co., Ltd</t>
  </si>
  <si>
    <t>Steel Engineering outsourcing/Tekla（2）</t>
  </si>
  <si>
    <t>Luoyang Renli Construction Technology Co., Ltd</t>
  </si>
  <si>
    <t>Power Consultants LLP</t>
  </si>
  <si>
    <t>E&amp;I Engineering outsourcing</t>
  </si>
  <si>
    <t>Excel consultancy</t>
  </si>
  <si>
    <t>Priority</t>
  </si>
  <si>
    <t>Focus Points</t>
  </si>
  <si>
    <t>Status &amp; Action Plan</t>
  </si>
  <si>
    <t>Open Date</t>
  </si>
  <si>
    <t>Responsible</t>
  </si>
  <si>
    <r>
      <rPr>
        <b/>
        <sz val="10"/>
        <rFont val="Arial"/>
        <family val="2"/>
      </rPr>
      <t>Target D</t>
    </r>
    <r>
      <rPr>
        <b/>
        <sz val="10"/>
        <color theme="1"/>
        <rFont val="Arial"/>
        <family val="2"/>
      </rPr>
      <t>ate</t>
    </r>
  </si>
  <si>
    <t>Revised Target</t>
  </si>
  <si>
    <t>Delay
(In Days)</t>
  </si>
  <si>
    <t>A</t>
  </si>
  <si>
    <t>Statutory Clearances</t>
  </si>
  <si>
    <t xml:space="preserve">Drawing Approval by Director of Safety </t>
  </si>
  <si>
    <t>EC of Mines ML1</t>
  </si>
  <si>
    <t>CTE for Mines ML1</t>
  </si>
  <si>
    <t>Approval from Railways (FSR,IPA,DPR &amp; ESP)</t>
  </si>
  <si>
    <t>Pending at DRM/GM office at Secunderabad</t>
  </si>
  <si>
    <t>B</t>
  </si>
  <si>
    <t>Engineering &amp; Procurement</t>
  </si>
  <si>
    <t>Design Engineering for LS Crusher, OLBC &amp; Stock Pile.</t>
  </si>
  <si>
    <t>30% Area Test Report awaited, New Soil Testing Agency engaged.</t>
  </si>
  <si>
    <t>LNVT / TCDRI</t>
  </si>
  <si>
    <t>Construction &amp; Pre Project</t>
  </si>
  <si>
    <t xml:space="preserve">Non availability of  sufficient Manpower, Machineries &amp; Drawings leading to delay in execution of project at Site. </t>
  </si>
  <si>
    <t>Currently (144/ 865 Manpower available)
AAA senior team visited  Kathmandu  and conducted meeting with LNVT/ TCDRI on dated 26/27-Jun-24 for expedite manpower &amp; other required resources.</t>
  </si>
  <si>
    <t>LNVT/TCDRI</t>
  </si>
  <si>
    <t xml:space="preserve">Additional railway line with platform along with RUB is required for Manual unloading of raw material and emergency access from Colony to Plant </t>
  </si>
  <si>
    <t>Estimation for the job provided to Railway team and is under approval</t>
  </si>
  <si>
    <t>Bharat Chouhan</t>
  </si>
  <si>
    <t>Fabrication contractor not freeze and mobilized</t>
  </si>
  <si>
    <t>LNVT informed that contractor Finalization by 23-Jul-24 &amp; LOI will be issued by 24-Jul-24.</t>
  </si>
  <si>
    <t>In adequate resources for the excavation of the balance structures/Buildings</t>
  </si>
  <si>
    <t>3 Nos of additional Poclain Operators are being arranged by LNVT.</t>
  </si>
  <si>
    <t>Inadequate Staging Material</t>
  </si>
  <si>
    <t>LOI issued to M/s Vikash Scaffolding for 500 MT.
Expected dispatch will start by 19-July-24.</t>
  </si>
  <si>
    <t>Inadequate LNVT Staff
Civil Head, Safety Head, Mechanical Head, E&amp;I Head, Quality team,&amp; Planning Team not available.</t>
  </si>
  <si>
    <t xml:space="preserve">LNVT Informed that - Planning Engineer will report by 20-Jul-24 &amp; for balance position LNVT will confirm by 22-Jul-24 (Status Still pending from LNVT)
</t>
  </si>
  <si>
    <t>In adequate material (TMT) (Req 1500 MT )</t>
  </si>
  <si>
    <t>640 MT TMT received at site against 1500 MT &amp; further quantity is in process for dispatch.</t>
  </si>
  <si>
    <t>Leveling &amp; Development of Fabrication Yard. Also additional resource required for compaction &amp; leveling.</t>
  </si>
  <si>
    <t>Expected completion for levelling  by 25-Jul-24 subjected to Vibro Roller availability.</t>
  </si>
  <si>
    <t>Water Pipe Line from Vansadi Village to Transport Nagar</t>
  </si>
  <si>
    <t>Drawing Finalized.
PR done for construction
PR done for materials</t>
  </si>
  <si>
    <t>Land Required (In Acre)</t>
  </si>
  <si>
    <t>Land Procured (In Acre)</t>
  </si>
  <si>
    <t>Khasara Numbers - To be procured</t>
  </si>
  <si>
    <t>Khasara Numbers - Procured</t>
  </si>
  <si>
    <t>Type of Land</t>
  </si>
  <si>
    <t>Land Conversion (If Any)</t>
  </si>
  <si>
    <t>Land For railway siding</t>
  </si>
  <si>
    <t>Agriculture Land</t>
  </si>
  <si>
    <t>Required</t>
  </si>
  <si>
    <t>Currently under Proposal stage</t>
  </si>
  <si>
    <t>BASELINE START</t>
  </si>
  <si>
    <t>BASELINE FINISH</t>
  </si>
  <si>
    <t>Delay</t>
  </si>
  <si>
    <t>Plan till date</t>
  </si>
  <si>
    <t>QAQC - NCR Summary</t>
  </si>
  <si>
    <t>Descriptions</t>
  </si>
  <si>
    <t>Total Issued</t>
  </si>
  <si>
    <t>0-15 Days</t>
  </si>
  <si>
    <t>15-30 Days</t>
  </si>
  <si>
    <t>30-60 Days</t>
  </si>
  <si>
    <t>60-90 Days</t>
  </si>
  <si>
    <t>90-120 Days</t>
  </si>
  <si>
    <t>&gt;120 Days</t>
  </si>
  <si>
    <t>Non-Conformity Reports</t>
  </si>
  <si>
    <t>Observations</t>
  </si>
  <si>
    <t>ORD</t>
  </si>
  <si>
    <t>ENGG</t>
  </si>
  <si>
    <t>DEL</t>
  </si>
  <si>
    <t>CON</t>
  </si>
  <si>
    <t>Pages</t>
  </si>
  <si>
    <t>Focus Area</t>
  </si>
  <si>
    <t>1. Drawing Approval by Director of Safety</t>
  </si>
  <si>
    <t>2. EC and CTE for Mines</t>
  </si>
  <si>
    <t>1. Finailzation of Structure Fabrication workshop</t>
  </si>
  <si>
    <t>2. Ordering of balance Mechnaical, E&amp;I and Process Packages</t>
  </si>
  <si>
    <t>3. Insufficient manpower for Civil Works</t>
  </si>
  <si>
    <t>1. Delivery of Onshore and offshore material (Mechanical &amp; E&amp;I)</t>
  </si>
  <si>
    <t>2. Delivery of Plate for site fabrication work</t>
  </si>
  <si>
    <t>Wagon Tippler construction work ASAP</t>
  </si>
  <si>
    <t>P</t>
  </si>
  <si>
    <t>Pading Left</t>
  </si>
  <si>
    <t>Today</t>
  </si>
  <si>
    <t>CRITICAL</t>
  </si>
  <si>
    <t>MODERATE</t>
  </si>
  <si>
    <t>MINIMAL</t>
  </si>
  <si>
    <t>Technology Suppliers
Crusher – TCDRI/L&amp;T
 Stacker Reclaimer – TCDRI/Takraf
 Raw Mill – TCDRI
 Coal Mill – TCDRI
 Kiln – TCDRI
 Cooler – TCDRI
 Wagon Tippler – TCDRI/L&amp;T
 E&amp;I – Under Ordering
Engineering Consultant
 HOLTEC Engineering
TCDRI
BOE (Value Engineering)
Service Providers
 Civil – TCDRI/LNVT
 Mechanical – TCDRI/LNVT
 E&amp;I – TCDRI/LNVT
PMC Consultant
BOE Consulting</t>
  </si>
  <si>
    <t>Civil (P)</t>
  </si>
  <si>
    <t>Mechanical(P)</t>
  </si>
  <si>
    <t>E&amp;I(P)</t>
  </si>
  <si>
    <t>Process(P)</t>
  </si>
  <si>
    <t>Civil (A)</t>
  </si>
  <si>
    <t>Mechanical (A)</t>
  </si>
  <si>
    <t>E&amp;I(A)</t>
  </si>
  <si>
    <t>Process(A)</t>
  </si>
  <si>
    <t>Department (P)</t>
  </si>
  <si>
    <t>Department (A)</t>
  </si>
  <si>
    <t>TOTAL PLAN</t>
  </si>
  <si>
    <t>TOTAL ACTUAL</t>
  </si>
  <si>
    <t>MAX P</t>
  </si>
  <si>
    <t>MAX A</t>
  </si>
  <si>
    <t>LAST MONTH</t>
  </si>
  <si>
    <t>CURRENT MONTH</t>
  </si>
  <si>
    <t xml:space="preserve">   Limestone Crusher &amp; Transport </t>
  </si>
  <si>
    <t xml:space="preserve">   LimeStone Stockpile and Feeding</t>
  </si>
  <si>
    <t xml:space="preserve">   PreHeater</t>
  </si>
  <si>
    <t xml:space="preserve">   Kiln</t>
  </si>
  <si>
    <t xml:space="preserve">   Reject Silo</t>
  </si>
  <si>
    <t xml:space="preserve">   Correctives Unloading and Transport</t>
  </si>
  <si>
    <t xml:space="preserve">   Correctives Storage and Transport</t>
  </si>
  <si>
    <t xml:space="preserve">   Receiving of Coal &amp; Additives Transport</t>
  </si>
  <si>
    <t xml:space="preserve">   Coal Reclaming and Transport</t>
  </si>
  <si>
    <t xml:space="preserve">   Fuel Grinding</t>
  </si>
  <si>
    <t xml:space="preserve">      Raw Material Transport to Storage LC 22</t>
  </si>
  <si>
    <t xml:space="preserve">      Raw Material Handling LC 23</t>
  </si>
  <si>
    <t xml:space="preserve">      Raw Mill and Pre Heater LC 24 </t>
  </si>
  <si>
    <t xml:space="preserve">      Raw Mill Hopper LC 24 A</t>
  </si>
  <si>
    <t xml:space="preserve">      Clinker Cooler &amp; Coal Mill LC 25</t>
  </si>
  <si>
    <t xml:space="preserve">      Wagon Trippler &amp; Coal Handling LC 26 </t>
  </si>
  <si>
    <t xml:space="preserve">      Corrective Handling LC 27</t>
  </si>
  <si>
    <t xml:space="preserve">      Water Treatment &amp; Fire Hydrant LC 28</t>
  </si>
  <si>
    <t xml:space="preserve">      LC-23A MCC Room near TT3</t>
  </si>
  <si>
    <t xml:space="preserve">   Utility</t>
  </si>
  <si>
    <t>RMH</t>
  </si>
  <si>
    <t>RMBH</t>
  </si>
  <si>
    <t>COOLER</t>
  </si>
  <si>
    <t>RM SILO</t>
  </si>
  <si>
    <t xml:space="preserve">   Clinker  Silos</t>
  </si>
  <si>
    <t xml:space="preserve">      LS Crusher LC 21</t>
  </si>
  <si>
    <t>https://1drv.ms/i/c/5f17c22cd9dfa169/IQS2iltEIt_4RpGTbPKyPSkNAaeTnwUes_PFlBrpTv1C5VA?width=1024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</si>
</sst>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_(* \(#,##0.00\);_(* &quot;-&quot;??_);_(@_)"/>
    <numFmt numFmtId="164" formatCode="0.000%"/>
    <numFmt numFmtId="165" formatCode="0.0%"/>
    <numFmt numFmtId="166" formatCode="0.0"/>
    <numFmt numFmtId="167" formatCode="[$-409]dd/mmm/yy;@"/>
    <numFmt numFmtId="168" formatCode="[$-409]mmm/yy;@"/>
    <numFmt numFmtId="169" formatCode="0.0000%"/>
    <numFmt numFmtId="170" formatCode="[$-409]mmm\-yy;@"/>
    <numFmt numFmtId="171" formatCode="[$-14009]d\ mmmm\ yyyy;@"/>
    <numFmt numFmtId="172" formatCode="dd/mmm/yy"/>
    <numFmt numFmtId="173" formatCode="[$-F800]dddd\,\ mmmm\ dd\,\ yyyy"/>
    <numFmt numFmtId="174" formatCode="[$-409]d\-mmm\-yyyy;@"/>
    <numFmt numFmtId="175" formatCode="[$-409]d\-mmm\-yy;@"/>
    <numFmt numFmtId="176" formatCode="[$-409]d/mmm/yy;@"/>
    <numFmt numFmtId="177" formatCode="_ * #,##0.00_ ;_ * \-#,##0.00_ ;_ * &quot;-&quot;??_ ;_ @_ "/>
    <numFmt numFmtId="178" formatCode="[$-4009]General"/>
  </numFmts>
  <fonts count="92">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2"/>
      <name val="Calibri"/>
      <family val="2"/>
      <scheme val="minor"/>
    </font>
    <font>
      <b/>
      <sz val="11"/>
      <color rgb="FF000000"/>
      <name val="Calibri"/>
      <family val="2"/>
      <scheme val="minor"/>
    </font>
    <font>
      <sz val="11"/>
      <color rgb="FF000000"/>
      <name val="Calibri"/>
      <family val="2"/>
      <scheme val="minor"/>
    </font>
    <font>
      <b/>
      <sz val="11"/>
      <color rgb="FF0070C0"/>
      <name val="Calibri"/>
      <family val="2"/>
      <scheme val="minor"/>
    </font>
    <font>
      <sz val="11"/>
      <color rgb="FF0070C0"/>
      <name val="Calibri"/>
      <family val="2"/>
      <scheme val="minor"/>
    </font>
    <font>
      <b/>
      <sz val="11"/>
      <color rgb="FFC00000"/>
      <name val="Calibri"/>
      <family val="2"/>
      <scheme val="minor"/>
    </font>
    <font>
      <sz val="11"/>
      <color rgb="FFC00000"/>
      <name val="Calibri"/>
      <family val="2"/>
      <scheme val="minor"/>
    </font>
    <font>
      <sz val="11"/>
      <color theme="8"/>
      <name val="Calibri"/>
      <family val="2"/>
      <scheme val="minor"/>
    </font>
    <font>
      <sz val="10"/>
      <color rgb="FF000000"/>
      <name val="Times New Roman"/>
      <family val="1"/>
    </font>
    <font>
      <sz val="8.5"/>
      <name val="Calibri"/>
      <family val="1"/>
    </font>
    <font>
      <sz val="8.5"/>
      <color rgb="FF0E0E0E"/>
      <name val="Calibri"/>
      <family val="1"/>
    </font>
    <font>
      <sz val="11"/>
      <color rgb="FF00B050"/>
      <name val="Calibri"/>
      <family val="2"/>
      <scheme val="minor"/>
    </font>
    <font>
      <b/>
      <sz val="12"/>
      <color rgb="FF000000"/>
      <name val="Calibri"/>
      <family val="2"/>
    </font>
    <font>
      <sz val="10"/>
      <color rgb="FF363636"/>
      <name val="Calibri"/>
      <family val="2"/>
      <scheme val="minor"/>
    </font>
    <font>
      <b/>
      <sz val="10"/>
      <color rgb="FF000000"/>
      <name val="Calibri"/>
      <family val="2"/>
      <scheme val="minor"/>
    </font>
    <font>
      <sz val="10"/>
      <color rgb="FF000000"/>
      <name val="Calibri"/>
      <family val="2"/>
      <scheme val="minor"/>
    </font>
    <font>
      <sz val="11"/>
      <name val="Calibri"/>
      <family val="2"/>
      <scheme val="minor"/>
    </font>
    <font>
      <sz val="18"/>
      <color rgb="FF1F1F1F"/>
      <name val="Arial"/>
      <family val="2"/>
    </font>
    <font>
      <sz val="13"/>
      <color rgb="FFFFFFFF"/>
      <name val="Adani Regular"/>
    </font>
    <font>
      <sz val="13"/>
      <color rgb="FF000000"/>
      <name val="Adani Regular"/>
    </font>
    <font>
      <sz val="18"/>
      <color rgb="FF000000"/>
      <name val="Arial"/>
      <family val="2"/>
    </font>
    <font>
      <b/>
      <sz val="18"/>
      <color theme="1"/>
      <name val="Calibri"/>
      <family val="2"/>
      <scheme val="minor"/>
    </font>
    <font>
      <sz val="18"/>
      <name val="Arial"/>
      <family val="2"/>
    </font>
    <font>
      <b/>
      <sz val="8"/>
      <color rgb="FFFFFFFF"/>
      <name val="Adani Regular"/>
    </font>
    <font>
      <sz val="8"/>
      <color rgb="FFFFFFFF"/>
      <name val="Adani Regular"/>
    </font>
    <font>
      <sz val="8"/>
      <color rgb="FF000000"/>
      <name val="Adani Regular"/>
    </font>
    <font>
      <b/>
      <sz val="8"/>
      <color rgb="FF000000"/>
      <name val="Adani Regular"/>
    </font>
    <font>
      <b/>
      <sz val="10"/>
      <color rgb="FFFFFFFF"/>
      <name val="Adani Regular"/>
    </font>
    <font>
      <sz val="10"/>
      <color rgb="FFFFFFFF"/>
      <name val="Adani Regular"/>
    </font>
    <font>
      <sz val="10"/>
      <color rgb="FF000000"/>
      <name val="Adani Regular"/>
    </font>
    <font>
      <b/>
      <sz val="10"/>
      <color theme="1"/>
      <name val="Calibri"/>
      <family val="2"/>
      <scheme val="minor"/>
    </font>
    <font>
      <sz val="10"/>
      <color theme="1"/>
      <name val="Calibri"/>
      <family val="2"/>
      <scheme val="minor"/>
    </font>
    <font>
      <b/>
      <sz val="12"/>
      <color rgb="FF000000"/>
      <name val="Adani Regular"/>
    </font>
    <font>
      <sz val="14"/>
      <color rgb="FF000000"/>
      <name val="Adani Regular"/>
    </font>
    <font>
      <b/>
      <sz val="10"/>
      <color rgb="FF000000"/>
      <name val="Adani Regular"/>
    </font>
    <font>
      <b/>
      <sz val="10.5"/>
      <color rgb="FF000000"/>
      <name val="Adani Regular"/>
    </font>
    <font>
      <b/>
      <sz val="10.5"/>
      <color rgb="FF000000"/>
      <name val="Adani Medium"/>
    </font>
    <font>
      <sz val="10.5"/>
      <color rgb="FF000000"/>
      <name val="Adani Regular"/>
    </font>
    <font>
      <sz val="10"/>
      <color rgb="FF000000"/>
      <name val="Adani Medium"/>
    </font>
    <font>
      <sz val="10"/>
      <color rgb="FF000000"/>
      <name val="Arial"/>
      <family val="2"/>
    </font>
    <font>
      <b/>
      <sz val="11"/>
      <color rgb="FF000000"/>
      <name val="Adani Regular"/>
    </font>
    <font>
      <sz val="11"/>
      <color rgb="FF000000"/>
      <name val="Adani Regular"/>
    </font>
    <font>
      <b/>
      <sz val="14"/>
      <name val="Adani Regular"/>
    </font>
    <font>
      <sz val="14"/>
      <name val="Adani Regular"/>
    </font>
    <font>
      <sz val="14"/>
      <name val="Arial"/>
      <family val="2"/>
    </font>
    <font>
      <sz val="14"/>
      <name val="Adani Medium"/>
    </font>
    <font>
      <b/>
      <sz val="12"/>
      <color rgb="FF000000"/>
      <name val="Adani Medium"/>
    </font>
    <font>
      <b/>
      <sz val="14"/>
      <color rgb="FF000000"/>
      <name val="Calibri"/>
      <family val="2"/>
    </font>
    <font>
      <sz val="12"/>
      <color rgb="FF000000"/>
      <name val="Adani Regular"/>
    </font>
    <font>
      <b/>
      <sz val="14"/>
      <color rgb="FF000000"/>
      <name val="Adani Medium"/>
    </font>
    <font>
      <sz val="12"/>
      <color rgb="FF000000"/>
      <name val="Adani mediam"/>
    </font>
    <font>
      <sz val="8"/>
      <name val="Calibri"/>
      <family val="2"/>
      <scheme val="minor"/>
    </font>
    <font>
      <sz val="12"/>
      <name val="Franklin Gothic Book"/>
      <family val="2"/>
    </font>
    <font>
      <b/>
      <sz val="12"/>
      <color theme="0"/>
      <name val="Calibri"/>
      <family val="2"/>
      <scheme val="minor"/>
    </font>
    <font>
      <b/>
      <sz val="12"/>
      <color rgb="FFFFFF00"/>
      <name val="Calibri"/>
      <family val="2"/>
      <scheme val="minor"/>
    </font>
    <font>
      <b/>
      <sz val="12"/>
      <color rgb="FF202124"/>
      <name val="Calibri"/>
      <family val="2"/>
      <scheme val="minor"/>
    </font>
    <font>
      <b/>
      <sz val="12"/>
      <color theme="1"/>
      <name val="Calibri"/>
      <family val="2"/>
      <scheme val="minor"/>
    </font>
    <font>
      <sz val="12"/>
      <color rgb="FF202124"/>
      <name val="Calibri"/>
      <family val="2"/>
      <scheme val="minor"/>
    </font>
    <font>
      <sz val="12"/>
      <color theme="1"/>
      <name val="Calibri"/>
      <family val="2"/>
      <scheme val="minor"/>
    </font>
    <font>
      <sz val="12"/>
      <name val="Calibri"/>
      <family val="2"/>
      <scheme val="minor"/>
    </font>
    <font>
      <i/>
      <sz val="11"/>
      <color rgb="FF0070C0"/>
      <name val="Calibri"/>
      <family val="2"/>
    </font>
    <font>
      <b/>
      <sz val="11"/>
      <color rgb="FF00B050"/>
      <name val="Calibri"/>
      <family val="2"/>
      <scheme val="minor"/>
    </font>
    <font>
      <sz val="11"/>
      <color rgb="FF000000"/>
      <name val="Calibri"/>
      <family val="2"/>
    </font>
    <font>
      <b/>
      <sz val="12"/>
      <name val="Calibri Light"/>
      <family val="2"/>
    </font>
    <font>
      <sz val="10"/>
      <color rgb="FF000000"/>
      <name val="Calibri Light"/>
      <family val="2"/>
    </font>
    <font>
      <sz val="10"/>
      <name val="Calibri Light"/>
      <family val="2"/>
    </font>
    <font>
      <sz val="10"/>
      <color rgb="FFFF0000"/>
      <name val="Calibri Light"/>
      <family val="2"/>
    </font>
    <font>
      <b/>
      <u/>
      <sz val="11"/>
      <color rgb="FFC00000"/>
      <name val="Calibri"/>
      <family val="2"/>
      <scheme val="minor"/>
    </font>
    <font>
      <b/>
      <sz val="11"/>
      <color theme="0"/>
      <name val="Calibri"/>
      <family val="2"/>
      <scheme val="minor"/>
    </font>
    <font>
      <u/>
      <sz val="11"/>
      <color theme="10"/>
      <name val="Calibri"/>
      <family val="2"/>
      <scheme val="minor"/>
    </font>
    <font>
      <sz val="12"/>
      <color theme="10"/>
      <name val="Calibri"/>
      <family val="2"/>
      <scheme val="minor"/>
    </font>
    <font>
      <sz val="12"/>
      <color rgb="FFC00000"/>
      <name val="Calibri"/>
      <family val="2"/>
      <scheme val="minor"/>
    </font>
    <font>
      <sz val="10"/>
      <name val="Arial"/>
      <family val="2"/>
    </font>
    <font>
      <b/>
      <sz val="10"/>
      <color theme="1"/>
      <name val="Arial"/>
      <family val="2"/>
    </font>
    <font>
      <b/>
      <sz val="10"/>
      <name val="Arial"/>
      <family val="2"/>
    </font>
    <font>
      <b/>
      <sz val="12"/>
      <color rgb="FFFF0000"/>
      <name val="Adani Regular"/>
    </font>
    <font>
      <b/>
      <sz val="11"/>
      <color rgb="FFFFFFFF"/>
      <name val="Calibri"/>
      <family val="2"/>
      <scheme val="minor"/>
    </font>
    <font>
      <sz val="11"/>
      <name val="Calibri"/>
      <family val="2"/>
    </font>
    <font>
      <sz val="11"/>
      <color rgb="FF9C6500"/>
      <name val="Calibri"/>
      <family val="2"/>
      <scheme val="minor"/>
    </font>
    <font>
      <sz val="10"/>
      <color indexed="8"/>
      <name val="Arial"/>
      <family val="2"/>
    </font>
    <font>
      <sz val="10"/>
      <color theme="1"/>
      <name val="Arial"/>
      <family val="2"/>
    </font>
    <font>
      <sz val="10"/>
      <color theme="1"/>
      <name val="Adani Regular"/>
      <family val="2"/>
    </font>
    <font>
      <sz val="12"/>
      <name val="宋体"/>
      <charset val="134"/>
    </font>
    <font>
      <sz val="12"/>
      <name val="宋体"/>
      <family val="3"/>
      <charset val="134"/>
    </font>
    <font>
      <sz val="11"/>
      <color rgb="FF000000"/>
      <name val="Arial1"/>
    </font>
    <font>
      <sz val="10"/>
      <color rgb="FF000000"/>
      <name val="Arial1"/>
    </font>
    <font>
      <b/>
      <sz val="9"/>
      <color rgb="FF000000"/>
      <name val="Calibri"/>
      <family val="2"/>
      <scheme val="minor"/>
    </font>
  </fonts>
  <fills count="51">
    <fill>
      <patternFill patternType="none"/>
    </fill>
    <fill>
      <patternFill patternType="gray125"/>
    </fill>
    <fill>
      <patternFill patternType="solid">
        <fgColor rgb="FFD9E1F2"/>
        <bgColor rgb="FF000000"/>
      </patternFill>
    </fill>
    <fill>
      <patternFill patternType="solid">
        <fgColor rgb="FFFFFF00"/>
        <bgColor rgb="FF000000"/>
      </patternFill>
    </fill>
    <fill>
      <patternFill patternType="solid">
        <fgColor rgb="FFFFFF00"/>
        <bgColor indexed="64"/>
      </patternFill>
    </fill>
    <fill>
      <patternFill patternType="solid">
        <fgColor rgb="FFFF66CC"/>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rgb="FF00B050"/>
        <bgColor indexed="64"/>
      </patternFill>
    </fill>
    <fill>
      <patternFill patternType="solid">
        <fgColor theme="7" tint="0.79998168889431442"/>
        <bgColor indexed="64"/>
      </patternFill>
    </fill>
    <fill>
      <patternFill patternType="solid">
        <fgColor theme="9" tint="0.39997558519241921"/>
        <bgColor rgb="FF000000"/>
      </patternFill>
    </fill>
    <fill>
      <patternFill patternType="solid">
        <fgColor theme="9" tint="0.39997558519241921"/>
        <bgColor indexed="64"/>
      </patternFill>
    </fill>
    <fill>
      <patternFill patternType="solid">
        <fgColor rgb="FFDFE3E8"/>
        <bgColor indexed="64"/>
      </patternFill>
    </fill>
    <fill>
      <patternFill patternType="solid">
        <fgColor rgb="FFFFFFFF"/>
        <bgColor indexed="64"/>
      </patternFill>
    </fill>
    <fill>
      <patternFill patternType="solid">
        <fgColor rgb="FFFFD965"/>
        <bgColor indexed="64"/>
      </patternFill>
    </fill>
    <fill>
      <patternFill patternType="solid">
        <fgColor rgb="FF1F4E79"/>
        <bgColor indexed="64"/>
      </patternFill>
    </fill>
    <fill>
      <patternFill patternType="solid">
        <fgColor rgb="FF4472C4"/>
        <bgColor indexed="64"/>
      </patternFill>
    </fill>
    <fill>
      <patternFill patternType="solid">
        <fgColor rgb="FFA02B93"/>
        <bgColor indexed="64"/>
      </patternFill>
    </fill>
    <fill>
      <patternFill patternType="solid">
        <fgColor rgb="FFDAE3F3"/>
        <bgColor indexed="64"/>
      </patternFill>
    </fill>
    <fill>
      <patternFill patternType="solid">
        <fgColor theme="4" tint="0.79998168889431442"/>
        <bgColor indexed="64"/>
      </patternFill>
    </fill>
    <fill>
      <patternFill patternType="solid">
        <fgColor rgb="FFDBEEF4"/>
        <bgColor indexed="64"/>
      </patternFill>
    </fill>
    <fill>
      <patternFill patternType="solid">
        <fgColor rgb="FFD9D9D9"/>
        <bgColor indexed="64"/>
      </patternFill>
    </fill>
    <fill>
      <patternFill patternType="solid">
        <fgColor rgb="FFD0CECE"/>
        <bgColor indexed="64"/>
      </patternFill>
    </fill>
    <fill>
      <patternFill patternType="solid">
        <fgColor theme="6" tint="0.39997558519241921"/>
        <bgColor indexed="64"/>
      </patternFill>
    </fill>
    <fill>
      <patternFill patternType="solid">
        <fgColor rgb="FFFF0000"/>
        <bgColor rgb="FF000000"/>
      </patternFill>
    </fill>
    <fill>
      <patternFill patternType="solid">
        <fgColor theme="4" tint="0.79998168889431442"/>
        <bgColor theme="4" tint="0.79998168889431442"/>
      </patternFill>
    </fill>
    <fill>
      <patternFill patternType="solid">
        <fgColor theme="7" tint="0.59999389629810485"/>
        <bgColor indexed="64"/>
      </patternFill>
    </fill>
    <fill>
      <patternFill patternType="solid">
        <fgColor theme="1"/>
        <bgColor indexed="64"/>
      </patternFill>
    </fill>
    <fill>
      <patternFill patternType="solid">
        <fgColor rgb="FFD9E1F2"/>
        <bgColor rgb="FFD9E1F2"/>
      </patternFill>
    </fill>
    <fill>
      <patternFill patternType="solid">
        <fgColor theme="8" tint="0.79998168889431442"/>
        <bgColor indexed="64"/>
      </patternFill>
    </fill>
    <fill>
      <patternFill patternType="solid">
        <fgColor rgb="FFFCA78C"/>
        <bgColor indexed="64"/>
      </patternFill>
    </fill>
    <fill>
      <patternFill patternType="solid">
        <fgColor theme="0" tint="-0.34998626667073579"/>
        <bgColor indexed="64"/>
      </patternFill>
    </fill>
    <fill>
      <patternFill patternType="solid">
        <fgColor theme="0"/>
        <bgColor indexed="64"/>
      </patternFill>
    </fill>
    <fill>
      <patternFill patternType="solid">
        <fgColor theme="5" tint="0.39997558519241921"/>
        <bgColor indexed="64"/>
      </patternFill>
    </fill>
    <fill>
      <patternFill patternType="solid">
        <fgColor rgb="FFFCE4D6"/>
        <bgColor indexed="64"/>
      </patternFill>
    </fill>
    <fill>
      <patternFill patternType="solid">
        <fgColor rgb="FFD9E1F2"/>
        <bgColor indexed="64"/>
      </patternFill>
    </fill>
    <fill>
      <patternFill patternType="solid">
        <fgColor rgb="FF00B0F0"/>
        <bgColor rgb="FF000000"/>
      </patternFill>
    </fill>
    <fill>
      <patternFill patternType="solid">
        <fgColor rgb="FF4472C4"/>
        <bgColor rgb="FF4472C4"/>
      </patternFill>
    </fill>
    <fill>
      <patternFill patternType="solid">
        <fgColor rgb="FFFFEB9C"/>
        <bgColor indexed="64"/>
      </patternFill>
    </fill>
    <fill>
      <patternFill patternType="solid">
        <fgColor rgb="FFC5E7C7"/>
        <bgColor indexed="64"/>
      </patternFill>
    </fill>
    <fill>
      <patternFill patternType="solid">
        <fgColor theme="5" tint="-0.249977111117893"/>
        <bgColor indexed="64"/>
      </patternFill>
    </fill>
  </fills>
  <borders count="1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rgb="FF000000"/>
      </left>
      <right/>
      <top/>
      <bottom/>
      <diagonal/>
    </border>
    <border>
      <left style="thin">
        <color rgb="FFB1BBCC"/>
      </left>
      <right style="thin">
        <color rgb="FFB1BBCC"/>
      </right>
      <top style="thin">
        <color rgb="FFB1BBCC"/>
      </top>
      <bottom style="thin">
        <color rgb="FFB1BBCC"/>
      </bottom>
      <diagonal/>
    </border>
    <border>
      <left style="medium">
        <color indexed="64"/>
      </left>
      <right style="thin">
        <color rgb="FFB1BBCC"/>
      </right>
      <top style="medium">
        <color indexed="64"/>
      </top>
      <bottom style="thin">
        <color rgb="FFB1BBCC"/>
      </bottom>
      <diagonal/>
    </border>
    <border>
      <left style="thin">
        <color rgb="FFB1BBCC"/>
      </left>
      <right style="thin">
        <color rgb="FFB1BBCC"/>
      </right>
      <top style="medium">
        <color indexed="64"/>
      </top>
      <bottom style="thin">
        <color rgb="FFB1BBCC"/>
      </bottom>
      <diagonal/>
    </border>
    <border>
      <left style="thin">
        <color rgb="FFB1BBCC"/>
      </left>
      <right style="medium">
        <color indexed="64"/>
      </right>
      <top style="medium">
        <color indexed="64"/>
      </top>
      <bottom style="thin">
        <color rgb="FFB1BBCC"/>
      </bottom>
      <diagonal/>
    </border>
    <border>
      <left style="thin">
        <color rgb="FFB1BBCC"/>
      </left>
      <right style="medium">
        <color indexed="64"/>
      </right>
      <top style="thin">
        <color rgb="FFB1BBCC"/>
      </top>
      <bottom style="thin">
        <color rgb="FFB1BBCC"/>
      </bottom>
      <diagonal/>
    </border>
    <border>
      <left style="medium">
        <color indexed="64"/>
      </left>
      <right style="thin">
        <color rgb="FFB1BBCC"/>
      </right>
      <top style="thin">
        <color rgb="FFB1BBCC"/>
      </top>
      <bottom style="thin">
        <color rgb="FFB1BBCC"/>
      </bottom>
      <diagonal/>
    </border>
    <border>
      <left style="medium">
        <color indexed="64"/>
      </left>
      <right style="thin">
        <color rgb="FFB1BBCC"/>
      </right>
      <top style="thin">
        <color rgb="FFB1BBCC"/>
      </top>
      <bottom style="medium">
        <color indexed="64"/>
      </bottom>
      <diagonal/>
    </border>
    <border>
      <left style="thin">
        <color rgb="FFB1BBCC"/>
      </left>
      <right style="thin">
        <color rgb="FFB1BBCC"/>
      </right>
      <top style="thin">
        <color rgb="FFB1BBCC"/>
      </top>
      <bottom style="medium">
        <color indexed="64"/>
      </bottom>
      <diagonal/>
    </border>
    <border>
      <left style="thin">
        <color rgb="FFB1BBCC"/>
      </left>
      <right style="medium">
        <color indexed="64"/>
      </right>
      <top style="thin">
        <color rgb="FFB1BBCC"/>
      </top>
      <bottom style="medium">
        <color indexed="64"/>
      </bottom>
      <diagonal/>
    </border>
    <border>
      <left style="medium">
        <color indexed="64"/>
      </left>
      <right style="thin">
        <color rgb="FFB1BBCC"/>
      </right>
      <top style="medium">
        <color indexed="64"/>
      </top>
      <bottom style="medium">
        <color indexed="64"/>
      </bottom>
      <diagonal/>
    </border>
    <border>
      <left style="thin">
        <color rgb="FFB1BBCC"/>
      </left>
      <right style="thin">
        <color rgb="FFB1BBCC"/>
      </right>
      <top style="medium">
        <color indexed="64"/>
      </top>
      <bottom style="medium">
        <color indexed="64"/>
      </bottom>
      <diagonal/>
    </border>
    <border>
      <left style="thin">
        <color rgb="FFB1BBCC"/>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BFBFBF"/>
      </left>
      <right style="medium">
        <color rgb="FFBFBFBF"/>
      </right>
      <top style="medium">
        <color rgb="FFBFBFBF"/>
      </top>
      <bottom style="medium">
        <color rgb="FFBFBFBF"/>
      </bottom>
      <diagonal/>
    </border>
    <border>
      <left style="medium">
        <color rgb="FF000000"/>
      </left>
      <right style="medium">
        <color rgb="FF000000"/>
      </right>
      <top style="medium">
        <color rgb="FF000000"/>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ck">
        <color indexed="64"/>
      </right>
      <top style="thick">
        <color indexed="64"/>
      </top>
      <bottom/>
      <diagonal/>
    </border>
    <border>
      <left style="medium">
        <color rgb="FF404040"/>
      </left>
      <right style="medium">
        <color rgb="FFBFBFBF"/>
      </right>
      <top style="thick">
        <color rgb="FF7F7F7F"/>
      </top>
      <bottom style="medium">
        <color rgb="FF000000"/>
      </bottom>
      <diagonal/>
    </border>
    <border>
      <left style="medium">
        <color rgb="FFBFBFBF"/>
      </left>
      <right style="medium">
        <color rgb="FFBFBFBF"/>
      </right>
      <top style="thick">
        <color rgb="FF7F7F7F"/>
      </top>
      <bottom style="medium">
        <color rgb="FF000000"/>
      </bottom>
      <diagonal/>
    </border>
    <border>
      <left style="medium">
        <color rgb="FFBFBFBF"/>
      </left>
      <right style="thick">
        <color rgb="FF7F7F7F"/>
      </right>
      <top style="thick">
        <color rgb="FF7F7F7F"/>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ck">
        <color indexed="64"/>
      </top>
      <bottom/>
      <diagonal/>
    </border>
    <border>
      <left/>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rgb="FF7F7F7F"/>
      </left>
      <right style="medium">
        <color rgb="FF7F7F7F"/>
      </right>
      <top style="medium">
        <color rgb="FF7F7F7F"/>
      </top>
      <bottom/>
      <diagonal/>
    </border>
    <border>
      <left style="medium">
        <color rgb="FF7F7F7F"/>
      </left>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style="medium">
        <color rgb="FF7F7F7F"/>
      </right>
      <top/>
      <bottom/>
      <diagonal/>
    </border>
    <border>
      <left style="medium">
        <color rgb="FF7F7F7F"/>
      </left>
      <right style="medium">
        <color rgb="FF7F7F7F"/>
      </right>
      <top style="medium">
        <color rgb="FF7F7F7F"/>
      </top>
      <bottom style="medium">
        <color rgb="FFA6A6A6"/>
      </bottom>
      <diagonal/>
    </border>
    <border>
      <left style="medium">
        <color rgb="FF7F7F7F"/>
      </left>
      <right style="medium">
        <color rgb="FF7F7F7F"/>
      </right>
      <top/>
      <bottom style="medium">
        <color rgb="FF7F7F7F"/>
      </bottom>
      <diagonal/>
    </border>
    <border>
      <left style="medium">
        <color rgb="FF7F7F7F"/>
      </left>
      <right style="medium">
        <color rgb="FF7F7F7F"/>
      </right>
      <top/>
      <bottom style="medium">
        <color rgb="FFA6A6A6"/>
      </bottom>
      <diagonal/>
    </border>
    <border>
      <left style="medium">
        <color rgb="FF7F7F7F"/>
      </left>
      <right style="medium">
        <color rgb="FF7F7F7F"/>
      </right>
      <top style="medium">
        <color rgb="FFA6A6A6"/>
      </top>
      <bottom style="medium">
        <color rgb="FF7F7F7F"/>
      </bottom>
      <diagonal/>
    </border>
    <border>
      <left style="medium">
        <color rgb="FF7F7F7F"/>
      </left>
      <right style="medium">
        <color rgb="FF7F7F7F"/>
      </right>
      <top style="medium">
        <color rgb="FF7F7F7F"/>
      </top>
      <bottom style="medium">
        <color rgb="FF7F7F7F"/>
      </bottom>
      <diagonal/>
    </border>
    <border>
      <left style="medium">
        <color rgb="FF000000"/>
      </left>
      <right style="medium">
        <color rgb="FF7F7F7F"/>
      </right>
      <top style="medium">
        <color rgb="FF7F7F7F"/>
      </top>
      <bottom style="medium">
        <color rgb="FF7F7F7F"/>
      </bottom>
      <diagonal/>
    </border>
    <border>
      <left style="medium">
        <color rgb="FF7F7F7F"/>
      </left>
      <right style="medium">
        <color rgb="FF7F7F7F"/>
      </right>
      <top style="medium">
        <color rgb="FFA6A6A6"/>
      </top>
      <bottom style="medium">
        <color rgb="FFA6A6A6"/>
      </bottom>
      <diagonal/>
    </border>
    <border>
      <left style="medium">
        <color rgb="FF7F7F7F"/>
      </left>
      <right style="medium">
        <color rgb="FF000000"/>
      </right>
      <top style="medium">
        <color rgb="FF7F7F7F"/>
      </top>
      <bottom style="medium">
        <color rgb="FF7F7F7F"/>
      </bottom>
      <diagonal/>
    </border>
    <border>
      <left style="medium">
        <color rgb="FF000000"/>
      </left>
      <right style="medium">
        <color rgb="FF7F7F7F"/>
      </right>
      <top style="medium">
        <color rgb="FF7F7F7F"/>
      </top>
      <bottom style="medium">
        <color rgb="FF000000"/>
      </bottom>
      <diagonal/>
    </border>
    <border>
      <left style="medium">
        <color rgb="FF7F7F7F"/>
      </left>
      <right style="medium">
        <color rgb="FF7F7F7F"/>
      </right>
      <top style="medium">
        <color rgb="FF7F7F7F"/>
      </top>
      <bottom style="medium">
        <color rgb="FF000000"/>
      </bottom>
      <diagonal/>
    </border>
    <border>
      <left style="medium">
        <color rgb="FF7F7F7F"/>
      </left>
      <right style="medium">
        <color rgb="FF000000"/>
      </right>
      <top style="medium">
        <color rgb="FF7F7F7F"/>
      </top>
      <bottom style="medium">
        <color rgb="FF000000"/>
      </bottom>
      <diagonal/>
    </border>
    <border>
      <left style="medium">
        <color rgb="FFA6A6A6"/>
      </left>
      <right style="medium">
        <color rgb="FFA6A6A6"/>
      </right>
      <top style="medium">
        <color rgb="FFA6A6A6"/>
      </top>
      <bottom/>
      <diagonal/>
    </border>
    <border>
      <left style="medium">
        <color rgb="FFA6A6A6"/>
      </left>
      <right/>
      <top style="thin">
        <color rgb="FF000000"/>
      </top>
      <bottom style="medium">
        <color rgb="FFA6A6A6"/>
      </bottom>
      <diagonal/>
    </border>
    <border>
      <left/>
      <right/>
      <top style="thin">
        <color rgb="FF000000"/>
      </top>
      <bottom style="medium">
        <color rgb="FFA6A6A6"/>
      </bottom>
      <diagonal/>
    </border>
    <border>
      <left/>
      <right style="medium">
        <color rgb="FFA6A6A6"/>
      </right>
      <top style="thin">
        <color rgb="FF000000"/>
      </top>
      <bottom style="medium">
        <color rgb="FFA6A6A6"/>
      </bottom>
      <diagonal/>
    </border>
    <border>
      <left style="medium">
        <color rgb="FFA6A6A6"/>
      </left>
      <right style="medium">
        <color rgb="FFA6A6A6"/>
      </right>
      <top/>
      <bottom style="medium">
        <color rgb="FFA6A6A6"/>
      </bottom>
      <diagonal/>
    </border>
    <border>
      <left style="medium">
        <color rgb="FFA6A6A6"/>
      </left>
      <right style="medium">
        <color rgb="FFA6A6A6"/>
      </right>
      <top style="medium">
        <color rgb="FFA6A6A6"/>
      </top>
      <bottom style="medium">
        <color rgb="FFA6A6A6"/>
      </bottom>
      <diagonal/>
    </border>
    <border>
      <left style="medium">
        <color rgb="FFA6A6A6"/>
      </left>
      <right/>
      <top style="medium">
        <color rgb="FFA6A6A6"/>
      </top>
      <bottom style="medium">
        <color rgb="FFA6A6A6"/>
      </bottom>
      <diagonal/>
    </border>
    <border>
      <left/>
      <right/>
      <top style="medium">
        <color rgb="FFA6A6A6"/>
      </top>
      <bottom style="medium">
        <color rgb="FFA6A6A6"/>
      </bottom>
      <diagonal/>
    </border>
    <border>
      <left/>
      <right style="medium">
        <color rgb="FFA6A6A6"/>
      </right>
      <top style="medium">
        <color rgb="FFA6A6A6"/>
      </top>
      <bottom style="medium">
        <color rgb="FFA6A6A6"/>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top style="thin">
        <color theme="4" tint="0.39997558519241921"/>
      </top>
      <bottom style="thin">
        <color theme="4" tint="0.39997558519241921"/>
      </bottom>
      <diagonal/>
    </border>
    <border>
      <left/>
      <right style="thin">
        <color theme="4" tint="0.39997558519241921"/>
      </right>
      <top style="medium">
        <color indexed="64"/>
      </top>
      <bottom style="medium">
        <color indexed="64"/>
      </bottom>
      <diagonal/>
    </border>
    <border>
      <left/>
      <right/>
      <top style="thin">
        <color theme="4" tint="0.39997558519241921"/>
      </top>
      <bottom/>
      <diagonal/>
    </border>
    <border>
      <left style="medium">
        <color indexed="64"/>
      </left>
      <right style="thin">
        <color indexed="64"/>
      </right>
      <top/>
      <bottom style="medium">
        <color indexed="64"/>
      </bottom>
      <diagonal/>
    </border>
    <border>
      <left/>
      <right/>
      <top/>
      <bottom style="thin">
        <color indexed="64"/>
      </bottom>
      <diagonal/>
    </border>
    <border>
      <left/>
      <right style="thin">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rgb="FFAEAAAA"/>
      </left>
      <right style="thin">
        <color rgb="FFAEAAAA"/>
      </right>
      <top style="thin">
        <color rgb="FFAEAAAA"/>
      </top>
      <bottom style="thin">
        <color rgb="FFAEAAAA"/>
      </bottom>
      <diagonal/>
    </border>
    <border>
      <left/>
      <right style="thin">
        <color indexed="64"/>
      </right>
      <top/>
      <bottom style="thin">
        <color indexed="64"/>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style="thin">
        <color rgb="FF8064A2"/>
      </left>
      <right style="thin">
        <color rgb="FFFFC000"/>
      </right>
      <top style="thin">
        <color rgb="FFFFC000"/>
      </top>
      <bottom style="thin">
        <color rgb="FFFFC000"/>
      </bottom>
      <diagonal/>
    </border>
    <border>
      <left/>
      <right style="thin">
        <color rgb="FFFFC000"/>
      </right>
      <top style="thin">
        <color rgb="FFFFC000"/>
      </top>
      <bottom style="thin">
        <color rgb="FFFFC000"/>
      </bottom>
      <diagonal/>
    </border>
    <border>
      <left style="thin">
        <color rgb="FFFFC000"/>
      </left>
      <right style="thin">
        <color rgb="FFFFC000"/>
      </right>
      <top style="thin">
        <color rgb="FFFFC000"/>
      </top>
      <bottom style="thin">
        <color rgb="FFFFC000"/>
      </bottom>
      <diagonal/>
    </border>
    <border>
      <left style="thin">
        <color rgb="FFFFC000"/>
      </left>
      <right style="thin">
        <color rgb="FF8064A2"/>
      </right>
      <top style="thin">
        <color rgb="FFFFC000"/>
      </top>
      <bottom style="thin">
        <color rgb="FFFFC000"/>
      </bottom>
      <diagonal/>
    </border>
    <border>
      <left style="thin">
        <color rgb="FF0070C0"/>
      </left>
      <right style="thin">
        <color rgb="FF0070C0"/>
      </right>
      <top style="thin">
        <color rgb="FF0070C0"/>
      </top>
      <bottom style="thin">
        <color rgb="FF0070C0"/>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9" fontId="1" fillId="0" borderId="0" applyFont="0" applyFill="0" applyBorder="0" applyAlignment="0" applyProtection="0"/>
    <xf numFmtId="0" fontId="13" fillId="0" borderId="0"/>
    <xf numFmtId="0" fontId="21" fillId="0" borderId="0"/>
    <xf numFmtId="0" fontId="1" fillId="0" borderId="0"/>
    <xf numFmtId="0" fontId="74" fillId="0" borderId="0" applyNumberFormat="0" applyFill="0" applyBorder="0" applyAlignment="0" applyProtection="0"/>
    <xf numFmtId="0" fontId="77" fillId="0" borderId="0"/>
    <xf numFmtId="0" fontId="82" fillId="0" borderId="0">
      <alignment vertical="center"/>
    </xf>
    <xf numFmtId="177" fontId="67" fillId="0" borderId="0">
      <protection locked="0"/>
    </xf>
    <xf numFmtId="9" fontId="67" fillId="0" borderId="0">
      <protection locked="0"/>
    </xf>
    <xf numFmtId="43" fontId="67" fillId="0" borderId="0">
      <protection locked="0"/>
    </xf>
    <xf numFmtId="177" fontId="67" fillId="0" borderId="0">
      <protection locked="0"/>
    </xf>
    <xf numFmtId="177" fontId="67" fillId="0" borderId="0">
      <protection locked="0"/>
    </xf>
    <xf numFmtId="177" fontId="67" fillId="0" borderId="0">
      <protection locked="0"/>
    </xf>
    <xf numFmtId="177" fontId="67" fillId="0" borderId="0">
      <protection locked="0"/>
    </xf>
    <xf numFmtId="0" fontId="83" fillId="48" borderId="0" applyNumberFormat="0" applyBorder="0" applyAlignment="0" applyProtection="0"/>
    <xf numFmtId="0" fontId="67" fillId="0" borderId="0">
      <protection locked="0"/>
    </xf>
    <xf numFmtId="0" fontId="77" fillId="0" borderId="0">
      <protection locked="0"/>
    </xf>
    <xf numFmtId="0" fontId="77" fillId="0" borderId="0">
      <protection locked="0"/>
    </xf>
    <xf numFmtId="0" fontId="67" fillId="0" borderId="0">
      <protection locked="0"/>
    </xf>
    <xf numFmtId="0" fontId="67" fillId="0" borderId="0">
      <protection locked="0"/>
    </xf>
    <xf numFmtId="0" fontId="67" fillId="0" borderId="0">
      <protection locked="0"/>
    </xf>
    <xf numFmtId="0" fontId="67" fillId="0" borderId="0">
      <protection locked="0"/>
    </xf>
    <xf numFmtId="0" fontId="67" fillId="0" borderId="0">
      <protection locked="0"/>
    </xf>
    <xf numFmtId="0" fontId="84" fillId="0" borderId="0">
      <protection locked="0"/>
    </xf>
    <xf numFmtId="0" fontId="1" fillId="0" borderId="0"/>
    <xf numFmtId="0" fontId="1" fillId="0" borderId="0"/>
    <xf numFmtId="0" fontId="1" fillId="0" borderId="0"/>
    <xf numFmtId="177" fontId="1" fillId="0" borderId="0" applyFont="0" applyFill="0" applyBorder="0" applyAlignment="0" applyProtection="0"/>
    <xf numFmtId="0" fontId="86" fillId="0" borderId="0"/>
    <xf numFmtId="0" fontId="1" fillId="0" borderId="0"/>
    <xf numFmtId="0" fontId="87" fillId="0" borderId="0">
      <alignment vertical="center"/>
    </xf>
    <xf numFmtId="0" fontId="87" fillId="0" borderId="0"/>
    <xf numFmtId="0" fontId="87" fillId="0" borderId="0"/>
    <xf numFmtId="0" fontId="1" fillId="0" borderId="0"/>
    <xf numFmtId="43" fontId="1" fillId="0" borderId="0" applyFont="0" applyFill="0" applyBorder="0" applyAlignment="0" applyProtection="0"/>
    <xf numFmtId="0" fontId="88" fillId="0" borderId="0"/>
    <xf numFmtId="0" fontId="88" fillId="0" borderId="0"/>
    <xf numFmtId="0" fontId="85" fillId="0" borderId="0">
      <alignment vertical="center"/>
    </xf>
    <xf numFmtId="0" fontId="1" fillId="0" borderId="0"/>
    <xf numFmtId="9" fontId="1" fillId="0" borderId="0" applyFont="0" applyFill="0" applyBorder="0" applyAlignment="0" applyProtection="0"/>
    <xf numFmtId="0" fontId="1" fillId="0" borderId="0"/>
    <xf numFmtId="0" fontId="89" fillId="0" borderId="0"/>
    <xf numFmtId="178" fontId="90" fillId="0" borderId="0"/>
  </cellStyleXfs>
  <cellXfs count="1199">
    <xf numFmtId="0" fontId="0" fillId="0" borderId="0" xfId="0"/>
    <xf numFmtId="10" fontId="7" fillId="0" borderId="2" xfId="0" applyNumberFormat="1" applyFont="1" applyBorder="1" applyAlignment="1">
      <alignment horizontal="center" vertical="center"/>
    </xf>
    <xf numFmtId="0" fontId="3" fillId="0" borderId="0" xfId="0" applyFont="1" applyAlignment="1">
      <alignment horizontal="center"/>
    </xf>
    <xf numFmtId="0" fontId="10" fillId="0" borderId="1" xfId="0" applyFont="1" applyBorder="1" applyAlignment="1">
      <alignment vertical="center"/>
    </xf>
    <xf numFmtId="0" fontId="10" fillId="0" borderId="2" xfId="0" applyFont="1" applyBorder="1" applyAlignment="1">
      <alignment vertical="center"/>
    </xf>
    <xf numFmtId="0" fontId="3" fillId="0" borderId="0" xfId="0" applyFont="1"/>
    <xf numFmtId="49" fontId="0" fillId="4" borderId="1" xfId="0" applyNumberFormat="1" applyFill="1" applyBorder="1"/>
    <xf numFmtId="0" fontId="0" fillId="6" borderId="0" xfId="0" applyFill="1"/>
    <xf numFmtId="1" fontId="0" fillId="0" borderId="0" xfId="0" applyNumberFormat="1"/>
    <xf numFmtId="49" fontId="0" fillId="5" borderId="1" xfId="0" applyNumberFormat="1" applyFill="1" applyBorder="1"/>
    <xf numFmtId="0" fontId="4" fillId="0" borderId="0" xfId="0" applyFont="1"/>
    <xf numFmtId="0" fontId="2" fillId="0" borderId="0" xfId="0" applyFont="1"/>
    <xf numFmtId="0" fontId="7" fillId="12" borderId="1" xfId="0" applyFont="1" applyFill="1" applyBorder="1" applyAlignment="1">
      <alignment vertical="center"/>
    </xf>
    <xf numFmtId="17" fontId="6" fillId="2" borderId="6" xfId="0" applyNumberFormat="1" applyFont="1" applyFill="1" applyBorder="1" applyAlignment="1">
      <alignment horizontal="center" vertical="center" wrapText="1"/>
    </xf>
    <xf numFmtId="17" fontId="6" fillId="2" borderId="7" xfId="0" applyNumberFormat="1" applyFont="1" applyFill="1" applyBorder="1" applyAlignment="1">
      <alignment horizontal="center" vertical="center" wrapText="1"/>
    </xf>
    <xf numFmtId="10" fontId="0" fillId="12" borderId="0" xfId="1" applyNumberFormat="1" applyFont="1" applyFill="1" applyBorder="1" applyAlignment="1">
      <alignment horizontal="center"/>
    </xf>
    <xf numFmtId="0" fontId="7" fillId="10" borderId="1" xfId="0" applyFont="1" applyFill="1" applyBorder="1" applyAlignment="1">
      <alignment vertical="center"/>
    </xf>
    <xf numFmtId="0" fontId="7" fillId="4" borderId="1" xfId="0" applyFont="1" applyFill="1" applyBorder="1" applyAlignment="1">
      <alignment vertical="center"/>
    </xf>
    <xf numFmtId="0" fontId="7" fillId="11" borderId="1" xfId="0" applyFont="1" applyFill="1" applyBorder="1" applyAlignment="1">
      <alignment vertical="center"/>
    </xf>
    <xf numFmtId="10" fontId="0" fillId="10" borderId="0" xfId="1" applyNumberFormat="1" applyFont="1" applyFill="1" applyBorder="1" applyAlignment="1">
      <alignment horizontal="center"/>
    </xf>
    <xf numFmtId="0" fontId="7" fillId="13" borderId="1" xfId="0" applyFont="1" applyFill="1" applyBorder="1" applyAlignment="1">
      <alignment vertical="center"/>
    </xf>
    <xf numFmtId="10" fontId="11" fillId="0" borderId="2" xfId="1" applyNumberFormat="1" applyFont="1" applyBorder="1" applyAlignment="1">
      <alignment horizontal="center" vertical="center"/>
    </xf>
    <xf numFmtId="9" fontId="8" fillId="6" borderId="2" xfId="0" applyNumberFormat="1" applyFont="1" applyFill="1" applyBorder="1" applyAlignment="1">
      <alignment horizontal="center" vertical="center"/>
    </xf>
    <xf numFmtId="10" fontId="7" fillId="6" borderId="2" xfId="0" applyNumberFormat="1" applyFont="1" applyFill="1" applyBorder="1" applyAlignment="1">
      <alignment horizontal="center" vertical="center"/>
    </xf>
    <xf numFmtId="9" fontId="8" fillId="6" borderId="1" xfId="0" applyNumberFormat="1" applyFont="1" applyFill="1" applyBorder="1" applyAlignment="1">
      <alignment horizontal="center" vertical="center"/>
    </xf>
    <xf numFmtId="9" fontId="8" fillId="15" borderId="1" xfId="0" applyNumberFormat="1" applyFont="1" applyFill="1" applyBorder="1" applyAlignment="1">
      <alignment horizontal="center" vertical="center"/>
    </xf>
    <xf numFmtId="9" fontId="0" fillId="0" borderId="0" xfId="0" applyNumberFormat="1"/>
    <xf numFmtId="0" fontId="5" fillId="2" borderId="12" xfId="0" applyFont="1" applyFill="1" applyBorder="1" applyAlignment="1">
      <alignment horizontal="center" vertical="center" wrapText="1"/>
    </xf>
    <xf numFmtId="0" fontId="0" fillId="0" borderId="13" xfId="0" applyBorder="1"/>
    <xf numFmtId="49" fontId="0" fillId="4" borderId="6" xfId="0" applyNumberFormat="1" applyFill="1" applyBorder="1"/>
    <xf numFmtId="0" fontId="0" fillId="5" borderId="14" xfId="0" applyFill="1" applyBorder="1"/>
    <xf numFmtId="0" fontId="0" fillId="10" borderId="14" xfId="0" applyFill="1" applyBorder="1"/>
    <xf numFmtId="0" fontId="0" fillId="0" borderId="14" xfId="0" applyBorder="1"/>
    <xf numFmtId="0" fontId="0" fillId="6" borderId="14" xfId="0" applyFill="1" applyBorder="1"/>
    <xf numFmtId="0" fontId="0" fillId="0" borderId="8" xfId="0" applyBorder="1"/>
    <xf numFmtId="0" fontId="0" fillId="0" borderId="9" xfId="0" applyBorder="1"/>
    <xf numFmtId="0" fontId="0" fillId="10" borderId="8" xfId="0" applyFill="1" applyBorder="1"/>
    <xf numFmtId="9" fontId="0" fillId="0" borderId="0" xfId="1" applyFont="1" applyBorder="1"/>
    <xf numFmtId="164" fontId="0" fillId="0" borderId="0" xfId="1" applyNumberFormat="1" applyFont="1" applyBorder="1"/>
    <xf numFmtId="0" fontId="0" fillId="10" borderId="10" xfId="0" applyFill="1" applyBorder="1"/>
    <xf numFmtId="0" fontId="0" fillId="10" borderId="11" xfId="0" applyFill="1" applyBorder="1"/>
    <xf numFmtId="0" fontId="0" fillId="0" borderId="11" xfId="0" applyBorder="1"/>
    <xf numFmtId="1" fontId="0" fillId="0" borderId="11" xfId="0" applyNumberFormat="1" applyBorder="1"/>
    <xf numFmtId="0" fontId="0" fillId="0" borderId="16" xfId="0" applyBorder="1"/>
    <xf numFmtId="0" fontId="0" fillId="10" borderId="13" xfId="0" applyFill="1" applyBorder="1"/>
    <xf numFmtId="49" fontId="0" fillId="5" borderId="6" xfId="0" applyNumberForma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3" fillId="16" borderId="1" xfId="0" applyFont="1" applyFill="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xf>
    <xf numFmtId="1" fontId="3" fillId="0" borderId="1" xfId="0" applyNumberFormat="1" applyFont="1" applyBorder="1" applyAlignment="1">
      <alignment horizontal="center" vertical="center"/>
    </xf>
    <xf numFmtId="15" fontId="3" fillId="0" borderId="1" xfId="0" applyNumberFormat="1" applyFont="1" applyBorder="1" applyAlignment="1">
      <alignment vertical="center"/>
    </xf>
    <xf numFmtId="168" fontId="3" fillId="0" borderId="1" xfId="0" applyNumberFormat="1" applyFont="1" applyBorder="1" applyAlignment="1">
      <alignment horizontal="center" vertical="center"/>
    </xf>
    <xf numFmtId="168" fontId="3" fillId="0" borderId="9" xfId="0" applyNumberFormat="1" applyFont="1"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vertical="center"/>
    </xf>
    <xf numFmtId="2" fontId="0" fillId="0" borderId="0" xfId="0" applyNumberFormat="1" applyAlignment="1">
      <alignment vertical="center"/>
    </xf>
    <xf numFmtId="0" fontId="0" fillId="0" borderId="9" xfId="0" applyBorder="1" applyAlignment="1">
      <alignment vertical="center"/>
    </xf>
    <xf numFmtId="0" fontId="2" fillId="0" borderId="0" xfId="0" applyFont="1" applyAlignment="1">
      <alignment vertical="center"/>
    </xf>
    <xf numFmtId="1" fontId="3" fillId="17" borderId="0" xfId="0" applyNumberFormat="1" applyFont="1" applyFill="1" applyAlignment="1">
      <alignment horizontal="center" vertical="center"/>
    </xf>
    <xf numFmtId="167" fontId="0" fillId="0" borderId="0" xfId="0" applyNumberFormat="1" applyAlignment="1">
      <alignment horizontal="center" vertical="center"/>
    </xf>
    <xf numFmtId="15" fontId="3" fillId="0" borderId="1" xfId="0" applyNumberFormat="1" applyFont="1" applyBorder="1" applyAlignment="1">
      <alignment horizontal="center" vertical="center"/>
    </xf>
    <xf numFmtId="1" fontId="0" fillId="0" borderId="1" xfId="0" applyNumberFormat="1" applyBorder="1" applyAlignment="1">
      <alignment horizontal="center" vertical="center"/>
    </xf>
    <xf numFmtId="167" fontId="0" fillId="0" borderId="1" xfId="0" applyNumberFormat="1" applyBorder="1" applyAlignment="1">
      <alignment horizontal="center" vertical="center"/>
    </xf>
    <xf numFmtId="10" fontId="0" fillId="12" borderId="8" xfId="1" applyNumberFormat="1" applyFont="1" applyFill="1" applyBorder="1" applyAlignment="1">
      <alignment horizontal="center"/>
    </xf>
    <xf numFmtId="10" fontId="0" fillId="12" borderId="9" xfId="1" applyNumberFormat="1" applyFont="1" applyFill="1" applyBorder="1" applyAlignment="1">
      <alignment horizontal="center"/>
    </xf>
    <xf numFmtId="10" fontId="0" fillId="10" borderId="8" xfId="1" applyNumberFormat="1" applyFont="1" applyFill="1" applyBorder="1" applyAlignment="1">
      <alignment horizontal="center"/>
    </xf>
    <xf numFmtId="10" fontId="0" fillId="10" borderId="9" xfId="1" applyNumberFormat="1" applyFont="1" applyFill="1" applyBorder="1" applyAlignment="1">
      <alignment horizontal="center"/>
    </xf>
    <xf numFmtId="0" fontId="5" fillId="2" borderId="5"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7" fillId="11" borderId="24" xfId="0" applyFont="1" applyFill="1" applyBorder="1" applyAlignment="1">
      <alignment horizontal="center" vertical="center"/>
    </xf>
    <xf numFmtId="0" fontId="7" fillId="4" borderId="24" xfId="0" applyFont="1" applyFill="1" applyBorder="1" applyAlignment="1">
      <alignment horizontal="center" vertical="center"/>
    </xf>
    <xf numFmtId="0" fontId="7" fillId="12" borderId="24" xfId="0" applyFont="1" applyFill="1" applyBorder="1" applyAlignment="1">
      <alignment horizontal="center" vertical="center"/>
    </xf>
    <xf numFmtId="0" fontId="7" fillId="10" borderId="24" xfId="0" applyFont="1" applyFill="1" applyBorder="1" applyAlignment="1">
      <alignment horizontal="center" vertical="center"/>
    </xf>
    <xf numFmtId="0" fontId="7" fillId="13" borderId="24" xfId="0" applyFont="1" applyFill="1" applyBorder="1" applyAlignment="1">
      <alignment horizontal="center" vertical="center"/>
    </xf>
    <xf numFmtId="0" fontId="3" fillId="6" borderId="8" xfId="0" applyFont="1" applyFill="1" applyBorder="1" applyAlignment="1">
      <alignment horizontal="center"/>
    </xf>
    <xf numFmtId="0" fontId="3" fillId="0" borderId="8" xfId="0" applyFont="1" applyBorder="1" applyAlignment="1">
      <alignment horizontal="center"/>
    </xf>
    <xf numFmtId="0" fontId="3" fillId="0" borderId="10" xfId="0" applyFont="1" applyBorder="1" applyAlignment="1">
      <alignment horizontal="center"/>
    </xf>
    <xf numFmtId="0" fontId="10" fillId="0" borderId="20" xfId="0" applyFont="1" applyBorder="1" applyAlignment="1">
      <alignment vertical="center"/>
    </xf>
    <xf numFmtId="10" fontId="7" fillId="0" borderId="20" xfId="0" applyNumberFormat="1" applyFont="1" applyBorder="1" applyAlignment="1">
      <alignment horizontal="center" vertical="center"/>
    </xf>
    <xf numFmtId="10" fontId="9" fillId="11" borderId="0" xfId="1" applyNumberFormat="1" applyFont="1" applyFill="1" applyBorder="1" applyAlignment="1">
      <alignment horizontal="center" vertical="center"/>
    </xf>
    <xf numFmtId="17" fontId="6" fillId="2" borderId="29" xfId="0" applyNumberFormat="1" applyFont="1" applyFill="1" applyBorder="1" applyAlignment="1">
      <alignment horizontal="center" vertical="center" wrapText="1"/>
    </xf>
    <xf numFmtId="17" fontId="6" fillId="2" borderId="30" xfId="0" applyNumberFormat="1" applyFont="1" applyFill="1" applyBorder="1" applyAlignment="1">
      <alignment horizontal="center" vertical="center" wrapText="1"/>
    </xf>
    <xf numFmtId="17" fontId="6" fillId="3" borderId="30" xfId="0" applyNumberFormat="1" applyFont="1" applyFill="1" applyBorder="1" applyAlignment="1">
      <alignment horizontal="center" vertical="center" wrapText="1"/>
    </xf>
    <xf numFmtId="17" fontId="6" fillId="2" borderId="31" xfId="0" applyNumberFormat="1" applyFont="1" applyFill="1" applyBorder="1" applyAlignment="1">
      <alignment horizontal="center" vertical="center" wrapText="1"/>
    </xf>
    <xf numFmtId="10" fontId="9" fillId="11" borderId="9" xfId="1" applyNumberFormat="1" applyFont="1" applyFill="1" applyBorder="1" applyAlignment="1">
      <alignment horizontal="center" vertical="center"/>
    </xf>
    <xf numFmtId="10" fontId="11" fillId="6" borderId="30" xfId="1" applyNumberFormat="1" applyFont="1" applyFill="1" applyBorder="1" applyAlignment="1">
      <alignment horizontal="center" vertical="center"/>
    </xf>
    <xf numFmtId="10" fontId="11" fillId="6" borderId="32" xfId="1" applyNumberFormat="1" applyFont="1" applyFill="1" applyBorder="1" applyAlignment="1">
      <alignment horizontal="center" vertical="center"/>
    </xf>
    <xf numFmtId="10" fontId="11" fillId="6" borderId="14" xfId="1" applyNumberFormat="1" applyFont="1" applyFill="1" applyBorder="1" applyAlignment="1">
      <alignment horizontal="center" vertical="center"/>
    </xf>
    <xf numFmtId="10" fontId="11" fillId="6" borderId="15" xfId="1" applyNumberFormat="1" applyFont="1" applyFill="1" applyBorder="1" applyAlignment="1">
      <alignment horizontal="center" vertical="center"/>
    </xf>
    <xf numFmtId="9" fontId="8" fillId="21" borderId="1" xfId="0" applyNumberFormat="1" applyFont="1" applyFill="1" applyBorder="1" applyAlignment="1">
      <alignment horizontal="center" vertical="center"/>
    </xf>
    <xf numFmtId="0" fontId="6" fillId="0" borderId="24" xfId="0" applyFont="1" applyBorder="1" applyAlignment="1">
      <alignment horizontal="center" vertical="center"/>
    </xf>
    <xf numFmtId="0" fontId="3" fillId="9" borderId="8" xfId="0" applyFont="1" applyFill="1" applyBorder="1" applyAlignment="1">
      <alignment horizontal="center"/>
    </xf>
    <xf numFmtId="10" fontId="9" fillId="0" borderId="17" xfId="0" applyNumberFormat="1" applyFont="1" applyBorder="1" applyAlignment="1">
      <alignment horizontal="center" vertical="center"/>
    </xf>
    <xf numFmtId="0" fontId="3" fillId="5" borderId="11" xfId="0" applyFont="1" applyFill="1" applyBorder="1"/>
    <xf numFmtId="9" fontId="3" fillId="5" borderId="11" xfId="0" applyNumberFormat="1" applyFont="1" applyFill="1" applyBorder="1" applyAlignment="1">
      <alignment horizontal="center" vertical="center"/>
    </xf>
    <xf numFmtId="165" fontId="3" fillId="6" borderId="9" xfId="0" applyNumberFormat="1" applyFont="1" applyFill="1" applyBorder="1" applyAlignment="1">
      <alignment horizontal="center" vertical="center"/>
    </xf>
    <xf numFmtId="10" fontId="11" fillId="0" borderId="19" xfId="0" applyNumberFormat="1" applyFont="1" applyBorder="1" applyAlignment="1">
      <alignment horizontal="center" vertical="center"/>
    </xf>
    <xf numFmtId="165" fontId="3" fillId="9" borderId="9" xfId="0" applyNumberFormat="1" applyFont="1" applyFill="1" applyBorder="1" applyAlignment="1">
      <alignment horizontal="center" vertical="center"/>
    </xf>
    <xf numFmtId="9" fontId="3" fillId="6" borderId="9" xfId="0" applyNumberFormat="1" applyFont="1" applyFill="1" applyBorder="1" applyAlignment="1">
      <alignment horizontal="center" vertical="center"/>
    </xf>
    <xf numFmtId="9" fontId="3" fillId="9" borderId="9" xfId="0" applyNumberFormat="1" applyFont="1" applyFill="1" applyBorder="1" applyAlignment="1">
      <alignment horizontal="center" vertical="center"/>
    </xf>
    <xf numFmtId="9" fontId="3" fillId="5" borderId="9" xfId="0" applyNumberFormat="1" applyFont="1" applyFill="1" applyBorder="1" applyAlignment="1">
      <alignment horizontal="center" vertical="center"/>
    </xf>
    <xf numFmtId="10" fontId="3" fillId="9" borderId="9" xfId="0" applyNumberFormat="1" applyFont="1" applyFill="1" applyBorder="1" applyAlignment="1">
      <alignment horizontal="center" vertical="center"/>
    </xf>
    <xf numFmtId="9" fontId="3" fillId="5" borderId="16" xfId="0" applyNumberFormat="1" applyFont="1" applyFill="1" applyBorder="1" applyAlignment="1">
      <alignment horizontal="center" vertical="center"/>
    </xf>
    <xf numFmtId="1" fontId="0" fillId="0" borderId="1" xfId="0" applyNumberFormat="1" applyBorder="1" applyAlignment="1">
      <alignment vertical="center"/>
    </xf>
    <xf numFmtId="1" fontId="0" fillId="19" borderId="1" xfId="0" applyNumberFormat="1" applyFill="1" applyBorder="1" applyAlignment="1">
      <alignment vertical="center"/>
    </xf>
    <xf numFmtId="0" fontId="0" fillId="10" borderId="1" xfId="0" applyFill="1" applyBorder="1" applyAlignment="1">
      <alignment vertical="center"/>
    </xf>
    <xf numFmtId="1" fontId="0" fillId="6" borderId="1" xfId="0" applyNumberFormat="1" applyFill="1" applyBorder="1"/>
    <xf numFmtId="15" fontId="0" fillId="0" borderId="1" xfId="0" applyNumberFormat="1" applyBorder="1" applyAlignment="1">
      <alignment horizontal="center" vertical="center"/>
    </xf>
    <xf numFmtId="0" fontId="0" fillId="12" borderId="1" xfId="0" applyFill="1" applyBorder="1" applyAlignment="1">
      <alignment horizontal="center" vertical="center"/>
    </xf>
    <xf numFmtId="15" fontId="0" fillId="12" borderId="1" xfId="0" applyNumberFormat="1" applyFill="1" applyBorder="1" applyAlignment="1">
      <alignment horizontal="center" vertical="center"/>
    </xf>
    <xf numFmtId="10" fontId="7" fillId="11" borderId="2" xfId="0" applyNumberFormat="1" applyFont="1" applyFill="1" applyBorder="1" applyAlignment="1">
      <alignment horizontal="center" vertical="center"/>
    </xf>
    <xf numFmtId="10" fontId="7" fillId="12" borderId="2" xfId="0" applyNumberFormat="1" applyFont="1" applyFill="1" applyBorder="1" applyAlignment="1">
      <alignment horizontal="center" vertical="center"/>
    </xf>
    <xf numFmtId="10" fontId="7" fillId="4" borderId="2" xfId="0" applyNumberFormat="1" applyFont="1" applyFill="1" applyBorder="1" applyAlignment="1">
      <alignment horizontal="center" vertical="center"/>
    </xf>
    <xf numFmtId="10" fontId="7" fillId="10" borderId="2" xfId="0" applyNumberFormat="1" applyFont="1" applyFill="1" applyBorder="1" applyAlignment="1">
      <alignment horizontal="center" vertical="center"/>
    </xf>
    <xf numFmtId="10" fontId="7" fillId="13" borderId="2" xfId="0" applyNumberFormat="1" applyFont="1" applyFill="1" applyBorder="1" applyAlignment="1">
      <alignment horizontal="center" vertical="center"/>
    </xf>
    <xf numFmtId="0" fontId="18" fillId="22" borderId="34" xfId="0" applyFont="1" applyFill="1" applyBorder="1" applyAlignment="1">
      <alignment vertical="center" wrapText="1"/>
    </xf>
    <xf numFmtId="0" fontId="19" fillId="23" borderId="34" xfId="0" applyFont="1" applyFill="1" applyBorder="1" applyAlignment="1">
      <alignment vertical="center" wrapText="1"/>
    </xf>
    <xf numFmtId="14" fontId="19" fillId="23" borderId="34" xfId="0" applyNumberFormat="1" applyFont="1" applyFill="1" applyBorder="1" applyAlignment="1">
      <alignment vertical="center" wrapText="1"/>
    </xf>
    <xf numFmtId="9" fontId="19" fillId="23" borderId="34" xfId="0" applyNumberFormat="1" applyFont="1" applyFill="1" applyBorder="1" applyAlignment="1">
      <alignment vertical="center" wrapText="1"/>
    </xf>
    <xf numFmtId="14" fontId="20" fillId="4" borderId="34" xfId="0" applyNumberFormat="1" applyFont="1" applyFill="1" applyBorder="1" applyAlignment="1">
      <alignment vertical="center" wrapText="1"/>
    </xf>
    <xf numFmtId="0" fontId="20" fillId="4" borderId="34" xfId="0" applyFont="1" applyFill="1" applyBorder="1" applyAlignment="1">
      <alignment vertical="center" wrapText="1"/>
    </xf>
    <xf numFmtId="0" fontId="20" fillId="23" borderId="34" xfId="0" applyFont="1" applyFill="1" applyBorder="1" applyAlignment="1">
      <alignment vertical="center" wrapText="1"/>
    </xf>
    <xf numFmtId="14" fontId="20" fillId="24" borderId="34" xfId="0" applyNumberFormat="1" applyFont="1" applyFill="1" applyBorder="1" applyAlignment="1">
      <alignment vertical="center" wrapText="1"/>
    </xf>
    <xf numFmtId="14" fontId="19" fillId="10" borderId="34" xfId="0" applyNumberFormat="1" applyFont="1" applyFill="1" applyBorder="1" applyAlignment="1">
      <alignment vertical="center" wrapText="1"/>
    </xf>
    <xf numFmtId="14" fontId="19" fillId="10" borderId="34" xfId="0" applyNumberFormat="1" applyFont="1" applyFill="1" applyBorder="1" applyAlignment="1">
      <alignment horizontal="center" vertical="center" wrapText="1"/>
    </xf>
    <xf numFmtId="14" fontId="20" fillId="10" borderId="34" xfId="0" applyNumberFormat="1" applyFont="1" applyFill="1" applyBorder="1" applyAlignment="1">
      <alignment horizontal="center" vertical="center" wrapText="1"/>
    </xf>
    <xf numFmtId="0" fontId="0" fillId="10" borderId="0" xfId="0" applyFill="1" applyAlignment="1">
      <alignment horizontal="center"/>
    </xf>
    <xf numFmtId="0" fontId="0" fillId="0" borderId="0" xfId="0" applyAlignment="1">
      <alignment horizontal="center"/>
    </xf>
    <xf numFmtId="0" fontId="19" fillId="10" borderId="35" xfId="0" applyFont="1" applyFill="1" applyBorder="1" applyAlignment="1">
      <alignment vertical="center" wrapText="1"/>
    </xf>
    <xf numFmtId="0" fontId="19" fillId="23" borderId="36" xfId="0" applyFont="1" applyFill="1" applyBorder="1" applyAlignment="1">
      <alignment vertical="center" wrapText="1"/>
    </xf>
    <xf numFmtId="14" fontId="19" fillId="23" borderId="36" xfId="0" applyNumberFormat="1" applyFont="1" applyFill="1" applyBorder="1" applyAlignment="1">
      <alignment vertical="center" wrapText="1"/>
    </xf>
    <xf numFmtId="9" fontId="19" fillId="23" borderId="36" xfId="0" applyNumberFormat="1" applyFont="1" applyFill="1" applyBorder="1" applyAlignment="1">
      <alignment vertical="center" wrapText="1"/>
    </xf>
    <xf numFmtId="14" fontId="19" fillId="10" borderId="36" xfId="0" applyNumberFormat="1" applyFont="1" applyFill="1" applyBorder="1" applyAlignment="1">
      <alignment horizontal="center" vertical="center" wrapText="1"/>
    </xf>
    <xf numFmtId="14" fontId="19" fillId="10" borderId="37" xfId="0" applyNumberFormat="1" applyFont="1" applyFill="1" applyBorder="1" applyAlignment="1">
      <alignment horizontal="center" vertical="center" wrapText="1"/>
    </xf>
    <xf numFmtId="0" fontId="0" fillId="0" borderId="0" xfId="0" applyBorder="1"/>
    <xf numFmtId="14" fontId="20" fillId="10" borderId="38" xfId="0" applyNumberFormat="1" applyFont="1" applyFill="1" applyBorder="1" applyAlignment="1">
      <alignment horizontal="center" vertical="center" wrapText="1"/>
    </xf>
    <xf numFmtId="0" fontId="19" fillId="23" borderId="39" xfId="0" applyFont="1" applyFill="1" applyBorder="1" applyAlignment="1">
      <alignment vertical="center" wrapText="1"/>
    </xf>
    <xf numFmtId="14" fontId="19" fillId="10" borderId="38" xfId="0" applyNumberFormat="1" applyFont="1" applyFill="1" applyBorder="1" applyAlignment="1">
      <alignment horizontal="center" vertical="center" wrapText="1"/>
    </xf>
    <xf numFmtId="0" fontId="19" fillId="23" borderId="40" xfId="0" applyFont="1" applyFill="1" applyBorder="1" applyAlignment="1">
      <alignment vertical="center" wrapText="1"/>
    </xf>
    <xf numFmtId="0" fontId="19" fillId="23" borderId="41" xfId="0" applyFont="1" applyFill="1" applyBorder="1" applyAlignment="1">
      <alignment vertical="center" wrapText="1"/>
    </xf>
    <xf numFmtId="14" fontId="19" fillId="23" borderId="41" xfId="0" applyNumberFormat="1" applyFont="1" applyFill="1" applyBorder="1" applyAlignment="1">
      <alignment vertical="center" wrapText="1"/>
    </xf>
    <xf numFmtId="9" fontId="19" fillId="23" borderId="41" xfId="0" applyNumberFormat="1" applyFont="1" applyFill="1" applyBorder="1" applyAlignment="1">
      <alignment vertical="center" wrapText="1"/>
    </xf>
    <xf numFmtId="14" fontId="19" fillId="10" borderId="41" xfId="0" applyNumberFormat="1" applyFont="1" applyFill="1" applyBorder="1" applyAlignment="1">
      <alignment horizontal="center" vertical="center" wrapText="1"/>
    </xf>
    <xf numFmtId="14" fontId="19" fillId="10" borderId="42" xfId="0" applyNumberFormat="1" applyFont="1" applyFill="1" applyBorder="1" applyAlignment="1">
      <alignment horizontal="center" vertical="center" wrapText="1"/>
    </xf>
    <xf numFmtId="0" fontId="18" fillId="22" borderId="43" xfId="0" applyFont="1" applyFill="1" applyBorder="1" applyAlignment="1">
      <alignment vertical="center" wrapText="1"/>
    </xf>
    <xf numFmtId="0" fontId="18" fillId="22" borderId="44" xfId="0" applyFont="1" applyFill="1" applyBorder="1" applyAlignment="1">
      <alignment vertical="center" wrapText="1"/>
    </xf>
    <xf numFmtId="0" fontId="18" fillId="10" borderId="44" xfId="0" applyFont="1" applyFill="1" applyBorder="1" applyAlignment="1">
      <alignment horizontal="center" vertical="center" wrapText="1"/>
    </xf>
    <xf numFmtId="0" fontId="18" fillId="10" borderId="45" xfId="0" applyFont="1" applyFill="1" applyBorder="1" applyAlignment="1">
      <alignment horizontal="center" vertical="center" wrapText="1"/>
    </xf>
    <xf numFmtId="14" fontId="20" fillId="0" borderId="34" xfId="0" applyNumberFormat="1" applyFont="1" applyBorder="1" applyAlignment="1">
      <alignment vertical="center"/>
    </xf>
    <xf numFmtId="0" fontId="0" fillId="0" borderId="8" xfId="0" applyBorder="1" applyAlignment="1">
      <alignment horizontal="center"/>
    </xf>
    <xf numFmtId="1" fontId="0" fillId="0" borderId="9" xfId="0" applyNumberFormat="1" applyBorder="1" applyAlignment="1">
      <alignment horizontal="center"/>
    </xf>
    <xf numFmtId="0" fontId="0" fillId="0" borderId="10" xfId="0" applyBorder="1" applyAlignment="1">
      <alignment horizontal="center"/>
    </xf>
    <xf numFmtId="1" fontId="0" fillId="0" borderId="16" xfId="0" applyNumberFormat="1" applyBorder="1" applyAlignment="1">
      <alignment horizontal="center"/>
    </xf>
    <xf numFmtId="2" fontId="0" fillId="10" borderId="0" xfId="0" applyNumberFormat="1" applyFill="1" applyAlignment="1">
      <alignment horizontal="center"/>
    </xf>
    <xf numFmtId="0" fontId="18" fillId="22" borderId="46" xfId="0" applyFont="1" applyFill="1" applyBorder="1" applyAlignment="1">
      <alignment vertical="center" wrapText="1"/>
    </xf>
    <xf numFmtId="0" fontId="0" fillId="0" borderId="47" xfId="0" applyBorder="1" applyAlignment="1">
      <alignment vertical="center"/>
    </xf>
    <xf numFmtId="0" fontId="19" fillId="10" borderId="39" xfId="0" applyFont="1" applyFill="1" applyBorder="1" applyAlignment="1">
      <alignment vertical="center" wrapText="1"/>
    </xf>
    <xf numFmtId="9" fontId="19" fillId="10" borderId="34" xfId="0" applyNumberFormat="1" applyFont="1" applyFill="1" applyBorder="1" applyAlignment="1">
      <alignment vertical="center" wrapText="1"/>
    </xf>
    <xf numFmtId="14" fontId="19" fillId="10" borderId="41" xfId="0" applyNumberFormat="1" applyFont="1" applyFill="1" applyBorder="1" applyAlignment="1">
      <alignment vertical="center" wrapText="1"/>
    </xf>
    <xf numFmtId="0" fontId="18" fillId="22" borderId="35" xfId="0" applyFont="1" applyFill="1" applyBorder="1" applyAlignment="1">
      <alignment vertical="center" wrapText="1"/>
    </xf>
    <xf numFmtId="0" fontId="18" fillId="22" borderId="36" xfId="0" applyFont="1" applyFill="1" applyBorder="1" applyAlignment="1">
      <alignment vertical="center" wrapText="1"/>
    </xf>
    <xf numFmtId="9" fontId="7" fillId="11" borderId="2" xfId="0" applyNumberFormat="1" applyFont="1" applyFill="1" applyBorder="1" applyAlignment="1">
      <alignment horizontal="center" vertical="center"/>
    </xf>
    <xf numFmtId="0" fontId="7" fillId="6" borderId="48" xfId="0" applyFont="1" applyFill="1" applyBorder="1" applyAlignment="1">
      <alignment horizontal="center" vertical="center"/>
    </xf>
    <xf numFmtId="0" fontId="5" fillId="2" borderId="49" xfId="0" applyFont="1" applyFill="1" applyBorder="1" applyAlignment="1">
      <alignment horizontal="center" vertical="center" wrapText="1"/>
    </xf>
    <xf numFmtId="0" fontId="7" fillId="6" borderId="5" xfId="0" applyFont="1" applyFill="1" applyBorder="1" applyAlignment="1">
      <alignment vertical="center"/>
    </xf>
    <xf numFmtId="10" fontId="7" fillId="6" borderId="30" xfId="0" applyNumberFormat="1" applyFont="1" applyFill="1" applyBorder="1" applyAlignment="1">
      <alignment horizontal="center" vertical="center"/>
    </xf>
    <xf numFmtId="0" fontId="7" fillId="6" borderId="50" xfId="0" applyFont="1" applyFill="1" applyBorder="1" applyAlignment="1">
      <alignment vertical="center"/>
    </xf>
    <xf numFmtId="10" fontId="7" fillId="6" borderId="20" xfId="0" applyNumberFormat="1" applyFont="1" applyFill="1" applyBorder="1" applyAlignment="1">
      <alignment horizontal="center" vertical="center"/>
    </xf>
    <xf numFmtId="10" fontId="11" fillId="6" borderId="20" xfId="1" applyNumberFormat="1" applyFont="1" applyFill="1" applyBorder="1" applyAlignment="1">
      <alignment horizontal="center" vertical="center"/>
    </xf>
    <xf numFmtId="10" fontId="11" fillId="6" borderId="25" xfId="1" applyNumberFormat="1" applyFont="1" applyFill="1" applyBorder="1" applyAlignment="1">
      <alignment horizontal="center" vertical="center"/>
    </xf>
    <xf numFmtId="10" fontId="11" fillId="6" borderId="28" xfId="1" applyNumberFormat="1" applyFont="1" applyFill="1" applyBorder="1" applyAlignment="1">
      <alignment horizontal="center" vertical="center"/>
    </xf>
    <xf numFmtId="10" fontId="11" fillId="6" borderId="51" xfId="1" applyNumberFormat="1" applyFont="1" applyFill="1" applyBorder="1" applyAlignment="1">
      <alignment horizontal="center" vertical="center"/>
    </xf>
    <xf numFmtId="0" fontId="7" fillId="4" borderId="48" xfId="0" applyFont="1" applyFill="1" applyBorder="1" applyAlignment="1">
      <alignment horizontal="center" vertical="center"/>
    </xf>
    <xf numFmtId="0" fontId="7" fillId="4" borderId="5" xfId="0" applyFont="1" applyFill="1" applyBorder="1" applyAlignment="1">
      <alignment vertical="center"/>
    </xf>
    <xf numFmtId="10" fontId="7" fillId="11" borderId="30" xfId="0" applyNumberFormat="1" applyFont="1" applyFill="1" applyBorder="1" applyAlignment="1">
      <alignment horizontal="center" vertical="center"/>
    </xf>
    <xf numFmtId="10" fontId="7" fillId="4" borderId="30" xfId="0" applyNumberFormat="1" applyFont="1" applyFill="1" applyBorder="1" applyAlignment="1">
      <alignment horizontal="center" vertical="center"/>
    </xf>
    <xf numFmtId="0" fontId="7" fillId="4" borderId="24" xfId="0" applyFont="1" applyFill="1" applyBorder="1" applyAlignment="1">
      <alignment vertical="center"/>
    </xf>
    <xf numFmtId="0" fontId="7" fillId="4" borderId="50" xfId="0" applyFont="1" applyFill="1" applyBorder="1" applyAlignment="1">
      <alignment vertical="center"/>
    </xf>
    <xf numFmtId="10" fontId="7" fillId="11" borderId="20" xfId="0" applyNumberFormat="1" applyFont="1" applyFill="1" applyBorder="1" applyAlignment="1">
      <alignment horizontal="center" vertical="center"/>
    </xf>
    <xf numFmtId="10" fontId="7" fillId="4" borderId="20" xfId="0" applyNumberFormat="1" applyFont="1" applyFill="1" applyBorder="1" applyAlignment="1">
      <alignment horizontal="center" vertical="center"/>
    </xf>
    <xf numFmtId="0" fontId="7" fillId="12" borderId="48" xfId="0" applyFont="1" applyFill="1" applyBorder="1" applyAlignment="1">
      <alignment horizontal="center" vertical="center"/>
    </xf>
    <xf numFmtId="0" fontId="7" fillId="12" borderId="5" xfId="0" applyFont="1" applyFill="1" applyBorder="1" applyAlignment="1">
      <alignment vertical="center"/>
    </xf>
    <xf numFmtId="10" fontId="7" fillId="12" borderId="30" xfId="0" applyNumberFormat="1" applyFont="1" applyFill="1" applyBorder="1" applyAlignment="1">
      <alignment horizontal="center" vertical="center"/>
    </xf>
    <xf numFmtId="10" fontId="7" fillId="10" borderId="30" xfId="0" applyNumberFormat="1" applyFont="1" applyFill="1" applyBorder="1" applyAlignment="1">
      <alignment horizontal="center" vertical="center"/>
    </xf>
    <xf numFmtId="0" fontId="7" fillId="12" borderId="24" xfId="0" applyFont="1" applyFill="1" applyBorder="1" applyAlignment="1">
      <alignment vertical="center"/>
    </xf>
    <xf numFmtId="0" fontId="7" fillId="12" borderId="50" xfId="0" applyFont="1" applyFill="1" applyBorder="1" applyAlignment="1">
      <alignment vertical="center"/>
    </xf>
    <xf numFmtId="10" fontId="7" fillId="12" borderId="20" xfId="0" applyNumberFormat="1" applyFont="1" applyFill="1" applyBorder="1" applyAlignment="1">
      <alignment horizontal="center" vertical="center"/>
    </xf>
    <xf numFmtId="10" fontId="7" fillId="10" borderId="20" xfId="0" applyNumberFormat="1" applyFont="1" applyFill="1" applyBorder="1" applyAlignment="1">
      <alignment horizontal="center" vertical="center"/>
    </xf>
    <xf numFmtId="10" fontId="0" fillId="12" borderId="10" xfId="1" applyNumberFormat="1" applyFont="1" applyFill="1" applyBorder="1" applyAlignment="1">
      <alignment horizontal="center"/>
    </xf>
    <xf numFmtId="10" fontId="0" fillId="12" borderId="11" xfId="1" applyNumberFormat="1" applyFont="1" applyFill="1" applyBorder="1" applyAlignment="1">
      <alignment horizontal="center"/>
    </xf>
    <xf numFmtId="10" fontId="0" fillId="12" borderId="16" xfId="1" applyNumberFormat="1" applyFont="1" applyFill="1" applyBorder="1" applyAlignment="1">
      <alignment horizontal="center"/>
    </xf>
    <xf numFmtId="0" fontId="7" fillId="10" borderId="48" xfId="0" applyFont="1" applyFill="1" applyBorder="1" applyAlignment="1">
      <alignment horizontal="center" vertical="center"/>
    </xf>
    <xf numFmtId="0" fontId="7" fillId="10" borderId="5" xfId="0" applyFont="1" applyFill="1" applyBorder="1" applyAlignment="1">
      <alignment vertical="center"/>
    </xf>
    <xf numFmtId="10" fontId="0" fillId="10" borderId="13" xfId="1" applyNumberFormat="1" applyFont="1" applyFill="1" applyBorder="1" applyAlignment="1">
      <alignment horizontal="center"/>
    </xf>
    <xf numFmtId="0" fontId="7" fillId="10" borderId="24" xfId="0" applyFont="1" applyFill="1" applyBorder="1" applyAlignment="1">
      <alignment vertical="center"/>
    </xf>
    <xf numFmtId="0" fontId="7" fillId="10" borderId="50" xfId="0" applyFont="1" applyFill="1" applyBorder="1" applyAlignment="1">
      <alignment vertical="center"/>
    </xf>
    <xf numFmtId="10" fontId="0" fillId="10" borderId="10" xfId="1" applyNumberFormat="1" applyFont="1" applyFill="1" applyBorder="1" applyAlignment="1">
      <alignment horizontal="center"/>
    </xf>
    <xf numFmtId="0" fontId="7" fillId="13" borderId="48" xfId="0" applyFont="1" applyFill="1" applyBorder="1" applyAlignment="1">
      <alignment horizontal="center" vertical="center"/>
    </xf>
    <xf numFmtId="10" fontId="0" fillId="12" borderId="13" xfId="1" applyNumberFormat="1" applyFont="1" applyFill="1" applyBorder="1" applyAlignment="1">
      <alignment horizontal="center"/>
    </xf>
    <xf numFmtId="0" fontId="7" fillId="13" borderId="24" xfId="0" applyFont="1" applyFill="1" applyBorder="1" applyAlignment="1">
      <alignment vertical="center"/>
    </xf>
    <xf numFmtId="0" fontId="7" fillId="13" borderId="50" xfId="0" applyFont="1" applyFill="1" applyBorder="1" applyAlignment="1">
      <alignment vertical="center"/>
    </xf>
    <xf numFmtId="10" fontId="7" fillId="13" borderId="20" xfId="0" applyNumberFormat="1" applyFont="1" applyFill="1" applyBorder="1" applyAlignment="1">
      <alignment horizontal="center" vertical="center"/>
    </xf>
    <xf numFmtId="0" fontId="7" fillId="11" borderId="48" xfId="0" applyFont="1" applyFill="1" applyBorder="1" applyAlignment="1">
      <alignment horizontal="center" vertical="center"/>
    </xf>
    <xf numFmtId="0" fontId="7" fillId="11" borderId="5" xfId="0" applyFont="1" applyFill="1" applyBorder="1" applyAlignment="1">
      <alignment vertical="center"/>
    </xf>
    <xf numFmtId="10" fontId="9" fillId="11" borderId="14" xfId="1" applyNumberFormat="1" applyFont="1" applyFill="1" applyBorder="1" applyAlignment="1">
      <alignment horizontal="center" vertical="center"/>
    </xf>
    <xf numFmtId="10" fontId="9" fillId="11" borderId="15" xfId="1" applyNumberFormat="1" applyFont="1" applyFill="1" applyBorder="1" applyAlignment="1">
      <alignment horizontal="center" vertical="center"/>
    </xf>
    <xf numFmtId="0" fontId="7" fillId="11" borderId="24" xfId="0" applyFont="1" applyFill="1" applyBorder="1" applyAlignment="1">
      <alignment vertical="center"/>
    </xf>
    <xf numFmtId="0" fontId="7" fillId="11" borderId="50" xfId="0" applyFont="1" applyFill="1" applyBorder="1" applyAlignment="1">
      <alignment vertical="center"/>
    </xf>
    <xf numFmtId="10" fontId="9" fillId="11" borderId="11" xfId="1" applyNumberFormat="1" applyFont="1" applyFill="1" applyBorder="1" applyAlignment="1">
      <alignment horizontal="center" vertical="center"/>
    </xf>
    <xf numFmtId="10" fontId="9" fillId="11" borderId="16" xfId="1" applyNumberFormat="1" applyFont="1" applyFill="1" applyBorder="1" applyAlignment="1">
      <alignment horizontal="center" vertical="center"/>
    </xf>
    <xf numFmtId="0" fontId="8" fillId="6" borderId="5" xfId="0" applyFont="1" applyFill="1" applyBorder="1" applyAlignment="1">
      <alignment vertical="center"/>
    </xf>
    <xf numFmtId="9" fontId="8" fillId="6" borderId="30" xfId="0" applyNumberFormat="1" applyFont="1" applyFill="1" applyBorder="1" applyAlignment="1">
      <alignment horizontal="center" vertical="center"/>
    </xf>
    <xf numFmtId="10" fontId="8" fillId="6" borderId="30" xfId="0" applyNumberFormat="1" applyFont="1" applyFill="1" applyBorder="1" applyAlignment="1">
      <alignment horizontal="center" vertical="center"/>
    </xf>
    <xf numFmtId="9" fontId="8" fillId="6" borderId="20" xfId="0" applyNumberFormat="1" applyFont="1" applyFill="1" applyBorder="1" applyAlignment="1">
      <alignment horizontal="center" vertical="center"/>
    </xf>
    <xf numFmtId="0" fontId="8" fillId="6" borderId="18" xfId="0" applyFont="1" applyFill="1" applyBorder="1" applyAlignment="1">
      <alignment vertical="center"/>
    </xf>
    <xf numFmtId="0" fontId="7" fillId="11" borderId="5" xfId="0" applyFont="1" applyFill="1" applyBorder="1" applyAlignment="1">
      <alignment horizontal="center" vertical="center"/>
    </xf>
    <xf numFmtId="0" fontId="7" fillId="11" borderId="6" xfId="0" applyFont="1" applyFill="1" applyBorder="1" applyAlignment="1">
      <alignment vertical="center"/>
    </xf>
    <xf numFmtId="9" fontId="7" fillId="11" borderId="30" xfId="0" applyNumberFormat="1" applyFont="1" applyFill="1" applyBorder="1" applyAlignment="1">
      <alignment horizontal="center" vertical="center"/>
    </xf>
    <xf numFmtId="0" fontId="7" fillId="11" borderId="50" xfId="0" applyFont="1" applyFill="1" applyBorder="1" applyAlignment="1">
      <alignment horizontal="center" vertical="center"/>
    </xf>
    <xf numFmtId="0" fontId="7" fillId="11" borderId="20" xfId="0" applyFont="1" applyFill="1" applyBorder="1" applyAlignment="1">
      <alignment vertical="center"/>
    </xf>
    <xf numFmtId="9" fontId="7" fillId="11" borderId="20" xfId="0" applyNumberFormat="1" applyFont="1" applyFill="1" applyBorder="1" applyAlignment="1">
      <alignment horizontal="center" vertical="center"/>
    </xf>
    <xf numFmtId="0" fontId="7" fillId="4" borderId="5" xfId="0" applyFont="1" applyFill="1" applyBorder="1" applyAlignment="1">
      <alignment horizontal="center" vertical="center"/>
    </xf>
    <xf numFmtId="0" fontId="7" fillId="4" borderId="6" xfId="0" applyFont="1" applyFill="1" applyBorder="1" applyAlignment="1">
      <alignment vertical="center"/>
    </xf>
    <xf numFmtId="0" fontId="7" fillId="4" borderId="50" xfId="0" applyFont="1" applyFill="1" applyBorder="1" applyAlignment="1">
      <alignment horizontal="center" vertical="center"/>
    </xf>
    <xf numFmtId="0" fontId="7" fillId="4" borderId="20" xfId="0" applyFont="1" applyFill="1" applyBorder="1" applyAlignment="1">
      <alignment vertical="center"/>
    </xf>
    <xf numFmtId="0" fontId="7" fillId="12" borderId="5" xfId="0" applyFont="1" applyFill="1" applyBorder="1" applyAlignment="1">
      <alignment horizontal="center" vertical="center"/>
    </xf>
    <xf numFmtId="0" fontId="7" fillId="12" borderId="6" xfId="0" applyFont="1" applyFill="1" applyBorder="1" applyAlignment="1">
      <alignment vertical="center"/>
    </xf>
    <xf numFmtId="0" fontId="7" fillId="12" borderId="50" xfId="0" applyFont="1" applyFill="1" applyBorder="1" applyAlignment="1">
      <alignment horizontal="center" vertical="center"/>
    </xf>
    <xf numFmtId="0" fontId="7" fillId="12" borderId="20" xfId="0" applyFont="1" applyFill="1" applyBorder="1" applyAlignment="1">
      <alignment vertical="center"/>
    </xf>
    <xf numFmtId="0" fontId="7" fillId="10" borderId="5" xfId="0" applyFont="1" applyFill="1" applyBorder="1" applyAlignment="1">
      <alignment horizontal="center" vertical="center"/>
    </xf>
    <xf numFmtId="0" fontId="7" fillId="10" borderId="6" xfId="0" applyFont="1" applyFill="1" applyBorder="1" applyAlignment="1">
      <alignment vertical="center"/>
    </xf>
    <xf numFmtId="0" fontId="7" fillId="10" borderId="50" xfId="0" applyFont="1" applyFill="1" applyBorder="1" applyAlignment="1">
      <alignment horizontal="center" vertical="center"/>
    </xf>
    <xf numFmtId="0" fontId="7" fillId="10" borderId="20" xfId="0" applyFont="1" applyFill="1" applyBorder="1" applyAlignment="1">
      <alignment vertical="center"/>
    </xf>
    <xf numFmtId="10" fontId="0" fillId="10" borderId="11" xfId="1" applyNumberFormat="1" applyFont="1" applyFill="1" applyBorder="1" applyAlignment="1">
      <alignment horizontal="center"/>
    </xf>
    <xf numFmtId="10" fontId="0" fillId="10" borderId="16" xfId="1" applyNumberFormat="1" applyFont="1" applyFill="1" applyBorder="1" applyAlignment="1">
      <alignment horizontal="center"/>
    </xf>
    <xf numFmtId="0" fontId="7" fillId="13" borderId="50" xfId="0" applyFont="1" applyFill="1" applyBorder="1" applyAlignment="1">
      <alignment horizontal="center" vertical="center"/>
    </xf>
    <xf numFmtId="0" fontId="7" fillId="13" borderId="20" xfId="0" applyFont="1" applyFill="1" applyBorder="1" applyAlignment="1">
      <alignment vertical="center"/>
    </xf>
    <xf numFmtId="0" fontId="0" fillId="6" borderId="13" xfId="0" applyFill="1" applyBorder="1" applyAlignment="1">
      <alignment horizontal="center"/>
    </xf>
    <xf numFmtId="0" fontId="8" fillId="6" borderId="6" xfId="0" applyFont="1" applyFill="1" applyBorder="1" applyAlignment="1">
      <alignment vertical="center"/>
    </xf>
    <xf numFmtId="0" fontId="3" fillId="6" borderId="10" xfId="0" applyFont="1" applyFill="1" applyBorder="1" applyAlignment="1">
      <alignment horizontal="center"/>
    </xf>
    <xf numFmtId="0" fontId="8" fillId="6" borderId="20" xfId="0" applyFont="1" applyFill="1" applyBorder="1" applyAlignment="1">
      <alignment vertical="center"/>
    </xf>
    <xf numFmtId="0" fontId="3" fillId="0" borderId="13" xfId="0" applyFont="1" applyBorder="1" applyAlignment="1">
      <alignment horizontal="center"/>
    </xf>
    <xf numFmtId="0" fontId="10" fillId="0" borderId="6" xfId="0" applyFont="1" applyBorder="1" applyAlignment="1">
      <alignment vertical="center"/>
    </xf>
    <xf numFmtId="0" fontId="10" fillId="0" borderId="30" xfId="0" applyFont="1" applyBorder="1" applyAlignment="1">
      <alignment vertical="center"/>
    </xf>
    <xf numFmtId="10" fontId="7" fillId="0" borderId="30" xfId="0" applyNumberFormat="1" applyFont="1" applyBorder="1" applyAlignment="1">
      <alignment horizontal="center" vertical="center"/>
    </xf>
    <xf numFmtId="17" fontId="5" fillId="2" borderId="6" xfId="0" applyNumberFormat="1" applyFont="1" applyFill="1" applyBorder="1" applyAlignment="1">
      <alignment horizontal="center" vertical="center" wrapText="1"/>
    </xf>
    <xf numFmtId="17" fontId="5" fillId="14" borderId="6" xfId="0" applyNumberFormat="1" applyFont="1" applyFill="1" applyBorder="1" applyAlignment="1">
      <alignment horizontal="center" vertical="center" wrapText="1"/>
    </xf>
    <xf numFmtId="17" fontId="5" fillId="2" borderId="7" xfId="0" applyNumberFormat="1" applyFont="1" applyFill="1" applyBorder="1" applyAlignment="1">
      <alignment horizontal="center" vertical="center" wrapText="1"/>
    </xf>
    <xf numFmtId="9" fontId="8" fillId="6" borderId="17" xfId="0" applyNumberFormat="1" applyFont="1" applyFill="1" applyBorder="1" applyAlignment="1">
      <alignment horizontal="center" vertical="center"/>
    </xf>
    <xf numFmtId="9" fontId="8" fillId="21" borderId="17" xfId="0" applyNumberFormat="1" applyFont="1" applyFill="1" applyBorder="1" applyAlignment="1">
      <alignment horizontal="center" vertical="center"/>
    </xf>
    <xf numFmtId="10" fontId="0" fillId="4" borderId="8" xfId="1" applyNumberFormat="1" applyFont="1" applyFill="1" applyBorder="1" applyAlignment="1">
      <alignment horizontal="center"/>
    </xf>
    <xf numFmtId="10" fontId="0" fillId="4" borderId="0" xfId="1" applyNumberFormat="1" applyFont="1" applyFill="1" applyBorder="1" applyAlignment="1">
      <alignment horizontal="center"/>
    </xf>
    <xf numFmtId="10" fontId="0" fillId="4" borderId="9" xfId="1" applyNumberFormat="1" applyFont="1" applyFill="1" applyBorder="1" applyAlignment="1">
      <alignment horizontal="center"/>
    </xf>
    <xf numFmtId="10" fontId="0" fillId="6" borderId="13" xfId="1" applyNumberFormat="1" applyFont="1" applyFill="1" applyBorder="1" applyAlignment="1">
      <alignment horizontal="center"/>
    </xf>
    <xf numFmtId="10" fontId="0" fillId="6" borderId="14" xfId="1" applyNumberFormat="1" applyFont="1" applyFill="1" applyBorder="1" applyAlignment="1">
      <alignment horizontal="center"/>
    </xf>
    <xf numFmtId="10" fontId="0" fillId="6" borderId="10" xfId="0" applyNumberFormat="1" applyFill="1" applyBorder="1"/>
    <xf numFmtId="10" fontId="0" fillId="6" borderId="11" xfId="0" applyNumberFormat="1" applyFill="1" applyBorder="1"/>
    <xf numFmtId="10" fontId="0" fillId="4" borderId="13" xfId="1" applyNumberFormat="1" applyFont="1" applyFill="1" applyBorder="1" applyAlignment="1">
      <alignment horizontal="center"/>
    </xf>
    <xf numFmtId="10" fontId="0" fillId="4" borderId="14" xfId="1" applyNumberFormat="1" applyFont="1" applyFill="1" applyBorder="1" applyAlignment="1">
      <alignment horizontal="center"/>
    </xf>
    <xf numFmtId="10" fontId="0" fillId="4" borderId="15" xfId="1" applyNumberFormat="1" applyFont="1" applyFill="1" applyBorder="1" applyAlignment="1">
      <alignment horizontal="center"/>
    </xf>
    <xf numFmtId="10" fontId="0" fillId="4" borderId="10" xfId="1" applyNumberFormat="1" applyFont="1" applyFill="1" applyBorder="1" applyAlignment="1">
      <alignment horizontal="center"/>
    </xf>
    <xf numFmtId="10" fontId="0" fillId="4" borderId="11" xfId="1" applyNumberFormat="1" applyFont="1" applyFill="1" applyBorder="1" applyAlignment="1">
      <alignment horizontal="center"/>
    </xf>
    <xf numFmtId="10" fontId="0" fillId="4" borderId="16" xfId="1" applyNumberFormat="1" applyFont="1" applyFill="1" applyBorder="1" applyAlignment="1">
      <alignment horizontal="center"/>
    </xf>
    <xf numFmtId="10" fontId="0" fillId="12" borderId="14" xfId="1" applyNumberFormat="1" applyFont="1" applyFill="1" applyBorder="1" applyAlignment="1">
      <alignment horizontal="center"/>
    </xf>
    <xf numFmtId="10" fontId="0" fillId="12" borderId="15" xfId="1" applyNumberFormat="1" applyFont="1" applyFill="1" applyBorder="1" applyAlignment="1">
      <alignment horizontal="center"/>
    </xf>
    <xf numFmtId="10" fontId="0" fillId="4" borderId="8" xfId="0" applyNumberFormat="1" applyFill="1" applyBorder="1"/>
    <xf numFmtId="10" fontId="0" fillId="4" borderId="0" xfId="0" applyNumberFormat="1" applyFill="1" applyBorder="1"/>
    <xf numFmtId="10" fontId="0" fillId="4" borderId="9" xfId="0" applyNumberFormat="1" applyFill="1" applyBorder="1"/>
    <xf numFmtId="10" fontId="0" fillId="4" borderId="10" xfId="0" applyNumberFormat="1" applyFill="1" applyBorder="1"/>
    <xf numFmtId="10" fontId="0" fillId="4" borderId="11" xfId="0" applyNumberFormat="1" applyFill="1" applyBorder="1"/>
    <xf numFmtId="10" fontId="0" fillId="4" borderId="16" xfId="0" applyNumberFormat="1" applyFill="1" applyBorder="1"/>
    <xf numFmtId="10" fontId="0" fillId="11" borderId="13" xfId="0" applyNumberFormat="1" applyFill="1" applyBorder="1"/>
    <xf numFmtId="10" fontId="0" fillId="11" borderId="14" xfId="0" applyNumberFormat="1" applyFill="1" applyBorder="1"/>
    <xf numFmtId="10" fontId="0" fillId="11" borderId="8" xfId="0" applyNumberFormat="1" applyFill="1" applyBorder="1"/>
    <xf numFmtId="10" fontId="0" fillId="11" borderId="0" xfId="0" applyNumberFormat="1" applyFill="1" applyBorder="1"/>
    <xf numFmtId="10" fontId="0" fillId="11" borderId="10" xfId="0" applyNumberFormat="1" applyFill="1" applyBorder="1"/>
    <xf numFmtId="10" fontId="0" fillId="11" borderId="11" xfId="0" applyNumberFormat="1" applyFill="1" applyBorder="1"/>
    <xf numFmtId="10" fontId="8" fillId="6" borderId="29" xfId="0" applyNumberFormat="1" applyFont="1" applyFill="1" applyBorder="1" applyAlignment="1">
      <alignment horizontal="center" vertical="center"/>
    </xf>
    <xf numFmtId="10" fontId="8" fillId="6" borderId="18" xfId="0" applyNumberFormat="1" applyFont="1" applyFill="1" applyBorder="1" applyAlignment="1">
      <alignment horizontal="center" vertical="center"/>
    </xf>
    <xf numFmtId="10" fontId="8" fillId="6" borderId="2" xfId="0" applyNumberFormat="1" applyFont="1" applyFill="1" applyBorder="1" applyAlignment="1">
      <alignment horizontal="center" vertical="center"/>
    </xf>
    <xf numFmtId="10" fontId="0" fillId="11" borderId="14" xfId="1" applyNumberFormat="1" applyFont="1" applyFill="1" applyBorder="1" applyAlignment="1">
      <alignment horizontal="center"/>
    </xf>
    <xf numFmtId="10" fontId="0" fillId="11" borderId="15" xfId="1" applyNumberFormat="1" applyFont="1" applyFill="1" applyBorder="1" applyAlignment="1">
      <alignment horizontal="center"/>
    </xf>
    <xf numFmtId="10" fontId="0" fillId="11" borderId="11" xfId="1" applyNumberFormat="1" applyFont="1" applyFill="1" applyBorder="1" applyAlignment="1">
      <alignment horizontal="center"/>
    </xf>
    <xf numFmtId="10" fontId="0" fillId="11" borderId="16" xfId="1" applyNumberFormat="1" applyFont="1" applyFill="1" applyBorder="1" applyAlignment="1">
      <alignment horizontal="center"/>
    </xf>
    <xf numFmtId="10" fontId="8" fillId="6" borderId="50" xfId="0" applyNumberFormat="1" applyFont="1" applyFill="1" applyBorder="1" applyAlignment="1">
      <alignment horizontal="center" vertical="center"/>
    </xf>
    <xf numFmtId="10" fontId="8" fillId="6" borderId="20" xfId="0" applyNumberFormat="1" applyFont="1" applyFill="1" applyBorder="1" applyAlignment="1">
      <alignment horizontal="center" vertical="center"/>
    </xf>
    <xf numFmtId="10" fontId="7" fillId="0" borderId="13" xfId="0" applyNumberFormat="1" applyFont="1" applyBorder="1" applyAlignment="1">
      <alignment horizontal="center" vertical="center"/>
    </xf>
    <xf numFmtId="10" fontId="7" fillId="0" borderId="14" xfId="0" applyNumberFormat="1" applyFont="1" applyBorder="1" applyAlignment="1">
      <alignment horizontal="center" vertical="center"/>
    </xf>
    <xf numFmtId="10" fontId="10" fillId="0" borderId="6" xfId="0" applyNumberFormat="1" applyFont="1" applyBorder="1"/>
    <xf numFmtId="10" fontId="10" fillId="0" borderId="53" xfId="0" applyNumberFormat="1" applyFont="1" applyBorder="1"/>
    <xf numFmtId="10" fontId="10" fillId="0" borderId="54" xfId="0" applyNumberFormat="1" applyFont="1" applyBorder="1"/>
    <xf numFmtId="10" fontId="10" fillId="0" borderId="23" xfId="0" applyNumberFormat="1" applyFont="1" applyBorder="1"/>
    <xf numFmtId="10" fontId="7" fillId="0" borderId="8" xfId="0" applyNumberFormat="1" applyFont="1" applyBorder="1" applyAlignment="1">
      <alignment horizontal="center" vertical="center"/>
    </xf>
    <xf numFmtId="10" fontId="7" fillId="0" borderId="0" xfId="0" applyNumberFormat="1" applyFont="1" applyBorder="1" applyAlignment="1">
      <alignment horizontal="center" vertical="center"/>
    </xf>
    <xf numFmtId="10" fontId="10" fillId="0" borderId="4" xfId="0" applyNumberFormat="1" applyFont="1" applyBorder="1"/>
    <xf numFmtId="10" fontId="10" fillId="0" borderId="27" xfId="0" applyNumberFormat="1" applyFont="1" applyBorder="1"/>
    <xf numFmtId="10" fontId="10" fillId="0" borderId="26" xfId="0" applyNumberFormat="1" applyFont="1" applyBorder="1"/>
    <xf numFmtId="10" fontId="7" fillId="0" borderId="10" xfId="0" applyNumberFormat="1" applyFont="1" applyBorder="1" applyAlignment="1">
      <alignment horizontal="center" vertical="center"/>
    </xf>
    <xf numFmtId="10" fontId="7" fillId="0" borderId="11" xfId="0" applyNumberFormat="1" applyFont="1" applyBorder="1" applyAlignment="1">
      <alignment horizontal="center" vertical="center"/>
    </xf>
    <xf numFmtId="10" fontId="10" fillId="0" borderId="20" xfId="0" applyNumberFormat="1" applyFont="1" applyBorder="1"/>
    <xf numFmtId="10" fontId="10" fillId="0" borderId="25" xfId="0" applyNumberFormat="1" applyFont="1" applyBorder="1"/>
    <xf numFmtId="10" fontId="10" fillId="0" borderId="28" xfId="0" applyNumberFormat="1" applyFont="1" applyBorder="1"/>
    <xf numFmtId="10" fontId="10" fillId="0" borderId="11" xfId="0" applyNumberFormat="1" applyFont="1" applyBorder="1"/>
    <xf numFmtId="10" fontId="10" fillId="0" borderId="16" xfId="0" applyNumberFormat="1" applyFont="1" applyBorder="1"/>
    <xf numFmtId="9" fontId="8" fillId="21" borderId="17" xfId="1" applyNumberFormat="1" applyFont="1" applyFill="1" applyBorder="1" applyAlignment="1">
      <alignment horizontal="center" vertical="center"/>
    </xf>
    <xf numFmtId="0" fontId="0" fillId="0" borderId="0" xfId="0" applyFill="1" applyBorder="1"/>
    <xf numFmtId="0" fontId="3" fillId="7" borderId="14" xfId="0" applyFont="1" applyFill="1" applyBorder="1"/>
    <xf numFmtId="0" fontId="3" fillId="8" borderId="0" xfId="0" applyFont="1" applyFill="1" applyBorder="1"/>
    <xf numFmtId="0" fontId="3" fillId="0" borderId="0" xfId="0" applyFont="1" applyBorder="1"/>
    <xf numFmtId="0" fontId="3" fillId="7" borderId="0" xfId="0" applyFont="1" applyFill="1" applyBorder="1"/>
    <xf numFmtId="0" fontId="3" fillId="0" borderId="11" xfId="0" applyFont="1" applyBorder="1"/>
    <xf numFmtId="0" fontId="5" fillId="2" borderId="55" xfId="0" applyFont="1" applyFill="1" applyBorder="1" applyAlignment="1">
      <alignment horizontal="center" vertical="center" wrapText="1"/>
    </xf>
    <xf numFmtId="17" fontId="6" fillId="2" borderId="56" xfId="0" applyNumberFormat="1"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xf>
    <xf numFmtId="0" fontId="4" fillId="6" borderId="0" xfId="0" applyFont="1" applyFill="1"/>
    <xf numFmtId="1" fontId="4" fillId="0" borderId="0" xfId="0" applyNumberFormat="1" applyFont="1" applyAlignment="1">
      <alignment horizontal="center" vertical="center"/>
    </xf>
    <xf numFmtId="1" fontId="4" fillId="0" borderId="0" xfId="0" applyNumberFormat="1" applyFont="1" applyAlignment="1">
      <alignment vertical="center"/>
    </xf>
    <xf numFmtId="0" fontId="0" fillId="0" borderId="1" xfId="0" applyFill="1" applyBorder="1" applyAlignment="1">
      <alignment vertical="center"/>
    </xf>
    <xf numFmtId="1" fontId="0" fillId="0" borderId="1" xfId="0" applyNumberFormat="1" applyFill="1" applyBorder="1" applyAlignment="1">
      <alignment vertical="center"/>
    </xf>
    <xf numFmtId="168" fontId="3"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1" fontId="0" fillId="0" borderId="1" xfId="0" applyNumberFormat="1" applyFill="1" applyBorder="1" applyAlignment="1">
      <alignment horizontal="center" vertical="center"/>
    </xf>
    <xf numFmtId="10" fontId="7" fillId="4" borderId="13" xfId="0" applyNumberFormat="1" applyFont="1" applyFill="1" applyBorder="1" applyAlignment="1">
      <alignment horizontal="center" vertical="center"/>
    </xf>
    <xf numFmtId="10" fontId="7" fillId="4" borderId="14" xfId="0" applyNumberFormat="1" applyFont="1" applyFill="1" applyBorder="1" applyAlignment="1">
      <alignment horizontal="center" vertical="center"/>
    </xf>
    <xf numFmtId="10" fontId="11" fillId="11" borderId="30" xfId="1" applyNumberFormat="1" applyFont="1" applyFill="1" applyBorder="1" applyAlignment="1">
      <alignment horizontal="center" vertical="center"/>
    </xf>
    <xf numFmtId="10" fontId="11" fillId="11" borderId="29" xfId="1" applyNumberFormat="1" applyFont="1" applyFill="1" applyBorder="1" applyAlignment="1">
      <alignment horizontal="center" vertical="center"/>
    </xf>
    <xf numFmtId="0" fontId="0" fillId="0" borderId="0" xfId="0"/>
    <xf numFmtId="10" fontId="11" fillId="0" borderId="2" xfId="1" applyNumberFormat="1" applyFont="1" applyBorder="1" applyAlignment="1">
      <alignment horizontal="center" vertical="center"/>
    </xf>
    <xf numFmtId="1" fontId="0" fillId="0" borderId="0" xfId="0" applyNumberFormat="1"/>
    <xf numFmtId="10" fontId="11" fillId="11" borderId="2" xfId="1" applyNumberFormat="1" applyFont="1" applyFill="1" applyBorder="1" applyAlignment="1">
      <alignment horizontal="center" vertical="center"/>
    </xf>
    <xf numFmtId="10" fontId="11" fillId="11" borderId="1" xfId="1" applyNumberFormat="1" applyFont="1" applyFill="1" applyBorder="1"/>
    <xf numFmtId="10" fontId="12" fillId="11" borderId="50" xfId="1" applyNumberFormat="1" applyFont="1" applyFill="1" applyBorder="1" applyAlignment="1">
      <alignment horizontal="center" vertical="center"/>
    </xf>
    <xf numFmtId="10" fontId="12" fillId="11" borderId="20" xfId="1" applyNumberFormat="1" applyFont="1" applyFill="1" applyBorder="1" applyAlignment="1">
      <alignment horizontal="center" vertical="center"/>
    </xf>
    <xf numFmtId="10" fontId="12" fillId="11" borderId="2" xfId="1" applyNumberFormat="1" applyFont="1" applyFill="1" applyBorder="1" applyAlignment="1">
      <alignment horizontal="center" vertical="center"/>
    </xf>
    <xf numFmtId="10" fontId="12" fillId="11" borderId="1" xfId="1" applyNumberFormat="1" applyFont="1" applyFill="1" applyBorder="1"/>
    <xf numFmtId="1" fontId="0" fillId="0" borderId="0" xfId="0" applyNumberFormat="1" applyAlignment="1">
      <alignment horizontal="center"/>
    </xf>
    <xf numFmtId="0" fontId="22" fillId="4" borderId="13" xfId="0" applyFont="1" applyFill="1" applyBorder="1" applyAlignment="1">
      <alignment horizontal="center"/>
    </xf>
    <xf numFmtId="15" fontId="0" fillId="4" borderId="15" xfId="0" applyNumberFormat="1" applyFill="1" applyBorder="1" applyAlignment="1">
      <alignment horizontal="center"/>
    </xf>
    <xf numFmtId="0" fontId="22" fillId="0" borderId="8" xfId="0" applyFont="1" applyBorder="1" applyAlignment="1">
      <alignment horizontal="center"/>
    </xf>
    <xf numFmtId="15" fontId="0" fillId="0" borderId="9" xfId="0" applyNumberFormat="1" applyBorder="1" applyAlignment="1">
      <alignment horizontal="center"/>
    </xf>
    <xf numFmtId="0" fontId="22" fillId="10" borderId="8" xfId="0" applyFont="1" applyFill="1" applyBorder="1" applyAlignment="1">
      <alignment horizontal="center"/>
    </xf>
    <xf numFmtId="15" fontId="0" fillId="10" borderId="9" xfId="0" applyNumberFormat="1" applyFill="1" applyBorder="1" applyAlignment="1">
      <alignment horizontal="center"/>
    </xf>
    <xf numFmtId="0" fontId="22" fillId="4" borderId="8" xfId="0" applyFont="1" applyFill="1" applyBorder="1" applyAlignment="1">
      <alignment horizontal="center"/>
    </xf>
    <xf numFmtId="15" fontId="0" fillId="4" borderId="9" xfId="0" applyNumberFormat="1" applyFill="1" applyBorder="1" applyAlignment="1">
      <alignment horizontal="center"/>
    </xf>
    <xf numFmtId="0" fontId="22" fillId="13" borderId="8" xfId="0" applyFont="1" applyFill="1" applyBorder="1" applyAlignment="1">
      <alignment horizontal="center"/>
    </xf>
    <xf numFmtId="15" fontId="0" fillId="13" borderId="9" xfId="0" applyNumberFormat="1" applyFill="1" applyBorder="1" applyAlignment="1">
      <alignment horizontal="center"/>
    </xf>
    <xf numFmtId="0" fontId="22" fillId="4" borderId="10" xfId="0" applyFont="1" applyFill="1" applyBorder="1" applyAlignment="1">
      <alignment horizontal="center"/>
    </xf>
    <xf numFmtId="15" fontId="0" fillId="4" borderId="16" xfId="0" applyNumberFormat="1" applyFill="1" applyBorder="1" applyAlignment="1">
      <alignment horizontal="center"/>
    </xf>
    <xf numFmtId="14" fontId="19" fillId="4" borderId="14" xfId="0" applyNumberFormat="1" applyFont="1" applyFill="1" applyBorder="1" applyAlignment="1">
      <alignment vertical="center" wrapText="1"/>
    </xf>
    <xf numFmtId="0" fontId="0" fillId="4" borderId="15" xfId="0" applyFill="1" applyBorder="1" applyAlignment="1">
      <alignment horizontal="center"/>
    </xf>
    <xf numFmtId="14" fontId="19" fillId="23" borderId="0" xfId="0" applyNumberFormat="1" applyFont="1" applyFill="1" applyBorder="1" applyAlignment="1">
      <alignment vertical="center" wrapText="1"/>
    </xf>
    <xf numFmtId="0" fontId="0" fillId="0" borderId="9"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14" fontId="0" fillId="0" borderId="0" xfId="0" applyNumberFormat="1"/>
    <xf numFmtId="0" fontId="23" fillId="25" borderId="59" xfId="0" applyFont="1" applyFill="1" applyBorder="1" applyAlignment="1">
      <alignment horizontal="center" vertical="center" wrapText="1" readingOrder="1"/>
    </xf>
    <xf numFmtId="0" fontId="24" fillId="23" borderId="59" xfId="0" applyFont="1" applyFill="1" applyBorder="1" applyAlignment="1">
      <alignment horizontal="center" vertical="center" wrapText="1" readingOrder="1"/>
    </xf>
    <xf numFmtId="0" fontId="24" fillId="23" borderId="59" xfId="0" applyFont="1" applyFill="1" applyBorder="1" applyAlignment="1">
      <alignment horizontal="left" vertical="center" wrapText="1" readingOrder="1"/>
    </xf>
    <xf numFmtId="1" fontId="24" fillId="23" borderId="59" xfId="0" applyNumberFormat="1" applyFont="1" applyFill="1" applyBorder="1" applyAlignment="1">
      <alignment horizontal="center" vertical="center" wrapText="1" readingOrder="1"/>
    </xf>
    <xf numFmtId="0" fontId="25" fillId="23" borderId="59" xfId="0" applyFont="1" applyFill="1" applyBorder="1" applyAlignment="1">
      <alignment horizontal="center" vertical="center" wrapText="1" readingOrder="1"/>
    </xf>
    <xf numFmtId="2" fontId="24" fillId="23" borderId="59" xfId="0" applyNumberFormat="1" applyFont="1" applyFill="1" applyBorder="1" applyAlignment="1">
      <alignment horizontal="center" vertical="center" wrapText="1" readingOrder="1"/>
    </xf>
    <xf numFmtId="9" fontId="0" fillId="0" borderId="0" xfId="1" applyFont="1"/>
    <xf numFmtId="0" fontId="0" fillId="0" borderId="0" xfId="0" applyFont="1" applyAlignment="1">
      <alignment horizontal="center" vertical="center"/>
    </xf>
    <xf numFmtId="1" fontId="0" fillId="0" borderId="0" xfId="0" applyNumberFormat="1" applyFont="1" applyAlignment="1">
      <alignment horizontal="center" vertical="center"/>
    </xf>
    <xf numFmtId="1" fontId="0" fillId="0" borderId="0" xfId="0" applyNumberFormat="1" applyBorder="1"/>
    <xf numFmtId="0" fontId="28" fillId="26" borderId="60" xfId="0" applyFont="1" applyFill="1" applyBorder="1" applyAlignment="1">
      <alignment horizontal="left" vertical="center" wrapText="1" readingOrder="1"/>
    </xf>
    <xf numFmtId="0" fontId="28" fillId="26" borderId="60" xfId="0" applyFont="1" applyFill="1" applyBorder="1" applyAlignment="1">
      <alignment horizontal="center" vertical="center" wrapText="1" readingOrder="1"/>
    </xf>
    <xf numFmtId="0" fontId="29" fillId="26" borderId="60" xfId="0" applyFont="1" applyFill="1" applyBorder="1" applyAlignment="1">
      <alignment horizontal="left" vertical="center" wrapText="1" readingOrder="1"/>
    </xf>
    <xf numFmtId="9" fontId="30" fillId="23" borderId="60" xfId="0" applyNumberFormat="1" applyFont="1" applyFill="1" applyBorder="1" applyAlignment="1">
      <alignment horizontal="center" vertical="center" wrapText="1" readingOrder="1"/>
    </xf>
    <xf numFmtId="9" fontId="31" fillId="23" borderId="60" xfId="0" applyNumberFormat="1" applyFont="1" applyFill="1" applyBorder="1" applyAlignment="1">
      <alignment horizontal="center" vertical="center" wrapText="1" readingOrder="1"/>
    </xf>
    <xf numFmtId="0" fontId="32" fillId="26" borderId="60" xfId="0" applyFont="1" applyFill="1" applyBorder="1" applyAlignment="1">
      <alignment horizontal="left" vertical="center" wrapText="1" readingOrder="1"/>
    </xf>
    <xf numFmtId="0" fontId="32" fillId="26" borderId="60" xfId="0" applyFont="1" applyFill="1" applyBorder="1" applyAlignment="1">
      <alignment horizontal="center" vertical="center" wrapText="1" readingOrder="1"/>
    </xf>
    <xf numFmtId="0" fontId="33" fillId="27" borderId="60" xfId="0" applyFont="1" applyFill="1" applyBorder="1" applyAlignment="1">
      <alignment horizontal="left" vertical="center" wrapText="1" readingOrder="1"/>
    </xf>
    <xf numFmtId="9" fontId="34" fillId="0" borderId="60" xfId="0" applyNumberFormat="1" applyFont="1" applyBorder="1" applyAlignment="1">
      <alignment horizontal="center" vertical="center" wrapText="1" readingOrder="1"/>
    </xf>
    <xf numFmtId="0" fontId="27" fillId="0" borderId="60" xfId="0" applyFont="1" applyBorder="1" applyAlignment="1">
      <alignment vertical="top" wrapText="1"/>
    </xf>
    <xf numFmtId="0" fontId="32" fillId="27" borderId="60" xfId="0" applyFont="1" applyFill="1" applyBorder="1" applyAlignment="1">
      <alignment horizontal="left" vertical="center" wrapText="1" readingOrder="1"/>
    </xf>
    <xf numFmtId="0" fontId="27" fillId="28" borderId="60" xfId="0" applyFont="1" applyFill="1" applyBorder="1" applyAlignment="1">
      <alignment horizontal="center" vertical="top" wrapText="1"/>
    </xf>
    <xf numFmtId="9" fontId="21" fillId="0" borderId="0" xfId="0" applyNumberFormat="1" applyFont="1"/>
    <xf numFmtId="0" fontId="21" fillId="0" borderId="0" xfId="0" applyFont="1"/>
    <xf numFmtId="9" fontId="34" fillId="0" borderId="60" xfId="1" applyFont="1" applyBorder="1" applyAlignment="1">
      <alignment horizontal="center" vertical="center" wrapText="1" readingOrder="1"/>
    </xf>
    <xf numFmtId="17" fontId="6" fillId="2" borderId="58" xfId="0" applyNumberFormat="1" applyFont="1" applyFill="1" applyBorder="1" applyAlignment="1">
      <alignment horizontal="center" vertical="center" wrapText="1"/>
    </xf>
    <xf numFmtId="1" fontId="3" fillId="0" borderId="0" xfId="0" applyNumberFormat="1" applyFont="1" applyAlignment="1">
      <alignment horizontal="center" vertical="center"/>
    </xf>
    <xf numFmtId="15" fontId="3" fillId="0" borderId="0" xfId="0" applyNumberFormat="1" applyFont="1" applyAlignment="1">
      <alignment vertical="center"/>
    </xf>
    <xf numFmtId="168" fontId="3" fillId="0" borderId="0" xfId="0" applyNumberFormat="1" applyFont="1" applyAlignment="1">
      <alignment horizontal="center" vertical="center"/>
    </xf>
    <xf numFmtId="15" fontId="0" fillId="0" borderId="0" xfId="0" applyNumberFormat="1" applyAlignment="1">
      <alignment vertical="center"/>
    </xf>
    <xf numFmtId="1" fontId="0" fillId="6" borderId="14" xfId="0" applyNumberFormat="1" applyFill="1" applyBorder="1"/>
    <xf numFmtId="0" fontId="0" fillId="0" borderId="0" xfId="0" applyAlignment="1">
      <alignment horizontal="left" vertical="center"/>
    </xf>
    <xf numFmtId="1" fontId="3" fillId="0" borderId="0" xfId="0" applyNumberFormat="1" applyFont="1" applyAlignment="1">
      <alignment vertical="center"/>
    </xf>
    <xf numFmtId="0" fontId="0" fillId="0" borderId="0" xfId="0" applyAlignment="1">
      <alignment horizontal="left" vertical="center" indent="1"/>
    </xf>
    <xf numFmtId="0" fontId="36" fillId="0" borderId="0" xfId="0" applyFont="1"/>
    <xf numFmtId="168" fontId="35" fillId="0" borderId="0" xfId="0" applyNumberFormat="1" applyFont="1" applyAlignment="1">
      <alignment horizontal="center" vertical="center"/>
    </xf>
    <xf numFmtId="0" fontId="35" fillId="0" borderId="0" xfId="0" applyFont="1" applyAlignment="1">
      <alignment horizontal="center"/>
    </xf>
    <xf numFmtId="1" fontId="36" fillId="0" borderId="0" xfId="0" applyNumberFormat="1" applyFont="1"/>
    <xf numFmtId="0" fontId="35" fillId="0" borderId="0" xfId="0" applyFont="1"/>
    <xf numFmtId="1" fontId="35" fillId="17" borderId="0" xfId="0" applyNumberFormat="1" applyFont="1" applyFill="1" applyAlignment="1">
      <alignment horizontal="center" vertical="center"/>
    </xf>
    <xf numFmtId="10" fontId="8" fillId="6" borderId="13" xfId="0" applyNumberFormat="1" applyFont="1" applyFill="1" applyBorder="1" applyAlignment="1">
      <alignment horizontal="center" vertical="center"/>
    </xf>
    <xf numFmtId="10" fontId="8" fillId="6" borderId="61" xfId="0" applyNumberFormat="1" applyFont="1" applyFill="1" applyBorder="1" applyAlignment="1">
      <alignment horizontal="center" vertical="center"/>
    </xf>
    <xf numFmtId="10" fontId="8" fillId="6" borderId="25" xfId="0" applyNumberFormat="1" applyFont="1" applyFill="1" applyBorder="1" applyAlignment="1">
      <alignment horizontal="center" vertical="center"/>
    </xf>
    <xf numFmtId="10" fontId="8" fillId="6" borderId="49" xfId="0" applyNumberFormat="1" applyFont="1" applyFill="1" applyBorder="1" applyAlignment="1">
      <alignment horizontal="center" vertical="center"/>
    </xf>
    <xf numFmtId="17" fontId="6" fillId="3" borderId="0" xfId="0" applyNumberFormat="1" applyFont="1" applyFill="1" applyBorder="1" applyAlignment="1">
      <alignment horizontal="center" vertical="center" wrapText="1"/>
    </xf>
    <xf numFmtId="0" fontId="3" fillId="16" borderId="5" xfId="0" applyFont="1" applyFill="1" applyBorder="1" applyAlignment="1">
      <alignment horizontal="center" vertical="center"/>
    </xf>
    <xf numFmtId="0" fontId="3" fillId="16" borderId="6" xfId="0" applyFont="1" applyFill="1" applyBorder="1" applyAlignment="1">
      <alignment vertical="center"/>
    </xf>
    <xf numFmtId="0" fontId="3" fillId="16" borderId="6" xfId="0" applyFont="1" applyFill="1" applyBorder="1" applyAlignment="1">
      <alignment horizontal="center" vertical="center"/>
    </xf>
    <xf numFmtId="167" fontId="3" fillId="16" borderId="6" xfId="0" applyNumberFormat="1" applyFont="1" applyFill="1" applyBorder="1" applyAlignment="1">
      <alignment horizontal="center" vertical="center"/>
    </xf>
    <xf numFmtId="1" fontId="3" fillId="4" borderId="6" xfId="0" applyNumberFormat="1" applyFont="1" applyFill="1" applyBorder="1" applyAlignment="1">
      <alignment horizontal="center" vertical="center"/>
    </xf>
    <xf numFmtId="1" fontId="3" fillId="4" borderId="7" xfId="0" applyNumberFormat="1" applyFont="1" applyFill="1" applyBorder="1" applyAlignment="1">
      <alignment horizontal="center" vertical="center"/>
    </xf>
    <xf numFmtId="0" fontId="3" fillId="0" borderId="24" xfId="0" applyFont="1" applyBorder="1" applyAlignment="1">
      <alignment horizontal="center" vertical="center"/>
    </xf>
    <xf numFmtId="0" fontId="0" fillId="0" borderId="0" xfId="0" applyBorder="1" applyAlignment="1">
      <alignment vertical="center"/>
    </xf>
    <xf numFmtId="1" fontId="0" fillId="0" borderId="0" xfId="0" applyNumberFormat="1" applyBorder="1" applyAlignment="1">
      <alignment vertical="center"/>
    </xf>
    <xf numFmtId="0" fontId="0" fillId="0" borderId="24" xfId="0" applyBorder="1" applyAlignment="1">
      <alignment horizontal="center" vertical="center"/>
    </xf>
    <xf numFmtId="1" fontId="0" fillId="0" borderId="17" xfId="0" applyNumberFormat="1" applyBorder="1" applyAlignment="1">
      <alignment vertical="center"/>
    </xf>
    <xf numFmtId="0" fontId="2" fillId="0" borderId="0" xfId="0" applyFont="1" applyBorder="1" applyAlignment="1">
      <alignment vertical="center"/>
    </xf>
    <xf numFmtId="1" fontId="2" fillId="0" borderId="0" xfId="0" applyNumberFormat="1" applyFont="1" applyBorder="1" applyAlignment="1">
      <alignment vertical="center"/>
    </xf>
    <xf numFmtId="0" fontId="3" fillId="16" borderId="4" xfId="0" applyFont="1" applyFill="1" applyBorder="1" applyAlignment="1">
      <alignment vertical="center"/>
    </xf>
    <xf numFmtId="0" fontId="3" fillId="0" borderId="63" xfId="0" applyFont="1" applyBorder="1" applyAlignment="1">
      <alignment vertical="center"/>
    </xf>
    <xf numFmtId="1" fontId="0" fillId="0" borderId="63" xfId="0" applyNumberFormat="1" applyBorder="1" applyAlignment="1">
      <alignment vertical="center"/>
    </xf>
    <xf numFmtId="0" fontId="0" fillId="0" borderId="63" xfId="0" applyBorder="1" applyAlignment="1">
      <alignment vertical="center"/>
    </xf>
    <xf numFmtId="168" fontId="3" fillId="0" borderId="17" xfId="0" applyNumberFormat="1" applyFont="1" applyFill="1" applyBorder="1" applyAlignment="1">
      <alignment horizontal="center" vertical="center"/>
    </xf>
    <xf numFmtId="1" fontId="0" fillId="0" borderId="24" xfId="0" applyNumberFormat="1" applyBorder="1" applyAlignment="1">
      <alignment horizontal="center" vertical="center"/>
    </xf>
    <xf numFmtId="1" fontId="0" fillId="0" borderId="9" xfId="0" applyNumberFormat="1" applyBorder="1" applyAlignment="1">
      <alignment vertical="center"/>
    </xf>
    <xf numFmtId="1" fontId="0" fillId="12" borderId="24" xfId="0" applyNumberFormat="1" applyFill="1" applyBorder="1" applyAlignment="1">
      <alignment horizontal="center" vertical="center"/>
    </xf>
    <xf numFmtId="0" fontId="0" fillId="0" borderId="50" xfId="0" applyBorder="1" applyAlignment="1">
      <alignment horizontal="center" vertical="center"/>
    </xf>
    <xf numFmtId="0" fontId="0" fillId="0" borderId="20" xfId="0" applyFill="1" applyBorder="1" applyAlignment="1">
      <alignment vertical="center"/>
    </xf>
    <xf numFmtId="0" fontId="3" fillId="16" borderId="13" xfId="0" applyFont="1" applyFill="1" applyBorder="1" applyAlignment="1">
      <alignment vertical="center"/>
    </xf>
    <xf numFmtId="0" fontId="3" fillId="0" borderId="8" xfId="0" applyFont="1" applyBorder="1" applyAlignment="1">
      <alignment vertical="center"/>
    </xf>
    <xf numFmtId="0" fontId="3" fillId="0" borderId="0" xfId="0" applyFont="1" applyBorder="1" applyAlignment="1">
      <alignment vertical="center"/>
    </xf>
    <xf numFmtId="1" fontId="3" fillId="0" borderId="0" xfId="0" applyNumberFormat="1" applyFont="1" applyBorder="1" applyAlignment="1">
      <alignment horizontal="center" vertical="center"/>
    </xf>
    <xf numFmtId="15" fontId="3" fillId="0" borderId="0" xfId="0" applyNumberFormat="1" applyFont="1" applyBorder="1" applyAlignment="1">
      <alignment vertical="center"/>
    </xf>
    <xf numFmtId="168" fontId="3" fillId="0" borderId="0" xfId="0" applyNumberFormat="1" applyFont="1" applyBorder="1" applyAlignment="1">
      <alignment horizontal="center" vertical="center"/>
    </xf>
    <xf numFmtId="0" fontId="0" fillId="0" borderId="8" xfId="0" applyBorder="1" applyAlignment="1">
      <alignment vertical="center"/>
    </xf>
    <xf numFmtId="1" fontId="0" fillId="0" borderId="0" xfId="0" applyNumberFormat="1" applyBorder="1" applyAlignment="1">
      <alignment horizontal="center" vertical="center"/>
    </xf>
    <xf numFmtId="0" fontId="0" fillId="0" borderId="0" xfId="0" applyBorder="1" applyAlignment="1">
      <alignment horizontal="center" vertical="center"/>
    </xf>
    <xf numFmtId="15" fontId="0" fillId="0" borderId="0" xfId="0" applyNumberFormat="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1" xfId="0" applyBorder="1" applyAlignment="1">
      <alignment horizontal="center" vertical="center"/>
    </xf>
    <xf numFmtId="1" fontId="3" fillId="17" borderId="11" xfId="0" applyNumberFormat="1" applyFont="1" applyFill="1" applyBorder="1" applyAlignment="1">
      <alignment horizontal="center" vertical="center"/>
    </xf>
    <xf numFmtId="1" fontId="3" fillId="17" borderId="16" xfId="0" applyNumberFormat="1" applyFont="1" applyFill="1" applyBorder="1" applyAlignment="1">
      <alignment horizontal="center" vertical="center"/>
    </xf>
    <xf numFmtId="0" fontId="0" fillId="0" borderId="64" xfId="0" applyBorder="1" applyAlignment="1">
      <alignment horizontal="center" vertical="center"/>
    </xf>
    <xf numFmtId="0" fontId="0" fillId="0" borderId="64" xfId="0" applyBorder="1" applyAlignment="1">
      <alignment vertical="center"/>
    </xf>
    <xf numFmtId="167" fontId="0" fillId="0" borderId="64" xfId="0" applyNumberFormat="1" applyBorder="1" applyAlignment="1">
      <alignment horizontal="center" vertical="center"/>
    </xf>
    <xf numFmtId="0" fontId="0" fillId="0" borderId="64" xfId="0" applyFill="1" applyBorder="1" applyAlignment="1">
      <alignment vertical="center"/>
    </xf>
    <xf numFmtId="0" fontId="3" fillId="0" borderId="7" xfId="0" applyFont="1" applyBorder="1" applyAlignment="1">
      <alignment vertical="center"/>
    </xf>
    <xf numFmtId="0" fontId="3" fillId="0" borderId="17" xfId="0" applyFont="1" applyBorder="1" applyAlignment="1">
      <alignment vertical="center"/>
    </xf>
    <xf numFmtId="2" fontId="0" fillId="0" borderId="0" xfId="0" applyNumberFormat="1" applyBorder="1" applyAlignment="1">
      <alignment vertical="center"/>
    </xf>
    <xf numFmtId="1" fontId="0" fillId="0" borderId="20" xfId="0" applyNumberFormat="1" applyBorder="1" applyAlignment="1">
      <alignment horizontal="center" vertical="center"/>
    </xf>
    <xf numFmtId="167" fontId="0" fillId="0" borderId="20" xfId="0" applyNumberFormat="1" applyBorder="1" applyAlignment="1">
      <alignment horizontal="center" vertical="center"/>
    </xf>
    <xf numFmtId="2" fontId="0" fillId="0" borderId="11" xfId="0" applyNumberFormat="1" applyBorder="1" applyAlignment="1">
      <alignment vertical="center"/>
    </xf>
    <xf numFmtId="1" fontId="0" fillId="0" borderId="11" xfId="0" applyNumberFormat="1" applyBorder="1" applyAlignment="1">
      <alignment vertical="center"/>
    </xf>
    <xf numFmtId="0" fontId="3" fillId="19" borderId="6" xfId="0" applyFont="1" applyFill="1" applyBorder="1" applyAlignment="1">
      <alignment horizontal="center" vertical="center"/>
    </xf>
    <xf numFmtId="0" fontId="3" fillId="0" borderId="15" xfId="0" applyFont="1" applyBorder="1" applyAlignment="1">
      <alignment vertical="center"/>
    </xf>
    <xf numFmtId="0" fontId="3" fillId="0" borderId="9" xfId="0" applyFont="1" applyBorder="1" applyAlignment="1">
      <alignment vertical="center"/>
    </xf>
    <xf numFmtId="0" fontId="0" fillId="0" borderId="0" xfId="0" applyBorder="1" applyAlignment="1">
      <alignment horizontal="left" vertical="center"/>
    </xf>
    <xf numFmtId="0" fontId="0" fillId="0" borderId="11" xfId="0" applyBorder="1" applyAlignment="1">
      <alignment horizontal="left" vertical="center"/>
    </xf>
    <xf numFmtId="0" fontId="0" fillId="19" borderId="20" xfId="0" applyFill="1" applyBorder="1" applyAlignment="1">
      <alignment horizontal="left" vertical="center"/>
    </xf>
    <xf numFmtId="1" fontId="0" fillId="19" borderId="20" xfId="0" applyNumberFormat="1" applyFill="1" applyBorder="1" applyAlignment="1">
      <alignment vertical="center"/>
    </xf>
    <xf numFmtId="1" fontId="0" fillId="0" borderId="20" xfId="0" applyNumberFormat="1" applyBorder="1" applyAlignment="1">
      <alignment vertical="center"/>
    </xf>
    <xf numFmtId="0" fontId="0" fillId="10" borderId="20" xfId="0" applyFill="1" applyBorder="1" applyAlignment="1">
      <alignment vertical="center"/>
    </xf>
    <xf numFmtId="0" fontId="35" fillId="0" borderId="13" xfId="0" applyFont="1" applyBorder="1" applyAlignment="1">
      <alignment horizontal="left"/>
    </xf>
    <xf numFmtId="0" fontId="36" fillId="0" borderId="14" xfId="0" applyFont="1" applyBorder="1"/>
    <xf numFmtId="0" fontId="36" fillId="0" borderId="15" xfId="0" applyFont="1" applyBorder="1"/>
    <xf numFmtId="0" fontId="35" fillId="16" borderId="8" xfId="0" applyFont="1" applyFill="1" applyBorder="1" applyAlignment="1">
      <alignment horizontal="center" vertical="center"/>
    </xf>
    <xf numFmtId="0" fontId="35" fillId="16" borderId="0" xfId="0" applyFont="1" applyFill="1" applyBorder="1" applyAlignment="1">
      <alignment vertical="center"/>
    </xf>
    <xf numFmtId="0" fontId="35" fillId="16" borderId="0" xfId="0" applyFont="1" applyFill="1" applyBorder="1" applyAlignment="1">
      <alignment horizontal="center" vertical="center"/>
    </xf>
    <xf numFmtId="167" fontId="35" fillId="16" borderId="0" xfId="0" applyNumberFormat="1" applyFont="1" applyFill="1" applyBorder="1" applyAlignment="1">
      <alignment horizontal="center" vertical="center"/>
    </xf>
    <xf numFmtId="168" fontId="35" fillId="0" borderId="0" xfId="0" applyNumberFormat="1" applyFont="1" applyBorder="1" applyAlignment="1">
      <alignment horizontal="center" vertical="center"/>
    </xf>
    <xf numFmtId="168" fontId="35" fillId="0" borderId="9" xfId="0" applyNumberFormat="1" applyFont="1" applyBorder="1" applyAlignment="1">
      <alignment horizontal="center" vertical="center"/>
    </xf>
    <xf numFmtId="0" fontId="35" fillId="0" borderId="8" xfId="0" applyFont="1" applyBorder="1" applyAlignment="1">
      <alignment horizontal="center"/>
    </xf>
    <xf numFmtId="0" fontId="36" fillId="0" borderId="0" xfId="0" applyFont="1" applyBorder="1"/>
    <xf numFmtId="15" fontId="36" fillId="0" borderId="0" xfId="0" applyNumberFormat="1" applyFont="1" applyBorder="1"/>
    <xf numFmtId="1" fontId="36" fillId="0" borderId="0" xfId="0" applyNumberFormat="1" applyFont="1" applyBorder="1"/>
    <xf numFmtId="1" fontId="36" fillId="0" borderId="9" xfId="0" applyNumberFormat="1" applyFont="1" applyBorder="1"/>
    <xf numFmtId="0" fontId="36" fillId="0" borderId="9" xfId="0" applyFont="1" applyBorder="1"/>
    <xf numFmtId="0" fontId="35" fillId="0" borderId="10" xfId="0" applyFont="1" applyBorder="1" applyAlignment="1">
      <alignment horizontal="center"/>
    </xf>
    <xf numFmtId="0" fontId="36" fillId="0" borderId="11" xfId="0" applyFont="1" applyBorder="1"/>
    <xf numFmtId="0" fontId="35" fillId="0" borderId="11" xfId="0" applyFont="1" applyBorder="1"/>
    <xf numFmtId="1" fontId="35" fillId="17" borderId="11" xfId="0" applyNumberFormat="1" applyFont="1" applyFill="1" applyBorder="1" applyAlignment="1">
      <alignment horizontal="center" vertical="center"/>
    </xf>
    <xf numFmtId="1" fontId="35" fillId="17" borderId="16" xfId="0" applyNumberFormat="1" applyFont="1" applyFill="1" applyBorder="1" applyAlignment="1">
      <alignment horizontal="center" vertical="center"/>
    </xf>
    <xf numFmtId="0" fontId="35" fillId="0" borderId="13" xfId="0" applyFont="1" applyBorder="1" applyAlignment="1">
      <alignment horizontal="center"/>
    </xf>
    <xf numFmtId="168" fontId="35" fillId="0" borderId="14" xfId="0" applyNumberFormat="1" applyFont="1" applyBorder="1" applyAlignment="1">
      <alignment horizontal="center" vertical="center"/>
    </xf>
    <xf numFmtId="168" fontId="35" fillId="0" borderId="15" xfId="0" applyNumberFormat="1" applyFont="1" applyBorder="1" applyAlignment="1">
      <alignment horizontal="center" vertical="center"/>
    </xf>
    <xf numFmtId="0" fontId="35" fillId="0" borderId="0" xfId="0" applyFont="1" applyBorder="1" applyAlignment="1">
      <alignment horizontal="left"/>
    </xf>
    <xf numFmtId="0" fontId="35" fillId="0" borderId="11" xfId="0" applyFont="1" applyBorder="1" applyAlignment="1">
      <alignment horizontal="left"/>
    </xf>
    <xf numFmtId="15" fontId="36" fillId="0" borderId="11" xfId="0" applyNumberFormat="1" applyFont="1" applyBorder="1"/>
    <xf numFmtId="0" fontId="36" fillId="0" borderId="16" xfId="0" applyFont="1" applyBorder="1"/>
    <xf numFmtId="0" fontId="35" fillId="0" borderId="14" xfId="0" applyFont="1" applyBorder="1" applyAlignment="1">
      <alignment horizontal="left"/>
    </xf>
    <xf numFmtId="9" fontId="36" fillId="0" borderId="14" xfId="0" applyNumberFormat="1" applyFont="1" applyBorder="1"/>
    <xf numFmtId="15" fontId="36" fillId="0" borderId="14" xfId="0" applyNumberFormat="1" applyFont="1" applyBorder="1"/>
    <xf numFmtId="9" fontId="36" fillId="0" borderId="15" xfId="0" applyNumberFormat="1" applyFont="1" applyBorder="1"/>
    <xf numFmtId="9" fontId="36" fillId="0" borderId="0" xfId="0" applyNumberFormat="1" applyFont="1" applyBorder="1"/>
    <xf numFmtId="9" fontId="36" fillId="0" borderId="0" xfId="1" applyFont="1" applyBorder="1"/>
    <xf numFmtId="9" fontId="36" fillId="0" borderId="9" xfId="0" applyNumberFormat="1" applyFont="1" applyBorder="1"/>
    <xf numFmtId="9" fontId="35" fillId="12" borderId="11" xfId="0" applyNumberFormat="1" applyFont="1" applyFill="1" applyBorder="1"/>
    <xf numFmtId="0" fontId="35" fillId="12" borderId="11" xfId="0" applyFont="1" applyFill="1" applyBorder="1"/>
    <xf numFmtId="9" fontId="35" fillId="12" borderId="11" xfId="1" applyFont="1" applyFill="1" applyBorder="1"/>
    <xf numFmtId="9" fontId="35" fillId="12" borderId="16" xfId="1" applyFont="1" applyFill="1" applyBorder="1"/>
    <xf numFmtId="9" fontId="21" fillId="0" borderId="13" xfId="0" applyNumberFormat="1" applyFont="1" applyBorder="1"/>
    <xf numFmtId="9" fontId="21" fillId="0" borderId="14" xfId="0" applyNumberFormat="1" applyFont="1" applyBorder="1"/>
    <xf numFmtId="9" fontId="21" fillId="0" borderId="15" xfId="0" applyNumberFormat="1" applyFont="1" applyBorder="1"/>
    <xf numFmtId="9" fontId="21" fillId="0" borderId="10" xfId="0" applyNumberFormat="1" applyFont="1" applyBorder="1"/>
    <xf numFmtId="9" fontId="21" fillId="0" borderId="16" xfId="0" applyNumberFormat="1" applyFont="1" applyBorder="1"/>
    <xf numFmtId="0" fontId="0" fillId="4" borderId="14" xfId="0" applyFill="1" applyBorder="1"/>
    <xf numFmtId="0" fontId="0" fillId="4" borderId="0" xfId="0" applyFill="1" applyBorder="1" applyAlignment="1">
      <alignment vertical="center"/>
    </xf>
    <xf numFmtId="0" fontId="0" fillId="4" borderId="11" xfId="0" applyFill="1" applyBorder="1"/>
    <xf numFmtId="0" fontId="0" fillId="6" borderId="0" xfId="0" applyFill="1" applyBorder="1"/>
    <xf numFmtId="1" fontId="0" fillId="6" borderId="0" xfId="0" applyNumberFormat="1" applyFill="1" applyBorder="1"/>
    <xf numFmtId="1" fontId="3" fillId="6" borderId="0" xfId="0" applyNumberFormat="1" applyFont="1" applyFill="1" applyBorder="1"/>
    <xf numFmtId="0" fontId="0" fillId="6" borderId="0" xfId="0" applyFont="1" applyFill="1" applyBorder="1"/>
    <xf numFmtId="1" fontId="0" fillId="6" borderId="0" xfId="0" applyNumberFormat="1" applyFont="1" applyFill="1" applyBorder="1"/>
    <xf numFmtId="0" fontId="0" fillId="0" borderId="67" xfId="0" applyBorder="1"/>
    <xf numFmtId="0" fontId="0" fillId="0" borderId="69" xfId="0" applyBorder="1"/>
    <xf numFmtId="0" fontId="3" fillId="6" borderId="65" xfId="0" applyFont="1" applyFill="1" applyBorder="1"/>
    <xf numFmtId="0" fontId="0" fillId="0" borderId="65" xfId="0" applyBorder="1"/>
    <xf numFmtId="0" fontId="0" fillId="11" borderId="65" xfId="0" applyFill="1" applyBorder="1"/>
    <xf numFmtId="0" fontId="0" fillId="0" borderId="15" xfId="0" applyBorder="1"/>
    <xf numFmtId="0" fontId="0" fillId="5" borderId="0" xfId="0" applyFill="1" applyBorder="1"/>
    <xf numFmtId="0" fontId="0" fillId="10" borderId="0" xfId="0" applyFill="1" applyBorder="1"/>
    <xf numFmtId="0" fontId="3" fillId="6" borderId="0" xfId="0" applyFont="1" applyFill="1" applyBorder="1"/>
    <xf numFmtId="0" fontId="0" fillId="4" borderId="0" xfId="0" applyFill="1" applyBorder="1"/>
    <xf numFmtId="0" fontId="0" fillId="13" borderId="0" xfId="0" applyFill="1" applyBorder="1"/>
    <xf numFmtId="1" fontId="0" fillId="13" borderId="0" xfId="0" applyNumberFormat="1" applyFill="1" applyBorder="1"/>
    <xf numFmtId="0" fontId="0" fillId="11" borderId="8" xfId="0" applyFill="1" applyBorder="1"/>
    <xf numFmtId="0" fontId="0" fillId="11" borderId="0" xfId="0" applyFill="1" applyBorder="1"/>
    <xf numFmtId="0" fontId="0" fillId="11" borderId="9" xfId="0" applyFill="1" applyBorder="1"/>
    <xf numFmtId="0" fontId="0" fillId="0" borderId="9" xfId="0" applyFill="1" applyBorder="1"/>
    <xf numFmtId="1" fontId="0" fillId="6" borderId="9" xfId="0" applyNumberFormat="1" applyFill="1" applyBorder="1"/>
    <xf numFmtId="1" fontId="0" fillId="0" borderId="9" xfId="0" applyNumberFormat="1" applyBorder="1"/>
    <xf numFmtId="1" fontId="3" fillId="6" borderId="9" xfId="0" applyNumberFormat="1" applyFont="1" applyFill="1" applyBorder="1"/>
    <xf numFmtId="0" fontId="3" fillId="6" borderId="9" xfId="0" applyFont="1" applyFill="1" applyBorder="1"/>
    <xf numFmtId="0" fontId="0" fillId="6" borderId="9" xfId="0" applyFill="1" applyBorder="1"/>
    <xf numFmtId="1" fontId="0" fillId="0" borderId="0" xfId="0" applyNumberFormat="1" applyFont="1" applyFill="1" applyBorder="1"/>
    <xf numFmtId="10" fontId="0" fillId="0" borderId="0" xfId="0" applyNumberFormat="1" applyBorder="1"/>
    <xf numFmtId="1" fontId="3" fillId="0" borderId="11" xfId="0" applyNumberFormat="1" applyFont="1" applyFill="1" applyBorder="1"/>
    <xf numFmtId="0" fontId="6" fillId="0" borderId="18" xfId="0" applyFont="1" applyBorder="1" applyAlignment="1">
      <alignment horizontal="center" vertical="center"/>
    </xf>
    <xf numFmtId="0" fontId="0" fillId="4" borderId="9" xfId="0" applyFill="1" applyBorder="1"/>
    <xf numFmtId="0" fontId="6" fillId="6" borderId="30" xfId="0" applyFont="1" applyFill="1" applyBorder="1" applyAlignment="1">
      <alignment vertical="center"/>
    </xf>
    <xf numFmtId="1" fontId="0" fillId="6" borderId="0" xfId="0" applyNumberFormat="1" applyFill="1"/>
    <xf numFmtId="0" fontId="0" fillId="0" borderId="0" xfId="0" applyAlignment="1">
      <alignment horizontal="center" vertical="center"/>
    </xf>
    <xf numFmtId="0" fontId="0" fillId="0" borderId="0" xfId="0" applyAlignment="1">
      <alignment vertical="center"/>
    </xf>
    <xf numFmtId="0" fontId="0" fillId="0" borderId="0" xfId="0"/>
    <xf numFmtId="1" fontId="0" fillId="6" borderId="0" xfId="0" applyNumberFormat="1" applyFill="1"/>
    <xf numFmtId="1" fontId="0" fillId="0" borderId="0" xfId="0" applyNumberFormat="1" applyAlignment="1">
      <alignment vertical="center"/>
    </xf>
    <xf numFmtId="0" fontId="0" fillId="0" borderId="0" xfId="0"/>
    <xf numFmtId="0" fontId="0" fillId="0" borderId="0" xfId="0"/>
    <xf numFmtId="1" fontId="0" fillId="0" borderId="0" xfId="0" applyNumberFormat="1"/>
    <xf numFmtId="1" fontId="0" fillId="6" borderId="0" xfId="0" applyNumberFormat="1" applyFill="1"/>
    <xf numFmtId="1" fontId="3" fillId="6" borderId="0" xfId="0" applyNumberFormat="1" applyFont="1" applyFill="1"/>
    <xf numFmtId="0" fontId="0" fillId="6" borderId="0" xfId="0" applyFill="1"/>
    <xf numFmtId="9" fontId="0" fillId="6" borderId="0" xfId="1" applyFont="1" applyFill="1"/>
    <xf numFmtId="0" fontId="0" fillId="0" borderId="0" xfId="0"/>
    <xf numFmtId="0" fontId="0" fillId="0" borderId="0" xfId="0"/>
    <xf numFmtId="9" fontId="0" fillId="0" borderId="0" xfId="1" applyFont="1"/>
    <xf numFmtId="0" fontId="0" fillId="0" borderId="0" xfId="0"/>
    <xf numFmtId="0" fontId="4" fillId="0" borderId="0" xfId="0" applyFont="1"/>
    <xf numFmtId="164" fontId="4" fillId="0" borderId="0" xfId="0" applyNumberFormat="1" applyFont="1"/>
    <xf numFmtId="9" fontId="0" fillId="6" borderId="0" xfId="1" applyFont="1" applyFill="1"/>
    <xf numFmtId="0" fontId="0" fillId="0" borderId="0" xfId="0"/>
    <xf numFmtId="0" fontId="3" fillId="6" borderId="13" xfId="0" applyFont="1" applyFill="1" applyBorder="1" applyAlignment="1">
      <alignment horizontal="center"/>
    </xf>
    <xf numFmtId="0" fontId="0" fillId="0" borderId="0" xfId="0"/>
    <xf numFmtId="0" fontId="7" fillId="0" borderId="1" xfId="0" applyFont="1" applyBorder="1" applyAlignment="1">
      <alignment vertical="center"/>
    </xf>
    <xf numFmtId="0" fontId="9" fillId="0" borderId="1" xfId="0" applyFont="1" applyBorder="1" applyAlignment="1">
      <alignment vertical="center"/>
    </xf>
    <xf numFmtId="10" fontId="11" fillId="0" borderId="2" xfId="0" applyNumberFormat="1" applyFont="1" applyBorder="1" applyAlignment="1">
      <alignment horizontal="center" vertical="center"/>
    </xf>
    <xf numFmtId="10" fontId="9" fillId="0" borderId="1" xfId="0" applyNumberFormat="1" applyFont="1" applyBorder="1" applyAlignment="1">
      <alignment horizontal="center" vertical="center"/>
    </xf>
    <xf numFmtId="1" fontId="0" fillId="0" borderId="0" xfId="0" applyNumberFormat="1"/>
    <xf numFmtId="1" fontId="0" fillId="6" borderId="0" xfId="0" applyNumberFormat="1" applyFill="1"/>
    <xf numFmtId="0" fontId="0" fillId="6" borderId="0" xfId="0" applyFill="1"/>
    <xf numFmtId="10" fontId="16" fillId="0" borderId="1" xfId="0" applyNumberFormat="1" applyFont="1" applyBorder="1" applyAlignment="1">
      <alignment horizontal="center" vertical="center"/>
    </xf>
    <xf numFmtId="0" fontId="6" fillId="6" borderId="3" xfId="0" applyFont="1" applyFill="1" applyBorder="1" applyAlignment="1">
      <alignment vertical="center"/>
    </xf>
    <xf numFmtId="0" fontId="6" fillId="9" borderId="3" xfId="0" applyFont="1" applyFill="1" applyBorder="1" applyAlignment="1">
      <alignment vertical="center"/>
    </xf>
    <xf numFmtId="10" fontId="0" fillId="0" borderId="0" xfId="0" applyNumberFormat="1"/>
    <xf numFmtId="0" fontId="7" fillId="0" borderId="2" xfId="0" applyFont="1" applyBorder="1" applyAlignment="1">
      <alignment vertical="center"/>
    </xf>
    <xf numFmtId="10" fontId="10" fillId="0" borderId="1" xfId="0" applyNumberFormat="1" applyFont="1" applyBorder="1"/>
    <xf numFmtId="165" fontId="3" fillId="6" borderId="14" xfId="0" applyNumberFormat="1" applyFont="1" applyFill="1" applyBorder="1" applyAlignment="1">
      <alignment horizontal="center" vertical="center"/>
    </xf>
    <xf numFmtId="165" fontId="3" fillId="6" borderId="15" xfId="0" applyNumberFormat="1" applyFont="1" applyFill="1" applyBorder="1" applyAlignment="1">
      <alignment horizontal="center" vertical="center"/>
    </xf>
    <xf numFmtId="165" fontId="3" fillId="9" borderId="0" xfId="0" applyNumberFormat="1" applyFont="1" applyFill="1" applyBorder="1" applyAlignment="1">
      <alignment horizontal="center" vertical="center"/>
    </xf>
    <xf numFmtId="0" fontId="8" fillId="0" borderId="0" xfId="0" applyFont="1" applyBorder="1" applyAlignment="1">
      <alignment vertical="center"/>
    </xf>
    <xf numFmtId="2" fontId="0" fillId="4" borderId="0" xfId="0" applyNumberFormat="1" applyFill="1" applyBorder="1"/>
    <xf numFmtId="0" fontId="6" fillId="6" borderId="0" xfId="0" applyFont="1" applyFill="1" applyBorder="1" applyAlignment="1">
      <alignment vertical="center"/>
    </xf>
    <xf numFmtId="9" fontId="3" fillId="6" borderId="0" xfId="0" applyNumberFormat="1" applyFont="1" applyFill="1" applyBorder="1" applyAlignment="1">
      <alignment horizontal="center" vertical="center"/>
    </xf>
    <xf numFmtId="0" fontId="6" fillId="9" borderId="0" xfId="0" applyFont="1" applyFill="1" applyBorder="1" applyAlignment="1">
      <alignment vertical="center"/>
    </xf>
    <xf numFmtId="9" fontId="3" fillId="9" borderId="0" xfId="0" applyNumberFormat="1" applyFont="1" applyFill="1" applyBorder="1" applyAlignment="1">
      <alignment horizontal="center" vertical="center"/>
    </xf>
    <xf numFmtId="0" fontId="3" fillId="5" borderId="0" xfId="0" applyFont="1" applyFill="1" applyBorder="1"/>
    <xf numFmtId="9" fontId="3" fillId="5" borderId="0" xfId="0" applyNumberFormat="1" applyFont="1" applyFill="1" applyBorder="1" applyAlignment="1">
      <alignment horizontal="center" vertical="center"/>
    </xf>
    <xf numFmtId="0" fontId="3" fillId="4" borderId="0" xfId="0" applyFont="1" applyFill="1" applyBorder="1"/>
    <xf numFmtId="9" fontId="0" fillId="13" borderId="0" xfId="0" applyNumberFormat="1" applyFill="1" applyBorder="1"/>
    <xf numFmtId="9" fontId="3" fillId="4" borderId="0" xfId="0" applyNumberFormat="1" applyFont="1" applyFill="1" applyBorder="1"/>
    <xf numFmtId="165" fontId="3" fillId="6" borderId="0" xfId="0" applyNumberFormat="1" applyFont="1" applyFill="1" applyBorder="1" applyAlignment="1">
      <alignment horizontal="center" vertical="center"/>
    </xf>
    <xf numFmtId="2" fontId="0" fillId="0" borderId="0" xfId="0" applyNumberFormat="1" applyFill="1" applyBorder="1"/>
    <xf numFmtId="10" fontId="3" fillId="9" borderId="0" xfId="0" applyNumberFormat="1" applyFont="1" applyFill="1" applyBorder="1" applyAlignment="1">
      <alignment horizontal="center" vertical="center"/>
    </xf>
    <xf numFmtId="9" fontId="0" fillId="4" borderId="0" xfId="0" applyNumberFormat="1" applyFill="1" applyBorder="1"/>
    <xf numFmtId="9" fontId="3" fillId="4" borderId="9" xfId="0" applyNumberFormat="1" applyFont="1" applyFill="1" applyBorder="1"/>
    <xf numFmtId="0" fontId="3" fillId="4" borderId="11" xfId="0" applyFont="1" applyFill="1" applyBorder="1"/>
    <xf numFmtId="165" fontId="0" fillId="0" borderId="11" xfId="0" applyNumberFormat="1" applyBorder="1"/>
    <xf numFmtId="9" fontId="3" fillId="4" borderId="11" xfId="0" applyNumberFormat="1" applyFont="1" applyFill="1" applyBorder="1"/>
    <xf numFmtId="0" fontId="0" fillId="0" borderId="14" xfId="0" applyFont="1" applyBorder="1"/>
    <xf numFmtId="9" fontId="0" fillId="0" borderId="14" xfId="1" applyFont="1" applyBorder="1"/>
    <xf numFmtId="9" fontId="0" fillId="0" borderId="15" xfId="1" applyFont="1" applyBorder="1"/>
    <xf numFmtId="0" fontId="0" fillId="0" borderId="0" xfId="0" applyFont="1" applyBorder="1"/>
    <xf numFmtId="9" fontId="0" fillId="0" borderId="9" xfId="1" applyFont="1" applyBorder="1"/>
    <xf numFmtId="9" fontId="0" fillId="0" borderId="0" xfId="0" applyNumberFormat="1" applyBorder="1"/>
    <xf numFmtId="0" fontId="0" fillId="0" borderId="11" xfId="0" applyFont="1" applyBorder="1"/>
    <xf numFmtId="9" fontId="0" fillId="10" borderId="11" xfId="1" applyFont="1" applyFill="1" applyBorder="1"/>
    <xf numFmtId="17" fontId="6" fillId="2" borderId="22" xfId="0" applyNumberFormat="1" applyFont="1" applyFill="1" applyBorder="1" applyAlignment="1">
      <alignment horizontal="center" vertical="center" wrapText="1"/>
    </xf>
    <xf numFmtId="10" fontId="11" fillId="0" borderId="62" xfId="1" applyNumberFormat="1" applyFont="1" applyBorder="1" applyAlignment="1">
      <alignment horizontal="center" vertical="center"/>
    </xf>
    <xf numFmtId="10" fontId="11" fillId="0" borderId="62" xfId="0" applyNumberFormat="1" applyFont="1" applyBorder="1" applyAlignment="1">
      <alignment horizontal="center" vertical="center"/>
    </xf>
    <xf numFmtId="10" fontId="9" fillId="0" borderId="63" xfId="0" applyNumberFormat="1" applyFont="1" applyBorder="1" applyAlignment="1">
      <alignment horizontal="center" vertical="center"/>
    </xf>
    <xf numFmtId="10" fontId="16" fillId="0" borderId="63" xfId="0" applyNumberFormat="1" applyFont="1" applyBorder="1" applyAlignment="1">
      <alignment horizontal="center" vertical="center"/>
    </xf>
    <xf numFmtId="0" fontId="5" fillId="2" borderId="23" xfId="0" applyFont="1" applyFill="1" applyBorder="1" applyAlignment="1">
      <alignment horizontal="center" vertical="center" wrapText="1"/>
    </xf>
    <xf numFmtId="9" fontId="7" fillId="0" borderId="19"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9" xfId="0" applyFont="1" applyBorder="1" applyAlignment="1">
      <alignment horizontal="center" vertical="center"/>
    </xf>
    <xf numFmtId="0" fontId="6" fillId="6" borderId="15" xfId="0" applyFont="1" applyFill="1" applyBorder="1" applyAlignment="1">
      <alignment horizontal="center" vertical="center"/>
    </xf>
    <xf numFmtId="0" fontId="9" fillId="0" borderId="19" xfId="0" applyFont="1" applyBorder="1" applyAlignment="1">
      <alignment horizontal="center" vertical="center"/>
    </xf>
    <xf numFmtId="0" fontId="9" fillId="0" borderId="17" xfId="0" applyFont="1" applyBorder="1" applyAlignment="1">
      <alignment horizontal="center" vertical="center"/>
    </xf>
    <xf numFmtId="0" fontId="6" fillId="9" borderId="9" xfId="0" applyFont="1" applyFill="1" applyBorder="1" applyAlignment="1">
      <alignment horizontal="center" vertical="center"/>
    </xf>
    <xf numFmtId="9" fontId="3" fillId="0" borderId="9" xfId="0" applyNumberFormat="1" applyFont="1" applyBorder="1" applyAlignment="1">
      <alignment horizontal="center" vertical="center"/>
    </xf>
    <xf numFmtId="9" fontId="3" fillId="4" borderId="9" xfId="0" applyNumberFormat="1" applyFont="1" applyFill="1" applyBorder="1" applyAlignment="1">
      <alignment horizontal="center" vertical="center"/>
    </xf>
    <xf numFmtId="9" fontId="9" fillId="0" borderId="17" xfId="0" applyNumberFormat="1" applyFont="1" applyBorder="1" applyAlignment="1">
      <alignment horizontal="center" vertical="center"/>
    </xf>
    <xf numFmtId="0" fontId="6" fillId="6" borderId="9" xfId="0" applyFont="1" applyFill="1" applyBorder="1" applyAlignment="1">
      <alignment horizontal="center" vertical="center"/>
    </xf>
    <xf numFmtId="0" fontId="16" fillId="0" borderId="17" xfId="0" applyFont="1" applyBorder="1" applyAlignment="1">
      <alignment horizontal="center" vertical="center"/>
    </xf>
    <xf numFmtId="165" fontId="9" fillId="0" borderId="17" xfId="0" applyNumberFormat="1" applyFont="1" applyBorder="1" applyAlignment="1">
      <alignment horizontal="center" vertical="center"/>
    </xf>
    <xf numFmtId="165" fontId="16" fillId="0" borderId="17" xfId="0" applyNumberFormat="1" applyFont="1" applyBorder="1" applyAlignment="1">
      <alignment horizontal="center" vertical="center"/>
    </xf>
    <xf numFmtId="1" fontId="0" fillId="6" borderId="0" xfId="1" applyNumberFormat="1" applyFont="1" applyFill="1" applyAlignment="1">
      <alignment horizontal="center"/>
    </xf>
    <xf numFmtId="49" fontId="0" fillId="10" borderId="4" xfId="0" applyNumberFormat="1" applyFill="1" applyBorder="1"/>
    <xf numFmtId="0" fontId="5" fillId="2" borderId="14" xfId="0" applyFont="1" applyFill="1" applyBorder="1" applyAlignment="1">
      <alignment horizontal="center" vertical="center" wrapText="1"/>
    </xf>
    <xf numFmtId="49" fontId="0" fillId="6" borderId="53" xfId="0" applyNumberFormat="1" applyFill="1" applyBorder="1"/>
    <xf numFmtId="49" fontId="0" fillId="6" borderId="25" xfId="0" applyNumberFormat="1" applyFill="1" applyBorder="1"/>
    <xf numFmtId="49" fontId="0" fillId="4" borderId="53" xfId="0" applyNumberFormat="1" applyFill="1" applyBorder="1"/>
    <xf numFmtId="49" fontId="0" fillId="4" borderId="4" xfId="0" applyNumberFormat="1" applyFill="1" applyBorder="1"/>
    <xf numFmtId="49" fontId="0" fillId="4" borderId="25" xfId="0" applyNumberFormat="1" applyFill="1" applyBorder="1"/>
    <xf numFmtId="49" fontId="0" fillId="12" borderId="53" xfId="0" applyNumberFormat="1" applyFill="1" applyBorder="1"/>
    <xf numFmtId="49" fontId="0" fillId="12" borderId="4" xfId="0" applyNumberFormat="1" applyFill="1" applyBorder="1"/>
    <xf numFmtId="49" fontId="0" fillId="12" borderId="25" xfId="0" applyNumberFormat="1" applyFill="1" applyBorder="1"/>
    <xf numFmtId="49" fontId="0" fillId="11" borderId="53" xfId="0" applyNumberFormat="1" applyFill="1" applyBorder="1"/>
    <xf numFmtId="49" fontId="0" fillId="11" borderId="4" xfId="0" applyNumberFormat="1" applyFill="1" applyBorder="1"/>
    <xf numFmtId="49" fontId="0" fillId="13" borderId="25" xfId="0" applyNumberFormat="1" applyFill="1" applyBorder="1"/>
    <xf numFmtId="49" fontId="0" fillId="10" borderId="53" xfId="0" applyNumberFormat="1" applyFill="1" applyBorder="1"/>
    <xf numFmtId="49" fontId="0" fillId="13" borderId="4" xfId="0" applyNumberFormat="1" applyFill="1" applyBorder="1"/>
    <xf numFmtId="49" fontId="0" fillId="11" borderId="25" xfId="0" applyNumberFormat="1" applyFill="1" applyBorder="1"/>
    <xf numFmtId="9" fontId="8" fillId="6" borderId="32" xfId="0" applyNumberFormat="1" applyFont="1" applyFill="1" applyBorder="1" applyAlignment="1">
      <alignment horizontal="center" vertical="center"/>
    </xf>
    <xf numFmtId="10" fontId="7" fillId="6" borderId="61" xfId="0" applyNumberFormat="1" applyFont="1" applyFill="1" applyBorder="1" applyAlignment="1">
      <alignment horizontal="center" vertical="center"/>
    </xf>
    <xf numFmtId="49" fontId="0" fillId="10" borderId="25" xfId="0" applyNumberFormat="1" applyFill="1" applyBorder="1"/>
    <xf numFmtId="10" fontId="7" fillId="6" borderId="32" xfId="0" applyNumberFormat="1" applyFont="1" applyFill="1" applyBorder="1" applyAlignment="1">
      <alignment horizontal="center" vertical="center"/>
    </xf>
    <xf numFmtId="10" fontId="7" fillId="6" borderId="25" xfId="0" applyNumberFormat="1" applyFont="1" applyFill="1" applyBorder="1" applyAlignment="1">
      <alignment horizontal="center" vertical="center"/>
    </xf>
    <xf numFmtId="10" fontId="7" fillId="0" borderId="32" xfId="0" applyNumberFormat="1" applyFont="1" applyBorder="1" applyAlignment="1">
      <alignment horizontal="center" vertical="center"/>
    </xf>
    <xf numFmtId="10" fontId="7" fillId="0" borderId="61" xfId="0" applyNumberFormat="1" applyFont="1" applyBorder="1" applyAlignment="1">
      <alignment horizontal="center" vertical="center"/>
    </xf>
    <xf numFmtId="10" fontId="7" fillId="0" borderId="25" xfId="0" applyNumberFormat="1" applyFont="1" applyBorder="1" applyAlignment="1">
      <alignment horizontal="center" vertical="center"/>
    </xf>
    <xf numFmtId="10" fontId="0" fillId="10" borderId="66" xfId="1" applyNumberFormat="1" applyFont="1" applyFill="1" applyBorder="1" applyAlignment="1">
      <alignment horizontal="center"/>
    </xf>
    <xf numFmtId="10" fontId="0" fillId="10" borderId="67" xfId="1" applyNumberFormat="1" applyFont="1" applyFill="1" applyBorder="1" applyAlignment="1">
      <alignment horizontal="center"/>
    </xf>
    <xf numFmtId="10" fontId="0" fillId="4" borderId="67" xfId="1" applyNumberFormat="1" applyFont="1" applyFill="1" applyBorder="1" applyAlignment="1">
      <alignment horizontal="center"/>
    </xf>
    <xf numFmtId="10" fontId="8" fillId="6" borderId="66" xfId="0" applyNumberFormat="1" applyFont="1" applyFill="1" applyBorder="1" applyAlignment="1">
      <alignment horizontal="center" vertical="center"/>
    </xf>
    <xf numFmtId="9" fontId="8" fillId="6" borderId="19" xfId="0" applyNumberFormat="1" applyFont="1" applyFill="1" applyBorder="1" applyAlignment="1">
      <alignment horizontal="center" vertical="center"/>
    </xf>
    <xf numFmtId="10" fontId="8" fillId="6" borderId="21" xfId="0" applyNumberFormat="1" applyFont="1" applyFill="1" applyBorder="1" applyAlignment="1">
      <alignment horizontal="center" vertical="center"/>
    </xf>
    <xf numFmtId="2" fontId="0" fillId="0" borderId="0" xfId="0" applyNumberFormat="1" applyBorder="1" applyAlignment="1">
      <alignment horizontal="center"/>
    </xf>
    <xf numFmtId="2" fontId="0" fillId="0" borderId="9" xfId="0" applyNumberFormat="1" applyBorder="1" applyAlignment="1">
      <alignment horizontal="center"/>
    </xf>
    <xf numFmtId="1" fontId="0" fillId="0" borderId="0" xfId="0" applyNumberFormat="1" applyBorder="1" applyAlignment="1">
      <alignment horizontal="center"/>
    </xf>
    <xf numFmtId="0" fontId="0" fillId="0" borderId="9" xfId="0" applyFont="1" applyBorder="1"/>
    <xf numFmtId="9" fontId="0" fillId="0" borderId="0" xfId="0" applyNumberFormat="1" applyFont="1" applyBorder="1"/>
    <xf numFmtId="164" fontId="4" fillId="0" borderId="0" xfId="0" applyNumberFormat="1" applyFont="1" applyFill="1"/>
    <xf numFmtId="0" fontId="7" fillId="0" borderId="3" xfId="0" applyFont="1" applyBorder="1" applyAlignment="1">
      <alignment vertical="center"/>
    </xf>
    <xf numFmtId="0" fontId="16" fillId="0" borderId="9" xfId="0" applyFont="1" applyBorder="1" applyAlignment="1">
      <alignment horizontal="center" vertical="center"/>
    </xf>
    <xf numFmtId="0" fontId="9" fillId="0" borderId="3" xfId="0" applyFont="1" applyBorder="1" applyAlignment="1">
      <alignment vertical="center"/>
    </xf>
    <xf numFmtId="165" fontId="9" fillId="0" borderId="9" xfId="0" applyNumberFormat="1" applyFont="1" applyBorder="1" applyAlignment="1">
      <alignment horizontal="center" vertical="center"/>
    </xf>
    <xf numFmtId="0" fontId="8" fillId="10" borderId="0" xfId="0" applyFont="1" applyFill="1" applyBorder="1" applyAlignment="1">
      <alignment vertical="center"/>
    </xf>
    <xf numFmtId="10" fontId="0" fillId="0" borderId="0" xfId="0" applyNumberFormat="1"/>
    <xf numFmtId="0" fontId="37" fillId="30" borderId="70" xfId="0" applyFont="1" applyFill="1" applyBorder="1" applyAlignment="1">
      <alignment horizontal="center" vertical="center" wrapText="1" readingOrder="1"/>
    </xf>
    <xf numFmtId="0" fontId="37" fillId="30" borderId="71" xfId="0" applyFont="1" applyFill="1" applyBorder="1" applyAlignment="1">
      <alignment horizontal="center" vertical="center" wrapText="1" readingOrder="1"/>
    </xf>
    <xf numFmtId="0" fontId="37" fillId="30" borderId="72" xfId="0" applyFont="1" applyFill="1" applyBorder="1" applyAlignment="1">
      <alignment horizontal="center" vertical="center" wrapText="1" readingOrder="1"/>
    </xf>
    <xf numFmtId="0" fontId="38" fillId="23" borderId="60" xfId="0" applyFont="1" applyFill="1" applyBorder="1" applyAlignment="1">
      <alignment horizontal="left" vertical="center" wrapText="1" indent="1" readingOrder="1"/>
    </xf>
    <xf numFmtId="9" fontId="38" fillId="23" borderId="60" xfId="0" applyNumberFormat="1" applyFont="1" applyFill="1" applyBorder="1" applyAlignment="1">
      <alignment horizontal="center" vertical="center" wrapText="1" readingOrder="1"/>
    </xf>
    <xf numFmtId="0" fontId="38" fillId="23" borderId="60" xfId="0" applyFont="1" applyFill="1" applyBorder="1" applyAlignment="1">
      <alignment horizontal="left" vertical="center" wrapText="1" indent="10" readingOrder="1"/>
    </xf>
    <xf numFmtId="10" fontId="38" fillId="23" borderId="60" xfId="0" applyNumberFormat="1" applyFont="1" applyFill="1" applyBorder="1" applyAlignment="1">
      <alignment horizontal="center" vertical="center" wrapText="1" readingOrder="1"/>
    </xf>
    <xf numFmtId="0" fontId="24" fillId="23" borderId="60" xfId="0" applyFont="1" applyFill="1" applyBorder="1" applyAlignment="1">
      <alignment horizontal="left" vertical="center" wrapText="1" indent="1" readingOrder="1"/>
    </xf>
    <xf numFmtId="9" fontId="34" fillId="29" borderId="60" xfId="1" applyNumberFormat="1" applyFont="1" applyFill="1" applyBorder="1" applyAlignment="1">
      <alignment horizontal="center" vertical="center" wrapText="1" readingOrder="1"/>
    </xf>
    <xf numFmtId="2" fontId="0" fillId="0" borderId="0" xfId="1" applyNumberFormat="1" applyFont="1" applyBorder="1"/>
    <xf numFmtId="17" fontId="6" fillId="2" borderId="32" xfId="0" applyNumberFormat="1" applyFont="1" applyFill="1" applyBorder="1" applyAlignment="1">
      <alignment horizontal="center" vertical="center" wrapText="1"/>
    </xf>
    <xf numFmtId="9" fontId="0" fillId="0" borderId="14" xfId="0" applyNumberFormat="1" applyBorder="1"/>
    <xf numFmtId="10" fontId="0" fillId="0" borderId="0" xfId="0" applyNumberFormat="1" applyAlignment="1">
      <alignment horizontal="center"/>
    </xf>
    <xf numFmtId="17" fontId="6" fillId="2" borderId="49" xfId="0" applyNumberFormat="1" applyFont="1" applyFill="1" applyBorder="1" applyAlignment="1">
      <alignment horizontal="center" vertical="center" wrapText="1"/>
    </xf>
    <xf numFmtId="10" fontId="11" fillId="6" borderId="75" xfId="1" applyNumberFormat="1" applyFont="1" applyFill="1" applyBorder="1" applyAlignment="1">
      <alignment horizontal="center" vertical="center"/>
    </xf>
    <xf numFmtId="10" fontId="0" fillId="10" borderId="14" xfId="1" applyNumberFormat="1" applyFont="1" applyFill="1" applyBorder="1" applyAlignment="1">
      <alignment horizontal="center"/>
    </xf>
    <xf numFmtId="10" fontId="8" fillId="6" borderId="14" xfId="0" applyNumberFormat="1" applyFont="1" applyFill="1" applyBorder="1" applyAlignment="1">
      <alignment horizontal="center" vertical="center"/>
    </xf>
    <xf numFmtId="10" fontId="8" fillId="6" borderId="76" xfId="0" applyNumberFormat="1" applyFont="1" applyFill="1" applyBorder="1" applyAlignment="1">
      <alignment horizontal="center" vertical="center"/>
    </xf>
    <xf numFmtId="169" fontId="0" fillId="4" borderId="0" xfId="1" applyNumberFormat="1" applyFont="1" applyFill="1" applyBorder="1" applyAlignment="1">
      <alignment horizontal="center"/>
    </xf>
    <xf numFmtId="10" fontId="8" fillId="6" borderId="28" xfId="0" applyNumberFormat="1" applyFont="1" applyFill="1" applyBorder="1" applyAlignment="1">
      <alignment horizontal="center" vertical="center"/>
    </xf>
    <xf numFmtId="9" fontId="10" fillId="0" borderId="27" xfId="0" applyNumberFormat="1" applyFont="1" applyBorder="1"/>
    <xf numFmtId="10" fontId="11" fillId="6" borderId="66" xfId="1" applyNumberFormat="1" applyFont="1" applyFill="1" applyBorder="1" applyAlignment="1">
      <alignment horizontal="center" vertical="center"/>
    </xf>
    <xf numFmtId="10" fontId="11" fillId="6" borderId="77" xfId="1" applyNumberFormat="1" applyFont="1" applyFill="1" applyBorder="1" applyAlignment="1">
      <alignment horizontal="center" vertical="center"/>
    </xf>
    <xf numFmtId="10" fontId="0" fillId="4" borderId="66" xfId="1" applyNumberFormat="1" applyFont="1" applyFill="1" applyBorder="1" applyAlignment="1">
      <alignment horizontal="center"/>
    </xf>
    <xf numFmtId="10" fontId="0" fillId="4" borderId="68" xfId="1" applyNumberFormat="1" applyFont="1" applyFill="1" applyBorder="1" applyAlignment="1">
      <alignment horizontal="center"/>
    </xf>
    <xf numFmtId="10" fontId="0" fillId="12" borderId="66" xfId="1" applyNumberFormat="1" applyFont="1" applyFill="1" applyBorder="1" applyAlignment="1">
      <alignment horizontal="center"/>
    </xf>
    <xf numFmtId="10" fontId="0" fillId="12" borderId="67" xfId="1" applyNumberFormat="1" applyFont="1" applyFill="1" applyBorder="1" applyAlignment="1">
      <alignment horizontal="center"/>
    </xf>
    <xf numFmtId="10" fontId="0" fillId="12" borderId="68" xfId="1" applyNumberFormat="1" applyFont="1" applyFill="1" applyBorder="1" applyAlignment="1">
      <alignment horizontal="center"/>
    </xf>
    <xf numFmtId="10" fontId="8" fillId="6" borderId="78" xfId="0" applyNumberFormat="1" applyFont="1" applyFill="1" applyBorder="1" applyAlignment="1">
      <alignment horizontal="center" vertical="center"/>
    </xf>
    <xf numFmtId="10" fontId="0" fillId="11" borderId="66" xfId="1" applyNumberFormat="1" applyFont="1" applyFill="1" applyBorder="1" applyAlignment="1">
      <alignment horizontal="center"/>
    </xf>
    <xf numFmtId="10" fontId="0" fillId="11" borderId="68" xfId="1" applyNumberFormat="1" applyFont="1" applyFill="1" applyBorder="1" applyAlignment="1">
      <alignment horizontal="center"/>
    </xf>
    <xf numFmtId="169" fontId="0" fillId="4" borderId="67" xfId="1" applyNumberFormat="1" applyFont="1" applyFill="1" applyBorder="1" applyAlignment="1">
      <alignment horizontal="center"/>
    </xf>
    <xf numFmtId="10" fontId="0" fillId="10" borderId="68" xfId="1" applyNumberFormat="1" applyFont="1" applyFill="1" applyBorder="1" applyAlignment="1">
      <alignment horizontal="center"/>
    </xf>
    <xf numFmtId="10" fontId="8" fillId="6" borderId="77" xfId="0" applyNumberFormat="1" applyFont="1" applyFill="1" applyBorder="1" applyAlignment="1">
      <alignment horizontal="center" vertical="center"/>
    </xf>
    <xf numFmtId="166" fontId="0" fillId="4" borderId="67" xfId="0" applyNumberFormat="1" applyFill="1" applyBorder="1" applyAlignment="1">
      <alignment horizontal="center"/>
    </xf>
    <xf numFmtId="1" fontId="0" fillId="4" borderId="67" xfId="0" applyNumberFormat="1" applyFill="1" applyBorder="1" applyAlignment="1">
      <alignment horizontal="center"/>
    </xf>
    <xf numFmtId="17" fontId="6" fillId="2" borderId="0" xfId="0" applyNumberFormat="1" applyFont="1" applyFill="1" applyBorder="1" applyAlignment="1">
      <alignment horizontal="center" vertical="center" wrapText="1"/>
    </xf>
    <xf numFmtId="10" fontId="11" fillId="0" borderId="0" xfId="1" applyNumberFormat="1" applyFont="1" applyBorder="1" applyAlignment="1">
      <alignment horizontal="center" vertical="center"/>
    </xf>
    <xf numFmtId="10" fontId="11" fillId="0" borderId="0" xfId="0" applyNumberFormat="1" applyFont="1" applyBorder="1" applyAlignment="1">
      <alignment horizontal="center" vertical="center"/>
    </xf>
    <xf numFmtId="10" fontId="9" fillId="0" borderId="0" xfId="0" applyNumberFormat="1" applyFont="1" applyBorder="1" applyAlignment="1">
      <alignment horizontal="center" vertical="center"/>
    </xf>
    <xf numFmtId="9" fontId="0" fillId="7" borderId="66" xfId="1" applyFont="1" applyFill="1" applyBorder="1"/>
    <xf numFmtId="9" fontId="0" fillId="8" borderId="67" xfId="1" applyFont="1" applyFill="1" applyBorder="1"/>
    <xf numFmtId="9" fontId="0" fillId="12" borderId="67" xfId="1" applyFont="1" applyFill="1" applyBorder="1"/>
    <xf numFmtId="0" fontId="0" fillId="0" borderId="68" xfId="0" applyBorder="1"/>
    <xf numFmtId="0" fontId="38" fillId="23" borderId="60" xfId="0" applyFont="1" applyFill="1" applyBorder="1" applyAlignment="1">
      <alignment horizontal="left" vertical="center" wrapText="1" indent="9" readingOrder="1"/>
    </xf>
    <xf numFmtId="17" fontId="6" fillId="2" borderId="81" xfId="0" applyNumberFormat="1" applyFont="1" applyFill="1" applyBorder="1" applyAlignment="1">
      <alignment horizontal="center" vertical="center" wrapText="1"/>
    </xf>
    <xf numFmtId="1" fontId="0" fillId="0" borderId="0" xfId="1" applyNumberFormat="1" applyFont="1" applyBorder="1" applyAlignment="1">
      <alignment horizontal="center"/>
    </xf>
    <xf numFmtId="1" fontId="0" fillId="0" borderId="9" xfId="1" applyNumberFormat="1" applyFont="1" applyBorder="1" applyAlignment="1">
      <alignment horizontal="center"/>
    </xf>
    <xf numFmtId="0" fontId="0" fillId="0" borderId="10" xfId="0" applyBorder="1"/>
    <xf numFmtId="1" fontId="0" fillId="0" borderId="11" xfId="1" applyNumberFormat="1" applyFont="1" applyBorder="1" applyAlignment="1">
      <alignment horizontal="center"/>
    </xf>
    <xf numFmtId="1" fontId="0" fillId="0" borderId="16" xfId="1" applyNumberFormat="1" applyFont="1" applyBorder="1" applyAlignment="1">
      <alignment horizontal="center"/>
    </xf>
    <xf numFmtId="17" fontId="6" fillId="2" borderId="82" xfId="0" applyNumberFormat="1" applyFont="1" applyFill="1" applyBorder="1" applyAlignment="1">
      <alignment horizontal="center" vertical="center" wrapText="1"/>
    </xf>
    <xf numFmtId="17" fontId="6" fillId="2" borderId="55" xfId="0" applyNumberFormat="1" applyFont="1" applyFill="1" applyBorder="1" applyAlignment="1">
      <alignment horizontal="center" vertical="center" wrapText="1"/>
    </xf>
    <xf numFmtId="17" fontId="0" fillId="0" borderId="0" xfId="0" applyNumberFormat="1" applyAlignment="1">
      <alignment horizontal="center"/>
    </xf>
    <xf numFmtId="0" fontId="40" fillId="31" borderId="88" xfId="0" applyFont="1" applyFill="1" applyBorder="1" applyAlignment="1">
      <alignment horizontal="center" vertical="center" wrapText="1" readingOrder="1"/>
    </xf>
    <xf numFmtId="0" fontId="40" fillId="31" borderId="91" xfId="0" applyFont="1" applyFill="1" applyBorder="1" applyAlignment="1">
      <alignment horizontal="center" vertical="center" wrapText="1" readingOrder="1"/>
    </xf>
    <xf numFmtId="0" fontId="39" fillId="31" borderId="92" xfId="0" applyFont="1" applyFill="1" applyBorder="1" applyAlignment="1">
      <alignment horizontal="center" vertical="center" wrapText="1" readingOrder="1"/>
    </xf>
    <xf numFmtId="0" fontId="41" fillId="0" borderId="93" xfId="0" applyFont="1" applyBorder="1" applyAlignment="1">
      <alignment horizontal="left" vertical="center" wrapText="1" readingOrder="1"/>
    </xf>
    <xf numFmtId="0" fontId="41" fillId="0" borderId="92" xfId="0" applyFont="1" applyBorder="1" applyAlignment="1">
      <alignment horizontal="center" vertical="center" wrapText="1" readingOrder="1"/>
    </xf>
    <xf numFmtId="0" fontId="42" fillId="0" borderId="92" xfId="0" applyFont="1" applyBorder="1" applyAlignment="1">
      <alignment horizontal="center" vertical="center" wrapText="1" readingOrder="1"/>
    </xf>
    <xf numFmtId="1" fontId="42" fillId="10" borderId="92" xfId="0" applyNumberFormat="1" applyFont="1" applyFill="1" applyBorder="1" applyAlignment="1">
      <alignment horizontal="center" vertical="center" wrapText="1" readingOrder="1"/>
    </xf>
    <xf numFmtId="9" fontId="42" fillId="0" borderId="94" xfId="0" applyNumberFormat="1" applyFont="1" applyBorder="1" applyAlignment="1">
      <alignment horizontal="center" vertical="center" wrapText="1" readingOrder="1"/>
    </xf>
    <xf numFmtId="1" fontId="42" fillId="0" borderId="92" xfId="0" applyNumberFormat="1" applyFont="1" applyBorder="1" applyAlignment="1">
      <alignment horizontal="center" vertical="center" wrapText="1" readingOrder="1"/>
    </xf>
    <xf numFmtId="0" fontId="42" fillId="4" borderId="92" xfId="0" applyFont="1" applyFill="1" applyBorder="1" applyAlignment="1">
      <alignment horizontal="center" vertical="center" wrapText="1" readingOrder="1"/>
    </xf>
    <xf numFmtId="0" fontId="42" fillId="10" borderId="92" xfId="0" applyFont="1" applyFill="1" applyBorder="1" applyAlignment="1">
      <alignment horizontal="center" vertical="center" wrapText="1" readingOrder="1"/>
    </xf>
    <xf numFmtId="15" fontId="43" fillId="0" borderId="92" xfId="0" applyNumberFormat="1" applyFont="1" applyBorder="1" applyAlignment="1">
      <alignment horizontal="center" vertical="center" wrapText="1" readingOrder="1"/>
    </xf>
    <xf numFmtId="0" fontId="25" fillId="0" borderId="92" xfId="0" applyFont="1" applyBorder="1" applyAlignment="1">
      <alignment horizontal="center" vertical="center" wrapText="1" readingOrder="1"/>
    </xf>
    <xf numFmtId="0" fontId="44" fillId="0" borderId="95" xfId="0" applyFont="1" applyBorder="1" applyAlignment="1">
      <alignment horizontal="center" vertical="center" wrapText="1" readingOrder="1"/>
    </xf>
    <xf numFmtId="0" fontId="45" fillId="0" borderId="93" xfId="0" applyFont="1" applyBorder="1" applyAlignment="1">
      <alignment horizontal="left" vertical="center" wrapText="1" readingOrder="1"/>
    </xf>
    <xf numFmtId="0" fontId="45" fillId="0" borderId="92" xfId="0" applyFont="1" applyBorder="1" applyAlignment="1">
      <alignment horizontal="center" vertical="center" wrapText="1" readingOrder="1"/>
    </xf>
    <xf numFmtId="0" fontId="46" fillId="0" borderId="93" xfId="0" applyFont="1" applyBorder="1" applyAlignment="1">
      <alignment horizontal="left" vertical="center" wrapText="1" readingOrder="1"/>
    </xf>
    <xf numFmtId="0" fontId="46" fillId="0" borderId="92" xfId="0" applyFont="1" applyBorder="1" applyAlignment="1">
      <alignment horizontal="center" vertical="center" wrapText="1" readingOrder="1"/>
    </xf>
    <xf numFmtId="0" fontId="25" fillId="0" borderId="95" xfId="0" applyFont="1" applyBorder="1" applyAlignment="1">
      <alignment horizontal="center" vertical="center" wrapText="1" readingOrder="1"/>
    </xf>
    <xf numFmtId="0" fontId="47" fillId="6" borderId="93" xfId="0" applyFont="1" applyFill="1" applyBorder="1" applyAlignment="1">
      <alignment horizontal="left" vertical="center" wrapText="1" readingOrder="1"/>
    </xf>
    <xf numFmtId="0" fontId="47" fillId="6" borderId="92" xfId="0" applyFont="1" applyFill="1" applyBorder="1" applyAlignment="1">
      <alignment horizontal="center" vertical="center" wrapText="1" readingOrder="1"/>
    </xf>
    <xf numFmtId="1" fontId="48" fillId="6" borderId="92" xfId="0" applyNumberFormat="1" applyFont="1" applyFill="1" applyBorder="1" applyAlignment="1">
      <alignment horizontal="center" vertical="center" wrapText="1" readingOrder="1"/>
    </xf>
    <xf numFmtId="9" fontId="48" fillId="6" borderId="94" xfId="0" applyNumberFormat="1" applyFont="1" applyFill="1" applyBorder="1" applyAlignment="1">
      <alignment horizontal="center" vertical="center" wrapText="1" readingOrder="1"/>
    </xf>
    <xf numFmtId="0" fontId="48" fillId="6" borderId="92" xfId="0" applyFont="1" applyFill="1" applyBorder="1" applyAlignment="1">
      <alignment horizontal="center" vertical="center" wrapText="1" readingOrder="1"/>
    </xf>
    <xf numFmtId="0" fontId="49" fillId="6" borderId="92" xfId="0" applyFont="1" applyFill="1" applyBorder="1" applyAlignment="1">
      <alignment horizontal="center" vertical="center" wrapText="1" readingOrder="1"/>
    </xf>
    <xf numFmtId="15" fontId="50" fillId="6" borderId="92" xfId="0" applyNumberFormat="1" applyFont="1" applyFill="1" applyBorder="1" applyAlignment="1">
      <alignment horizontal="center" vertical="center" wrapText="1" readingOrder="1"/>
    </xf>
    <xf numFmtId="0" fontId="49" fillId="6" borderId="95" xfId="0" applyFont="1" applyFill="1" applyBorder="1" applyAlignment="1">
      <alignment horizontal="center" vertical="center" wrapText="1" readingOrder="1"/>
    </xf>
    <xf numFmtId="0" fontId="46" fillId="0" borderId="96" xfId="0" applyFont="1" applyBorder="1" applyAlignment="1">
      <alignment horizontal="left" vertical="center" wrapText="1" readingOrder="1"/>
    </xf>
    <xf numFmtId="0" fontId="46" fillId="0" borderId="97" xfId="0" applyFont="1" applyBorder="1" applyAlignment="1">
      <alignment horizontal="center" vertical="center" wrapText="1" readingOrder="1"/>
    </xf>
    <xf numFmtId="0" fontId="42" fillId="4" borderId="97" xfId="0" applyFont="1" applyFill="1" applyBorder="1" applyAlignment="1">
      <alignment horizontal="center" vertical="center" wrapText="1" readingOrder="1"/>
    </xf>
    <xf numFmtId="15" fontId="43" fillId="0" borderId="97" xfId="0" applyNumberFormat="1" applyFont="1" applyBorder="1" applyAlignment="1">
      <alignment horizontal="center" vertical="center" wrapText="1" readingOrder="1"/>
    </xf>
    <xf numFmtId="0" fontId="25" fillId="0" borderId="97" xfId="0" applyFont="1" applyBorder="1" applyAlignment="1">
      <alignment horizontal="center" vertical="center" wrapText="1" readingOrder="1"/>
    </xf>
    <xf numFmtId="0" fontId="25" fillId="0" borderId="98" xfId="0" applyFont="1" applyBorder="1" applyAlignment="1">
      <alignment horizontal="center" vertical="center" wrapText="1" readingOrder="1"/>
    </xf>
    <xf numFmtId="0" fontId="51" fillId="32" borderId="104" xfId="0" applyFont="1" applyFill="1" applyBorder="1" applyAlignment="1">
      <alignment horizontal="center" vertical="center" wrapText="1" readingOrder="1"/>
    </xf>
    <xf numFmtId="0" fontId="53" fillId="0" borderId="104" xfId="0" applyFont="1" applyBorder="1" applyAlignment="1">
      <alignment horizontal="left" vertical="center" wrapText="1" readingOrder="1"/>
    </xf>
    <xf numFmtId="0" fontId="53" fillId="0" borderId="104" xfId="0" applyFont="1" applyBorder="1" applyAlignment="1">
      <alignment horizontal="center" vertical="center" wrapText="1" readingOrder="1"/>
    </xf>
    <xf numFmtId="1" fontId="53" fillId="0" borderId="104" xfId="0" applyNumberFormat="1" applyFont="1" applyBorder="1" applyAlignment="1">
      <alignment horizontal="center" vertical="center" wrapText="1" readingOrder="1"/>
    </xf>
    <xf numFmtId="9" fontId="53" fillId="0" borderId="104" xfId="0" applyNumberFormat="1" applyFont="1" applyBorder="1" applyAlignment="1">
      <alignment horizontal="center" vertical="center" wrapText="1" readingOrder="1"/>
    </xf>
    <xf numFmtId="0" fontId="53" fillId="0" borderId="104" xfId="0" applyFont="1" applyBorder="1" applyAlignment="1">
      <alignment horizontal="center" wrapText="1" readingOrder="1"/>
    </xf>
    <xf numFmtId="0" fontId="53" fillId="0" borderId="104" xfId="0" applyFont="1" applyBorder="1" applyAlignment="1">
      <alignment horizontal="left" wrapText="1" readingOrder="1"/>
    </xf>
    <xf numFmtId="15" fontId="53" fillId="0" borderId="104" xfId="0" applyNumberFormat="1" applyFont="1" applyBorder="1" applyAlignment="1">
      <alignment horizontal="center" vertical="center" wrapText="1" readingOrder="1"/>
    </xf>
    <xf numFmtId="3" fontId="53" fillId="0" borderId="104" xfId="0" applyNumberFormat="1" applyFont="1" applyBorder="1" applyAlignment="1">
      <alignment horizontal="center" vertical="center" wrapText="1" readingOrder="1"/>
    </xf>
    <xf numFmtId="0" fontId="53" fillId="32" borderId="104" xfId="0" applyFont="1" applyFill="1" applyBorder="1" applyAlignment="1">
      <alignment horizontal="center" vertical="center" wrapText="1" readingOrder="1"/>
    </xf>
    <xf numFmtId="3" fontId="53" fillId="32" borderId="104" xfId="0" applyNumberFormat="1" applyFont="1" applyFill="1" applyBorder="1" applyAlignment="1">
      <alignment horizontal="center" vertical="center" wrapText="1" readingOrder="1"/>
    </xf>
    <xf numFmtId="9" fontId="53" fillId="33" borderId="104" xfId="0" applyNumberFormat="1" applyFont="1" applyFill="1" applyBorder="1" applyAlignment="1">
      <alignment horizontal="center" vertical="center" wrapText="1" readingOrder="1"/>
    </xf>
    <xf numFmtId="15" fontId="51" fillId="32" borderId="104" xfId="0" applyNumberFormat="1" applyFont="1" applyFill="1" applyBorder="1" applyAlignment="1">
      <alignment horizontal="center" vertical="center" wrapText="1" readingOrder="1"/>
    </xf>
    <xf numFmtId="0" fontId="51" fillId="31" borderId="104" xfId="0" applyFont="1" applyFill="1" applyBorder="1" applyAlignment="1">
      <alignment horizontal="center" vertical="center" wrapText="1" readingOrder="1"/>
    </xf>
    <xf numFmtId="0" fontId="25" fillId="31" borderId="104" xfId="0" applyFont="1" applyFill="1" applyBorder="1" applyAlignment="1">
      <alignment horizontal="center" vertical="center" wrapText="1" readingOrder="1"/>
    </xf>
    <xf numFmtId="0" fontId="54" fillId="31" borderId="104" xfId="0" applyFont="1" applyFill="1" applyBorder="1" applyAlignment="1">
      <alignment horizontal="center" vertical="center" wrapText="1" readingOrder="1"/>
    </xf>
    <xf numFmtId="0" fontId="55" fillId="31" borderId="104" xfId="0" applyFont="1" applyFill="1" applyBorder="1" applyAlignment="1">
      <alignment horizontal="left" wrapText="1" readingOrder="1"/>
    </xf>
    <xf numFmtId="0" fontId="17" fillId="32" borderId="104" xfId="0" applyFont="1" applyFill="1" applyBorder="1" applyAlignment="1">
      <alignment horizontal="center" wrapText="1" readingOrder="1"/>
    </xf>
    <xf numFmtId="0" fontId="37" fillId="32" borderId="104" xfId="0" applyFont="1" applyFill="1" applyBorder="1" applyAlignment="1">
      <alignment horizontal="center" wrapText="1" readingOrder="1"/>
    </xf>
    <xf numFmtId="1" fontId="37" fillId="32" borderId="104" xfId="0" applyNumberFormat="1" applyFont="1" applyFill="1" applyBorder="1" applyAlignment="1">
      <alignment horizontal="center" wrapText="1" readingOrder="1"/>
    </xf>
    <xf numFmtId="1" fontId="40" fillId="0" borderId="92" xfId="0" applyNumberFormat="1" applyFont="1" applyBorder="1" applyAlignment="1">
      <alignment horizontal="center" vertical="center" wrapText="1" readingOrder="1"/>
    </xf>
    <xf numFmtId="1" fontId="42" fillId="0" borderId="97" xfId="0" applyNumberFormat="1" applyFont="1" applyBorder="1" applyAlignment="1">
      <alignment horizontal="center" vertical="center" wrapText="1" readingOrder="1"/>
    </xf>
    <xf numFmtId="1" fontId="42" fillId="29" borderId="92" xfId="0" applyNumberFormat="1" applyFont="1" applyFill="1" applyBorder="1" applyAlignment="1">
      <alignment horizontal="center" vertical="center" wrapText="1" readingOrder="1"/>
    </xf>
    <xf numFmtId="1" fontId="41" fillId="0" borderId="92" xfId="0" applyNumberFormat="1" applyFont="1" applyBorder="1" applyAlignment="1">
      <alignment horizontal="center" vertical="center" wrapText="1" readingOrder="1"/>
    </xf>
    <xf numFmtId="1" fontId="47" fillId="6" borderId="92" xfId="0" applyNumberFormat="1" applyFont="1" applyFill="1" applyBorder="1" applyAlignment="1">
      <alignment horizontal="center" vertical="center" wrapText="1" readingOrder="1"/>
    </xf>
    <xf numFmtId="0" fontId="0" fillId="10" borderId="15" xfId="0" applyFill="1" applyBorder="1"/>
    <xf numFmtId="0" fontId="0" fillId="10" borderId="9" xfId="0" applyFill="1" applyBorder="1"/>
    <xf numFmtId="10" fontId="0" fillId="8" borderId="67" xfId="1" applyNumberFormat="1" applyFont="1" applyFill="1" applyBorder="1"/>
    <xf numFmtId="10" fontId="0" fillId="12" borderId="67" xfId="1" applyNumberFormat="1" applyFont="1" applyFill="1" applyBorder="1"/>
    <xf numFmtId="10" fontId="30" fillId="23" borderId="60" xfId="0" applyNumberFormat="1" applyFont="1" applyFill="1" applyBorder="1" applyAlignment="1">
      <alignment horizontal="center" vertical="center" wrapText="1" readingOrder="1"/>
    </xf>
    <xf numFmtId="10" fontId="30" fillId="0" borderId="60" xfId="0" applyNumberFormat="1" applyFont="1" applyFill="1" applyBorder="1" applyAlignment="1">
      <alignment horizontal="center" vertical="center" wrapText="1" readingOrder="1"/>
    </xf>
    <xf numFmtId="17" fontId="6" fillId="34" borderId="6" xfId="0" applyNumberFormat="1" applyFont="1" applyFill="1" applyBorder="1" applyAlignment="1">
      <alignment horizontal="center" vertical="center" wrapText="1"/>
    </xf>
    <xf numFmtId="0" fontId="3" fillId="16" borderId="22" xfId="0" applyFont="1" applyFill="1" applyBorder="1" applyAlignment="1">
      <alignment horizontal="center" vertical="center"/>
    </xf>
    <xf numFmtId="1" fontId="0" fillId="0" borderId="63" xfId="0" applyNumberFormat="1" applyBorder="1" applyAlignment="1">
      <alignment horizontal="center" vertical="center"/>
    </xf>
    <xf numFmtId="0" fontId="3" fillId="0" borderId="109" xfId="0" applyFont="1" applyBorder="1" applyAlignment="1">
      <alignment horizontal="center" vertical="center"/>
    </xf>
    <xf numFmtId="0" fontId="3" fillId="0" borderId="3" xfId="0" applyFont="1" applyBorder="1" applyAlignment="1">
      <alignment vertical="center"/>
    </xf>
    <xf numFmtId="1" fontId="3" fillId="0" borderId="3" xfId="0" applyNumberFormat="1" applyFont="1" applyBorder="1" applyAlignment="1">
      <alignment horizontal="center" vertical="center"/>
    </xf>
    <xf numFmtId="168" fontId="3" fillId="0" borderId="3" xfId="0" applyNumberFormat="1" applyFont="1" applyBorder="1" applyAlignment="1">
      <alignment horizontal="center" vertical="center"/>
    </xf>
    <xf numFmtId="0" fontId="3" fillId="0" borderId="108" xfId="0" applyFont="1" applyBorder="1" applyAlignment="1">
      <alignment horizontal="center" vertical="center"/>
    </xf>
    <xf numFmtId="0" fontId="3" fillId="0" borderId="108" xfId="0" applyFont="1" applyBorder="1" applyAlignment="1">
      <alignment vertical="center"/>
    </xf>
    <xf numFmtId="1" fontId="3" fillId="0" borderId="108" xfId="0" applyNumberFormat="1" applyFont="1" applyBorder="1" applyAlignment="1">
      <alignment horizontal="center" vertical="center"/>
    </xf>
    <xf numFmtId="1" fontId="3" fillId="0" borderId="108" xfId="0" applyNumberFormat="1" applyFont="1" applyBorder="1" applyAlignment="1">
      <alignment vertical="center"/>
    </xf>
    <xf numFmtId="0" fontId="3" fillId="12" borderId="50" xfId="0" applyFont="1" applyFill="1" applyBorder="1" applyAlignment="1">
      <alignment horizontal="center" vertical="center"/>
    </xf>
    <xf numFmtId="0" fontId="3" fillId="12" borderId="20" xfId="0" applyFont="1" applyFill="1" applyBorder="1" applyAlignment="1">
      <alignment vertical="center"/>
    </xf>
    <xf numFmtId="1" fontId="26" fillId="12" borderId="20" xfId="0" applyNumberFormat="1" applyFont="1" applyFill="1" applyBorder="1" applyAlignment="1">
      <alignment horizontal="center" vertical="center"/>
    </xf>
    <xf numFmtId="0" fontId="3" fillId="16" borderId="5" xfId="0" applyFont="1" applyFill="1" applyBorder="1" applyAlignment="1">
      <alignment vertical="center"/>
    </xf>
    <xf numFmtId="0" fontId="0" fillId="0" borderId="24" xfId="0" applyBorder="1" applyAlignment="1">
      <alignment vertical="center"/>
    </xf>
    <xf numFmtId="168" fontId="3" fillId="0" borderId="1" xfId="0" applyNumberFormat="1" applyFont="1" applyBorder="1" applyAlignment="1">
      <alignment vertical="center"/>
    </xf>
    <xf numFmtId="1" fontId="26" fillId="12" borderId="20" xfId="0" applyNumberFormat="1" applyFont="1" applyFill="1" applyBorder="1" applyAlignment="1">
      <alignment vertical="center"/>
    </xf>
    <xf numFmtId="10" fontId="0" fillId="4" borderId="67" xfId="0" applyNumberFormat="1" applyFill="1" applyBorder="1" applyAlignment="1">
      <alignment horizontal="center"/>
    </xf>
    <xf numFmtId="10" fontId="0" fillId="4" borderId="68" xfId="0" applyNumberFormat="1" applyFill="1" applyBorder="1" applyAlignment="1">
      <alignment horizontal="center"/>
    </xf>
    <xf numFmtId="10" fontId="0" fillId="11" borderId="66" xfId="0" applyNumberFormat="1" applyFill="1" applyBorder="1" applyAlignment="1">
      <alignment horizontal="center"/>
    </xf>
    <xf numFmtId="10" fontId="0" fillId="11" borderId="67" xfId="0" applyNumberFormat="1" applyFill="1" applyBorder="1" applyAlignment="1">
      <alignment horizontal="center"/>
    </xf>
    <xf numFmtId="10" fontId="0" fillId="11" borderId="68" xfId="0" applyNumberFormat="1" applyFill="1" applyBorder="1" applyAlignment="1">
      <alignment horizontal="center"/>
    </xf>
    <xf numFmtId="10" fontId="10" fillId="0" borderId="79" xfId="0" applyNumberFormat="1" applyFont="1" applyBorder="1" applyAlignment="1">
      <alignment horizontal="center"/>
    </xf>
    <xf numFmtId="9" fontId="10" fillId="0" borderId="80" xfId="0" applyNumberFormat="1" applyFont="1" applyBorder="1" applyAlignment="1">
      <alignment horizontal="center"/>
    </xf>
    <xf numFmtId="10" fontId="10" fillId="0" borderId="77" xfId="0" applyNumberFormat="1" applyFont="1" applyBorder="1" applyAlignment="1">
      <alignment horizontal="center"/>
    </xf>
    <xf numFmtId="0" fontId="0" fillId="0" borderId="67" xfId="0" applyFont="1" applyBorder="1" applyAlignment="1">
      <alignment horizontal="center"/>
    </xf>
    <xf numFmtId="9" fontId="0" fillId="0" borderId="67" xfId="0" applyNumberFormat="1" applyFont="1" applyBorder="1" applyAlignment="1">
      <alignment horizontal="center"/>
    </xf>
    <xf numFmtId="9" fontId="0" fillId="0" borderId="67" xfId="1" applyFont="1" applyBorder="1" applyAlignment="1">
      <alignment horizontal="center"/>
    </xf>
    <xf numFmtId="9" fontId="21" fillId="0" borderId="0" xfId="0" applyNumberFormat="1" applyFont="1" applyAlignment="1">
      <alignment horizontal="center"/>
    </xf>
    <xf numFmtId="0" fontId="21" fillId="0" borderId="0" xfId="0" applyFont="1" applyAlignment="1">
      <alignment horizontal="center"/>
    </xf>
    <xf numFmtId="10" fontId="8" fillId="0" borderId="1" xfId="0" applyNumberFormat="1" applyFont="1" applyBorder="1" applyAlignment="1">
      <alignment horizontal="center"/>
    </xf>
    <xf numFmtId="10" fontId="10" fillId="0" borderId="1" xfId="0" applyNumberFormat="1" applyFont="1" applyBorder="1" applyAlignment="1">
      <alignment horizontal="center"/>
    </xf>
    <xf numFmtId="0" fontId="0" fillId="0" borderId="66" xfId="0" applyBorder="1" applyAlignment="1">
      <alignment horizontal="center"/>
    </xf>
    <xf numFmtId="0" fontId="0" fillId="0" borderId="67" xfId="0" applyBorder="1" applyAlignment="1">
      <alignment horizontal="center"/>
    </xf>
    <xf numFmtId="1" fontId="3" fillId="9" borderId="67" xfId="0" applyNumberFormat="1" applyFont="1" applyFill="1" applyBorder="1" applyAlignment="1">
      <alignment horizontal="center"/>
    </xf>
    <xf numFmtId="0" fontId="0" fillId="6" borderId="67" xfId="0" applyFill="1" applyBorder="1" applyAlignment="1">
      <alignment horizontal="center"/>
    </xf>
    <xf numFmtId="1" fontId="0" fillId="6" borderId="67" xfId="0" applyNumberFormat="1" applyFill="1" applyBorder="1" applyAlignment="1">
      <alignment horizontal="center"/>
    </xf>
    <xf numFmtId="1" fontId="0" fillId="0" borderId="67" xfId="0" applyNumberFormat="1" applyBorder="1" applyAlignment="1">
      <alignment horizontal="center"/>
    </xf>
    <xf numFmtId="1" fontId="3" fillId="6" borderId="67" xfId="0" applyNumberFormat="1" applyFont="1" applyFill="1" applyBorder="1" applyAlignment="1">
      <alignment horizontal="center"/>
    </xf>
    <xf numFmtId="0" fontId="0" fillId="11" borderId="67" xfId="0" applyFill="1" applyBorder="1" applyAlignment="1">
      <alignment horizontal="center"/>
    </xf>
    <xf numFmtId="1" fontId="0" fillId="6" borderId="66" xfId="0" applyNumberFormat="1" applyFill="1" applyBorder="1" applyAlignment="1">
      <alignment horizontal="center"/>
    </xf>
    <xf numFmtId="1" fontId="0" fillId="10" borderId="67" xfId="0" applyNumberFormat="1" applyFill="1" applyBorder="1" applyAlignment="1">
      <alignment horizontal="center"/>
    </xf>
    <xf numFmtId="0" fontId="0" fillId="6" borderId="66" xfId="0" applyFill="1" applyBorder="1" applyAlignment="1">
      <alignment horizontal="center"/>
    </xf>
    <xf numFmtId="0" fontId="0" fillId="6" borderId="67" xfId="0" applyFont="1" applyFill="1" applyBorder="1" applyAlignment="1">
      <alignment horizontal="center"/>
    </xf>
    <xf numFmtId="10" fontId="0" fillId="0" borderId="67" xfId="0" applyNumberFormat="1" applyBorder="1" applyAlignment="1">
      <alignment horizontal="center"/>
    </xf>
    <xf numFmtId="1" fontId="0" fillId="6" borderId="67" xfId="0" applyNumberFormat="1" applyFont="1" applyFill="1" applyBorder="1" applyAlignment="1">
      <alignment horizontal="center"/>
    </xf>
    <xf numFmtId="9" fontId="0" fillId="0" borderId="0" xfId="1" applyFont="1" applyBorder="1" applyAlignment="1">
      <alignment horizontal="center"/>
    </xf>
    <xf numFmtId="10" fontId="11" fillId="0" borderId="61" xfId="0" applyNumberFormat="1" applyFont="1" applyBorder="1" applyAlignment="1">
      <alignment horizontal="center" vertical="center"/>
    </xf>
    <xf numFmtId="10" fontId="9" fillId="0" borderId="4" xfId="0" applyNumberFormat="1" applyFont="1" applyBorder="1" applyAlignment="1">
      <alignment horizontal="center" vertical="center"/>
    </xf>
    <xf numFmtId="10" fontId="9" fillId="0" borderId="27" xfId="0" applyNumberFormat="1" applyFont="1" applyBorder="1" applyAlignment="1">
      <alignment horizontal="center" vertical="center"/>
    </xf>
    <xf numFmtId="10" fontId="16" fillId="0" borderId="4" xfId="0" applyNumberFormat="1" applyFont="1" applyBorder="1" applyAlignment="1">
      <alignment horizontal="center" vertical="center"/>
    </xf>
    <xf numFmtId="165" fontId="3" fillId="6" borderId="66" xfId="0" applyNumberFormat="1" applyFont="1" applyFill="1" applyBorder="1" applyAlignment="1">
      <alignment horizontal="center" vertical="center"/>
    </xf>
    <xf numFmtId="10" fontId="11" fillId="0" borderId="78" xfId="0" applyNumberFormat="1" applyFont="1" applyBorder="1" applyAlignment="1">
      <alignment horizontal="center" vertical="center"/>
    </xf>
    <xf numFmtId="165" fontId="3" fillId="9" borderId="67" xfId="0" applyNumberFormat="1" applyFont="1" applyFill="1" applyBorder="1" applyAlignment="1">
      <alignment horizontal="center" vertical="center"/>
    </xf>
    <xf numFmtId="2" fontId="0" fillId="4" borderId="67" xfId="0" applyNumberFormat="1" applyFill="1" applyBorder="1" applyAlignment="1">
      <alignment horizontal="center"/>
    </xf>
    <xf numFmtId="9" fontId="3" fillId="6" borderId="67" xfId="0" applyNumberFormat="1" applyFont="1" applyFill="1" applyBorder="1" applyAlignment="1">
      <alignment horizontal="center" vertical="center"/>
    </xf>
    <xf numFmtId="9" fontId="3" fillId="9" borderId="67" xfId="0" applyNumberFormat="1" applyFont="1" applyFill="1" applyBorder="1" applyAlignment="1">
      <alignment horizontal="center" vertical="center"/>
    </xf>
    <xf numFmtId="9" fontId="3" fillId="5" borderId="67" xfId="0" applyNumberFormat="1" applyFont="1" applyFill="1" applyBorder="1" applyAlignment="1">
      <alignment horizontal="center" vertical="center"/>
    </xf>
    <xf numFmtId="9" fontId="3" fillId="4" borderId="67" xfId="0" applyNumberFormat="1" applyFont="1" applyFill="1" applyBorder="1" applyAlignment="1">
      <alignment horizontal="center"/>
    </xf>
    <xf numFmtId="10" fontId="9" fillId="0" borderId="80" xfId="0" applyNumberFormat="1" applyFont="1" applyBorder="1" applyAlignment="1">
      <alignment horizontal="center" vertical="center"/>
    </xf>
    <xf numFmtId="165" fontId="3" fillId="6" borderId="67" xfId="0" applyNumberFormat="1" applyFont="1" applyFill="1" applyBorder="1" applyAlignment="1">
      <alignment horizontal="center" vertical="center"/>
    </xf>
    <xf numFmtId="2" fontId="0" fillId="0" borderId="67" xfId="0" applyNumberFormat="1" applyFill="1" applyBorder="1" applyAlignment="1">
      <alignment horizontal="center"/>
    </xf>
    <xf numFmtId="10" fontId="3" fillId="9" borderId="67" xfId="0" applyNumberFormat="1" applyFont="1" applyFill="1" applyBorder="1" applyAlignment="1">
      <alignment horizontal="center" vertical="center"/>
    </xf>
    <xf numFmtId="9" fontId="3" fillId="5" borderId="68" xfId="0" applyNumberFormat="1" applyFont="1" applyFill="1" applyBorder="1" applyAlignment="1">
      <alignment horizontal="center" vertical="center"/>
    </xf>
    <xf numFmtId="10" fontId="16" fillId="0" borderId="80" xfId="0" applyNumberFormat="1" applyFont="1" applyBorder="1" applyAlignment="1">
      <alignment horizontal="center" vertical="center"/>
    </xf>
    <xf numFmtId="165" fontId="0" fillId="0" borderId="68" xfId="0" applyNumberFormat="1" applyBorder="1" applyAlignment="1">
      <alignment horizontal="center"/>
    </xf>
    <xf numFmtId="9" fontId="0" fillId="0" borderId="66" xfId="1" applyFont="1" applyBorder="1" applyAlignment="1">
      <alignment horizontal="center"/>
    </xf>
    <xf numFmtId="9" fontId="0" fillId="10" borderId="68" xfId="1" applyFont="1" applyFill="1" applyBorder="1" applyAlignment="1">
      <alignment horizontal="center"/>
    </xf>
    <xf numFmtId="166" fontId="0" fillId="0" borderId="14" xfId="0" applyNumberFormat="1" applyFill="1" applyBorder="1" applyAlignment="1">
      <alignment horizontal="center"/>
    </xf>
    <xf numFmtId="1" fontId="0" fillId="0" borderId="0" xfId="0" applyNumberFormat="1" applyFill="1" applyBorder="1" applyAlignment="1">
      <alignment horizontal="center"/>
    </xf>
    <xf numFmtId="0" fontId="0" fillId="0" borderId="0" xfId="0" applyFont="1" applyFill="1" applyBorder="1"/>
    <xf numFmtId="10" fontId="8" fillId="4" borderId="1" xfId="0" applyNumberFormat="1" applyFont="1" applyFill="1" applyBorder="1" applyAlignment="1">
      <alignment horizontal="center" vertical="center"/>
    </xf>
    <xf numFmtId="10" fontId="8" fillId="6" borderId="1" xfId="0" applyNumberFormat="1" applyFont="1" applyFill="1" applyBorder="1" applyAlignment="1">
      <alignment horizontal="center" vertical="center"/>
    </xf>
    <xf numFmtId="9" fontId="8" fillId="21" borderId="1" xfId="1" applyNumberFormat="1" applyFont="1" applyFill="1" applyBorder="1" applyAlignment="1">
      <alignment horizontal="center" vertical="center"/>
    </xf>
    <xf numFmtId="17" fontId="5" fillId="3" borderId="6" xfId="0" applyNumberFormat="1" applyFont="1" applyFill="1" applyBorder="1" applyAlignment="1">
      <alignment horizontal="center" vertical="center" wrapText="1"/>
    </xf>
    <xf numFmtId="0" fontId="5" fillId="2" borderId="24" xfId="0" applyFont="1" applyFill="1" applyBorder="1" applyAlignment="1">
      <alignment horizontal="center" vertical="center" wrapText="1"/>
    </xf>
    <xf numFmtId="0" fontId="5" fillId="20" borderId="24" xfId="0" applyFont="1" applyFill="1" applyBorder="1" applyAlignment="1">
      <alignment horizontal="center" vertical="center" wrapText="1"/>
    </xf>
    <xf numFmtId="0" fontId="5" fillId="20" borderId="50" xfId="0" applyFont="1" applyFill="1" applyBorder="1" applyAlignment="1">
      <alignment horizontal="center" vertical="center" wrapText="1"/>
    </xf>
    <xf numFmtId="9" fontId="5" fillId="20" borderId="20" xfId="0" applyNumberFormat="1" applyFont="1" applyFill="1" applyBorder="1" applyAlignment="1">
      <alignment horizontal="center" vertical="center" wrapText="1"/>
    </xf>
    <xf numFmtId="9" fontId="5" fillId="20" borderId="20" xfId="1" applyNumberFormat="1" applyFont="1" applyFill="1" applyBorder="1" applyAlignment="1">
      <alignment horizontal="center" vertical="center" wrapText="1"/>
    </xf>
    <xf numFmtId="9" fontId="5" fillId="20" borderId="21" xfId="1" applyNumberFormat="1" applyFont="1" applyFill="1" applyBorder="1" applyAlignment="1">
      <alignment horizontal="center" vertical="center" wrapText="1"/>
    </xf>
    <xf numFmtId="10" fontId="30" fillId="13" borderId="60" xfId="0" applyNumberFormat="1" applyFont="1" applyFill="1" applyBorder="1" applyAlignment="1">
      <alignment horizontal="center" vertical="center" wrapText="1" readingOrder="1"/>
    </xf>
    <xf numFmtId="9" fontId="30" fillId="13" borderId="60" xfId="0" applyNumberFormat="1" applyFont="1" applyFill="1" applyBorder="1" applyAlignment="1">
      <alignment horizontal="center" vertical="center" wrapText="1" readingOrder="1"/>
    </xf>
    <xf numFmtId="0" fontId="0" fillId="35" borderId="113" xfId="0" applyFill="1" applyBorder="1" applyAlignment="1">
      <alignment horizontal="center" vertical="center"/>
    </xf>
    <xf numFmtId="0" fontId="0" fillId="35" borderId="113" xfId="0" applyFill="1" applyBorder="1" applyAlignment="1">
      <alignment horizontal="left" vertical="center"/>
    </xf>
    <xf numFmtId="49" fontId="0" fillId="35" borderId="113" xfId="0" applyNumberFormat="1" applyFill="1" applyBorder="1" applyAlignment="1">
      <alignment vertical="center"/>
    </xf>
    <xf numFmtId="1" fontId="0" fillId="10" borderId="0" xfId="0" applyNumberFormat="1" applyFill="1" applyBorder="1" applyAlignment="1">
      <alignment horizontal="center" vertical="center"/>
    </xf>
    <xf numFmtId="15" fontId="0" fillId="4" borderId="0" xfId="0" applyNumberFormat="1" applyFill="1" applyBorder="1" applyAlignment="1">
      <alignment vertical="center"/>
    </xf>
    <xf numFmtId="15" fontId="0" fillId="36" borderId="0" xfId="0" applyNumberFormat="1" applyFill="1" applyBorder="1" applyAlignment="1">
      <alignment vertical="center"/>
    </xf>
    <xf numFmtId="2" fontId="0" fillId="0" borderId="0" xfId="0" applyNumberFormat="1" applyBorder="1" applyAlignment="1">
      <alignment horizontal="center" vertical="center"/>
    </xf>
    <xf numFmtId="1" fontId="0" fillId="4" borderId="0" xfId="0" applyNumberFormat="1" applyFill="1" applyBorder="1" applyAlignment="1">
      <alignment horizontal="center" vertical="center"/>
    </xf>
    <xf numFmtId="1" fontId="0" fillId="0" borderId="9" xfId="0" applyNumberFormat="1" applyBorder="1" applyAlignment="1">
      <alignment horizontal="center" vertical="center"/>
    </xf>
    <xf numFmtId="0" fontId="0" fillId="10" borderId="0" xfId="0" applyFill="1" applyBorder="1" applyAlignment="1">
      <alignment vertical="center"/>
    </xf>
    <xf numFmtId="0" fontId="0" fillId="36" borderId="0" xfId="0" applyFill="1" applyBorder="1" applyAlignment="1">
      <alignment vertical="center"/>
    </xf>
    <xf numFmtId="0" fontId="2" fillId="0" borderId="8" xfId="0" applyFont="1" applyBorder="1" applyAlignment="1">
      <alignment vertical="center"/>
    </xf>
    <xf numFmtId="1" fontId="2" fillId="0" borderId="0" xfId="0" applyNumberFormat="1" applyFont="1" applyBorder="1" applyAlignment="1">
      <alignment horizontal="center" vertical="center"/>
    </xf>
    <xf numFmtId="0" fontId="2" fillId="4" borderId="0" xfId="0" applyFont="1" applyFill="1" applyBorder="1" applyAlignment="1">
      <alignment vertical="center"/>
    </xf>
    <xf numFmtId="0" fontId="2" fillId="36" borderId="0" xfId="0" applyFont="1" applyFill="1" applyBorder="1" applyAlignment="1">
      <alignment vertical="center"/>
    </xf>
    <xf numFmtId="0" fontId="2" fillId="0" borderId="0" xfId="0" applyFont="1" applyBorder="1" applyAlignment="1">
      <alignment horizontal="center" vertical="center"/>
    </xf>
    <xf numFmtId="1" fontId="2" fillId="0" borderId="9" xfId="0" applyNumberFormat="1" applyFont="1" applyBorder="1" applyAlignment="1">
      <alignment horizontal="center" vertical="center"/>
    </xf>
    <xf numFmtId="0" fontId="2" fillId="0" borderId="9" xfId="0" applyFont="1" applyBorder="1" applyAlignment="1">
      <alignment vertical="center"/>
    </xf>
    <xf numFmtId="0" fontId="3" fillId="17" borderId="10" xfId="0" applyFont="1" applyFill="1" applyBorder="1" applyAlignment="1">
      <alignment vertical="center"/>
    </xf>
    <xf numFmtId="0" fontId="3" fillId="17" borderId="11" xfId="0" applyFont="1" applyFill="1" applyBorder="1" applyAlignment="1">
      <alignment vertical="center"/>
    </xf>
    <xf numFmtId="0" fontId="3" fillId="16" borderId="46" xfId="0" applyFont="1" applyFill="1" applyBorder="1" applyAlignment="1">
      <alignment vertical="center"/>
    </xf>
    <xf numFmtId="49" fontId="5" fillId="29" borderId="57" xfId="0" applyNumberFormat="1" applyFont="1" applyFill="1" applyBorder="1" applyAlignment="1">
      <alignment horizontal="center" vertical="center" wrapText="1"/>
    </xf>
    <xf numFmtId="0" fontId="3" fillId="16" borderId="57" xfId="0" applyFont="1" applyFill="1" applyBorder="1" applyAlignment="1">
      <alignment horizontal="center" vertical="center"/>
    </xf>
    <xf numFmtId="167" fontId="3" fillId="16" borderId="57" xfId="0" applyNumberFormat="1" applyFont="1" applyFill="1" applyBorder="1" applyAlignment="1">
      <alignment horizontal="center" vertical="center"/>
    </xf>
    <xf numFmtId="49" fontId="5" fillId="29" borderId="114" xfId="0" applyNumberFormat="1" applyFont="1" applyFill="1" applyBorder="1" applyAlignment="1">
      <alignment horizontal="center" vertical="center" wrapText="1"/>
    </xf>
    <xf numFmtId="1" fontId="3" fillId="4" borderId="57" xfId="0" applyNumberFormat="1" applyFont="1" applyFill="1" applyBorder="1" applyAlignment="1">
      <alignment horizontal="center" vertical="center"/>
    </xf>
    <xf numFmtId="1" fontId="3" fillId="4" borderId="47" xfId="0" applyNumberFormat="1" applyFont="1" applyFill="1" applyBorder="1" applyAlignment="1">
      <alignment horizontal="center" vertical="center"/>
    </xf>
    <xf numFmtId="49" fontId="5" fillId="29" borderId="46" xfId="0" applyNumberFormat="1" applyFont="1" applyFill="1" applyBorder="1" applyAlignment="1">
      <alignment horizontal="center" vertical="center" wrapText="1"/>
    </xf>
    <xf numFmtId="0" fontId="3" fillId="0" borderId="57" xfId="0" applyFont="1" applyBorder="1" applyAlignment="1">
      <alignment vertical="center"/>
    </xf>
    <xf numFmtId="0" fontId="3" fillId="0" borderId="47" xfId="0" applyFont="1" applyBorder="1" applyAlignment="1">
      <alignment vertical="center"/>
    </xf>
    <xf numFmtId="168" fontId="3" fillId="0" borderId="2" xfId="0" applyNumberFormat="1" applyFont="1" applyBorder="1" applyAlignment="1">
      <alignment horizontal="center" vertical="center"/>
    </xf>
    <xf numFmtId="168" fontId="3" fillId="0" borderId="19" xfId="0" applyNumberFormat="1" applyFont="1" applyBorder="1" applyAlignment="1">
      <alignment horizontal="center" vertical="center"/>
    </xf>
    <xf numFmtId="1" fontId="26" fillId="13" borderId="52" xfId="0" applyNumberFormat="1" applyFont="1" applyFill="1" applyBorder="1" applyAlignment="1">
      <alignment horizontal="center" vertical="center"/>
    </xf>
    <xf numFmtId="1" fontId="26" fillId="12" borderId="52" xfId="0" applyNumberFormat="1" applyFont="1" applyFill="1" applyBorder="1" applyAlignment="1">
      <alignment horizontal="center" vertical="center"/>
    </xf>
    <xf numFmtId="1" fontId="0" fillId="6" borderId="0" xfId="0" applyNumberFormat="1" applyFill="1" applyBorder="1" applyAlignment="1">
      <alignment vertical="center"/>
    </xf>
    <xf numFmtId="1" fontId="21" fillId="0" borderId="0" xfId="0" applyNumberFormat="1" applyFont="1" applyBorder="1" applyAlignment="1">
      <alignment horizontal="center" vertical="center"/>
    </xf>
    <xf numFmtId="0" fontId="21" fillId="0" borderId="0" xfId="0" applyFont="1" applyBorder="1" applyAlignment="1">
      <alignment horizontal="center" vertical="center"/>
    </xf>
    <xf numFmtId="1" fontId="0" fillId="10" borderId="0" xfId="0" applyNumberFormat="1" applyFill="1" applyBorder="1" applyAlignment="1">
      <alignment vertical="center"/>
    </xf>
    <xf numFmtId="0" fontId="0" fillId="35" borderId="115" xfId="0" applyFill="1" applyBorder="1" applyAlignment="1">
      <alignment horizontal="center" vertical="center"/>
    </xf>
    <xf numFmtId="0" fontId="0" fillId="35" borderId="115" xfId="0" applyFill="1" applyBorder="1" applyAlignment="1">
      <alignment horizontal="left" vertical="center"/>
    </xf>
    <xf numFmtId="49" fontId="0" fillId="35" borderId="115" xfId="0" applyNumberFormat="1" applyFill="1" applyBorder="1" applyAlignment="1">
      <alignment vertical="center"/>
    </xf>
    <xf numFmtId="1" fontId="26" fillId="12" borderId="56" xfId="0" applyNumberFormat="1" applyFont="1" applyFill="1" applyBorder="1" applyAlignment="1">
      <alignment horizontal="center" vertical="center"/>
    </xf>
    <xf numFmtId="1" fontId="26" fillId="13" borderId="56" xfId="0" applyNumberFormat="1" applyFont="1" applyFill="1" applyBorder="1" applyAlignment="1">
      <alignment horizontal="center" vertical="center"/>
    </xf>
    <xf numFmtId="1" fontId="26" fillId="13" borderId="81"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15" fontId="0" fillId="0" borderId="0" xfId="0" applyNumberFormat="1" applyFill="1" applyBorder="1" applyAlignment="1">
      <alignment vertical="center"/>
    </xf>
    <xf numFmtId="2" fontId="0" fillId="0" borderId="0" xfId="0" applyNumberFormat="1" applyFill="1" applyBorder="1" applyAlignment="1">
      <alignment vertical="center"/>
    </xf>
    <xf numFmtId="168" fontId="3" fillId="0" borderId="0" xfId="0" applyNumberFormat="1" applyFont="1" applyFill="1" applyBorder="1" applyAlignment="1">
      <alignment horizontal="center" vertical="center"/>
    </xf>
    <xf numFmtId="1" fontId="0" fillId="0" borderId="0" xfId="0" applyNumberFormat="1" applyFill="1" applyBorder="1" applyAlignment="1">
      <alignment horizontal="center" vertical="center"/>
    </xf>
    <xf numFmtId="0" fontId="0" fillId="0" borderId="0" xfId="0" applyFill="1" applyBorder="1" applyAlignment="1">
      <alignment vertical="center"/>
    </xf>
    <xf numFmtId="0" fontId="2" fillId="0" borderId="0" xfId="0" applyFont="1" applyFill="1" applyBorder="1" applyAlignment="1">
      <alignment vertical="center"/>
    </xf>
    <xf numFmtId="1" fontId="21" fillId="0" borderId="0" xfId="0" applyNumberFormat="1" applyFont="1" applyFill="1" applyBorder="1" applyAlignment="1">
      <alignment horizontal="center" vertical="center"/>
    </xf>
    <xf numFmtId="1" fontId="3" fillId="0" borderId="2" xfId="0" applyNumberFormat="1" applyFont="1" applyBorder="1" applyAlignment="1">
      <alignment horizontal="center" vertical="center"/>
    </xf>
    <xf numFmtId="15" fontId="3" fillId="0" borderId="2" xfId="0" applyNumberFormat="1" applyFont="1" applyBorder="1" applyAlignment="1">
      <alignment vertical="center"/>
    </xf>
    <xf numFmtId="1" fontId="26" fillId="12" borderId="116" xfId="0" applyNumberFormat="1" applyFont="1" applyFill="1" applyBorder="1" applyAlignment="1">
      <alignment horizontal="center" vertical="center"/>
    </xf>
    <xf numFmtId="1" fontId="3" fillId="17" borderId="52" xfId="0" applyNumberFormat="1" applyFont="1" applyFill="1" applyBorder="1" applyAlignment="1">
      <alignment horizontal="center" vertical="center"/>
    </xf>
    <xf numFmtId="0" fontId="3" fillId="17" borderId="52" xfId="0" applyFont="1" applyFill="1" applyBorder="1" applyAlignment="1">
      <alignment horizontal="center" vertical="center"/>
    </xf>
    <xf numFmtId="0" fontId="3" fillId="17" borderId="52" xfId="0" applyFont="1" applyFill="1" applyBorder="1" applyAlignment="1">
      <alignment vertical="center"/>
    </xf>
    <xf numFmtId="0" fontId="3"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left" vertical="center"/>
    </xf>
    <xf numFmtId="49" fontId="0" fillId="0" borderId="0" xfId="0" applyNumberFormat="1" applyFill="1" applyBorder="1" applyAlignment="1">
      <alignment vertical="center"/>
    </xf>
    <xf numFmtId="15" fontId="3" fillId="0" borderId="0" xfId="0" applyNumberFormat="1" applyFont="1" applyFill="1" applyBorder="1" applyAlignment="1">
      <alignment vertical="center"/>
    </xf>
    <xf numFmtId="0" fontId="2" fillId="0" borderId="0" xfId="0" applyFont="1" applyFill="1" applyBorder="1" applyAlignment="1">
      <alignment horizontal="center" vertical="center"/>
    </xf>
    <xf numFmtId="1" fontId="2" fillId="0" borderId="0" xfId="0" applyNumberFormat="1" applyFont="1" applyFill="1" applyBorder="1" applyAlignment="1">
      <alignment horizontal="center" vertical="center"/>
    </xf>
    <xf numFmtId="0" fontId="21" fillId="0" borderId="0" xfId="0" applyFont="1" applyFill="1" applyBorder="1" applyAlignment="1">
      <alignment horizontal="center" vertical="center"/>
    </xf>
    <xf numFmtId="0" fontId="3" fillId="16" borderId="4" xfId="0" applyFont="1" applyFill="1" applyBorder="1" applyAlignment="1">
      <alignment horizontal="center" vertical="center"/>
    </xf>
    <xf numFmtId="0" fontId="0" fillId="12" borderId="0" xfId="0" applyFill="1" applyBorder="1" applyAlignment="1">
      <alignment horizontal="center" vertical="center"/>
    </xf>
    <xf numFmtId="0" fontId="3" fillId="16" borderId="117" xfId="0" applyFont="1" applyFill="1" applyBorder="1" applyAlignment="1">
      <alignment vertical="center"/>
    </xf>
    <xf numFmtId="0" fontId="0" fillId="0" borderId="63" xfId="0" applyBorder="1" applyAlignment="1">
      <alignment horizontal="center" vertical="center"/>
    </xf>
    <xf numFmtId="1" fontId="0" fillId="12" borderId="63" xfId="0" applyNumberFormat="1" applyFill="1" applyBorder="1" applyAlignment="1">
      <alignment horizontal="center" vertical="center"/>
    </xf>
    <xf numFmtId="1" fontId="26" fillId="12" borderId="118" xfId="0" applyNumberFormat="1" applyFont="1" applyFill="1" applyBorder="1" applyAlignment="1">
      <alignment horizontal="center" vertical="center"/>
    </xf>
    <xf numFmtId="0" fontId="3" fillId="16" borderId="22" xfId="0" applyFont="1" applyFill="1" applyBorder="1" applyAlignment="1">
      <alignment vertical="center"/>
    </xf>
    <xf numFmtId="1" fontId="3" fillId="0" borderId="0" xfId="0" applyNumberFormat="1" applyFont="1" applyBorder="1" applyAlignment="1">
      <alignment vertical="center"/>
    </xf>
    <xf numFmtId="0" fontId="3" fillId="0" borderId="63" xfId="0" applyFont="1" applyBorder="1" applyAlignment="1">
      <alignment horizontal="center" vertical="center"/>
    </xf>
    <xf numFmtId="49" fontId="57" fillId="0" borderId="119" xfId="0" applyNumberFormat="1" applyFont="1" applyBorder="1" applyAlignment="1">
      <alignment horizontal="left" vertical="center" wrapText="1"/>
    </xf>
    <xf numFmtId="0" fontId="58" fillId="37" borderId="0" xfId="0" applyFont="1" applyFill="1" applyAlignment="1">
      <alignment horizontal="left" vertical="center" wrapText="1"/>
    </xf>
    <xf numFmtId="0" fontId="58" fillId="37" borderId="0" xfId="0" applyFont="1" applyFill="1" applyAlignment="1" applyProtection="1">
      <alignment vertical="center" wrapText="1"/>
      <protection locked="0"/>
    </xf>
    <xf numFmtId="171" fontId="58" fillId="37" borderId="0" xfId="0" applyNumberFormat="1" applyFont="1" applyFill="1" applyAlignment="1" applyProtection="1">
      <alignment vertical="center" wrapText="1"/>
      <protection locked="0"/>
    </xf>
    <xf numFmtId="0" fontId="59" fillId="0" borderId="0" xfId="0" applyFont="1" applyAlignment="1" applyProtection="1">
      <alignment vertical="center"/>
      <protection locked="0"/>
    </xf>
    <xf numFmtId="0" fontId="60" fillId="0" borderId="120" xfId="0" applyFont="1" applyBorder="1" applyAlignment="1">
      <alignment horizontal="left" vertical="center"/>
    </xf>
    <xf numFmtId="0" fontId="5" fillId="0" borderId="120" xfId="0" applyFont="1" applyBorder="1" applyAlignment="1">
      <alignment vertical="center" wrapText="1"/>
    </xf>
    <xf numFmtId="0" fontId="5" fillId="0" borderId="120" xfId="0" applyFont="1" applyBorder="1" applyAlignment="1">
      <alignment vertical="center"/>
    </xf>
    <xf numFmtId="15" fontId="5" fillId="0" borderId="120" xfId="0" applyNumberFormat="1" applyFont="1" applyBorder="1" applyAlignment="1">
      <alignment vertical="center"/>
    </xf>
    <xf numFmtId="0" fontId="61" fillId="0" borderId="0" xfId="0" applyFont="1" applyAlignment="1" applyProtection="1">
      <alignment vertical="center"/>
      <protection locked="0"/>
    </xf>
    <xf numFmtId="0" fontId="61" fillId="0" borderId="120" xfId="0" applyFont="1" applyBorder="1" applyAlignment="1" applyProtection="1">
      <alignment vertical="center" wrapText="1"/>
      <protection locked="0"/>
    </xf>
    <xf numFmtId="0" fontId="62" fillId="0" borderId="120" xfId="0" applyFont="1" applyBorder="1" applyAlignment="1">
      <alignment horizontal="left" vertical="center"/>
    </xf>
    <xf numFmtId="0" fontId="63" fillId="0" borderId="120" xfId="0" applyFont="1" applyBorder="1" applyAlignment="1" applyProtection="1">
      <alignment vertical="center" wrapText="1"/>
      <protection locked="0"/>
    </xf>
    <xf numFmtId="0" fontId="64" fillId="0" borderId="120" xfId="0" applyFont="1" applyBorder="1" applyAlignment="1">
      <alignment vertical="center" wrapText="1"/>
    </xf>
    <xf numFmtId="0" fontId="64" fillId="0" borderId="120" xfId="0" applyFont="1" applyBorder="1" applyAlignment="1">
      <alignment vertical="center"/>
    </xf>
    <xf numFmtId="15" fontId="64" fillId="0" borderId="120" xfId="0" applyNumberFormat="1" applyFont="1" applyBorder="1" applyAlignment="1">
      <alignment vertical="center"/>
    </xf>
    <xf numFmtId="0" fontId="63" fillId="0" borderId="0" xfId="0" applyFont="1" applyAlignment="1" applyProtection="1">
      <alignment vertical="center"/>
      <protection locked="0"/>
    </xf>
    <xf numFmtId="0" fontId="60" fillId="4" borderId="120" xfId="0" applyFont="1" applyFill="1" applyBorder="1" applyAlignment="1">
      <alignment horizontal="left" vertical="center"/>
    </xf>
    <xf numFmtId="0" fontId="61" fillId="4" borderId="120" xfId="0" applyFont="1" applyFill="1" applyBorder="1" applyAlignment="1" applyProtection="1">
      <alignment vertical="center" wrapText="1"/>
      <protection locked="0"/>
    </xf>
    <xf numFmtId="0" fontId="5" fillId="4" borderId="120" xfId="0" applyFont="1" applyFill="1" applyBorder="1" applyAlignment="1">
      <alignment vertical="center" wrapText="1"/>
    </xf>
    <xf numFmtId="0" fontId="17" fillId="4" borderId="121" xfId="0" applyFont="1" applyFill="1" applyBorder="1" applyAlignment="1">
      <alignment wrapText="1"/>
    </xf>
    <xf numFmtId="0" fontId="64" fillId="4" borderId="120" xfId="0" applyFont="1" applyFill="1" applyBorder="1" applyAlignment="1">
      <alignment vertical="center" wrapText="1"/>
    </xf>
    <xf numFmtId="0" fontId="62" fillId="0" borderId="0" xfId="0" applyFont="1" applyAlignment="1">
      <alignment horizontal="left" vertical="center"/>
    </xf>
    <xf numFmtId="0" fontId="63" fillId="0" borderId="0" xfId="0" applyFont="1" applyAlignment="1" applyProtection="1">
      <alignment vertical="center" wrapText="1"/>
      <protection locked="0"/>
    </xf>
    <xf numFmtId="171" fontId="63" fillId="0" borderId="0" xfId="0" applyNumberFormat="1" applyFont="1" applyAlignment="1" applyProtection="1">
      <alignment vertical="center"/>
      <protection locked="0"/>
    </xf>
    <xf numFmtId="49" fontId="5" fillId="29" borderId="122" xfId="0" applyNumberFormat="1" applyFont="1" applyFill="1" applyBorder="1" applyAlignment="1">
      <alignment horizontal="center" vertical="center" wrapText="1"/>
    </xf>
    <xf numFmtId="0" fontId="0" fillId="0" borderId="0" xfId="0" applyAlignment="1">
      <alignment horizontal="center" vertical="center" wrapText="1"/>
    </xf>
    <xf numFmtId="1" fontId="63" fillId="0" borderId="1" xfId="0" applyNumberFormat="1" applyFont="1" applyBorder="1" applyAlignment="1">
      <alignment horizontal="center" vertical="center"/>
    </xf>
    <xf numFmtId="49" fontId="63" fillId="0" borderId="1" xfId="0" applyNumberFormat="1" applyFont="1" applyBorder="1" applyAlignment="1">
      <alignment horizontal="left" vertical="center" wrapText="1"/>
    </xf>
    <xf numFmtId="49" fontId="63" fillId="0" borderId="1" xfId="0" applyNumberFormat="1" applyFont="1" applyBorder="1" applyAlignment="1">
      <alignment horizontal="center" vertical="center"/>
    </xf>
    <xf numFmtId="171" fontId="0" fillId="0" borderId="0" xfId="0" applyNumberFormat="1" applyAlignment="1">
      <alignment vertical="center"/>
    </xf>
    <xf numFmtId="0" fontId="65" fillId="0" borderId="0" xfId="0" applyFont="1" applyAlignment="1">
      <alignment horizontal="center" vertical="center" wrapText="1"/>
    </xf>
    <xf numFmtId="172" fontId="0" fillId="0" borderId="0" xfId="0" applyNumberFormat="1" applyAlignment="1">
      <alignment vertical="center" wrapText="1"/>
    </xf>
    <xf numFmtId="171" fontId="3" fillId="0" borderId="0" xfId="0" applyNumberFormat="1" applyFont="1" applyAlignment="1">
      <alignment horizontal="center" vertical="center" wrapText="1"/>
    </xf>
    <xf numFmtId="172" fontId="0" fillId="0" borderId="0" xfId="0" applyNumberFormat="1" applyAlignment="1">
      <alignment horizontal="center" vertical="center" wrapText="1"/>
    </xf>
    <xf numFmtId="0" fontId="21" fillId="0" borderId="0" xfId="0" applyFont="1" applyAlignment="1">
      <alignment horizontal="left" vertical="center" wrapText="1"/>
    </xf>
    <xf numFmtId="171" fontId="66" fillId="0" borderId="0" xfId="0" applyNumberFormat="1" applyFont="1" applyAlignment="1">
      <alignment horizontal="center" vertical="center"/>
    </xf>
    <xf numFmtId="171" fontId="3" fillId="0" borderId="0" xfId="0" applyNumberFormat="1" applyFont="1" applyAlignment="1">
      <alignment horizontal="center" vertical="center"/>
    </xf>
    <xf numFmtId="0" fontId="67" fillId="0" borderId="0" xfId="0" applyFont="1" applyAlignment="1">
      <alignment wrapText="1"/>
    </xf>
    <xf numFmtId="171" fontId="10" fillId="0" borderId="0" xfId="0" applyNumberFormat="1" applyFont="1" applyAlignment="1">
      <alignment horizontal="center" vertical="center" wrapText="1"/>
    </xf>
    <xf numFmtId="15" fontId="0" fillId="0" borderId="0" xfId="0" applyNumberFormat="1" applyAlignment="1">
      <alignment vertical="center" wrapText="1"/>
    </xf>
    <xf numFmtId="15" fontId="0" fillId="0" borderId="0" xfId="0" applyNumberFormat="1" applyAlignment="1">
      <alignment horizontal="center" vertical="center" wrapText="1"/>
    </xf>
    <xf numFmtId="15" fontId="67" fillId="0" borderId="0" xfId="0" applyNumberFormat="1" applyFont="1" applyAlignment="1">
      <alignment vertical="center" wrapText="1"/>
    </xf>
    <xf numFmtId="0" fontId="67"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49" fontId="64" fillId="29" borderId="0" xfId="0" applyNumberFormat="1" applyFont="1" applyFill="1" applyAlignment="1">
      <alignment horizontal="center" vertical="center" wrapText="1"/>
    </xf>
    <xf numFmtId="171" fontId="64" fillId="29" borderId="0" xfId="0" applyNumberFormat="1" applyFont="1" applyFill="1" applyAlignment="1">
      <alignment horizontal="center" vertical="center" wrapText="1"/>
    </xf>
    <xf numFmtId="49" fontId="3" fillId="29" borderId="1" xfId="0" applyNumberFormat="1" applyFont="1" applyFill="1" applyBorder="1" applyAlignment="1">
      <alignment horizontal="center" vertical="center"/>
    </xf>
    <xf numFmtId="49" fontId="5" fillId="29" borderId="64" xfId="0" applyNumberFormat="1" applyFont="1" applyFill="1" applyBorder="1" applyAlignment="1">
      <alignment horizontal="center" vertical="center" wrapText="1"/>
    </xf>
    <xf numFmtId="49" fontId="5" fillId="29" borderId="1" xfId="1" applyNumberFormat="1" applyFont="1" applyFill="1" applyBorder="1" applyAlignment="1">
      <alignment horizontal="center" vertical="center" wrapText="1"/>
    </xf>
    <xf numFmtId="49" fontId="0" fillId="0" borderId="1" xfId="0" applyNumberFormat="1" applyBorder="1" applyAlignment="1">
      <alignment vertical="center"/>
    </xf>
    <xf numFmtId="49" fontId="0" fillId="0" borderId="2" xfId="0" applyNumberFormat="1" applyBorder="1"/>
    <xf numFmtId="1" fontId="0" fillId="0" borderId="1" xfId="0" applyNumberFormat="1" applyBorder="1" applyAlignment="1">
      <alignment horizontal="center" vertical="center" wrapText="1"/>
    </xf>
    <xf numFmtId="49" fontId="0" fillId="0" borderId="62" xfId="0" applyNumberFormat="1" applyBorder="1"/>
    <xf numFmtId="0" fontId="3" fillId="0" borderId="63" xfId="0" applyFont="1" applyBorder="1" applyAlignment="1">
      <alignment horizontal="center" vertical="center" wrapText="1"/>
    </xf>
    <xf numFmtId="1" fontId="3" fillId="0" borderId="1" xfId="0" applyNumberFormat="1" applyFont="1" applyBorder="1" applyAlignment="1">
      <alignment horizontal="center" vertical="center" wrapText="1"/>
    </xf>
    <xf numFmtId="49" fontId="0" fillId="0" borderId="1" xfId="0" applyNumberFormat="1" applyBorder="1"/>
    <xf numFmtId="0" fontId="0" fillId="0" borderId="1" xfId="0" applyBorder="1" applyAlignment="1">
      <alignment horizontal="center" vertical="center" wrapText="1"/>
    </xf>
    <xf numFmtId="9" fontId="63" fillId="0" borderId="1" xfId="1" applyFont="1" applyFill="1" applyBorder="1" applyAlignment="1">
      <alignment horizontal="center" vertical="center" wrapText="1"/>
    </xf>
    <xf numFmtId="49" fontId="0" fillId="0" borderId="4" xfId="0" applyNumberFormat="1" applyBorder="1"/>
    <xf numFmtId="0" fontId="3" fillId="29" borderId="4" xfId="0" applyFont="1" applyFill="1" applyBorder="1" applyAlignment="1">
      <alignment vertical="center"/>
    </xf>
    <xf numFmtId="0" fontId="3" fillId="29" borderId="27" xfId="0" applyFont="1" applyFill="1" applyBorder="1" applyAlignment="1">
      <alignment vertical="center"/>
    </xf>
    <xf numFmtId="0" fontId="3" fillId="29" borderId="4" xfId="0" applyFont="1" applyFill="1" applyBorder="1" applyAlignment="1">
      <alignment horizontal="center" vertical="center"/>
    </xf>
    <xf numFmtId="0" fontId="3" fillId="29" borderId="1" xfId="0" applyFont="1" applyFill="1" applyBorder="1" applyAlignment="1">
      <alignment horizontal="center" vertical="center"/>
    </xf>
    <xf numFmtId="1" fontId="3" fillId="29" borderId="1" xfId="0" applyNumberFormat="1" applyFont="1" applyFill="1" applyBorder="1" applyAlignment="1">
      <alignment horizontal="center" vertical="center"/>
    </xf>
    <xf numFmtId="0" fontId="68" fillId="2" borderId="123" xfId="0" applyFont="1" applyFill="1" applyBorder="1" applyAlignment="1">
      <alignment horizontal="center" vertical="center"/>
    </xf>
    <xf numFmtId="0" fontId="68" fillId="2" borderId="124" xfId="0" applyFont="1" applyFill="1" applyBorder="1" applyAlignment="1">
      <alignment horizontal="center" vertical="center"/>
    </xf>
    <xf numFmtId="171" fontId="68" fillId="2" borderId="124" xfId="0" applyNumberFormat="1" applyFont="1" applyFill="1" applyBorder="1" applyAlignment="1">
      <alignment horizontal="center" vertical="center"/>
    </xf>
    <xf numFmtId="0" fontId="68" fillId="2" borderId="125" xfId="0" applyFont="1" applyFill="1" applyBorder="1" applyAlignment="1">
      <alignment horizontal="center" vertical="center"/>
    </xf>
    <xf numFmtId="0" fontId="69" fillId="38" borderId="126" xfId="0" applyFont="1" applyFill="1" applyBorder="1" applyAlignment="1">
      <alignment horizontal="center" vertical="center"/>
    </xf>
    <xf numFmtId="0" fontId="69" fillId="38" borderId="127" xfId="0" applyFont="1" applyFill="1" applyBorder="1" applyAlignment="1">
      <alignment vertical="center"/>
    </xf>
    <xf numFmtId="0" fontId="70" fillId="38" borderId="128" xfId="0" applyFont="1" applyFill="1" applyBorder="1" applyAlignment="1">
      <alignment vertical="center" wrapText="1"/>
    </xf>
    <xf numFmtId="171" fontId="70" fillId="39" borderId="128" xfId="0" applyNumberFormat="1" applyFont="1" applyFill="1" applyBorder="1" applyAlignment="1">
      <alignment vertical="center" wrapText="1"/>
    </xf>
    <xf numFmtId="0" fontId="71" fillId="38" borderId="129" xfId="0" applyFont="1" applyFill="1" applyBorder="1" applyAlignment="1">
      <alignment vertical="center" wrapText="1"/>
    </xf>
    <xf numFmtId="0" fontId="69" fillId="0" borderId="126" xfId="0" applyFont="1" applyBorder="1" applyAlignment="1">
      <alignment horizontal="center" vertical="center"/>
    </xf>
    <xf numFmtId="0" fontId="69" fillId="0" borderId="127" xfId="0" applyFont="1" applyBorder="1" applyAlignment="1">
      <alignment vertical="center"/>
    </xf>
    <xf numFmtId="0" fontId="70" fillId="0" borderId="128" xfId="0" applyFont="1" applyBorder="1" applyAlignment="1">
      <alignment vertical="center" wrapText="1"/>
    </xf>
    <xf numFmtId="171" fontId="70" fillId="0" borderId="128" xfId="0" applyNumberFormat="1" applyFont="1" applyBorder="1" applyAlignment="1">
      <alignment vertical="center" wrapText="1"/>
    </xf>
    <xf numFmtId="0" fontId="71" fillId="0" borderId="129" xfId="0" applyFont="1" applyBorder="1" applyAlignment="1">
      <alignment vertical="center" wrapText="1"/>
    </xf>
    <xf numFmtId="171" fontId="0" fillId="0" borderId="0" xfId="0" applyNumberFormat="1" applyAlignment="1">
      <alignment horizontal="center" vertical="center"/>
    </xf>
    <xf numFmtId="49" fontId="5" fillId="29" borderId="130" xfId="0" applyNumberFormat="1" applyFont="1" applyFill="1" applyBorder="1" applyAlignment="1">
      <alignment horizontal="center" vertical="center" wrapText="1"/>
    </xf>
    <xf numFmtId="171" fontId="5" fillId="29" borderId="130" xfId="0" applyNumberFormat="1" applyFont="1" applyFill="1" applyBorder="1" applyAlignment="1">
      <alignment horizontal="center" vertical="center" wrapText="1"/>
    </xf>
    <xf numFmtId="0" fontId="3" fillId="0" borderId="0" xfId="0" applyFont="1" applyAlignment="1">
      <alignment vertical="center" wrapText="1"/>
    </xf>
    <xf numFmtId="0" fontId="0" fillId="0" borderId="130" xfId="0" applyBorder="1" applyAlignment="1">
      <alignment horizontal="center" vertical="center"/>
    </xf>
    <xf numFmtId="0" fontId="0" fillId="0" borderId="130" xfId="0" applyBorder="1" applyAlignment="1">
      <alignment horizontal="left" vertical="center"/>
    </xf>
    <xf numFmtId="171" fontId="0" fillId="0" borderId="130" xfId="0" applyNumberFormat="1" applyBorder="1" applyAlignment="1">
      <alignment horizontal="left" vertical="center" wrapText="1"/>
    </xf>
    <xf numFmtId="171" fontId="0" fillId="0" borderId="130" xfId="0" applyNumberFormat="1" applyBorder="1" applyAlignment="1">
      <alignment horizontal="center" vertical="center" wrapText="1"/>
    </xf>
    <xf numFmtId="15" fontId="0" fillId="0" borderId="130" xfId="0" applyNumberFormat="1" applyBorder="1" applyAlignment="1">
      <alignment horizontal="center" vertical="center" wrapText="1"/>
    </xf>
    <xf numFmtId="167" fontId="16" fillId="0" borderId="130" xfId="0" applyNumberFormat="1" applyFont="1" applyBorder="1" applyAlignment="1">
      <alignment horizontal="center" vertical="center"/>
    </xf>
    <xf numFmtId="171" fontId="16" fillId="0" borderId="130" xfId="0" applyNumberFormat="1" applyFont="1" applyBorder="1" applyAlignment="1">
      <alignment horizontal="center" vertical="center"/>
    </xf>
    <xf numFmtId="49" fontId="5" fillId="29" borderId="0" xfId="0" applyNumberFormat="1" applyFont="1" applyFill="1" applyAlignment="1">
      <alignment horizontal="center" vertical="center"/>
    </xf>
    <xf numFmtId="17" fontId="0" fillId="0" borderId="0" xfId="0" applyNumberFormat="1" applyAlignment="1">
      <alignment horizontal="center" vertical="center"/>
    </xf>
    <xf numFmtId="2" fontId="0" fillId="0" borderId="0" xfId="0" applyNumberFormat="1" applyAlignment="1">
      <alignment horizontal="center" vertical="center"/>
    </xf>
    <xf numFmtId="0" fontId="3" fillId="4" borderId="1" xfId="0" applyFont="1" applyFill="1" applyBorder="1" applyAlignment="1">
      <alignment horizontal="center" vertical="center"/>
    </xf>
    <xf numFmtId="0" fontId="3" fillId="0" borderId="0" xfId="0" applyFont="1" applyAlignment="1">
      <alignment horizontal="center" vertical="center"/>
    </xf>
    <xf numFmtId="0" fontId="0" fillId="0" borderId="1" xfId="0" applyBorder="1" applyAlignment="1">
      <alignment vertical="center" wrapText="1"/>
    </xf>
    <xf numFmtId="0" fontId="72" fillId="0" borderId="1" xfId="0" applyFont="1" applyBorder="1" applyAlignment="1">
      <alignment vertical="center" wrapText="1"/>
    </xf>
    <xf numFmtId="0" fontId="3" fillId="0" borderId="131" xfId="0" applyFont="1" applyBorder="1" applyAlignment="1">
      <alignment horizontal="center" vertical="center"/>
    </xf>
    <xf numFmtId="0" fontId="0" fillId="0" borderId="131" xfId="0" applyBorder="1" applyAlignment="1">
      <alignment horizontal="center" vertical="center"/>
    </xf>
    <xf numFmtId="0" fontId="58" fillId="40" borderId="1" xfId="0" applyFont="1" applyFill="1" applyBorder="1" applyAlignment="1">
      <alignment horizontal="center" vertical="center" wrapText="1"/>
    </xf>
    <xf numFmtId="173" fontId="58" fillId="11" borderId="1" xfId="0" applyNumberFormat="1" applyFont="1" applyFill="1" applyBorder="1" applyAlignment="1">
      <alignment horizontal="center" vertical="center" wrapText="1"/>
    </xf>
    <xf numFmtId="173" fontId="58" fillId="40" borderId="1" xfId="0" applyNumberFormat="1" applyFont="1" applyFill="1" applyBorder="1" applyAlignment="1">
      <alignment horizontal="center" vertical="center" wrapText="1"/>
    </xf>
    <xf numFmtId="0" fontId="73" fillId="41" borderId="1" xfId="0" applyFont="1" applyFill="1" applyBorder="1" applyAlignment="1">
      <alignment horizontal="center" vertical="center"/>
    </xf>
    <xf numFmtId="49" fontId="0" fillId="0" borderId="1" xfId="0" applyNumberFormat="1" applyBorder="1" applyAlignment="1">
      <alignment horizontal="left" vertical="center"/>
    </xf>
    <xf numFmtId="173" fontId="5" fillId="29" borderId="1" xfId="1" applyNumberFormat="1" applyFont="1" applyFill="1" applyBorder="1" applyAlignment="1">
      <alignment horizontal="center" vertical="center" wrapText="1"/>
    </xf>
    <xf numFmtId="173" fontId="64" fillId="0" borderId="1" xfId="1" applyNumberFormat="1" applyFont="1" applyFill="1" applyBorder="1" applyAlignment="1">
      <alignment horizontal="center" vertical="center" wrapText="1"/>
    </xf>
    <xf numFmtId="0" fontId="75" fillId="0" borderId="1" xfId="5" applyFont="1" applyFill="1" applyBorder="1" applyAlignment="1">
      <alignment horizontal="center" vertical="center" wrapText="1"/>
    </xf>
    <xf numFmtId="0" fontId="76" fillId="0" borderId="1" xfId="5" applyFont="1" applyFill="1"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horizontal="left" vertical="center" wrapText="1"/>
    </xf>
    <xf numFmtId="174" fontId="21" fillId="42" borderId="1" xfId="6" applyNumberFormat="1" applyFont="1" applyFill="1" applyBorder="1" applyAlignment="1" applyProtection="1">
      <alignment horizontal="left" vertical="center" wrapText="1"/>
      <protection locked="0"/>
    </xf>
    <xf numFmtId="174" fontId="21" fillId="0" borderId="1" xfId="6" applyNumberFormat="1" applyFont="1" applyBorder="1" applyAlignment="1" applyProtection="1">
      <alignment horizontal="left" vertical="center" wrapText="1"/>
      <protection locked="0"/>
    </xf>
    <xf numFmtId="175" fontId="0" fillId="42" borderId="1" xfId="0" applyNumberFormat="1" applyFill="1" applyBorder="1" applyAlignment="1">
      <alignment horizontal="left" vertical="center" wrapText="1"/>
    </xf>
    <xf numFmtId="175" fontId="0" fillId="42" borderId="1" xfId="0" applyNumberFormat="1" applyFill="1" applyBorder="1" applyAlignment="1">
      <alignment vertical="center" wrapText="1"/>
    </xf>
    <xf numFmtId="173" fontId="0" fillId="0" borderId="0" xfId="0" applyNumberFormat="1" applyAlignment="1">
      <alignment horizontal="center" vertical="center"/>
    </xf>
    <xf numFmtId="0" fontId="78" fillId="43" borderId="1" xfId="0" applyFont="1" applyFill="1" applyBorder="1" applyAlignment="1">
      <alignment horizontal="center" vertical="center" wrapText="1"/>
    </xf>
    <xf numFmtId="176" fontId="78" fillId="43" borderId="1" xfId="0" applyNumberFormat="1" applyFont="1" applyFill="1" applyBorder="1" applyAlignment="1">
      <alignment horizontal="center" vertical="center" wrapText="1"/>
    </xf>
    <xf numFmtId="171" fontId="78" fillId="43" borderId="1" xfId="0" applyNumberFormat="1" applyFont="1" applyFill="1" applyBorder="1" applyAlignment="1">
      <alignment horizontal="center" vertical="center" wrapText="1"/>
    </xf>
    <xf numFmtId="0" fontId="79" fillId="43" borderId="1" xfId="0" applyFont="1" applyFill="1" applyBorder="1" applyAlignment="1">
      <alignment horizontal="center" vertical="center" wrapText="1"/>
    </xf>
    <xf numFmtId="0" fontId="61" fillId="36" borderId="1" xfId="0" applyFont="1" applyFill="1" applyBorder="1" applyAlignment="1">
      <alignment horizontal="left" vertical="center" wrapText="1"/>
    </xf>
    <xf numFmtId="176" fontId="61" fillId="36" borderId="1" xfId="0" applyNumberFormat="1" applyFont="1" applyFill="1" applyBorder="1" applyAlignment="1">
      <alignment horizontal="left" vertical="center" wrapText="1"/>
    </xf>
    <xf numFmtId="0" fontId="5" fillId="36" borderId="1" xfId="0" applyFont="1" applyFill="1" applyBorder="1" applyAlignment="1">
      <alignment horizontal="left" vertical="center" wrapText="1"/>
    </xf>
    <xf numFmtId="176" fontId="0" fillId="0" borderId="1" xfId="0" applyNumberFormat="1" applyBorder="1" applyAlignment="1">
      <alignment horizontal="center" vertical="center"/>
    </xf>
    <xf numFmtId="176" fontId="3" fillId="0" borderId="1" xfId="0" applyNumberFormat="1" applyFont="1" applyBorder="1" applyAlignment="1">
      <alignment horizontal="center" vertical="center"/>
    </xf>
    <xf numFmtId="0" fontId="21" fillId="0" borderId="1" xfId="0" applyFont="1" applyBorder="1" applyAlignment="1">
      <alignment vertical="center" wrapText="1"/>
    </xf>
    <xf numFmtId="176" fontId="0" fillId="0" borderId="0" xfId="0" applyNumberFormat="1" applyAlignment="1">
      <alignment horizontal="center" vertical="center" wrapText="1"/>
    </xf>
    <xf numFmtId="171" fontId="0" fillId="0" borderId="0" xfId="0" applyNumberFormat="1" applyAlignment="1">
      <alignment horizontal="center" vertical="center" wrapText="1"/>
    </xf>
    <xf numFmtId="49" fontId="5" fillId="29" borderId="1" xfId="0" applyNumberFormat="1" applyFont="1" applyFill="1" applyBorder="1" applyAlignment="1">
      <alignment horizontal="center" vertical="center" wrapText="1"/>
    </xf>
    <xf numFmtId="0" fontId="5" fillId="3" borderId="5" xfId="0" applyFont="1" applyFill="1" applyBorder="1" applyAlignment="1">
      <alignment horizontal="center" vertical="center" wrapText="1"/>
    </xf>
    <xf numFmtId="170" fontId="5" fillId="3" borderId="5" xfId="0" applyNumberFormat="1" applyFont="1" applyFill="1" applyBorder="1" applyAlignment="1">
      <alignment horizontal="center" vertical="center" wrapText="1"/>
    </xf>
    <xf numFmtId="9" fontId="5" fillId="3" borderId="5" xfId="1" applyFont="1" applyFill="1" applyBorder="1" applyAlignment="1">
      <alignment horizontal="center" vertical="center" wrapText="1"/>
    </xf>
    <xf numFmtId="15" fontId="0" fillId="0" borderId="0" xfId="0" applyNumberFormat="1" applyAlignment="1">
      <alignment horizontal="center"/>
    </xf>
    <xf numFmtId="0" fontId="37" fillId="45" borderId="104" xfId="0" applyFont="1" applyFill="1" applyBorder="1" applyAlignment="1">
      <alignment horizontal="center" vertical="center" wrapText="1" readingOrder="1"/>
    </xf>
    <xf numFmtId="0" fontId="27" fillId="0" borderId="104" xfId="0" applyFont="1" applyBorder="1" applyAlignment="1">
      <alignment horizontal="center" vertical="center" wrapText="1"/>
    </xf>
    <xf numFmtId="0" fontId="53" fillId="23" borderId="104" xfId="0" applyFont="1" applyFill="1" applyBorder="1" applyAlignment="1">
      <alignment horizontal="center" vertical="center" wrapText="1" readingOrder="1"/>
    </xf>
    <xf numFmtId="17" fontId="0" fillId="0" borderId="0" xfId="0" applyNumberFormat="1"/>
    <xf numFmtId="9" fontId="0" fillId="0" borderId="0" xfId="0" applyNumberFormat="1" applyAlignment="1">
      <alignment horizontal="center"/>
    </xf>
    <xf numFmtId="9" fontId="0" fillId="0" borderId="0" xfId="1" applyNumberFormat="1" applyFont="1" applyAlignment="1">
      <alignment horizontal="center"/>
    </xf>
    <xf numFmtId="0" fontId="5" fillId="10" borderId="120" xfId="0" applyFont="1" applyFill="1" applyBorder="1" applyAlignment="1">
      <alignment vertical="center" wrapText="1"/>
    </xf>
    <xf numFmtId="0" fontId="61" fillId="11" borderId="120" xfId="0" applyFont="1" applyFill="1" applyBorder="1" applyAlignment="1" applyProtection="1">
      <alignment vertical="center" wrapText="1"/>
      <protection locked="0"/>
    </xf>
    <xf numFmtId="0" fontId="5" fillId="11" borderId="120" xfId="0" applyFont="1" applyFill="1" applyBorder="1" applyAlignment="1">
      <alignment vertical="center" wrapText="1"/>
    </xf>
    <xf numFmtId="0" fontId="5" fillId="11" borderId="120" xfId="0" applyFont="1" applyFill="1" applyBorder="1" applyAlignment="1">
      <alignment vertical="center"/>
    </xf>
    <xf numFmtId="15" fontId="5" fillId="11" borderId="120" xfId="0" applyNumberFormat="1" applyFont="1" applyFill="1" applyBorder="1" applyAlignment="1">
      <alignment vertical="center"/>
    </xf>
    <xf numFmtId="0" fontId="62" fillId="11" borderId="120" xfId="0" applyFont="1" applyFill="1" applyBorder="1" applyAlignment="1">
      <alignment horizontal="left" vertical="center"/>
    </xf>
    <xf numFmtId="0" fontId="64" fillId="11" borderId="120" xfId="0" applyFont="1" applyFill="1" applyBorder="1" applyAlignment="1">
      <alignment vertical="center" wrapText="1"/>
    </xf>
    <xf numFmtId="0" fontId="64" fillId="11" borderId="120" xfId="0" applyFont="1" applyFill="1" applyBorder="1" applyAlignment="1">
      <alignment vertical="center"/>
    </xf>
    <xf numFmtId="15" fontId="64" fillId="11" borderId="120" xfId="0" applyNumberFormat="1" applyFont="1" applyFill="1" applyBorder="1" applyAlignment="1">
      <alignment vertical="center"/>
    </xf>
    <xf numFmtId="170" fontId="5" fillId="46" borderId="5" xfId="0" applyNumberFormat="1" applyFont="1" applyFill="1" applyBorder="1" applyAlignment="1">
      <alignment horizontal="center" vertical="center" wrapText="1"/>
    </xf>
    <xf numFmtId="9" fontId="5" fillId="46" borderId="5" xfId="1" applyFont="1" applyFill="1" applyBorder="1" applyAlignment="1">
      <alignment horizontal="center" vertical="center" wrapText="1"/>
    </xf>
    <xf numFmtId="10" fontId="21" fillId="0" borderId="11" xfId="0" applyNumberFormat="1" applyFont="1" applyBorder="1"/>
    <xf numFmtId="9" fontId="3" fillId="4" borderId="0" xfId="0" applyNumberFormat="1" applyFont="1" applyFill="1"/>
    <xf numFmtId="0" fontId="81" fillId="47" borderId="0" xfId="0" applyFont="1" applyFill="1" applyAlignment="1">
      <alignment vertical="center"/>
    </xf>
    <xf numFmtId="0" fontId="7" fillId="38" borderId="0" xfId="0" applyFont="1" applyFill="1" applyAlignment="1">
      <alignment vertical="center" wrapText="1"/>
    </xf>
    <xf numFmtId="0" fontId="7" fillId="0" borderId="0" xfId="0" applyFont="1" applyAlignment="1">
      <alignment vertical="center" wrapText="1"/>
    </xf>
    <xf numFmtId="0" fontId="7" fillId="38" borderId="0" xfId="0" applyFont="1" applyFill="1" applyAlignment="1">
      <alignment vertical="center"/>
    </xf>
    <xf numFmtId="0" fontId="7" fillId="0" borderId="0" xfId="0" applyFont="1" applyAlignment="1">
      <alignment vertical="center"/>
    </xf>
    <xf numFmtId="0" fontId="7" fillId="0" borderId="0" xfId="0" applyFont="1" applyAlignment="1">
      <alignment vertical="center" wrapText="1"/>
    </xf>
    <xf numFmtId="0" fontId="7" fillId="0" borderId="0" xfId="0" applyFont="1" applyFill="1" applyAlignment="1">
      <alignment vertical="center" wrapText="1"/>
    </xf>
    <xf numFmtId="0" fontId="7" fillId="0" borderId="0" xfId="0" applyFont="1" applyAlignment="1">
      <alignment vertical="center"/>
    </xf>
    <xf numFmtId="0" fontId="9" fillId="0" borderId="1" xfId="0" applyFont="1" applyBorder="1" applyAlignment="1">
      <alignment horizontal="center" vertical="center"/>
    </xf>
    <xf numFmtId="0" fontId="0" fillId="0" borderId="0" xfId="0"/>
    <xf numFmtId="0" fontId="9" fillId="0" borderId="1" xfId="0" applyFont="1" applyBorder="1" applyAlignment="1">
      <alignment horizontal="center" vertical="center"/>
    </xf>
    <xf numFmtId="49" fontId="3" fillId="29" borderId="1" xfId="0" applyNumberFormat="1" applyFont="1" applyFill="1" applyBorder="1" applyAlignment="1">
      <alignment vertical="center"/>
    </xf>
    <xf numFmtId="168" fontId="3" fillId="29" borderId="1" xfId="1" applyNumberFormat="1" applyFont="1" applyFill="1" applyBorder="1" applyAlignment="1">
      <alignment horizontal="center" vertical="center" wrapText="1"/>
    </xf>
    <xf numFmtId="0" fontId="0" fillId="0" borderId="1" xfId="0" applyBorder="1" applyAlignment="1">
      <alignment horizontal="left"/>
    </xf>
    <xf numFmtId="1" fontId="9" fillId="0" borderId="1" xfId="1" applyNumberFormat="1" applyFont="1" applyFill="1" applyBorder="1" applyAlignment="1">
      <alignment horizontal="center" vertical="center"/>
    </xf>
    <xf numFmtId="0" fontId="0" fillId="49" borderId="0" xfId="0" applyFill="1" applyAlignment="1">
      <alignment horizontal="left" vertical="center"/>
    </xf>
    <xf numFmtId="0" fontId="0" fillId="49" borderId="0" xfId="0" applyFill="1" applyBorder="1" applyAlignment="1">
      <alignment horizontal="center" vertical="center"/>
    </xf>
    <xf numFmtId="0" fontId="0" fillId="4" borderId="0" xfId="0" applyFill="1" applyBorder="1" applyAlignment="1">
      <alignment horizontal="center" vertical="center"/>
    </xf>
    <xf numFmtId="0" fontId="0" fillId="1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0" borderId="1" xfId="0" applyFill="1" applyBorder="1" applyAlignment="1">
      <alignment horizontal="center" vertical="center" wrapText="1"/>
    </xf>
    <xf numFmtId="2" fontId="3" fillId="29" borderId="1" xfId="0" applyNumberFormat="1" applyFont="1" applyFill="1" applyBorder="1" applyAlignment="1">
      <alignment vertical="center"/>
    </xf>
    <xf numFmtId="0" fontId="9" fillId="0" borderId="1" xfId="0" applyFont="1" applyBorder="1" applyAlignment="1">
      <alignment horizontal="center" vertical="center"/>
    </xf>
    <xf numFmtId="0" fontId="0" fillId="0" borderId="0" xfId="0" applyAlignment="1">
      <alignment horizontal="left"/>
    </xf>
    <xf numFmtId="0" fontId="91" fillId="23" borderId="34" xfId="0" applyFont="1" applyFill="1" applyBorder="1" applyAlignment="1">
      <alignment horizontal="left" vertical="center" wrapText="1"/>
    </xf>
    <xf numFmtId="10" fontId="7" fillId="4" borderId="30"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4" borderId="52" xfId="0" applyFont="1" applyFill="1" applyBorder="1" applyAlignment="1">
      <alignment horizontal="center" vertical="center"/>
    </xf>
    <xf numFmtId="10" fontId="7" fillId="12" borderId="30" xfId="0" applyNumberFormat="1" applyFont="1" applyFill="1" applyBorder="1" applyAlignment="1">
      <alignment horizontal="center" vertical="center"/>
    </xf>
    <xf numFmtId="0" fontId="7" fillId="12" borderId="3" xfId="0" applyFont="1" applyFill="1" applyBorder="1" applyAlignment="1">
      <alignment horizontal="center" vertical="center"/>
    </xf>
    <xf numFmtId="0" fontId="7" fillId="12" borderId="52" xfId="0" applyFont="1" applyFill="1" applyBorder="1" applyAlignment="1">
      <alignment horizontal="center" vertical="center"/>
    </xf>
    <xf numFmtId="10" fontId="7" fillId="10" borderId="30" xfId="0" applyNumberFormat="1" applyFont="1" applyFill="1" applyBorder="1" applyAlignment="1">
      <alignment horizontal="center" vertical="center"/>
    </xf>
    <xf numFmtId="10" fontId="7" fillId="10" borderId="3" xfId="0" applyNumberFormat="1" applyFont="1" applyFill="1" applyBorder="1" applyAlignment="1">
      <alignment horizontal="center" vertical="center"/>
    </xf>
    <xf numFmtId="0" fontId="7" fillId="10" borderId="3" xfId="0" applyFont="1" applyFill="1" applyBorder="1" applyAlignment="1">
      <alignment horizontal="center" vertical="center"/>
    </xf>
    <xf numFmtId="0" fontId="7" fillId="10" borderId="52" xfId="0" applyFont="1" applyFill="1" applyBorder="1" applyAlignment="1">
      <alignment horizontal="center" vertical="center"/>
    </xf>
    <xf numFmtId="10" fontId="7" fillId="11" borderId="30" xfId="0" applyNumberFormat="1" applyFont="1" applyFill="1" applyBorder="1" applyAlignment="1">
      <alignment horizontal="center" vertical="center"/>
    </xf>
    <xf numFmtId="0" fontId="7" fillId="11" borderId="3" xfId="0" applyFont="1" applyFill="1" applyBorder="1" applyAlignment="1">
      <alignment horizontal="center" vertical="center"/>
    </xf>
    <xf numFmtId="0" fontId="7" fillId="11" borderId="52" xfId="0" applyFont="1" applyFill="1" applyBorder="1" applyAlignment="1">
      <alignment horizontal="center" vertical="center"/>
    </xf>
    <xf numFmtId="10" fontId="7" fillId="4" borderId="3" xfId="0" applyNumberFormat="1" applyFont="1" applyFill="1" applyBorder="1" applyAlignment="1">
      <alignment horizontal="center" vertical="center"/>
    </xf>
    <xf numFmtId="10" fontId="7" fillId="4" borderId="52" xfId="0" applyNumberFormat="1" applyFont="1" applyFill="1" applyBorder="1" applyAlignment="1">
      <alignment horizontal="center" vertical="center"/>
    </xf>
    <xf numFmtId="10" fontId="7" fillId="12" borderId="3" xfId="0" applyNumberFormat="1" applyFont="1" applyFill="1" applyBorder="1" applyAlignment="1">
      <alignment horizontal="center" vertical="center"/>
    </xf>
    <xf numFmtId="10" fontId="7" fillId="12" borderId="52" xfId="0" applyNumberFormat="1" applyFont="1" applyFill="1" applyBorder="1" applyAlignment="1">
      <alignment horizontal="center" vertical="center"/>
    </xf>
    <xf numFmtId="10" fontId="7" fillId="13" borderId="30" xfId="0" applyNumberFormat="1" applyFont="1" applyFill="1" applyBorder="1" applyAlignment="1">
      <alignment horizontal="center" vertical="center"/>
    </xf>
    <xf numFmtId="10" fontId="7" fillId="13" borderId="3" xfId="0" applyNumberFormat="1" applyFont="1" applyFill="1" applyBorder="1" applyAlignment="1">
      <alignment horizontal="center" vertical="center"/>
    </xf>
    <xf numFmtId="10" fontId="7" fillId="13" borderId="52" xfId="0" applyNumberFormat="1" applyFont="1" applyFill="1" applyBorder="1" applyAlignment="1">
      <alignment horizontal="center" vertical="center"/>
    </xf>
    <xf numFmtId="10" fontId="7" fillId="11" borderId="3" xfId="0" applyNumberFormat="1" applyFont="1" applyFill="1" applyBorder="1" applyAlignment="1">
      <alignment horizontal="center" vertical="center"/>
    </xf>
    <xf numFmtId="10" fontId="7" fillId="11" borderId="52" xfId="0" applyNumberFormat="1" applyFont="1" applyFill="1" applyBorder="1" applyAlignment="1">
      <alignment horizontal="center" vertical="center"/>
    </xf>
    <xf numFmtId="10" fontId="7" fillId="10" borderId="52" xfId="0" applyNumberFormat="1" applyFont="1" applyFill="1" applyBorder="1" applyAlignment="1">
      <alignment horizontal="center" vertical="center"/>
    </xf>
    <xf numFmtId="0" fontId="38" fillId="23" borderId="73" xfId="0" applyFont="1" applyFill="1" applyBorder="1" applyAlignment="1">
      <alignment horizontal="left" vertical="center" wrapText="1" indent="10" readingOrder="1"/>
    </xf>
    <xf numFmtId="0" fontId="38" fillId="23" borderId="74" xfId="0" applyFont="1" applyFill="1" applyBorder="1" applyAlignment="1">
      <alignment horizontal="left" vertical="center" wrapText="1" indent="10" readingOrder="1"/>
    </xf>
    <xf numFmtId="9" fontId="38" fillId="23" borderId="73" xfId="0" applyNumberFormat="1" applyFont="1" applyFill="1" applyBorder="1" applyAlignment="1">
      <alignment horizontal="center" vertical="center" wrapText="1" readingOrder="1"/>
    </xf>
    <xf numFmtId="9" fontId="38" fillId="23" borderId="74" xfId="0" applyNumberFormat="1" applyFont="1" applyFill="1" applyBorder="1" applyAlignment="1">
      <alignment horizontal="center" vertical="center" wrapText="1" readingOrder="1"/>
    </xf>
    <xf numFmtId="0" fontId="38" fillId="23" borderId="73" xfId="0" applyFont="1" applyFill="1" applyBorder="1" applyAlignment="1">
      <alignment horizontal="left" vertical="center" wrapText="1" indent="1" readingOrder="1"/>
    </xf>
    <xf numFmtId="0" fontId="38" fillId="23" borderId="74" xfId="0" applyFont="1" applyFill="1" applyBorder="1" applyAlignment="1">
      <alignment horizontal="left" vertical="center" wrapText="1" indent="1" readingOrder="1"/>
    </xf>
    <xf numFmtId="0" fontId="38" fillId="23" borderId="73" xfId="0" applyFont="1" applyFill="1" applyBorder="1" applyAlignment="1">
      <alignment horizontal="left" vertical="center" wrapText="1" indent="9" readingOrder="1"/>
    </xf>
    <xf numFmtId="0" fontId="38" fillId="23" borderId="74" xfId="0" applyFont="1" applyFill="1" applyBorder="1" applyAlignment="1">
      <alignment horizontal="left" vertical="center" wrapText="1" indent="9" readingOrder="1"/>
    </xf>
    <xf numFmtId="17" fontId="6" fillId="2" borderId="32" xfId="0" applyNumberFormat="1" applyFont="1" applyFill="1" applyBorder="1" applyAlignment="1">
      <alignment horizontal="center" vertical="center" wrapText="1"/>
    </xf>
    <xf numFmtId="17" fontId="6" fillId="2" borderId="57" xfId="0" applyNumberFormat="1" applyFont="1" applyFill="1" applyBorder="1" applyAlignment="1">
      <alignment horizontal="center" vertical="center" wrapText="1"/>
    </xf>
    <xf numFmtId="17" fontId="6" fillId="2" borderId="47" xfId="0" applyNumberFormat="1" applyFont="1" applyFill="1" applyBorder="1" applyAlignment="1">
      <alignment horizontal="center" vertical="center" wrapText="1"/>
    </xf>
    <xf numFmtId="1" fontId="24" fillId="11" borderId="110" xfId="0" applyNumberFormat="1" applyFont="1" applyFill="1" applyBorder="1" applyAlignment="1">
      <alignment horizontal="center" vertical="center" wrapText="1" readingOrder="1"/>
    </xf>
    <xf numFmtId="1" fontId="24" fillId="11" borderId="111" xfId="0" applyNumberFormat="1" applyFont="1" applyFill="1" applyBorder="1" applyAlignment="1">
      <alignment horizontal="center" vertical="center" wrapText="1" readingOrder="1"/>
    </xf>
    <xf numFmtId="1" fontId="24" fillId="11" borderId="112" xfId="0" applyNumberFormat="1" applyFont="1" applyFill="1" applyBorder="1" applyAlignment="1">
      <alignment horizontal="center" vertical="center" wrapText="1" readingOrder="1"/>
    </xf>
    <xf numFmtId="0" fontId="3" fillId="0" borderId="0" xfId="0" applyFont="1" applyAlignment="1">
      <alignment horizontal="center"/>
    </xf>
    <xf numFmtId="0" fontId="80" fillId="44" borderId="105" xfId="0" applyFont="1" applyFill="1" applyBorder="1" applyAlignment="1">
      <alignment horizontal="center" vertical="center" wrapText="1" readingOrder="1"/>
    </xf>
    <xf numFmtId="0" fontId="80" fillId="44" borderId="106" xfId="0" applyFont="1" applyFill="1" applyBorder="1" applyAlignment="1">
      <alignment horizontal="center" vertical="center" wrapText="1" readingOrder="1"/>
    </xf>
    <xf numFmtId="0" fontId="80" fillId="44" borderId="107" xfId="0" applyFont="1" applyFill="1" applyBorder="1" applyAlignment="1">
      <alignment horizontal="center" vertical="center" wrapText="1" readingOrder="1"/>
    </xf>
    <xf numFmtId="0" fontId="39" fillId="31" borderId="83" xfId="0" applyFont="1" applyFill="1" applyBorder="1" applyAlignment="1">
      <alignment horizontal="center" vertical="center" wrapText="1" readingOrder="1"/>
    </xf>
    <xf numFmtId="0" fontId="39" fillId="31" borderId="87" xfId="0" applyFont="1" applyFill="1" applyBorder="1" applyAlignment="1">
      <alignment horizontal="center" vertical="center" wrapText="1" readingOrder="1"/>
    </xf>
    <xf numFmtId="0" fontId="39" fillId="31" borderId="89" xfId="0" applyFont="1" applyFill="1" applyBorder="1" applyAlignment="1">
      <alignment horizontal="center" vertical="center" wrapText="1" readingOrder="1"/>
    </xf>
    <xf numFmtId="0" fontId="39" fillId="31" borderId="90" xfId="0" applyFont="1" applyFill="1" applyBorder="1" applyAlignment="1">
      <alignment horizontal="center" vertical="center" wrapText="1" readingOrder="1"/>
    </xf>
    <xf numFmtId="0" fontId="39" fillId="31" borderId="84" xfId="0" applyFont="1" applyFill="1" applyBorder="1" applyAlignment="1">
      <alignment horizontal="center" vertical="center" wrapText="1" readingOrder="1"/>
    </xf>
    <xf numFmtId="0" fontId="39" fillId="31" borderId="85" xfId="0" applyFont="1" applyFill="1" applyBorder="1" applyAlignment="1">
      <alignment horizontal="center" vertical="center" wrapText="1" readingOrder="1"/>
    </xf>
    <xf numFmtId="0" fontId="39" fillId="31" borderId="86" xfId="0" applyFont="1" applyFill="1" applyBorder="1" applyAlignment="1">
      <alignment horizontal="center" vertical="center" wrapText="1" readingOrder="1"/>
    </xf>
    <xf numFmtId="17" fontId="39" fillId="31" borderId="84" xfId="0" applyNumberFormat="1" applyFont="1" applyFill="1" applyBorder="1" applyAlignment="1">
      <alignment horizontal="center" vertical="center" wrapText="1" readingOrder="1"/>
    </xf>
    <xf numFmtId="17" fontId="39" fillId="31" borderId="85" xfId="0" applyNumberFormat="1" applyFont="1" applyFill="1" applyBorder="1" applyAlignment="1">
      <alignment horizontal="center" vertical="center" wrapText="1" readingOrder="1"/>
    </xf>
    <xf numFmtId="17" fontId="39" fillId="31" borderId="86" xfId="0" applyNumberFormat="1" applyFont="1" applyFill="1" applyBorder="1" applyAlignment="1">
      <alignment horizontal="center" vertical="center" wrapText="1" readingOrder="1"/>
    </xf>
    <xf numFmtId="0" fontId="40" fillId="31" borderId="83" xfId="0" applyFont="1" applyFill="1" applyBorder="1" applyAlignment="1">
      <alignment horizontal="center" vertical="center" wrapText="1" readingOrder="1"/>
    </xf>
    <xf numFmtId="0" fontId="40" fillId="31" borderId="90" xfId="0" applyFont="1" applyFill="1" applyBorder="1" applyAlignment="1">
      <alignment horizontal="center" vertical="center" wrapText="1" readingOrder="1"/>
    </xf>
    <xf numFmtId="170" fontId="40" fillId="6" borderId="83" xfId="0" applyNumberFormat="1" applyFont="1" applyFill="1" applyBorder="1" applyAlignment="1">
      <alignment horizontal="center" vertical="center" wrapText="1" readingOrder="1"/>
    </xf>
    <xf numFmtId="170" fontId="40" fillId="6" borderId="89" xfId="0" applyNumberFormat="1" applyFont="1" applyFill="1" applyBorder="1" applyAlignment="1">
      <alignment horizontal="center" vertical="center" wrapText="1" readingOrder="1"/>
    </xf>
    <xf numFmtId="16" fontId="51" fillId="32" borderId="99" xfId="0" applyNumberFormat="1" applyFont="1" applyFill="1" applyBorder="1" applyAlignment="1">
      <alignment horizontal="center" vertical="center" wrapText="1" readingOrder="1"/>
    </xf>
    <xf numFmtId="16" fontId="51" fillId="32" borderId="103" xfId="0" applyNumberFormat="1" applyFont="1" applyFill="1" applyBorder="1" applyAlignment="1">
      <alignment horizontal="center" vertical="center" wrapText="1" readingOrder="1"/>
    </xf>
    <xf numFmtId="0" fontId="52" fillId="32" borderId="99" xfId="0" applyFont="1" applyFill="1" applyBorder="1" applyAlignment="1">
      <alignment horizontal="center" vertical="center" wrapText="1" readingOrder="1"/>
    </xf>
    <xf numFmtId="0" fontId="52" fillId="32" borderId="103" xfId="0" applyFont="1" applyFill="1" applyBorder="1" applyAlignment="1">
      <alignment horizontal="center" vertical="center" wrapText="1" readingOrder="1"/>
    </xf>
    <xf numFmtId="0" fontId="17" fillId="32" borderId="105" xfId="0" applyFont="1" applyFill="1" applyBorder="1" applyAlignment="1">
      <alignment horizontal="center" wrapText="1" readingOrder="1"/>
    </xf>
    <xf numFmtId="0" fontId="17" fillId="32" borderId="106" xfId="0" applyFont="1" applyFill="1" applyBorder="1" applyAlignment="1">
      <alignment horizontal="center" wrapText="1" readingOrder="1"/>
    </xf>
    <xf numFmtId="0" fontId="17" fillId="32" borderId="107" xfId="0" applyFont="1" applyFill="1" applyBorder="1" applyAlignment="1">
      <alignment horizontal="center" wrapText="1" readingOrder="1"/>
    </xf>
    <xf numFmtId="0" fontId="51" fillId="32" borderId="99" xfId="0" applyFont="1" applyFill="1" applyBorder="1" applyAlignment="1">
      <alignment horizontal="center" vertical="center" wrapText="1" readingOrder="1"/>
    </xf>
    <xf numFmtId="0" fontId="51" fillId="32" borderId="103" xfId="0" applyFont="1" applyFill="1" applyBorder="1" applyAlignment="1">
      <alignment horizontal="center" vertical="center" wrapText="1" readingOrder="1"/>
    </xf>
    <xf numFmtId="0" fontId="51" fillId="32" borderId="100" xfId="0" applyFont="1" applyFill="1" applyBorder="1" applyAlignment="1">
      <alignment horizontal="center" vertical="center" wrapText="1" readingOrder="1"/>
    </xf>
    <xf numFmtId="0" fontId="51" fillId="32" borderId="101" xfId="0" applyFont="1" applyFill="1" applyBorder="1" applyAlignment="1">
      <alignment horizontal="center" vertical="center" wrapText="1" readingOrder="1"/>
    </xf>
    <xf numFmtId="0" fontId="51" fillId="32" borderId="102" xfId="0" applyFont="1" applyFill="1" applyBorder="1" applyAlignment="1">
      <alignment horizontal="center" vertical="center" wrapText="1" readingOrder="1"/>
    </xf>
    <xf numFmtId="0" fontId="0" fillId="12" borderId="66" xfId="0" applyFill="1" applyBorder="1" applyAlignment="1">
      <alignment horizontal="center" vertical="center"/>
    </xf>
    <xf numFmtId="0" fontId="0" fillId="12" borderId="67" xfId="0" applyFill="1" applyBorder="1" applyAlignment="1">
      <alignment horizontal="center" vertical="center"/>
    </xf>
    <xf numFmtId="0" fontId="0" fillId="12" borderId="68" xfId="0" applyFill="1" applyBorder="1" applyAlignment="1">
      <alignment horizontal="center" vertical="center"/>
    </xf>
    <xf numFmtId="0" fontId="17" fillId="18" borderId="33" xfId="0" applyFont="1" applyFill="1" applyBorder="1" applyAlignment="1">
      <alignment horizontal="center" vertical="center" wrapText="1" readingOrder="1"/>
    </xf>
    <xf numFmtId="0" fontId="17" fillId="18" borderId="0" xfId="0" applyFont="1" applyFill="1" applyBorder="1" applyAlignment="1">
      <alignment horizontal="center" vertical="center" wrapText="1" readingOrder="1"/>
    </xf>
    <xf numFmtId="0" fontId="17" fillId="18" borderId="0" xfId="0" applyFont="1" applyFill="1" applyAlignment="1">
      <alignment horizontal="center" vertical="center" wrapText="1" readingOrder="1"/>
    </xf>
    <xf numFmtId="0" fontId="17" fillId="18" borderId="2" xfId="0" applyFont="1" applyFill="1" applyBorder="1" applyAlignment="1">
      <alignment horizontal="center" vertical="center" wrapText="1" readingOrder="1"/>
    </xf>
  </cellXfs>
  <cellStyles count="44">
    <cellStyle name="Comma 2" xfId="10" xr:uid="{98D1FC00-E693-42B3-B329-9D8E105732FF}"/>
    <cellStyle name="Comma 2 2" xfId="11" xr:uid="{B40CC647-F4D3-4CB9-9B7C-114BF157D3FB}"/>
    <cellStyle name="Comma 2 3" xfId="35" xr:uid="{0171D9B9-0474-4735-91F5-2BD3937B02B2}"/>
    <cellStyle name="Comma 3" xfId="12" xr:uid="{756DAAD8-0C25-4464-A3FF-16A49FA32F97}"/>
    <cellStyle name="Comma 3 2" xfId="13" xr:uid="{1B2E2EC0-5ADA-4DDC-8F65-E649BE944051}"/>
    <cellStyle name="Comma 4" xfId="14" xr:uid="{779B870A-9D78-48A4-A26D-B6EE2A4FF5A3}"/>
    <cellStyle name="Comma 5" xfId="28" xr:uid="{69232A09-493C-4146-825B-EF46ABF26062}"/>
    <cellStyle name="Comma 6" xfId="8" xr:uid="{F2926780-6185-48BB-99EF-9256D4286E48}"/>
    <cellStyle name="Hyperlink" xfId="5" builtinId="8"/>
    <cellStyle name="Neutral 2" xfId="15" xr:uid="{9642A0C6-B171-4C0C-872F-22516BB0ED0F}"/>
    <cellStyle name="Normal" xfId="0" builtinId="0"/>
    <cellStyle name="Normal 10" xfId="41" xr:uid="{40C97A01-3F20-47D4-A076-480C49742B36}"/>
    <cellStyle name="Normal 11" xfId="7" xr:uid="{FBBD5251-14D8-4BEC-B712-A25D0529B036}"/>
    <cellStyle name="Normal 18" xfId="43" xr:uid="{97AE1839-DD7F-40F3-8F35-5894416D4AD2}"/>
    <cellStyle name="Normal 2" xfId="2" xr:uid="{00000000-0005-0000-0000-000001000000}"/>
    <cellStyle name="Normal 2 2" xfId="3" xr:uid="{8E99C25D-F687-468F-AF26-7F50B5C94D20}"/>
    <cellStyle name="Normal 2 2 2" xfId="18" xr:uid="{30DB7B70-CA16-46EF-A47F-F1A86D55D31F}"/>
    <cellStyle name="Normal 2 2 3" xfId="17" xr:uid="{9D2009D4-615F-438D-B08B-C3EF5742447A}"/>
    <cellStyle name="Normal 2 3" xfId="19" xr:uid="{9AAD0755-3D8E-41F6-B792-611342553736}"/>
    <cellStyle name="Normal 2 4" xfId="20" xr:uid="{54D8D13D-A28C-4E6A-9722-59960BB86811}"/>
    <cellStyle name="Normal 2 5" xfId="30" xr:uid="{F6F9B2EF-4355-49F7-B87F-70C52C538147}"/>
    <cellStyle name="Normal 2 6" xfId="34" xr:uid="{B9671BD6-04FC-4230-8111-79B37001E13D}"/>
    <cellStyle name="Normal 2 6 2" xfId="39" xr:uid="{48A5C8B8-5E0B-44BB-BBE3-838AEA3059D3}"/>
    <cellStyle name="Normal 2 7" xfId="42" xr:uid="{8AB22175-DE74-4B82-A619-BCD67350EA1C}"/>
    <cellStyle name="Normal 2 8" xfId="16" xr:uid="{500C216B-250E-4AC9-BE3F-47F3E10C1FF3}"/>
    <cellStyle name="Normal 3" xfId="21" xr:uid="{EA3509A4-EEBC-4FC5-8525-7DE933B96AA7}"/>
    <cellStyle name="Normal 3 2" xfId="22" xr:uid="{3E039B3D-A563-4D1B-B4E0-D588FF31BE8B}"/>
    <cellStyle name="Normal 3 3" xfId="31" xr:uid="{885F4B13-6C76-442E-8B0D-5E19C1F3EF7A}"/>
    <cellStyle name="Normal 4" xfId="23" xr:uid="{A0DF92BA-4E91-4F59-AA35-F383AE92FC97}"/>
    <cellStyle name="Normal 4 2" xfId="32" xr:uid="{D156A030-6A5F-4ACC-A8CA-B96D578AC5C2}"/>
    <cellStyle name="Normal 5" xfId="25" xr:uid="{AC803C8B-BBF1-473B-BB1B-37852E0F1FE2}"/>
    <cellStyle name="Normal 51" xfId="4" xr:uid="{04990892-6FCE-4050-888F-3CD936189037}"/>
    <cellStyle name="Normal 6" xfId="24" xr:uid="{76A40390-8646-4ACF-BB1F-79A81FD29DD3}"/>
    <cellStyle name="Normal 7" xfId="26" xr:uid="{FD7ADA3D-879A-4169-9D86-4ADE4A10D0EB}"/>
    <cellStyle name="Normal 8" xfId="27" xr:uid="{2DA33BA9-7F6A-4F41-B0BF-BAA30B913A4A}"/>
    <cellStyle name="Normal 9" xfId="29" xr:uid="{8B9D6B27-0BA9-4F19-8DDA-A455FB398B58}"/>
    <cellStyle name="Normal_Electrical_Rajashree_Cement" xfId="6" xr:uid="{BD2F37E0-ABE9-4866-A58B-C963F01D80D3}"/>
    <cellStyle name="Percent" xfId="1" builtinId="5"/>
    <cellStyle name="Percent 2" xfId="40" xr:uid="{19429507-A61D-42CE-AE05-7A13E59C50EF}"/>
    <cellStyle name="Percent 3" xfId="9" xr:uid="{ECD1DBE3-EA45-4994-9933-D3534E68779B}"/>
    <cellStyle name="常规 2" xfId="33" xr:uid="{8F3AD387-70C8-4010-A185-C5D5AA4DD1A0}"/>
    <cellStyle name="常规 2 11" xfId="37" xr:uid="{A6409B7C-4917-4CF2-AD0B-6278CC372A92}"/>
    <cellStyle name="常规 2 8" xfId="36" xr:uid="{69A73130-F53D-467C-B793-468949846180}"/>
    <cellStyle name="常规 4 13" xfId="38" xr:uid="{DC3A9255-0B94-4D73-ACC6-78119ABB94E2}"/>
  </cellStyles>
  <dxfs count="66">
    <dxf>
      <numFmt numFmtId="179" formatCode="\-"/>
    </dxf>
    <dxf>
      <font>
        <color auto="1"/>
      </font>
      <fill>
        <patternFill>
          <bgColor rgb="FF92D050"/>
        </patternFill>
      </fill>
    </dxf>
    <dxf>
      <fill>
        <patternFill>
          <bgColor rgb="FF92D050"/>
        </patternFill>
      </fill>
    </dxf>
    <dxf>
      <fill>
        <patternFill>
          <bgColor rgb="FFFFFF00"/>
        </patternFill>
      </fill>
    </dxf>
    <dxf>
      <fill>
        <patternFill>
          <bgColor rgb="FFFF0000"/>
        </patternFill>
      </fill>
    </dxf>
    <dxf>
      <font>
        <color auto="1"/>
      </font>
      <fill>
        <patternFill>
          <bgColor rgb="FF92D050"/>
        </patternFill>
      </fill>
    </dxf>
    <dxf>
      <fill>
        <patternFill>
          <bgColor rgb="FF92D050"/>
        </patternFill>
      </fill>
    </dxf>
    <dxf>
      <fill>
        <patternFill>
          <bgColor rgb="FFFFFF00"/>
        </patternFill>
      </fill>
    </dxf>
    <dxf>
      <fill>
        <patternFill>
          <bgColor rgb="FFFF0000"/>
        </patternFill>
      </fill>
    </dxf>
    <dxf>
      <font>
        <color rgb="FF9C0006"/>
      </font>
      <fill>
        <patternFill>
          <bgColor rgb="FFFFC7CE"/>
        </patternFill>
      </fill>
    </dxf>
    <dxf>
      <font>
        <color rgb="FF006100"/>
      </font>
      <fill>
        <patternFill>
          <bgColor rgb="FFC6EFCE"/>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Calibri"/>
        <family val="2"/>
        <scheme val="minor"/>
      </font>
      <numFmt numFmtId="30" formatCode="@"/>
      <fill>
        <patternFill patternType="solid">
          <fgColor indexed="64"/>
          <bgColor theme="4" tint="0.79998168889431442"/>
        </patternFill>
      </fill>
      <alignment horizontal="center" vertical="center" textRotation="0" wrapText="0" indent="0" justifyLastLine="0" shrinkToFit="0" readingOrder="0"/>
    </dxf>
    <dxf>
      <font>
        <b val="0"/>
        <i/>
        <strike val="0"/>
        <condense val="0"/>
        <extend val="0"/>
        <outline val="0"/>
        <shadow val="0"/>
        <u val="none"/>
        <vertAlign val="baseline"/>
        <sz val="11"/>
        <color rgb="FF0070C0"/>
        <name val="Calibri"/>
        <family val="2"/>
        <scheme val="none"/>
      </font>
      <alignment horizontal="center" vertical="center" textRotation="0" wrapText="1" indent="0" justifyLastLine="0" shrinkToFit="0" readingOrder="0"/>
    </dxf>
    <dxf>
      <font>
        <b val="0"/>
      </font>
      <numFmt numFmtId="172" formatCode="dd/mmm/yy"/>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numFmt numFmtId="171" formatCode="[$-14009]d\ mmmm\ yyyy;@"/>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numFmt numFmtId="171" formatCode="[$-14009]d\ mmmm\ yyyy;@"/>
      <alignment horizontal="center" vertical="center" textRotation="0" wrapText="1" indent="0" justifyLastLine="0" shrinkToFit="0" readingOrder="0"/>
    </dxf>
    <dxf>
      <font>
        <b val="0"/>
      </font>
      <numFmt numFmtId="172" formatCode="dd/mmm/yy"/>
      <alignment horizontal="center" vertical="center" textRotation="0" wrapText="1" indent="0" justifyLastLine="0" shrinkToFit="0" readingOrder="0"/>
    </dxf>
    <dxf>
      <font>
        <b val="0"/>
      </font>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1" indent="0" justifyLastLine="0" shrinkToFit="0" readingOrder="0"/>
    </dxf>
    <dxf>
      <alignment horizontal="center" vertical="center" textRotation="0" wrapText="0" indent="0" justifyLastLine="0" shrinkToFit="0" readingOrder="0"/>
    </dxf>
    <dxf>
      <font>
        <b val="0"/>
      </font>
      <alignment horizontal="center" vertical="center" textRotation="0" wrapText="0" indent="0" justifyLastLine="0" shrinkToFit="0" readingOrder="0"/>
    </dxf>
    <dxf>
      <border outline="0">
        <top style="thin">
          <color indexed="64"/>
        </top>
        <bottom style="thin">
          <color indexed="64"/>
        </bottom>
      </border>
    </dxf>
    <dxf>
      <font>
        <b val="0"/>
        <family val="2"/>
      </font>
      <numFmt numFmtId="30" formatCode="@"/>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Calibri"/>
        <family val="2"/>
        <scheme val="minor"/>
      </font>
      <numFmt numFmtId="30" formatCode="@"/>
      <fill>
        <patternFill patternType="solid">
          <fgColor indexed="64"/>
          <bgColor theme="4" tint="0.79998168889431442"/>
        </patternFill>
      </fill>
      <alignment horizontal="center" vertical="center" textRotation="0" wrapText="1" indent="0" justifyLastLine="0" shrinkToFit="0" readingOrder="0"/>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i val="0"/>
        <color theme="0"/>
      </font>
      <fill>
        <patternFill>
          <bgColor rgb="FFFF0000"/>
        </patternFill>
      </fill>
    </dxf>
    <dxf>
      <font>
        <b/>
        <i val="0"/>
        <color theme="0"/>
      </font>
      <fill>
        <patternFill>
          <bgColor rgb="FF00B050"/>
        </patternFill>
      </fill>
    </dxf>
    <dxf>
      <font>
        <color rgb="FF9C0006"/>
      </font>
      <fill>
        <patternFill>
          <bgColor rgb="FFFFC7CE"/>
        </patternFill>
      </fill>
    </dxf>
    <dxf>
      <font>
        <color theme="0"/>
      </font>
    </dxf>
    <dxf>
      <font>
        <color rgb="FF9C0006"/>
      </font>
      <fill>
        <patternFill>
          <bgColor rgb="FFFFC7CE"/>
        </patternFill>
      </fill>
    </dxf>
    <dxf>
      <font>
        <color theme="0"/>
      </font>
    </dxf>
    <dxf>
      <font>
        <color theme="0"/>
      </font>
      <fill>
        <patternFill>
          <bgColor rgb="FFFF0000"/>
        </patternFill>
      </fill>
    </dxf>
    <dxf>
      <font>
        <color auto="1"/>
      </font>
      <fill>
        <patternFill>
          <bgColor rgb="FFFFC000"/>
        </patternFill>
      </fill>
    </dxf>
    <dxf>
      <fill>
        <patternFill>
          <bgColor rgb="FFFFFF00"/>
        </patternFill>
      </fill>
    </dxf>
    <dxf>
      <font>
        <color rgb="FF9C0006"/>
      </font>
      <fill>
        <patternFill>
          <bgColor rgb="FFFFC7CE"/>
        </patternFill>
      </fill>
    </dxf>
    <dxf>
      <font>
        <color theme="0"/>
      </font>
    </dxf>
    <dxf>
      <font>
        <color theme="0"/>
      </font>
      <fill>
        <patternFill>
          <bgColor rgb="FFFF0000"/>
        </patternFill>
      </fill>
    </dxf>
    <dxf>
      <font>
        <color auto="1"/>
      </font>
      <fill>
        <patternFill>
          <bgColor rgb="FFFFC000"/>
        </patternFill>
      </fill>
    </dxf>
    <dxf>
      <fill>
        <patternFill>
          <bgColor rgb="FFFFFF00"/>
        </patternFill>
      </fill>
    </dxf>
    <dxf>
      <font>
        <color theme="0"/>
      </font>
      <fill>
        <patternFill>
          <bgColor rgb="FFFF0000"/>
        </patternFill>
      </fill>
    </dxf>
    <dxf>
      <font>
        <color auto="1"/>
      </font>
      <fill>
        <patternFill>
          <bgColor rgb="FFFFC000"/>
        </patternFill>
      </fill>
    </dxf>
    <dxf>
      <fill>
        <patternFill>
          <bgColor rgb="FFFFFF00"/>
        </patternFill>
      </fill>
    </dxf>
    <dxf>
      <numFmt numFmtId="179" formatCode="\-"/>
    </dxf>
    <dxf>
      <numFmt numFmtId="179" formatCode="\-"/>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Calibri"/>
        <family val="2"/>
        <scheme val="minor"/>
      </font>
      <numFmt numFmtId="30" formatCode="@"/>
      <fill>
        <patternFill patternType="solid">
          <fgColor indexed="64"/>
          <bgColor theme="4"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'MASTER SHEET -MARATHA SITE'!$I$90</c:f>
              <c:strCache>
                <c:ptCount val="1"/>
                <c:pt idx="0">
                  <c:v>Month Plan</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'MASTER SHEET -MARATHA SITE'!$L$89:$AI$89</c:f>
              <c:numCache>
                <c:formatCode>mmm\-yy</c:formatCode>
                <c:ptCount val="24"/>
                <c:pt idx="0">
                  <c:v>45352</c:v>
                </c:pt>
                <c:pt idx="1">
                  <c:v>45383</c:v>
                </c:pt>
                <c:pt idx="2">
                  <c:v>45413</c:v>
                </c:pt>
                <c:pt idx="3">
                  <c:v>45444</c:v>
                </c:pt>
                <c:pt idx="4">
                  <c:v>45474</c:v>
                </c:pt>
                <c:pt idx="5">
                  <c:v>45505</c:v>
                </c:pt>
                <c:pt idx="6">
                  <c:v>45536</c:v>
                </c:pt>
                <c:pt idx="7">
                  <c:v>45566</c:v>
                </c:pt>
                <c:pt idx="8">
                  <c:v>45597</c:v>
                </c:pt>
                <c:pt idx="9">
                  <c:v>45627</c:v>
                </c:pt>
                <c:pt idx="10">
                  <c:v>45658</c:v>
                </c:pt>
                <c:pt idx="11">
                  <c:v>45689</c:v>
                </c:pt>
                <c:pt idx="12">
                  <c:v>45717</c:v>
                </c:pt>
                <c:pt idx="13">
                  <c:v>45748</c:v>
                </c:pt>
                <c:pt idx="14">
                  <c:v>45778</c:v>
                </c:pt>
                <c:pt idx="15">
                  <c:v>45809</c:v>
                </c:pt>
                <c:pt idx="16">
                  <c:v>45839</c:v>
                </c:pt>
                <c:pt idx="17">
                  <c:v>45870</c:v>
                </c:pt>
                <c:pt idx="18">
                  <c:v>45901</c:v>
                </c:pt>
                <c:pt idx="19">
                  <c:v>45931</c:v>
                </c:pt>
                <c:pt idx="20">
                  <c:v>45962</c:v>
                </c:pt>
                <c:pt idx="21">
                  <c:v>45992</c:v>
                </c:pt>
                <c:pt idx="22">
                  <c:v>46023</c:v>
                </c:pt>
                <c:pt idx="23">
                  <c:v>46054</c:v>
                </c:pt>
              </c:numCache>
            </c:numRef>
          </c:cat>
          <c:val>
            <c:numRef>
              <c:f>'MASTER SHEET -MARATHA SITE'!$L$90:$AI$90</c:f>
              <c:numCache>
                <c:formatCode>0%</c:formatCode>
                <c:ptCount val="24"/>
                <c:pt idx="0">
                  <c:v>2.8316129770114214E-2</c:v>
                </c:pt>
                <c:pt idx="1">
                  <c:v>1.3561287990969723E-2</c:v>
                </c:pt>
                <c:pt idx="2">
                  <c:v>2.7325889219935146E-2</c:v>
                </c:pt>
                <c:pt idx="3">
                  <c:v>2.3325917394949089E-2</c:v>
                </c:pt>
                <c:pt idx="4">
                  <c:v>3.331991700573525E-2</c:v>
                </c:pt>
                <c:pt idx="5">
                  <c:v>4.7286836063491988E-2</c:v>
                </c:pt>
                <c:pt idx="6">
                  <c:v>5.3664965087778987E-2</c:v>
                </c:pt>
                <c:pt idx="7">
                  <c:v>6.6193294731147434E-2</c:v>
                </c:pt>
                <c:pt idx="8">
                  <c:v>6.7593124905489729E-2</c:v>
                </c:pt>
                <c:pt idx="9">
                  <c:v>6.8700766637432797E-2</c:v>
                </c:pt>
                <c:pt idx="10">
                  <c:v>6.5986185434593392E-2</c:v>
                </c:pt>
                <c:pt idx="11">
                  <c:v>6.6695888934766662E-2</c:v>
                </c:pt>
                <c:pt idx="12">
                  <c:v>5.7004412499636108E-2</c:v>
                </c:pt>
                <c:pt idx="13">
                  <c:v>5.8729046772132143E-2</c:v>
                </c:pt>
                <c:pt idx="14" formatCode="0.00%">
                  <c:v>6.2687650139381962E-2</c:v>
                </c:pt>
                <c:pt idx="15">
                  <c:v>6.0364230580941758E-2</c:v>
                </c:pt>
                <c:pt idx="16">
                  <c:v>5.9137194945863489E-2</c:v>
                </c:pt>
                <c:pt idx="17">
                  <c:v>4.3513061510811142E-2</c:v>
                </c:pt>
                <c:pt idx="18">
                  <c:v>2.8320671523711947E-2</c:v>
                </c:pt>
                <c:pt idx="19">
                  <c:v>3.4803386699659392E-2</c:v>
                </c:pt>
                <c:pt idx="20">
                  <c:v>3.3520142151457627E-2</c:v>
                </c:pt>
              </c:numCache>
            </c:numRef>
          </c:val>
          <c:extLst>
            <c:ext xmlns:c16="http://schemas.microsoft.com/office/drawing/2014/chart" uri="{C3380CC4-5D6E-409C-BE32-E72D297353CC}">
              <c16:uniqueId val="{00000000-90E1-46D5-8234-BB6CCEBA7E30}"/>
            </c:ext>
          </c:extLst>
        </c:ser>
        <c:ser>
          <c:idx val="2"/>
          <c:order val="2"/>
          <c:tx>
            <c:strRef>
              <c:f>'MASTER SHEET -MARATHA SITE'!$I$92</c:f>
              <c:strCache>
                <c:ptCount val="1"/>
                <c:pt idx="0">
                  <c:v>Month Actual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'MASTER SHEET -MARATHA SITE'!$L$89:$AI$89</c:f>
              <c:numCache>
                <c:formatCode>mmm\-yy</c:formatCode>
                <c:ptCount val="24"/>
                <c:pt idx="0">
                  <c:v>45352</c:v>
                </c:pt>
                <c:pt idx="1">
                  <c:v>45383</c:v>
                </c:pt>
                <c:pt idx="2">
                  <c:v>45413</c:v>
                </c:pt>
                <c:pt idx="3">
                  <c:v>45444</c:v>
                </c:pt>
                <c:pt idx="4">
                  <c:v>45474</c:v>
                </c:pt>
                <c:pt idx="5">
                  <c:v>45505</c:v>
                </c:pt>
                <c:pt idx="6">
                  <c:v>45536</c:v>
                </c:pt>
                <c:pt idx="7">
                  <c:v>45566</c:v>
                </c:pt>
                <c:pt idx="8">
                  <c:v>45597</c:v>
                </c:pt>
                <c:pt idx="9">
                  <c:v>45627</c:v>
                </c:pt>
                <c:pt idx="10">
                  <c:v>45658</c:v>
                </c:pt>
                <c:pt idx="11">
                  <c:v>45689</c:v>
                </c:pt>
                <c:pt idx="12">
                  <c:v>45717</c:v>
                </c:pt>
                <c:pt idx="13">
                  <c:v>45748</c:v>
                </c:pt>
                <c:pt idx="14">
                  <c:v>45778</c:v>
                </c:pt>
                <c:pt idx="15">
                  <c:v>45809</c:v>
                </c:pt>
                <c:pt idx="16">
                  <c:v>45839</c:v>
                </c:pt>
                <c:pt idx="17">
                  <c:v>45870</c:v>
                </c:pt>
                <c:pt idx="18">
                  <c:v>45901</c:v>
                </c:pt>
                <c:pt idx="19">
                  <c:v>45931</c:v>
                </c:pt>
                <c:pt idx="20">
                  <c:v>45962</c:v>
                </c:pt>
                <c:pt idx="21">
                  <c:v>45992</c:v>
                </c:pt>
                <c:pt idx="22">
                  <c:v>46023</c:v>
                </c:pt>
                <c:pt idx="23">
                  <c:v>46054</c:v>
                </c:pt>
              </c:numCache>
            </c:numRef>
          </c:cat>
          <c:val>
            <c:numRef>
              <c:f>'MASTER SHEET -MARATHA SITE'!$L$92:$AI$92</c:f>
              <c:numCache>
                <c:formatCode>0%</c:formatCode>
                <c:ptCount val="24"/>
                <c:pt idx="0">
                  <c:v>2.5040883804600796E-2</c:v>
                </c:pt>
                <c:pt idx="1">
                  <c:v>2.4701452741700217E-2</c:v>
                </c:pt>
                <c:pt idx="2">
                  <c:v>1.7367473381768753E-2</c:v>
                </c:pt>
                <c:pt idx="3">
                  <c:v>1.908463596551202E-2</c:v>
                </c:pt>
                <c:pt idx="4">
                  <c:v>3.8917411928854576E-2</c:v>
                </c:pt>
                <c:pt idx="5">
                  <c:v>2.1079768688354702E-2</c:v>
                </c:pt>
                <c:pt idx="6">
                  <c:v>5.1206881598986009E-2</c:v>
                </c:pt>
                <c:pt idx="7">
                  <c:v>3.111328240220922E-2</c:v>
                </c:pt>
                <c:pt idx="8">
                  <c:v>3.911336552157086E-2</c:v>
                </c:pt>
                <c:pt idx="9">
                  <c:v>3.4873576820781974E-2</c:v>
                </c:pt>
                <c:pt idx="10">
                  <c:v>3.6847837002963256E-2</c:v>
                </c:pt>
                <c:pt idx="11" formatCode="0.00%">
                  <c:v>4.7516456029609633E-2</c:v>
                </c:pt>
                <c:pt idx="12" formatCode="0.00%">
                  <c:v>2.1843205655812891E-2</c:v>
                </c:pt>
                <c:pt idx="13" formatCode="0.00%">
                  <c:v>3.5143756877885096E-2</c:v>
                </c:pt>
                <c:pt idx="14" formatCode="0.00%">
                  <c:v>3.8751148105625711E-4</c:v>
                </c:pt>
              </c:numCache>
            </c:numRef>
          </c:val>
          <c:extLst>
            <c:ext xmlns:c16="http://schemas.microsoft.com/office/drawing/2014/chart" uri="{C3380CC4-5D6E-409C-BE32-E72D297353CC}">
              <c16:uniqueId val="{00000002-90E1-46D5-8234-BB6CCEBA7E30}"/>
            </c:ext>
          </c:extLst>
        </c:ser>
        <c:ser>
          <c:idx val="4"/>
          <c:order val="4"/>
          <c:tx>
            <c:strRef>
              <c:f>'MASTER SHEET -MARATHA SITE'!$I$94</c:f>
              <c:strCache>
                <c:ptCount val="1"/>
                <c:pt idx="0">
                  <c:v>Month Forecast</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'MASTER SHEET -MARATHA SITE'!$L$89:$AI$89</c:f>
              <c:numCache>
                <c:formatCode>mmm\-yy</c:formatCode>
                <c:ptCount val="24"/>
                <c:pt idx="0">
                  <c:v>45352</c:v>
                </c:pt>
                <c:pt idx="1">
                  <c:v>45383</c:v>
                </c:pt>
                <c:pt idx="2">
                  <c:v>45413</c:v>
                </c:pt>
                <c:pt idx="3">
                  <c:v>45444</c:v>
                </c:pt>
                <c:pt idx="4">
                  <c:v>45474</c:v>
                </c:pt>
                <c:pt idx="5">
                  <c:v>45505</c:v>
                </c:pt>
                <c:pt idx="6">
                  <c:v>45536</c:v>
                </c:pt>
                <c:pt idx="7">
                  <c:v>45566</c:v>
                </c:pt>
                <c:pt idx="8">
                  <c:v>45597</c:v>
                </c:pt>
                <c:pt idx="9">
                  <c:v>45627</c:v>
                </c:pt>
                <c:pt idx="10">
                  <c:v>45658</c:v>
                </c:pt>
                <c:pt idx="11">
                  <c:v>45689</c:v>
                </c:pt>
                <c:pt idx="12">
                  <c:v>45717</c:v>
                </c:pt>
                <c:pt idx="13">
                  <c:v>45748</c:v>
                </c:pt>
                <c:pt idx="14">
                  <c:v>45778</c:v>
                </c:pt>
                <c:pt idx="15">
                  <c:v>45809</c:v>
                </c:pt>
                <c:pt idx="16">
                  <c:v>45839</c:v>
                </c:pt>
                <c:pt idx="17">
                  <c:v>45870</c:v>
                </c:pt>
                <c:pt idx="18">
                  <c:v>45901</c:v>
                </c:pt>
                <c:pt idx="19">
                  <c:v>45931</c:v>
                </c:pt>
                <c:pt idx="20">
                  <c:v>45962</c:v>
                </c:pt>
                <c:pt idx="21">
                  <c:v>45992</c:v>
                </c:pt>
                <c:pt idx="22">
                  <c:v>46023</c:v>
                </c:pt>
                <c:pt idx="23">
                  <c:v>46054</c:v>
                </c:pt>
              </c:numCache>
            </c:numRef>
          </c:cat>
          <c:val>
            <c:numRef>
              <c:f>'MASTER SHEET -MARATHA SITE'!$L$94:$AI$94</c:f>
              <c:numCache>
                <c:formatCode>0%</c:formatCode>
                <c:ptCount val="24"/>
                <c:pt idx="14" formatCode="0.00%">
                  <c:v>7.698300000000001E-2</c:v>
                </c:pt>
                <c:pt idx="15">
                  <c:v>7.9617000000000021E-2</c:v>
                </c:pt>
                <c:pt idx="16">
                  <c:v>7.1460499999999996E-2</c:v>
                </c:pt>
                <c:pt idx="17">
                  <c:v>5.2789499999999996E-2</c:v>
                </c:pt>
                <c:pt idx="18">
                  <c:v>5.8915999999999996E-2</c:v>
                </c:pt>
                <c:pt idx="19">
                  <c:v>5.5257500000000008E-2</c:v>
                </c:pt>
                <c:pt idx="20">
                  <c:v>6.0108000000000009E-2</c:v>
                </c:pt>
                <c:pt idx="21">
                  <c:v>3.0260000000000002E-2</c:v>
                </c:pt>
                <c:pt idx="22">
                  <c:v>2.5397000000000003E-2</c:v>
                </c:pt>
                <c:pt idx="23">
                  <c:v>1.5266E-2</c:v>
                </c:pt>
              </c:numCache>
            </c:numRef>
          </c:val>
          <c:extLst>
            <c:ext xmlns:c16="http://schemas.microsoft.com/office/drawing/2014/chart" uri="{C3380CC4-5D6E-409C-BE32-E72D297353CC}">
              <c16:uniqueId val="{00000004-90E1-46D5-8234-BB6CCEBA7E30}"/>
            </c:ext>
          </c:extLst>
        </c:ser>
        <c:dLbls>
          <c:showLegendKey val="0"/>
          <c:showVal val="1"/>
          <c:showCatName val="0"/>
          <c:showSerName val="0"/>
          <c:showPercent val="0"/>
          <c:showBubbleSize val="0"/>
        </c:dLbls>
        <c:gapWidth val="219"/>
        <c:axId val="1867796512"/>
        <c:axId val="1867785472"/>
      </c:barChart>
      <c:lineChart>
        <c:grouping val="standard"/>
        <c:varyColors val="0"/>
        <c:ser>
          <c:idx val="1"/>
          <c:order val="1"/>
          <c:tx>
            <c:strRef>
              <c:f>'MASTER SHEET -MARATHA SITE'!$I$91</c:f>
              <c:strCache>
                <c:ptCount val="1"/>
                <c:pt idx="0">
                  <c:v>Cumulative Plan</c:v>
                </c:pt>
              </c:strCache>
            </c:strRef>
          </c:tx>
          <c:spPr>
            <a:ln w="28575" cap="rnd">
              <a:solidFill>
                <a:srgbClr val="00B0F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'MASTER SHEET -MARATHA SITE'!$L$89:$AI$89</c:f>
              <c:numCache>
                <c:formatCode>mmm\-yy</c:formatCode>
                <c:ptCount val="24"/>
                <c:pt idx="0">
                  <c:v>45352</c:v>
                </c:pt>
                <c:pt idx="1">
                  <c:v>45383</c:v>
                </c:pt>
                <c:pt idx="2">
                  <c:v>45413</c:v>
                </c:pt>
                <c:pt idx="3">
                  <c:v>45444</c:v>
                </c:pt>
                <c:pt idx="4">
                  <c:v>45474</c:v>
                </c:pt>
                <c:pt idx="5">
                  <c:v>45505</c:v>
                </c:pt>
                <c:pt idx="6">
                  <c:v>45536</c:v>
                </c:pt>
                <c:pt idx="7">
                  <c:v>45566</c:v>
                </c:pt>
                <c:pt idx="8">
                  <c:v>45597</c:v>
                </c:pt>
                <c:pt idx="9">
                  <c:v>45627</c:v>
                </c:pt>
                <c:pt idx="10">
                  <c:v>45658</c:v>
                </c:pt>
                <c:pt idx="11">
                  <c:v>45689</c:v>
                </c:pt>
                <c:pt idx="12">
                  <c:v>45717</c:v>
                </c:pt>
                <c:pt idx="13">
                  <c:v>45748</c:v>
                </c:pt>
                <c:pt idx="14">
                  <c:v>45778</c:v>
                </c:pt>
                <c:pt idx="15">
                  <c:v>45809</c:v>
                </c:pt>
                <c:pt idx="16">
                  <c:v>45839</c:v>
                </c:pt>
                <c:pt idx="17">
                  <c:v>45870</c:v>
                </c:pt>
                <c:pt idx="18">
                  <c:v>45901</c:v>
                </c:pt>
                <c:pt idx="19">
                  <c:v>45931</c:v>
                </c:pt>
                <c:pt idx="20">
                  <c:v>45962</c:v>
                </c:pt>
                <c:pt idx="21">
                  <c:v>45992</c:v>
                </c:pt>
                <c:pt idx="22">
                  <c:v>46023</c:v>
                </c:pt>
                <c:pt idx="23">
                  <c:v>46054</c:v>
                </c:pt>
              </c:numCache>
            </c:numRef>
          </c:cat>
          <c:val>
            <c:numRef>
              <c:f>'MASTER SHEET -MARATHA SITE'!$L$91:$AI$91</c:f>
              <c:numCache>
                <c:formatCode>0%</c:formatCode>
                <c:ptCount val="24"/>
                <c:pt idx="0">
                  <c:v>2.9068466218712345E-2</c:v>
                </c:pt>
                <c:pt idx="1">
                  <c:v>4.2629754209682069E-2</c:v>
                </c:pt>
                <c:pt idx="2">
                  <c:v>6.9955643429617215E-2</c:v>
                </c:pt>
                <c:pt idx="3">
                  <c:v>9.3281560824566304E-2</c:v>
                </c:pt>
                <c:pt idx="4">
                  <c:v>0.12660147783030157</c:v>
                </c:pt>
                <c:pt idx="5">
                  <c:v>0.17388831389379356</c:v>
                </c:pt>
                <c:pt idx="6">
                  <c:v>0.22755327898157254</c:v>
                </c:pt>
                <c:pt idx="7">
                  <c:v>0.29374657371271995</c:v>
                </c:pt>
                <c:pt idx="8">
                  <c:v>0.36133969861820969</c:v>
                </c:pt>
                <c:pt idx="9">
                  <c:v>0.43004046525564249</c:v>
                </c:pt>
                <c:pt idx="10">
                  <c:v>0.49602665069023588</c:v>
                </c:pt>
                <c:pt idx="11">
                  <c:v>0.56272253962500252</c:v>
                </c:pt>
                <c:pt idx="12">
                  <c:v>0.61972695212463857</c:v>
                </c:pt>
                <c:pt idx="13">
                  <c:v>0.67845599889677066</c:v>
                </c:pt>
                <c:pt idx="14" formatCode="0.00%">
                  <c:v>0.7411436490361526</c:v>
                </c:pt>
                <c:pt idx="15">
                  <c:v>0.80150787961709435</c:v>
                </c:pt>
                <c:pt idx="16">
                  <c:v>0.8606450745629578</c:v>
                </c:pt>
                <c:pt idx="17">
                  <c:v>0.90415813607376894</c:v>
                </c:pt>
                <c:pt idx="18">
                  <c:v>0.93247880759748092</c:v>
                </c:pt>
                <c:pt idx="19">
                  <c:v>0.96728219429714035</c:v>
                </c:pt>
                <c:pt idx="20">
                  <c:v>1.0008023364485981</c:v>
                </c:pt>
              </c:numCache>
            </c:numRef>
          </c:val>
          <c:smooth val="0"/>
          <c:extLst>
            <c:ext xmlns:c16="http://schemas.microsoft.com/office/drawing/2014/chart" uri="{C3380CC4-5D6E-409C-BE32-E72D297353CC}">
              <c16:uniqueId val="{00000001-90E1-46D5-8234-BB6CCEBA7E30}"/>
            </c:ext>
          </c:extLst>
        </c:ser>
        <c:ser>
          <c:idx val="3"/>
          <c:order val="3"/>
          <c:tx>
            <c:strRef>
              <c:f>'MASTER SHEET -MARATHA SITE'!$I$93</c:f>
              <c:strCache>
                <c:ptCount val="1"/>
                <c:pt idx="0">
                  <c:v>Cumulative Actual</c:v>
                </c:pt>
              </c:strCache>
            </c:strRef>
          </c:tx>
          <c:spPr>
            <a:ln w="28575" cap="rnd">
              <a:solidFill>
                <a:srgbClr val="92D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'MASTER SHEET -MARATHA SITE'!$L$89:$AI$89</c:f>
              <c:numCache>
                <c:formatCode>mmm\-yy</c:formatCode>
                <c:ptCount val="24"/>
                <c:pt idx="0">
                  <c:v>45352</c:v>
                </c:pt>
                <c:pt idx="1">
                  <c:v>45383</c:v>
                </c:pt>
                <c:pt idx="2">
                  <c:v>45413</c:v>
                </c:pt>
                <c:pt idx="3">
                  <c:v>45444</c:v>
                </c:pt>
                <c:pt idx="4">
                  <c:v>45474</c:v>
                </c:pt>
                <c:pt idx="5">
                  <c:v>45505</c:v>
                </c:pt>
                <c:pt idx="6">
                  <c:v>45536</c:v>
                </c:pt>
                <c:pt idx="7">
                  <c:v>45566</c:v>
                </c:pt>
                <c:pt idx="8">
                  <c:v>45597</c:v>
                </c:pt>
                <c:pt idx="9">
                  <c:v>45627</c:v>
                </c:pt>
                <c:pt idx="10">
                  <c:v>45658</c:v>
                </c:pt>
                <c:pt idx="11">
                  <c:v>45689</c:v>
                </c:pt>
                <c:pt idx="12">
                  <c:v>45717</c:v>
                </c:pt>
                <c:pt idx="13">
                  <c:v>45748</c:v>
                </c:pt>
                <c:pt idx="14">
                  <c:v>45778</c:v>
                </c:pt>
                <c:pt idx="15">
                  <c:v>45809</c:v>
                </c:pt>
                <c:pt idx="16">
                  <c:v>45839</c:v>
                </c:pt>
                <c:pt idx="17">
                  <c:v>45870</c:v>
                </c:pt>
                <c:pt idx="18">
                  <c:v>45901</c:v>
                </c:pt>
                <c:pt idx="19">
                  <c:v>45931</c:v>
                </c:pt>
                <c:pt idx="20">
                  <c:v>45962</c:v>
                </c:pt>
                <c:pt idx="21">
                  <c:v>45992</c:v>
                </c:pt>
                <c:pt idx="22">
                  <c:v>46023</c:v>
                </c:pt>
                <c:pt idx="23">
                  <c:v>46054</c:v>
                </c:pt>
              </c:numCache>
            </c:numRef>
          </c:cat>
          <c:val>
            <c:numRef>
              <c:f>'MASTER SHEET -MARATHA SITE'!$L$93:$AI$93</c:f>
              <c:numCache>
                <c:formatCode>0%</c:formatCode>
                <c:ptCount val="24"/>
                <c:pt idx="0">
                  <c:v>2.5040883804600796E-2</c:v>
                </c:pt>
                <c:pt idx="1">
                  <c:v>4.9742336546301016E-2</c:v>
                </c:pt>
                <c:pt idx="2">
                  <c:v>6.7109809928069766E-2</c:v>
                </c:pt>
                <c:pt idx="3">
                  <c:v>8.6194445893581786E-2</c:v>
                </c:pt>
                <c:pt idx="4">
                  <c:v>0.12511185782243636</c:v>
                </c:pt>
                <c:pt idx="5">
                  <c:v>0.14619162651079107</c:v>
                </c:pt>
                <c:pt idx="6">
                  <c:v>0.19739850810977708</c:v>
                </c:pt>
                <c:pt idx="7">
                  <c:v>0.22851179051198631</c:v>
                </c:pt>
                <c:pt idx="8">
                  <c:v>0.26762515603355719</c:v>
                </c:pt>
                <c:pt idx="9">
                  <c:v>0.30249873285433915</c:v>
                </c:pt>
                <c:pt idx="10">
                  <c:v>0.33934656985730238</c:v>
                </c:pt>
                <c:pt idx="11" formatCode="0.00%">
                  <c:v>0.38686302588691202</c:v>
                </c:pt>
                <c:pt idx="12" formatCode="0.00%">
                  <c:v>0.4087062315427249</c:v>
                </c:pt>
                <c:pt idx="13" formatCode="0.00%">
                  <c:v>0.44384998842060996</c:v>
                </c:pt>
                <c:pt idx="14" formatCode="0.00%">
                  <c:v>0.44423749990166622</c:v>
                </c:pt>
              </c:numCache>
            </c:numRef>
          </c:val>
          <c:smooth val="0"/>
          <c:extLst>
            <c:ext xmlns:c16="http://schemas.microsoft.com/office/drawing/2014/chart" uri="{C3380CC4-5D6E-409C-BE32-E72D297353CC}">
              <c16:uniqueId val="{00000003-90E1-46D5-8234-BB6CCEBA7E30}"/>
            </c:ext>
          </c:extLst>
        </c:ser>
        <c:ser>
          <c:idx val="5"/>
          <c:order val="5"/>
          <c:tx>
            <c:strRef>
              <c:f>'MASTER SHEET -MARATHA SITE'!$I$95</c:f>
              <c:strCache>
                <c:ptCount val="1"/>
                <c:pt idx="0">
                  <c:v>Cumulative Forecast</c:v>
                </c:pt>
              </c:strCache>
            </c:strRef>
          </c:tx>
          <c:spPr>
            <a:ln w="44450" cap="rnd">
              <a:solidFill>
                <a:srgbClr val="FFC000"/>
              </a:solidFill>
              <a:prstDash val="dash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'MASTER SHEET -MARATHA SITE'!$L$89:$AI$89</c:f>
              <c:numCache>
                <c:formatCode>mmm\-yy</c:formatCode>
                <c:ptCount val="24"/>
                <c:pt idx="0">
                  <c:v>45352</c:v>
                </c:pt>
                <c:pt idx="1">
                  <c:v>45383</c:v>
                </c:pt>
                <c:pt idx="2">
                  <c:v>45413</c:v>
                </c:pt>
                <c:pt idx="3">
                  <c:v>45444</c:v>
                </c:pt>
                <c:pt idx="4">
                  <c:v>45474</c:v>
                </c:pt>
                <c:pt idx="5">
                  <c:v>45505</c:v>
                </c:pt>
                <c:pt idx="6">
                  <c:v>45536</c:v>
                </c:pt>
                <c:pt idx="7">
                  <c:v>45566</c:v>
                </c:pt>
                <c:pt idx="8">
                  <c:v>45597</c:v>
                </c:pt>
                <c:pt idx="9">
                  <c:v>45627</c:v>
                </c:pt>
                <c:pt idx="10">
                  <c:v>45658</c:v>
                </c:pt>
                <c:pt idx="11">
                  <c:v>45689</c:v>
                </c:pt>
                <c:pt idx="12">
                  <c:v>45717</c:v>
                </c:pt>
                <c:pt idx="13">
                  <c:v>45748</c:v>
                </c:pt>
                <c:pt idx="14">
                  <c:v>45778</c:v>
                </c:pt>
                <c:pt idx="15">
                  <c:v>45809</c:v>
                </c:pt>
                <c:pt idx="16">
                  <c:v>45839</c:v>
                </c:pt>
                <c:pt idx="17">
                  <c:v>45870</c:v>
                </c:pt>
                <c:pt idx="18">
                  <c:v>45901</c:v>
                </c:pt>
                <c:pt idx="19">
                  <c:v>45931</c:v>
                </c:pt>
                <c:pt idx="20">
                  <c:v>45962</c:v>
                </c:pt>
                <c:pt idx="21">
                  <c:v>45992</c:v>
                </c:pt>
                <c:pt idx="22">
                  <c:v>46023</c:v>
                </c:pt>
                <c:pt idx="23">
                  <c:v>46054</c:v>
                </c:pt>
              </c:numCache>
            </c:numRef>
          </c:cat>
          <c:val>
            <c:numRef>
              <c:f>'MASTER SHEET -MARATHA SITE'!$L$95:$AI$95</c:f>
              <c:numCache>
                <c:formatCode>0%</c:formatCode>
                <c:ptCount val="24"/>
                <c:pt idx="13">
                  <c:v>0.44384998842060996</c:v>
                </c:pt>
                <c:pt idx="14" formatCode="0.00%">
                  <c:v>0.52083298842060999</c:v>
                </c:pt>
                <c:pt idx="15">
                  <c:v>0.60044998842061004</c:v>
                </c:pt>
                <c:pt idx="16">
                  <c:v>0.67191048842061007</c:v>
                </c:pt>
                <c:pt idx="17">
                  <c:v>0.72469998842061012</c:v>
                </c:pt>
                <c:pt idx="18">
                  <c:v>0.78361598842061009</c:v>
                </c:pt>
                <c:pt idx="19">
                  <c:v>0.83887348842061005</c:v>
                </c:pt>
                <c:pt idx="20">
                  <c:v>0.8989814884206101</c:v>
                </c:pt>
                <c:pt idx="21">
                  <c:v>0.92924148842061005</c:v>
                </c:pt>
                <c:pt idx="22">
                  <c:v>0.95463848842061005</c:v>
                </c:pt>
                <c:pt idx="23">
                  <c:v>0.96990448842061006</c:v>
                </c:pt>
              </c:numCache>
            </c:numRef>
          </c:val>
          <c:smooth val="0"/>
          <c:extLst>
            <c:ext xmlns:c16="http://schemas.microsoft.com/office/drawing/2014/chart" uri="{C3380CC4-5D6E-409C-BE32-E72D297353CC}">
              <c16:uniqueId val="{00000005-90E1-46D5-8234-BB6CCEBA7E30}"/>
            </c:ext>
          </c:extLst>
        </c:ser>
        <c:dLbls>
          <c:showLegendKey val="0"/>
          <c:showVal val="1"/>
          <c:showCatName val="0"/>
          <c:showSerName val="0"/>
          <c:showPercent val="0"/>
          <c:showBubbleSize val="0"/>
        </c:dLbls>
        <c:marker val="1"/>
        <c:smooth val="0"/>
        <c:axId val="1785210336"/>
        <c:axId val="1785191616"/>
      </c:lineChart>
      <c:dateAx>
        <c:axId val="18677965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785472"/>
        <c:crosses val="autoZero"/>
        <c:auto val="1"/>
        <c:lblOffset val="100"/>
        <c:baseTimeUnit val="months"/>
      </c:dateAx>
      <c:valAx>
        <c:axId val="186778547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796512"/>
        <c:crosses val="autoZero"/>
        <c:crossBetween val="between"/>
      </c:valAx>
      <c:valAx>
        <c:axId val="178519161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210336"/>
        <c:crosses val="max"/>
        <c:crossBetween val="between"/>
      </c:valAx>
      <c:dateAx>
        <c:axId val="1785210336"/>
        <c:scaling>
          <c:orientation val="minMax"/>
        </c:scaling>
        <c:delete val="1"/>
        <c:axPos val="b"/>
        <c:numFmt formatCode="mmm\-yy" sourceLinked="1"/>
        <c:majorTickMark val="out"/>
        <c:minorTickMark val="none"/>
        <c:tickLblPos val="nextTo"/>
        <c:crossAx val="1785191616"/>
        <c:crosses val="autoZero"/>
        <c:auto val="1"/>
        <c:lblOffset val="100"/>
        <c:baseTimeUnit val="months"/>
      </c:date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Civil (RCC+PCC)</a:t>
            </a:r>
          </a:p>
        </c:rich>
      </c:tx>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'RCC UPDATED SEP(3)'!$A$18</c:f>
              <c:strCache>
                <c:ptCount val="1"/>
                <c:pt idx="0">
                  <c:v>Civil (RCC+PCC)</c:v>
                </c:pt>
              </c:strCache>
            </c:strRef>
          </c:tx>
          <c:dLbls>
            <c:spPr>
              <a:noFill/>
              <a:ln>
                <a:noFill/>
              </a:ln>
              <a:effectLst/>
            </c:spPr>
            <c:txPr>
              <a:bodyPr wrap="square" lIns="38100" tIns="19050" rIns="38100" bIns="19050" anchor="ctr" anchorCtr="0">
                <a:spAutoFit/>
              </a:bodyPr>
              <a:lstStyle/>
              <a:p>
                <a:pPr algn="ctr">
                  <a:defRPr lang="en-US" sz="1200" b="1" i="0" u="none" strike="noStrike" kern="1200" baseline="0">
                    <a:solidFill>
                      <a:schemeClr val="tx1">
                        <a:lumMod val="75000"/>
                        <a:lumOff val="25000"/>
                      </a:schemeClr>
                    </a:solidFill>
                    <a:highlight>
                      <a:srgbClr val="FFFF00"/>
                    </a:highlight>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'RCC UPDATED SEP(3)'!$B$17:$C$17</c:f>
              <c:strCache>
                <c:ptCount val="2"/>
                <c:pt idx="0">
                  <c:v>Total Scope</c:v>
                </c:pt>
                <c:pt idx="1">
                  <c:v>Actual till date</c:v>
                </c:pt>
              </c:strCache>
            </c:strRef>
          </c:cat>
          <c:val>
            <c:numRef>
              <c:f>'RCC UPDATED SEP(3)'!$B$18:$C$18</c:f>
              <c:numCache>
                <c:formatCode>0</c:formatCode>
                <c:ptCount val="2"/>
                <c:pt idx="0">
                  <c:v>87100</c:v>
                </c:pt>
                <c:pt idx="1">
                  <c:v>35199</c:v>
                </c:pt>
              </c:numCache>
            </c:numRef>
          </c:val>
          <c:extLst>
            <c:ext xmlns:c16="http://schemas.microsoft.com/office/drawing/2014/chart" uri="{C3380CC4-5D6E-409C-BE32-E72D297353CC}">
              <c16:uniqueId val="{00000000-DBD4-47D5-8653-DDEAE3F82E87}"/>
            </c:ext>
          </c:extLst>
        </c:ser>
        <c:ser>
          <c:idx val="0"/>
          <c:order val="1"/>
          <c:tx>
            <c:strRef>
              <c:f>'RCC UPDATED SEP(3)'!$A$18</c:f>
              <c:strCache>
                <c:ptCount val="1"/>
                <c:pt idx="0">
                  <c:v>Civil (RCC+PCC)</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2-DBD4-47D5-8653-DDEAE3F82E8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4-DBD4-47D5-8653-DDEAE3F82E87}"/>
              </c:ext>
            </c:extLst>
          </c:dPt>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lumMod val="75000"/>
                        <a:lumOff val="25000"/>
                      </a:schemeClr>
                    </a:solidFill>
                    <a:highlight>
                      <a:srgbClr val="FFFF00"/>
                    </a:highlight>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'RCC UPDATED SEP(3)'!$B$17:$C$17</c:f>
              <c:strCache>
                <c:ptCount val="2"/>
                <c:pt idx="0">
                  <c:v>Total Scope</c:v>
                </c:pt>
                <c:pt idx="1">
                  <c:v>Actual till date</c:v>
                </c:pt>
              </c:strCache>
            </c:strRef>
          </c:cat>
          <c:val>
            <c:numRef>
              <c:f>'RCC UPDATED SEP(3)'!$B$18:$C$18</c:f>
              <c:numCache>
                <c:formatCode>0</c:formatCode>
                <c:ptCount val="2"/>
                <c:pt idx="0">
                  <c:v>87100</c:v>
                </c:pt>
                <c:pt idx="1">
                  <c:v>35199</c:v>
                </c:pt>
              </c:numCache>
            </c:numRef>
          </c:val>
          <c:extLst>
            <c:ext xmlns:c16="http://schemas.microsoft.com/office/drawing/2014/chart" uri="{C3380CC4-5D6E-409C-BE32-E72D297353CC}">
              <c16:uniqueId val="{00000005-DBD4-47D5-8653-DDEAE3F82E87}"/>
            </c:ext>
          </c:extLst>
        </c:ser>
        <c:dLbls>
          <c:dLblPos val="bestFit"/>
          <c:showLegendKey val="0"/>
          <c:showVal val="1"/>
          <c:showCatName val="0"/>
          <c:showSerName val="0"/>
          <c:showPercent val="0"/>
          <c:showBubbleSize val="0"/>
          <c:showLeaderLines val="1"/>
        </c:dLbls>
      </c:pie3DChart>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Plate Fabrication</a:t>
            </a:r>
          </a:p>
        </c:rich>
      </c:tx>
      <c:layout>
        <c:manualLayout>
          <c:xMode val="edge"/>
          <c:yMode val="edge"/>
          <c:x val="0.23994997364519921"/>
          <c:y val="1.4668641735750772E-2"/>
        </c:manualLayout>
      </c:layout>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'RCC UPDATED SEP(3)'!$A$19</c:f>
              <c:strCache>
                <c:ptCount val="1"/>
                <c:pt idx="0">
                  <c:v>Fabrication</c:v>
                </c:pt>
              </c:strCache>
            </c:strRef>
          </c:tx>
          <c:dLbls>
            <c:dLbl>
              <c:idx val="0"/>
              <c:layout>
                <c:manualLayout>
                  <c:x val="-0.11766967660243907"/>
                  <c:y val="-0.31067356396668128"/>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35F-4B07-A20E-D358A86F446D}"/>
                </c:ext>
              </c:extLst>
            </c:dLbl>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lumMod val="75000"/>
                        <a:lumOff val="25000"/>
                      </a:schemeClr>
                    </a:solidFill>
                    <a:highlight>
                      <a:srgbClr val="FFFF00"/>
                    </a:highlight>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'RCC UPDATED SEP(3)'!$B$17:$C$17</c:f>
              <c:strCache>
                <c:ptCount val="2"/>
                <c:pt idx="0">
                  <c:v>Total Scope</c:v>
                </c:pt>
                <c:pt idx="1">
                  <c:v>Actual till date</c:v>
                </c:pt>
              </c:strCache>
            </c:strRef>
          </c:cat>
          <c:val>
            <c:numRef>
              <c:f>'RCC UPDATED SEP(3)'!$B$19:$C$19</c:f>
              <c:numCache>
                <c:formatCode>0</c:formatCode>
                <c:ptCount val="2"/>
                <c:pt idx="0">
                  <c:v>5073.6000000000004</c:v>
                </c:pt>
                <c:pt idx="1">
                  <c:v>912</c:v>
                </c:pt>
              </c:numCache>
            </c:numRef>
          </c:val>
          <c:extLst>
            <c:ext xmlns:c16="http://schemas.microsoft.com/office/drawing/2014/chart" uri="{C3380CC4-5D6E-409C-BE32-E72D297353CC}">
              <c16:uniqueId val="{00000000-8129-45E9-823C-76C23CA1F91E}"/>
            </c:ext>
          </c:extLst>
        </c:ser>
        <c:dLbls>
          <c:dLblPos val="bestFit"/>
          <c:showLegendKey val="0"/>
          <c:showVal val="1"/>
          <c:showCatName val="0"/>
          <c:showSerName val="0"/>
          <c:showPercent val="0"/>
          <c:showBubbleSize val="0"/>
          <c:showLeaderLines val="1"/>
        </c:dLbls>
      </c:pie3DChart>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Structure Erection</a:t>
            </a:r>
          </a:p>
        </c:rich>
      </c:tx>
      <c:layout>
        <c:manualLayout>
          <c:xMode val="edge"/>
          <c:yMode val="edge"/>
          <c:x val="0.23994997364519921"/>
          <c:y val="1.4668641735750772E-2"/>
        </c:manualLayout>
      </c:layout>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'RCC UPDATED SEP(3)'!$A$20</c:f>
              <c:strCache>
                <c:ptCount val="1"/>
                <c:pt idx="0">
                  <c:v>Structure </c:v>
                </c:pt>
              </c:strCache>
            </c:strRef>
          </c:tx>
          <c:dLbls>
            <c:spPr>
              <a:noFill/>
              <a:ln>
                <a:noFill/>
              </a:ln>
              <a:effectLst/>
            </c:spPr>
            <c:txPr>
              <a:bodyPr wrap="square" lIns="38100" tIns="19050" rIns="38100" bIns="19050" anchor="ctr" anchorCtr="0">
                <a:spAutoFit/>
              </a:bodyPr>
              <a:lstStyle/>
              <a:p>
                <a:pPr algn="ctr">
                  <a:defRPr lang="en-US" sz="1200" b="1" i="0" u="none" strike="noStrike" kern="1200" baseline="0">
                    <a:solidFill>
                      <a:schemeClr val="tx1">
                        <a:lumMod val="75000"/>
                        <a:lumOff val="25000"/>
                      </a:schemeClr>
                    </a:solidFill>
                    <a:highlight>
                      <a:srgbClr val="FFFF00"/>
                    </a:highlight>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'RCC UPDATED SEP(3)'!$B$17:$C$17</c:f>
              <c:strCache>
                <c:ptCount val="2"/>
                <c:pt idx="0">
                  <c:v>Total Scope</c:v>
                </c:pt>
                <c:pt idx="1">
                  <c:v>Actual till date</c:v>
                </c:pt>
              </c:strCache>
            </c:strRef>
          </c:cat>
          <c:val>
            <c:numRef>
              <c:f>'RCC UPDATED SEP(3)'!$B$20:$C$20</c:f>
              <c:numCache>
                <c:formatCode>0</c:formatCode>
                <c:ptCount val="2"/>
                <c:pt idx="0">
                  <c:v>20905</c:v>
                </c:pt>
                <c:pt idx="1">
                  <c:v>620</c:v>
                </c:pt>
              </c:numCache>
            </c:numRef>
          </c:val>
          <c:extLst>
            <c:ext xmlns:c16="http://schemas.microsoft.com/office/drawing/2014/chart" uri="{C3380CC4-5D6E-409C-BE32-E72D297353CC}">
              <c16:uniqueId val="{00000000-235F-40C4-9DBF-6C658907405E}"/>
            </c:ext>
          </c:extLst>
        </c:ser>
        <c:ser>
          <c:idx val="1"/>
          <c:order val="1"/>
          <c:tx>
            <c:strRef>
              <c:f>'RCC UPDATED SEP(3)'!$A$19</c:f>
              <c:strCache>
                <c:ptCount val="1"/>
                <c:pt idx="0">
                  <c:v>Fabrication</c:v>
                </c:pt>
              </c:strCache>
            </c:strRef>
          </c:tx>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lumMod val="75000"/>
                        <a:lumOff val="25000"/>
                      </a:schemeClr>
                    </a:solidFill>
                    <a:highlight>
                      <a:srgbClr val="FFFF00"/>
                    </a:highlight>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'RCC UPDATED SEP(3)'!$B$17:$C$17</c:f>
              <c:strCache>
                <c:ptCount val="2"/>
                <c:pt idx="0">
                  <c:v>Total Scope</c:v>
                </c:pt>
                <c:pt idx="1">
                  <c:v>Actual till date</c:v>
                </c:pt>
              </c:strCache>
            </c:strRef>
          </c:cat>
          <c:val>
            <c:numRef>
              <c:f>'RCC UPDATED SEP(3)'!$B$19:$C$19</c:f>
              <c:numCache>
                <c:formatCode>0</c:formatCode>
                <c:ptCount val="2"/>
                <c:pt idx="0">
                  <c:v>5073.6000000000004</c:v>
                </c:pt>
                <c:pt idx="1">
                  <c:v>912</c:v>
                </c:pt>
              </c:numCache>
            </c:numRef>
          </c:val>
          <c:extLst>
            <c:ext xmlns:c16="http://schemas.microsoft.com/office/drawing/2014/chart" uri="{C3380CC4-5D6E-409C-BE32-E72D297353CC}">
              <c16:uniqueId val="{00000001-235F-40C4-9DBF-6C658907405E}"/>
            </c:ext>
          </c:extLst>
        </c:ser>
        <c:dLbls>
          <c:dLblPos val="bestFit"/>
          <c:showLegendKey val="0"/>
          <c:showVal val="1"/>
          <c:showCatName val="0"/>
          <c:showSerName val="0"/>
          <c:showPercent val="0"/>
          <c:showBubbleSize val="0"/>
          <c:showLeaderLines val="1"/>
        </c:dLbls>
      </c:pie3DChart>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800" b="1" i="0" baseline="0">
                <a:effectLst/>
              </a:rPr>
              <a:t>Erection(P,S,EQ)</a:t>
            </a:r>
            <a:endParaRPr lang="en-IN">
              <a:effectLst/>
            </a:endParaRPr>
          </a:p>
        </c:rich>
      </c:tx>
      <c:layout>
        <c:manualLayout>
          <c:xMode val="edge"/>
          <c:yMode val="edge"/>
          <c:x val="0.15666013935412848"/>
          <c:y val="1.4584221748400853E-2"/>
        </c:manualLayout>
      </c:layout>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'RCC UPDATED SEP(3)'!$A$21</c:f>
              <c:strCache>
                <c:ptCount val="1"/>
                <c:pt idx="0">
                  <c:v>Equipment &amp; Plate Erection</c:v>
                </c:pt>
              </c:strCache>
            </c:strRef>
          </c:tx>
          <c:dLbls>
            <c:spPr>
              <a:noFill/>
              <a:ln>
                <a:noFill/>
              </a:ln>
              <a:effectLst/>
            </c:spPr>
            <c:txPr>
              <a:bodyPr wrap="square" lIns="38100" tIns="19050" rIns="38100" bIns="19050" anchor="ctr" anchorCtr="0">
                <a:spAutoFit/>
              </a:bodyPr>
              <a:lstStyle/>
              <a:p>
                <a:pPr algn="ctr">
                  <a:defRPr lang="en-US" sz="1200" b="1" i="0" u="none" strike="noStrike" kern="1200" baseline="0">
                    <a:solidFill>
                      <a:schemeClr val="tx1">
                        <a:lumMod val="75000"/>
                        <a:lumOff val="25000"/>
                      </a:schemeClr>
                    </a:solidFill>
                    <a:highlight>
                      <a:srgbClr val="FFFF00"/>
                    </a:highlight>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'RCC UPDATED SEP(3)'!$B$17:$C$17</c:f>
              <c:strCache>
                <c:ptCount val="2"/>
                <c:pt idx="0">
                  <c:v>Total Scope</c:v>
                </c:pt>
                <c:pt idx="1">
                  <c:v>Actual till date</c:v>
                </c:pt>
              </c:strCache>
            </c:strRef>
          </c:cat>
          <c:val>
            <c:numRef>
              <c:f>'RCC UPDATED SEP(3)'!$B$21:$C$21</c:f>
              <c:numCache>
                <c:formatCode>0</c:formatCode>
                <c:ptCount val="2"/>
                <c:pt idx="0">
                  <c:v>42410</c:v>
                </c:pt>
                <c:pt idx="1">
                  <c:v>2476</c:v>
                </c:pt>
              </c:numCache>
            </c:numRef>
          </c:val>
          <c:extLst>
            <c:ext xmlns:c16="http://schemas.microsoft.com/office/drawing/2014/chart" uri="{C3380CC4-5D6E-409C-BE32-E72D297353CC}">
              <c16:uniqueId val="{00000000-CB59-4F3C-A43F-B6C8FF45CE1D}"/>
            </c:ext>
          </c:extLst>
        </c:ser>
        <c:dLbls>
          <c:dLblPos val="bestFit"/>
          <c:showLegendKey val="0"/>
          <c:showVal val="1"/>
          <c:showCatName val="0"/>
          <c:showSerName val="0"/>
          <c:showPercent val="0"/>
          <c:showBubbleSize val="0"/>
          <c:showLeaderLines val="1"/>
        </c:dLbls>
      </c:pie3DChart>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EXCAVATION PLAN VS ACTUAL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CHART!$B$2</c:f>
              <c:strCache>
                <c:ptCount val="1"/>
                <c:pt idx="0">
                  <c:v>Month Plan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CHART!$D$1:$R$1</c:f>
              <c:numCache>
                <c:formatCode>mmm\-yy</c:formatCode>
                <c:ptCount val="15"/>
                <c:pt idx="0">
                  <c:v>45323</c:v>
                </c:pt>
                <c:pt idx="1">
                  <c:v>45352</c:v>
                </c:pt>
                <c:pt idx="2">
                  <c:v>45383</c:v>
                </c:pt>
                <c:pt idx="3">
                  <c:v>45413</c:v>
                </c:pt>
                <c:pt idx="4">
                  <c:v>45444</c:v>
                </c:pt>
                <c:pt idx="5">
                  <c:v>45474</c:v>
                </c:pt>
                <c:pt idx="6">
                  <c:v>45505</c:v>
                </c:pt>
                <c:pt idx="7">
                  <c:v>45536</c:v>
                </c:pt>
                <c:pt idx="8">
                  <c:v>45566</c:v>
                </c:pt>
                <c:pt idx="9">
                  <c:v>45597</c:v>
                </c:pt>
                <c:pt idx="10">
                  <c:v>45627</c:v>
                </c:pt>
                <c:pt idx="11">
                  <c:v>45658</c:v>
                </c:pt>
                <c:pt idx="12">
                  <c:v>45689</c:v>
                </c:pt>
                <c:pt idx="13">
                  <c:v>45717</c:v>
                </c:pt>
                <c:pt idx="14">
                  <c:v>45748</c:v>
                </c:pt>
              </c:numCache>
            </c:numRef>
          </c:cat>
          <c:val>
            <c:numRef>
              <c:f>CHART!$D$2:$R$2</c:f>
              <c:numCache>
                <c:formatCode>0</c:formatCode>
                <c:ptCount val="15"/>
                <c:pt idx="0">
                  <c:v>0</c:v>
                </c:pt>
                <c:pt idx="1">
                  <c:v>12460.000000000002</c:v>
                </c:pt>
                <c:pt idx="2">
                  <c:v>18513.5</c:v>
                </c:pt>
                <c:pt idx="3">
                  <c:v>6844.3</c:v>
                </c:pt>
                <c:pt idx="4">
                  <c:v>2534.1000000000004</c:v>
                </c:pt>
                <c:pt idx="5">
                  <c:v>1976.7</c:v>
                </c:pt>
                <c:pt idx="6">
                  <c:v>6229.3999999999978</c:v>
                </c:pt>
                <c:pt idx="7">
                  <c:v>12686.448571428571</c:v>
                </c:pt>
                <c:pt idx="8">
                  <c:v>10217.32857142857</c:v>
                </c:pt>
                <c:pt idx="9">
                  <c:v>21068.758571428567</c:v>
                </c:pt>
                <c:pt idx="10">
                  <c:v>12683.148571428572</c:v>
                </c:pt>
                <c:pt idx="11">
                  <c:v>28234.775238095237</c:v>
                </c:pt>
                <c:pt idx="12">
                  <c:v>44878.855238095239</c:v>
                </c:pt>
                <c:pt idx="13">
                  <c:v>14119.385238095238</c:v>
                </c:pt>
              </c:numCache>
            </c:numRef>
          </c:val>
          <c:extLst>
            <c:ext xmlns:c16="http://schemas.microsoft.com/office/drawing/2014/chart" uri="{C3380CC4-5D6E-409C-BE32-E72D297353CC}">
              <c16:uniqueId val="{00000000-D1DA-4D48-B97C-27BEBC8A69A9}"/>
            </c:ext>
          </c:extLst>
        </c:ser>
        <c:ser>
          <c:idx val="2"/>
          <c:order val="2"/>
          <c:tx>
            <c:strRef>
              <c:f>CHART!$B$4</c:f>
              <c:strCache>
                <c:ptCount val="1"/>
                <c:pt idx="0">
                  <c:v>Month Actual</c:v>
                </c:pt>
              </c:strCache>
            </c:strRef>
          </c:tx>
          <c:spPr>
            <a:solidFill>
              <a:srgbClr val="92D050"/>
            </a:solidFill>
            <a:ln>
              <a:solidFill>
                <a:srgbClr val="92D05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CHART!$D$1:$R$1</c:f>
              <c:numCache>
                <c:formatCode>mmm\-yy</c:formatCode>
                <c:ptCount val="15"/>
                <c:pt idx="0">
                  <c:v>45323</c:v>
                </c:pt>
                <c:pt idx="1">
                  <c:v>45352</c:v>
                </c:pt>
                <c:pt idx="2">
                  <c:v>45383</c:v>
                </c:pt>
                <c:pt idx="3">
                  <c:v>45413</c:v>
                </c:pt>
                <c:pt idx="4">
                  <c:v>45444</c:v>
                </c:pt>
                <c:pt idx="5">
                  <c:v>45474</c:v>
                </c:pt>
                <c:pt idx="6">
                  <c:v>45505</c:v>
                </c:pt>
                <c:pt idx="7">
                  <c:v>45536</c:v>
                </c:pt>
                <c:pt idx="8">
                  <c:v>45566</c:v>
                </c:pt>
                <c:pt idx="9">
                  <c:v>45597</c:v>
                </c:pt>
                <c:pt idx="10">
                  <c:v>45627</c:v>
                </c:pt>
                <c:pt idx="11">
                  <c:v>45658</c:v>
                </c:pt>
                <c:pt idx="12">
                  <c:v>45689</c:v>
                </c:pt>
                <c:pt idx="13">
                  <c:v>45717</c:v>
                </c:pt>
                <c:pt idx="14">
                  <c:v>45748</c:v>
                </c:pt>
              </c:numCache>
            </c:numRef>
          </c:cat>
          <c:val>
            <c:numRef>
              <c:f>CHART!$D$4:$R$4</c:f>
              <c:numCache>
                <c:formatCode>0</c:formatCode>
                <c:ptCount val="15"/>
                <c:pt idx="0">
                  <c:v>0</c:v>
                </c:pt>
                <c:pt idx="1">
                  <c:v>15210</c:v>
                </c:pt>
                <c:pt idx="2">
                  <c:v>37239</c:v>
                </c:pt>
                <c:pt idx="3">
                  <c:v>25723</c:v>
                </c:pt>
                <c:pt idx="4">
                  <c:v>7749</c:v>
                </c:pt>
                <c:pt idx="5">
                  <c:v>1962</c:v>
                </c:pt>
                <c:pt idx="6">
                  <c:v>739</c:v>
                </c:pt>
                <c:pt idx="7">
                  <c:v>3370</c:v>
                </c:pt>
                <c:pt idx="8">
                  <c:v>6264</c:v>
                </c:pt>
                <c:pt idx="9">
                  <c:v>17126</c:v>
                </c:pt>
                <c:pt idx="10">
                  <c:v>18849</c:v>
                </c:pt>
                <c:pt idx="11">
                  <c:v>33285</c:v>
                </c:pt>
                <c:pt idx="12">
                  <c:v>12938</c:v>
                </c:pt>
                <c:pt idx="13">
                  <c:v>11993</c:v>
                </c:pt>
                <c:pt idx="14">
                  <c:v>14140</c:v>
                </c:pt>
              </c:numCache>
            </c:numRef>
          </c:val>
          <c:extLst>
            <c:ext xmlns:c16="http://schemas.microsoft.com/office/drawing/2014/chart" uri="{C3380CC4-5D6E-409C-BE32-E72D297353CC}">
              <c16:uniqueId val="{00000001-D1DA-4D48-B97C-27BEBC8A69A9}"/>
            </c:ext>
          </c:extLst>
        </c:ser>
        <c:dLbls>
          <c:showLegendKey val="0"/>
          <c:showVal val="1"/>
          <c:showCatName val="0"/>
          <c:showSerName val="0"/>
          <c:showPercent val="0"/>
          <c:showBubbleSize val="0"/>
        </c:dLbls>
        <c:gapWidth val="219"/>
        <c:axId val="846264544"/>
        <c:axId val="846262880"/>
      </c:barChart>
      <c:lineChart>
        <c:grouping val="standard"/>
        <c:varyColors val="0"/>
        <c:ser>
          <c:idx val="1"/>
          <c:order val="1"/>
          <c:tx>
            <c:strRef>
              <c:f>CHART!$B$3</c:f>
              <c:strCache>
                <c:ptCount val="1"/>
                <c:pt idx="0">
                  <c:v>Cumm Plan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CHART!$D$1:$R$1</c:f>
              <c:numCache>
                <c:formatCode>mmm\-yy</c:formatCode>
                <c:ptCount val="15"/>
                <c:pt idx="0">
                  <c:v>45323</c:v>
                </c:pt>
                <c:pt idx="1">
                  <c:v>45352</c:v>
                </c:pt>
                <c:pt idx="2">
                  <c:v>45383</c:v>
                </c:pt>
                <c:pt idx="3">
                  <c:v>45413</c:v>
                </c:pt>
                <c:pt idx="4">
                  <c:v>45444</c:v>
                </c:pt>
                <c:pt idx="5">
                  <c:v>45474</c:v>
                </c:pt>
                <c:pt idx="6">
                  <c:v>45505</c:v>
                </c:pt>
                <c:pt idx="7">
                  <c:v>45536</c:v>
                </c:pt>
                <c:pt idx="8">
                  <c:v>45566</c:v>
                </c:pt>
                <c:pt idx="9">
                  <c:v>45597</c:v>
                </c:pt>
                <c:pt idx="10">
                  <c:v>45627</c:v>
                </c:pt>
                <c:pt idx="11">
                  <c:v>45658</c:v>
                </c:pt>
                <c:pt idx="12">
                  <c:v>45689</c:v>
                </c:pt>
                <c:pt idx="13">
                  <c:v>45717</c:v>
                </c:pt>
                <c:pt idx="14">
                  <c:v>45748</c:v>
                </c:pt>
              </c:numCache>
            </c:numRef>
          </c:cat>
          <c:val>
            <c:numRef>
              <c:f>CHART!$D$3:$R$3</c:f>
              <c:numCache>
                <c:formatCode>0</c:formatCode>
                <c:ptCount val="15"/>
                <c:pt idx="0">
                  <c:v>0</c:v>
                </c:pt>
                <c:pt idx="1">
                  <c:v>12460.000000000002</c:v>
                </c:pt>
                <c:pt idx="2">
                  <c:v>30973.5</c:v>
                </c:pt>
                <c:pt idx="3">
                  <c:v>37817.800000000003</c:v>
                </c:pt>
                <c:pt idx="4">
                  <c:v>40351.9</c:v>
                </c:pt>
                <c:pt idx="5">
                  <c:v>42328.6</c:v>
                </c:pt>
                <c:pt idx="6">
                  <c:v>48558</c:v>
                </c:pt>
                <c:pt idx="7">
                  <c:v>61244.448571428569</c:v>
                </c:pt>
                <c:pt idx="8">
                  <c:v>71461.777142857143</c:v>
                </c:pt>
                <c:pt idx="9">
                  <c:v>92530.53571428571</c:v>
                </c:pt>
                <c:pt idx="10">
                  <c:v>105213.68428571428</c:v>
                </c:pt>
                <c:pt idx="11">
                  <c:v>133448.45952380952</c:v>
                </c:pt>
                <c:pt idx="12">
                  <c:v>178327.31476190477</c:v>
                </c:pt>
                <c:pt idx="13">
                  <c:v>192446.7</c:v>
                </c:pt>
              </c:numCache>
            </c:numRef>
          </c:val>
          <c:smooth val="0"/>
          <c:extLst>
            <c:ext xmlns:c16="http://schemas.microsoft.com/office/drawing/2014/chart" uri="{C3380CC4-5D6E-409C-BE32-E72D297353CC}">
              <c16:uniqueId val="{00000002-D1DA-4D48-B97C-27BEBC8A69A9}"/>
            </c:ext>
          </c:extLst>
        </c:ser>
        <c:ser>
          <c:idx val="3"/>
          <c:order val="3"/>
          <c:tx>
            <c:strRef>
              <c:f>CHART!$B$5</c:f>
              <c:strCache>
                <c:ptCount val="1"/>
                <c:pt idx="0">
                  <c:v>Cumm Actual</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CHART!$D$1:$R$1</c:f>
              <c:numCache>
                <c:formatCode>mmm\-yy</c:formatCode>
                <c:ptCount val="15"/>
                <c:pt idx="0">
                  <c:v>45323</c:v>
                </c:pt>
                <c:pt idx="1">
                  <c:v>45352</c:v>
                </c:pt>
                <c:pt idx="2">
                  <c:v>45383</c:v>
                </c:pt>
                <c:pt idx="3">
                  <c:v>45413</c:v>
                </c:pt>
                <c:pt idx="4">
                  <c:v>45444</c:v>
                </c:pt>
                <c:pt idx="5">
                  <c:v>45474</c:v>
                </c:pt>
                <c:pt idx="6">
                  <c:v>45505</c:v>
                </c:pt>
                <c:pt idx="7">
                  <c:v>45536</c:v>
                </c:pt>
                <c:pt idx="8">
                  <c:v>45566</c:v>
                </c:pt>
                <c:pt idx="9">
                  <c:v>45597</c:v>
                </c:pt>
                <c:pt idx="10">
                  <c:v>45627</c:v>
                </c:pt>
                <c:pt idx="11">
                  <c:v>45658</c:v>
                </c:pt>
                <c:pt idx="12">
                  <c:v>45689</c:v>
                </c:pt>
                <c:pt idx="13">
                  <c:v>45717</c:v>
                </c:pt>
                <c:pt idx="14">
                  <c:v>45748</c:v>
                </c:pt>
              </c:numCache>
            </c:numRef>
          </c:cat>
          <c:val>
            <c:numRef>
              <c:f>CHART!$D$5:$R$5</c:f>
              <c:numCache>
                <c:formatCode>0</c:formatCode>
                <c:ptCount val="15"/>
                <c:pt idx="0">
                  <c:v>0</c:v>
                </c:pt>
                <c:pt idx="1">
                  <c:v>15210</c:v>
                </c:pt>
                <c:pt idx="2">
                  <c:v>52449</c:v>
                </c:pt>
                <c:pt idx="3">
                  <c:v>78172</c:v>
                </c:pt>
                <c:pt idx="4">
                  <c:v>85921</c:v>
                </c:pt>
                <c:pt idx="5">
                  <c:v>87883</c:v>
                </c:pt>
                <c:pt idx="6">
                  <c:v>88622</c:v>
                </c:pt>
                <c:pt idx="7">
                  <c:v>91992</c:v>
                </c:pt>
                <c:pt idx="8">
                  <c:v>98256</c:v>
                </c:pt>
                <c:pt idx="9">
                  <c:v>115382</c:v>
                </c:pt>
                <c:pt idx="10">
                  <c:v>134231</c:v>
                </c:pt>
                <c:pt idx="11">
                  <c:v>167516</c:v>
                </c:pt>
                <c:pt idx="12">
                  <c:v>180454</c:v>
                </c:pt>
                <c:pt idx="13">
                  <c:v>192447</c:v>
                </c:pt>
                <c:pt idx="14">
                  <c:v>206587</c:v>
                </c:pt>
              </c:numCache>
            </c:numRef>
          </c:val>
          <c:smooth val="0"/>
          <c:extLst>
            <c:ext xmlns:c16="http://schemas.microsoft.com/office/drawing/2014/chart" uri="{C3380CC4-5D6E-409C-BE32-E72D297353CC}">
              <c16:uniqueId val="{00000003-D1DA-4D48-B97C-27BEBC8A69A9}"/>
            </c:ext>
          </c:extLst>
        </c:ser>
        <c:dLbls>
          <c:showLegendKey val="0"/>
          <c:showVal val="1"/>
          <c:showCatName val="0"/>
          <c:showSerName val="0"/>
          <c:showPercent val="0"/>
          <c:showBubbleSize val="0"/>
        </c:dLbls>
        <c:marker val="1"/>
        <c:smooth val="0"/>
        <c:axId val="2127113776"/>
        <c:axId val="2127124176"/>
      </c:lineChart>
      <c:dateAx>
        <c:axId val="212711377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124176"/>
        <c:crosses val="autoZero"/>
        <c:auto val="1"/>
        <c:lblOffset val="100"/>
        <c:baseTimeUnit val="months"/>
      </c:dateAx>
      <c:valAx>
        <c:axId val="2127124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113776"/>
        <c:crosses val="autoZero"/>
        <c:crossBetween val="between"/>
      </c:valAx>
      <c:valAx>
        <c:axId val="84626288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264544"/>
        <c:crosses val="max"/>
        <c:crossBetween val="between"/>
      </c:valAx>
      <c:dateAx>
        <c:axId val="846264544"/>
        <c:scaling>
          <c:orientation val="minMax"/>
        </c:scaling>
        <c:delete val="1"/>
        <c:axPos val="b"/>
        <c:numFmt formatCode="mmm\-yy" sourceLinked="1"/>
        <c:majorTickMark val="out"/>
        <c:minorTickMark val="none"/>
        <c:tickLblPos val="nextTo"/>
        <c:crossAx val="846262880"/>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RCC PLAN VS ACTUAL</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CHART!$B$11</c:f>
              <c:strCache>
                <c:ptCount val="1"/>
                <c:pt idx="0">
                  <c:v>Month Plan</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CHART!$C$10:$S$10</c:f>
              <c:numCache>
                <c:formatCode>mmm\-yy</c:formatCode>
                <c:ptCount val="17"/>
                <c:pt idx="0">
                  <c:v>45444</c:v>
                </c:pt>
                <c:pt idx="1">
                  <c:v>45474</c:v>
                </c:pt>
                <c:pt idx="2">
                  <c:v>45505</c:v>
                </c:pt>
                <c:pt idx="3">
                  <c:v>45536</c:v>
                </c:pt>
                <c:pt idx="4">
                  <c:v>45566</c:v>
                </c:pt>
                <c:pt idx="5">
                  <c:v>45597</c:v>
                </c:pt>
                <c:pt idx="6">
                  <c:v>45627</c:v>
                </c:pt>
                <c:pt idx="7">
                  <c:v>45658</c:v>
                </c:pt>
                <c:pt idx="8">
                  <c:v>45689</c:v>
                </c:pt>
                <c:pt idx="9">
                  <c:v>45717</c:v>
                </c:pt>
                <c:pt idx="10">
                  <c:v>45748</c:v>
                </c:pt>
                <c:pt idx="11">
                  <c:v>45778</c:v>
                </c:pt>
                <c:pt idx="12">
                  <c:v>45809</c:v>
                </c:pt>
                <c:pt idx="13">
                  <c:v>45839</c:v>
                </c:pt>
                <c:pt idx="14">
                  <c:v>45870</c:v>
                </c:pt>
                <c:pt idx="15">
                  <c:v>45901</c:v>
                </c:pt>
                <c:pt idx="16">
                  <c:v>45931</c:v>
                </c:pt>
              </c:numCache>
            </c:numRef>
          </c:cat>
          <c:val>
            <c:numRef>
              <c:f>CHART!$C$11:$S$11</c:f>
              <c:numCache>
                <c:formatCode>0</c:formatCode>
                <c:ptCount val="17"/>
                <c:pt idx="0">
                  <c:v>716</c:v>
                </c:pt>
                <c:pt idx="1">
                  <c:v>3336</c:v>
                </c:pt>
                <c:pt idx="2">
                  <c:v>3730</c:v>
                </c:pt>
                <c:pt idx="3">
                  <c:v>3823</c:v>
                </c:pt>
                <c:pt idx="4">
                  <c:v>3638</c:v>
                </c:pt>
                <c:pt idx="5">
                  <c:v>4172</c:v>
                </c:pt>
                <c:pt idx="6">
                  <c:v>4627</c:v>
                </c:pt>
                <c:pt idx="7">
                  <c:v>8631</c:v>
                </c:pt>
                <c:pt idx="8">
                  <c:v>8648</c:v>
                </c:pt>
                <c:pt idx="9">
                  <c:v>9516</c:v>
                </c:pt>
                <c:pt idx="10">
                  <c:v>9162</c:v>
                </c:pt>
                <c:pt idx="11">
                  <c:v>8103</c:v>
                </c:pt>
                <c:pt idx="12">
                  <c:v>7693</c:v>
                </c:pt>
                <c:pt idx="13">
                  <c:v>5381</c:v>
                </c:pt>
                <c:pt idx="14">
                  <c:v>2821</c:v>
                </c:pt>
                <c:pt idx="15">
                  <c:v>1801</c:v>
                </c:pt>
                <c:pt idx="16">
                  <c:v>1302</c:v>
                </c:pt>
              </c:numCache>
            </c:numRef>
          </c:val>
          <c:extLst>
            <c:ext xmlns:c16="http://schemas.microsoft.com/office/drawing/2014/chart" uri="{C3380CC4-5D6E-409C-BE32-E72D297353CC}">
              <c16:uniqueId val="{00000000-55F0-421A-B113-6859CF3C009C}"/>
            </c:ext>
          </c:extLst>
        </c:ser>
        <c:ser>
          <c:idx val="2"/>
          <c:order val="2"/>
          <c:tx>
            <c:strRef>
              <c:f>CHART!$B$13</c:f>
              <c:strCache>
                <c:ptCount val="1"/>
                <c:pt idx="0">
                  <c:v>Month Actual</c:v>
                </c:pt>
              </c:strCache>
            </c:strRef>
          </c:tx>
          <c:spPr>
            <a:solidFill>
              <a:srgbClr val="92D050"/>
            </a:solidFill>
            <a:ln>
              <a:solidFill>
                <a:srgbClr val="92D050"/>
              </a:solid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CHART!$C$10:$S$10</c:f>
              <c:numCache>
                <c:formatCode>mmm\-yy</c:formatCode>
                <c:ptCount val="17"/>
                <c:pt idx="0">
                  <c:v>45444</c:v>
                </c:pt>
                <c:pt idx="1">
                  <c:v>45474</c:v>
                </c:pt>
                <c:pt idx="2">
                  <c:v>45505</c:v>
                </c:pt>
                <c:pt idx="3">
                  <c:v>45536</c:v>
                </c:pt>
                <c:pt idx="4">
                  <c:v>45566</c:v>
                </c:pt>
                <c:pt idx="5">
                  <c:v>45597</c:v>
                </c:pt>
                <c:pt idx="6">
                  <c:v>45627</c:v>
                </c:pt>
                <c:pt idx="7">
                  <c:v>45658</c:v>
                </c:pt>
                <c:pt idx="8">
                  <c:v>45689</c:v>
                </c:pt>
                <c:pt idx="9">
                  <c:v>45717</c:v>
                </c:pt>
                <c:pt idx="10">
                  <c:v>45748</c:v>
                </c:pt>
                <c:pt idx="11">
                  <c:v>45778</c:v>
                </c:pt>
                <c:pt idx="12">
                  <c:v>45809</c:v>
                </c:pt>
                <c:pt idx="13">
                  <c:v>45839</c:v>
                </c:pt>
                <c:pt idx="14">
                  <c:v>45870</c:v>
                </c:pt>
                <c:pt idx="15">
                  <c:v>45901</c:v>
                </c:pt>
                <c:pt idx="16">
                  <c:v>45931</c:v>
                </c:pt>
              </c:numCache>
            </c:numRef>
          </c:cat>
          <c:val>
            <c:numRef>
              <c:f>CHART!$C$13:$S$13</c:f>
              <c:numCache>
                <c:formatCode>0</c:formatCode>
                <c:ptCount val="17"/>
                <c:pt idx="0">
                  <c:v>721</c:v>
                </c:pt>
                <c:pt idx="1">
                  <c:v>3136</c:v>
                </c:pt>
                <c:pt idx="2">
                  <c:v>3707</c:v>
                </c:pt>
                <c:pt idx="3">
                  <c:v>3549</c:v>
                </c:pt>
                <c:pt idx="4">
                  <c:v>3905</c:v>
                </c:pt>
                <c:pt idx="5">
                  <c:v>3189</c:v>
                </c:pt>
                <c:pt idx="6">
                  <c:v>3239</c:v>
                </c:pt>
                <c:pt idx="7">
                  <c:v>4254</c:v>
                </c:pt>
                <c:pt idx="8">
                  <c:v>3294</c:v>
                </c:pt>
                <c:pt idx="9">
                  <c:v>2911</c:v>
                </c:pt>
                <c:pt idx="10">
                  <c:v>2749</c:v>
                </c:pt>
              </c:numCache>
            </c:numRef>
          </c:val>
          <c:extLst>
            <c:ext xmlns:c16="http://schemas.microsoft.com/office/drawing/2014/chart" uri="{C3380CC4-5D6E-409C-BE32-E72D297353CC}">
              <c16:uniqueId val="{00000001-55F0-421A-B113-6859CF3C009C}"/>
            </c:ext>
          </c:extLst>
        </c:ser>
        <c:dLbls>
          <c:showLegendKey val="0"/>
          <c:showVal val="1"/>
          <c:showCatName val="0"/>
          <c:showSerName val="0"/>
          <c:showPercent val="0"/>
          <c:showBubbleSize val="0"/>
        </c:dLbls>
        <c:gapWidth val="219"/>
        <c:axId val="846264544"/>
        <c:axId val="846262880"/>
      </c:barChart>
      <c:lineChart>
        <c:grouping val="standard"/>
        <c:varyColors val="0"/>
        <c:ser>
          <c:idx val="1"/>
          <c:order val="1"/>
          <c:tx>
            <c:strRef>
              <c:f>CHART!$B$12</c:f>
              <c:strCache>
                <c:ptCount val="1"/>
                <c:pt idx="0">
                  <c:v>Cumm Plan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CHART!$C$10:$S$10</c:f>
              <c:numCache>
                <c:formatCode>mmm\-yy</c:formatCode>
                <c:ptCount val="17"/>
                <c:pt idx="0">
                  <c:v>45444</c:v>
                </c:pt>
                <c:pt idx="1">
                  <c:v>45474</c:v>
                </c:pt>
                <c:pt idx="2">
                  <c:v>45505</c:v>
                </c:pt>
                <c:pt idx="3">
                  <c:v>45536</c:v>
                </c:pt>
                <c:pt idx="4">
                  <c:v>45566</c:v>
                </c:pt>
                <c:pt idx="5">
                  <c:v>45597</c:v>
                </c:pt>
                <c:pt idx="6">
                  <c:v>45627</c:v>
                </c:pt>
                <c:pt idx="7">
                  <c:v>45658</c:v>
                </c:pt>
                <c:pt idx="8">
                  <c:v>45689</c:v>
                </c:pt>
                <c:pt idx="9">
                  <c:v>45717</c:v>
                </c:pt>
                <c:pt idx="10">
                  <c:v>45748</c:v>
                </c:pt>
                <c:pt idx="11">
                  <c:v>45778</c:v>
                </c:pt>
                <c:pt idx="12">
                  <c:v>45809</c:v>
                </c:pt>
                <c:pt idx="13">
                  <c:v>45839</c:v>
                </c:pt>
                <c:pt idx="14">
                  <c:v>45870</c:v>
                </c:pt>
                <c:pt idx="15">
                  <c:v>45901</c:v>
                </c:pt>
                <c:pt idx="16">
                  <c:v>45931</c:v>
                </c:pt>
              </c:numCache>
            </c:numRef>
          </c:cat>
          <c:val>
            <c:numRef>
              <c:f>CHART!$C$12:$S$12</c:f>
              <c:numCache>
                <c:formatCode>0</c:formatCode>
                <c:ptCount val="17"/>
                <c:pt idx="0">
                  <c:v>716</c:v>
                </c:pt>
                <c:pt idx="1">
                  <c:v>4052</c:v>
                </c:pt>
                <c:pt idx="2">
                  <c:v>7782</c:v>
                </c:pt>
                <c:pt idx="3">
                  <c:v>11605</c:v>
                </c:pt>
                <c:pt idx="4">
                  <c:v>15243</c:v>
                </c:pt>
                <c:pt idx="5">
                  <c:v>19415</c:v>
                </c:pt>
                <c:pt idx="6">
                  <c:v>24042</c:v>
                </c:pt>
                <c:pt idx="7">
                  <c:v>32673</c:v>
                </c:pt>
                <c:pt idx="8">
                  <c:v>41321</c:v>
                </c:pt>
                <c:pt idx="9">
                  <c:v>50837</c:v>
                </c:pt>
                <c:pt idx="10">
                  <c:v>59999</c:v>
                </c:pt>
                <c:pt idx="11">
                  <c:v>68102</c:v>
                </c:pt>
                <c:pt idx="12">
                  <c:v>75795</c:v>
                </c:pt>
                <c:pt idx="13">
                  <c:v>81176</c:v>
                </c:pt>
                <c:pt idx="14">
                  <c:v>83997</c:v>
                </c:pt>
                <c:pt idx="15">
                  <c:v>85798</c:v>
                </c:pt>
                <c:pt idx="16">
                  <c:v>87100</c:v>
                </c:pt>
              </c:numCache>
            </c:numRef>
          </c:val>
          <c:smooth val="0"/>
          <c:extLst>
            <c:ext xmlns:c16="http://schemas.microsoft.com/office/drawing/2014/chart" uri="{C3380CC4-5D6E-409C-BE32-E72D297353CC}">
              <c16:uniqueId val="{00000002-55F0-421A-B113-6859CF3C009C}"/>
            </c:ext>
          </c:extLst>
        </c:ser>
        <c:ser>
          <c:idx val="3"/>
          <c:order val="3"/>
          <c:tx>
            <c:strRef>
              <c:f>CHART!$B$14</c:f>
              <c:strCache>
                <c:ptCount val="1"/>
                <c:pt idx="0">
                  <c:v>Cumm Actual</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CHART!$C$10:$S$10</c:f>
              <c:numCache>
                <c:formatCode>mmm\-yy</c:formatCode>
                <c:ptCount val="17"/>
                <c:pt idx="0">
                  <c:v>45444</c:v>
                </c:pt>
                <c:pt idx="1">
                  <c:v>45474</c:v>
                </c:pt>
                <c:pt idx="2">
                  <c:v>45505</c:v>
                </c:pt>
                <c:pt idx="3">
                  <c:v>45536</c:v>
                </c:pt>
                <c:pt idx="4">
                  <c:v>45566</c:v>
                </c:pt>
                <c:pt idx="5">
                  <c:v>45597</c:v>
                </c:pt>
                <c:pt idx="6">
                  <c:v>45627</c:v>
                </c:pt>
                <c:pt idx="7">
                  <c:v>45658</c:v>
                </c:pt>
                <c:pt idx="8">
                  <c:v>45689</c:v>
                </c:pt>
                <c:pt idx="9">
                  <c:v>45717</c:v>
                </c:pt>
                <c:pt idx="10">
                  <c:v>45748</c:v>
                </c:pt>
                <c:pt idx="11">
                  <c:v>45778</c:v>
                </c:pt>
                <c:pt idx="12">
                  <c:v>45809</c:v>
                </c:pt>
                <c:pt idx="13">
                  <c:v>45839</c:v>
                </c:pt>
                <c:pt idx="14">
                  <c:v>45870</c:v>
                </c:pt>
                <c:pt idx="15">
                  <c:v>45901</c:v>
                </c:pt>
                <c:pt idx="16">
                  <c:v>45931</c:v>
                </c:pt>
              </c:numCache>
            </c:numRef>
          </c:cat>
          <c:val>
            <c:numRef>
              <c:f>CHART!$C$14:$S$14</c:f>
              <c:numCache>
                <c:formatCode>0</c:formatCode>
                <c:ptCount val="17"/>
                <c:pt idx="0">
                  <c:v>1041</c:v>
                </c:pt>
                <c:pt idx="1">
                  <c:v>4177</c:v>
                </c:pt>
                <c:pt idx="2">
                  <c:v>7884</c:v>
                </c:pt>
                <c:pt idx="3">
                  <c:v>11433</c:v>
                </c:pt>
                <c:pt idx="4">
                  <c:v>15338</c:v>
                </c:pt>
                <c:pt idx="5">
                  <c:v>18527</c:v>
                </c:pt>
                <c:pt idx="6">
                  <c:v>21766</c:v>
                </c:pt>
                <c:pt idx="7">
                  <c:v>26020</c:v>
                </c:pt>
                <c:pt idx="8">
                  <c:v>29314</c:v>
                </c:pt>
                <c:pt idx="9">
                  <c:v>32225</c:v>
                </c:pt>
                <c:pt idx="10">
                  <c:v>34974</c:v>
                </c:pt>
              </c:numCache>
            </c:numRef>
          </c:val>
          <c:smooth val="0"/>
          <c:extLst>
            <c:ext xmlns:c16="http://schemas.microsoft.com/office/drawing/2014/chart" uri="{C3380CC4-5D6E-409C-BE32-E72D297353CC}">
              <c16:uniqueId val="{00000003-55F0-421A-B113-6859CF3C009C}"/>
            </c:ext>
          </c:extLst>
        </c:ser>
        <c:dLbls>
          <c:showLegendKey val="0"/>
          <c:showVal val="1"/>
          <c:showCatName val="0"/>
          <c:showSerName val="0"/>
          <c:showPercent val="0"/>
          <c:showBubbleSize val="0"/>
        </c:dLbls>
        <c:marker val="1"/>
        <c:smooth val="0"/>
        <c:axId val="2127113776"/>
        <c:axId val="2127124176"/>
      </c:lineChart>
      <c:dateAx>
        <c:axId val="212711377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27124176"/>
        <c:crosses val="autoZero"/>
        <c:auto val="1"/>
        <c:lblOffset val="100"/>
        <c:baseTimeUnit val="months"/>
      </c:dateAx>
      <c:valAx>
        <c:axId val="2127124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27113776"/>
        <c:crosses val="autoZero"/>
        <c:crossBetween val="between"/>
      </c:valAx>
      <c:valAx>
        <c:axId val="84626288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46264544"/>
        <c:crosses val="max"/>
        <c:crossBetween val="between"/>
      </c:valAx>
      <c:dateAx>
        <c:axId val="846264544"/>
        <c:scaling>
          <c:orientation val="minMax"/>
        </c:scaling>
        <c:delete val="1"/>
        <c:axPos val="b"/>
        <c:numFmt formatCode="mmm\-yy" sourceLinked="1"/>
        <c:majorTickMark val="out"/>
        <c:minorTickMark val="none"/>
        <c:tickLblPos val="nextTo"/>
        <c:crossAx val="846262880"/>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PLATE PLAN VS ACTUAL</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CHART!$B$18</c:f>
              <c:strCache>
                <c:ptCount val="1"/>
                <c:pt idx="0">
                  <c:v>Month Plan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CHART!$C$17:$L$17</c:f>
              <c:numCache>
                <c:formatCode>mmm\-yy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CHART!$C$18:$L$18</c:f>
              <c:numCache>
                <c:formatCode>0</c:formatCode>
                <c:ptCount val="10"/>
                <c:pt idx="0">
                  <c:v>195.24</c:v>
                </c:pt>
                <c:pt idx="1">
                  <c:v>244.05</c:v>
                </c:pt>
                <c:pt idx="2">
                  <c:v>504.64499999999998</c:v>
                </c:pt>
                <c:pt idx="3">
                  <c:v>715.66800000000001</c:v>
                </c:pt>
                <c:pt idx="4">
                  <c:v>798.99599999999998</c:v>
                </c:pt>
                <c:pt idx="5">
                  <c:v>705.18</c:v>
                </c:pt>
                <c:pt idx="6">
                  <c:v>685.16100000000006</c:v>
                </c:pt>
                <c:pt idx="7">
                  <c:v>594.27099999999984</c:v>
                </c:pt>
                <c:pt idx="8">
                  <c:v>326.02199999999999</c:v>
                </c:pt>
                <c:pt idx="9">
                  <c:v>304.36700000000008</c:v>
                </c:pt>
              </c:numCache>
            </c:numRef>
          </c:val>
          <c:extLst>
            <c:ext xmlns:c16="http://schemas.microsoft.com/office/drawing/2014/chart" uri="{C3380CC4-5D6E-409C-BE32-E72D297353CC}">
              <c16:uniqueId val="{00000000-8018-4F61-A2AE-B433E4E54B6F}"/>
            </c:ext>
          </c:extLst>
        </c:ser>
        <c:ser>
          <c:idx val="2"/>
          <c:order val="2"/>
          <c:tx>
            <c:strRef>
              <c:f>CHART!$B$20</c:f>
              <c:strCache>
                <c:ptCount val="1"/>
                <c:pt idx="0">
                  <c:v>Month Actual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CHART!$C$17:$L$17</c:f>
              <c:numCache>
                <c:formatCode>mmm\-yy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CHART!$C$20:$L$20</c:f>
              <c:numCache>
                <c:formatCode>0</c:formatCode>
                <c:ptCount val="10"/>
                <c:pt idx="0">
                  <c:v>35</c:v>
                </c:pt>
                <c:pt idx="1">
                  <c:v>55</c:v>
                </c:pt>
                <c:pt idx="2">
                  <c:v>75</c:v>
                </c:pt>
                <c:pt idx="3">
                  <c:v>191</c:v>
                </c:pt>
                <c:pt idx="4">
                  <c:v>236</c:v>
                </c:pt>
                <c:pt idx="5">
                  <c:v>111</c:v>
                </c:pt>
                <c:pt idx="6">
                  <c:v>183</c:v>
                </c:pt>
              </c:numCache>
            </c:numRef>
          </c:val>
          <c:extLst>
            <c:ext xmlns:c16="http://schemas.microsoft.com/office/drawing/2014/chart" uri="{C3380CC4-5D6E-409C-BE32-E72D297353CC}">
              <c16:uniqueId val="{00000001-8018-4F61-A2AE-B433E4E54B6F}"/>
            </c:ext>
          </c:extLst>
        </c:ser>
        <c:dLbls>
          <c:showLegendKey val="0"/>
          <c:showVal val="1"/>
          <c:showCatName val="0"/>
          <c:showSerName val="0"/>
          <c:showPercent val="0"/>
          <c:showBubbleSize val="0"/>
        </c:dLbls>
        <c:gapWidth val="219"/>
        <c:axId val="846264544"/>
        <c:axId val="846262880"/>
      </c:barChart>
      <c:lineChart>
        <c:grouping val="standard"/>
        <c:varyColors val="0"/>
        <c:ser>
          <c:idx val="1"/>
          <c:order val="1"/>
          <c:tx>
            <c:strRef>
              <c:f>CHART!$B$19</c:f>
              <c:strCache>
                <c:ptCount val="1"/>
                <c:pt idx="0">
                  <c:v>Cumm Plan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CHART!$C$17:$L$17</c:f>
              <c:numCache>
                <c:formatCode>mmm\-yy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CHART!$C$19:$L$19</c:f>
              <c:numCache>
                <c:formatCode>0</c:formatCode>
                <c:ptCount val="10"/>
                <c:pt idx="0">
                  <c:v>195.24</c:v>
                </c:pt>
                <c:pt idx="1">
                  <c:v>439.29</c:v>
                </c:pt>
                <c:pt idx="2">
                  <c:v>943.93499999999995</c:v>
                </c:pt>
                <c:pt idx="3">
                  <c:v>1659.6030000000001</c:v>
                </c:pt>
                <c:pt idx="4">
                  <c:v>2458.5990000000002</c:v>
                </c:pt>
                <c:pt idx="5">
                  <c:v>3163.779</c:v>
                </c:pt>
                <c:pt idx="6">
                  <c:v>3848.94</c:v>
                </c:pt>
                <c:pt idx="7">
                  <c:v>4443.2110000000002</c:v>
                </c:pt>
                <c:pt idx="8">
                  <c:v>4769.2330000000002</c:v>
                </c:pt>
                <c:pt idx="9">
                  <c:v>5073.6000000000004</c:v>
                </c:pt>
              </c:numCache>
            </c:numRef>
          </c:val>
          <c:smooth val="0"/>
          <c:extLst>
            <c:ext xmlns:c16="http://schemas.microsoft.com/office/drawing/2014/chart" uri="{C3380CC4-5D6E-409C-BE32-E72D297353CC}">
              <c16:uniqueId val="{00000002-8018-4F61-A2AE-B433E4E54B6F}"/>
            </c:ext>
          </c:extLst>
        </c:ser>
        <c:ser>
          <c:idx val="3"/>
          <c:order val="3"/>
          <c:tx>
            <c:strRef>
              <c:f>CHART!$B$21</c:f>
              <c:strCache>
                <c:ptCount val="1"/>
                <c:pt idx="0">
                  <c:v>Cumm Actual</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CHART!$C$17:$L$17</c:f>
              <c:numCache>
                <c:formatCode>mmm\-yy</c:formatCode>
                <c:ptCount val="10"/>
                <c:pt idx="0">
                  <c:v>45566</c:v>
                </c:pt>
                <c:pt idx="1">
                  <c:v>45597</c:v>
                </c:pt>
                <c:pt idx="2">
                  <c:v>45627</c:v>
                </c:pt>
                <c:pt idx="3">
                  <c:v>45658</c:v>
                </c:pt>
                <c:pt idx="4">
                  <c:v>45689</c:v>
                </c:pt>
                <c:pt idx="5">
                  <c:v>45717</c:v>
                </c:pt>
                <c:pt idx="6">
                  <c:v>45748</c:v>
                </c:pt>
                <c:pt idx="7">
                  <c:v>45778</c:v>
                </c:pt>
                <c:pt idx="8">
                  <c:v>45809</c:v>
                </c:pt>
                <c:pt idx="9">
                  <c:v>45839</c:v>
                </c:pt>
              </c:numCache>
            </c:numRef>
          </c:cat>
          <c:val>
            <c:numRef>
              <c:f>CHART!$C$21:$L$21</c:f>
              <c:numCache>
                <c:formatCode>0</c:formatCode>
                <c:ptCount val="10"/>
                <c:pt idx="0">
                  <c:v>35</c:v>
                </c:pt>
                <c:pt idx="1">
                  <c:v>90</c:v>
                </c:pt>
                <c:pt idx="2">
                  <c:v>165</c:v>
                </c:pt>
                <c:pt idx="3">
                  <c:v>382</c:v>
                </c:pt>
                <c:pt idx="4">
                  <c:v>618</c:v>
                </c:pt>
                <c:pt idx="5">
                  <c:v>729</c:v>
                </c:pt>
                <c:pt idx="6">
                  <c:v>912</c:v>
                </c:pt>
              </c:numCache>
            </c:numRef>
          </c:val>
          <c:smooth val="0"/>
          <c:extLst>
            <c:ext xmlns:c16="http://schemas.microsoft.com/office/drawing/2014/chart" uri="{C3380CC4-5D6E-409C-BE32-E72D297353CC}">
              <c16:uniqueId val="{00000003-8018-4F61-A2AE-B433E4E54B6F}"/>
            </c:ext>
          </c:extLst>
        </c:ser>
        <c:dLbls>
          <c:showLegendKey val="0"/>
          <c:showVal val="1"/>
          <c:showCatName val="0"/>
          <c:showSerName val="0"/>
          <c:showPercent val="0"/>
          <c:showBubbleSize val="0"/>
        </c:dLbls>
        <c:marker val="1"/>
        <c:smooth val="0"/>
        <c:axId val="2127113776"/>
        <c:axId val="2127124176"/>
      </c:lineChart>
      <c:dateAx>
        <c:axId val="212711377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27124176"/>
        <c:crosses val="autoZero"/>
        <c:auto val="1"/>
        <c:lblOffset val="100"/>
        <c:baseTimeUnit val="months"/>
      </c:dateAx>
      <c:valAx>
        <c:axId val="2127124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27113776"/>
        <c:crosses val="autoZero"/>
        <c:crossBetween val="between"/>
      </c:valAx>
      <c:valAx>
        <c:axId val="84626288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46264544"/>
        <c:crosses val="max"/>
        <c:crossBetween val="between"/>
      </c:valAx>
      <c:dateAx>
        <c:axId val="846264544"/>
        <c:scaling>
          <c:orientation val="minMax"/>
        </c:scaling>
        <c:delete val="1"/>
        <c:axPos val="b"/>
        <c:numFmt formatCode="mmm\-yy" sourceLinked="1"/>
        <c:majorTickMark val="out"/>
        <c:minorTickMark val="none"/>
        <c:tickLblPos val="nextTo"/>
        <c:crossAx val="846262880"/>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STRUCTURE</a:t>
            </a:r>
            <a:r>
              <a:rPr lang="en-IN" baseline="0"/>
              <a:t> ERECTION</a:t>
            </a:r>
            <a:r>
              <a:rPr lang="en-IN"/>
              <a:t> PLAN VS ACTUAL</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CHART!$B$25</c:f>
              <c:strCache>
                <c:ptCount val="1"/>
                <c:pt idx="0">
                  <c:v>Month Plan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CHART!$C$24:$L$24</c:f>
              <c:numCache>
                <c:formatCode>mmm\-yy</c:formatCode>
                <c:ptCount val="10"/>
                <c:pt idx="0">
                  <c:v>45658</c:v>
                </c:pt>
                <c:pt idx="1">
                  <c:v>45689</c:v>
                </c:pt>
                <c:pt idx="2">
                  <c:v>45717</c:v>
                </c:pt>
                <c:pt idx="3">
                  <c:v>45748</c:v>
                </c:pt>
                <c:pt idx="4">
                  <c:v>45778</c:v>
                </c:pt>
                <c:pt idx="5">
                  <c:v>45809</c:v>
                </c:pt>
                <c:pt idx="6">
                  <c:v>45839</c:v>
                </c:pt>
                <c:pt idx="7">
                  <c:v>45870</c:v>
                </c:pt>
                <c:pt idx="8">
                  <c:v>45901</c:v>
                </c:pt>
                <c:pt idx="9">
                  <c:v>45931</c:v>
                </c:pt>
              </c:numCache>
            </c:numRef>
          </c:cat>
          <c:val>
            <c:numRef>
              <c:f>CHART!$C$25:$L$25</c:f>
              <c:numCache>
                <c:formatCode>0</c:formatCode>
                <c:ptCount val="10"/>
                <c:pt idx="0">
                  <c:v>363</c:v>
                </c:pt>
                <c:pt idx="1">
                  <c:v>999</c:v>
                </c:pt>
                <c:pt idx="2">
                  <c:v>1067</c:v>
                </c:pt>
                <c:pt idx="3">
                  <c:v>2541</c:v>
                </c:pt>
                <c:pt idx="4">
                  <c:v>3353</c:v>
                </c:pt>
                <c:pt idx="5">
                  <c:v>3495</c:v>
                </c:pt>
                <c:pt idx="6">
                  <c:v>3946</c:v>
                </c:pt>
                <c:pt idx="7">
                  <c:v>2983</c:v>
                </c:pt>
                <c:pt idx="8">
                  <c:v>1339</c:v>
                </c:pt>
                <c:pt idx="9">
                  <c:v>819</c:v>
                </c:pt>
              </c:numCache>
            </c:numRef>
          </c:val>
          <c:extLst>
            <c:ext xmlns:c16="http://schemas.microsoft.com/office/drawing/2014/chart" uri="{C3380CC4-5D6E-409C-BE32-E72D297353CC}">
              <c16:uniqueId val="{00000000-535C-4631-947F-28333BA133E1}"/>
            </c:ext>
          </c:extLst>
        </c:ser>
        <c:ser>
          <c:idx val="2"/>
          <c:order val="2"/>
          <c:tx>
            <c:strRef>
              <c:f>CHART!$B$27</c:f>
              <c:strCache>
                <c:ptCount val="1"/>
                <c:pt idx="0">
                  <c:v>Month Actual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CHART!$C$24:$L$24</c:f>
              <c:numCache>
                <c:formatCode>mmm\-yy</c:formatCode>
                <c:ptCount val="10"/>
                <c:pt idx="0">
                  <c:v>45658</c:v>
                </c:pt>
                <c:pt idx="1">
                  <c:v>45689</c:v>
                </c:pt>
                <c:pt idx="2">
                  <c:v>45717</c:v>
                </c:pt>
                <c:pt idx="3">
                  <c:v>45748</c:v>
                </c:pt>
                <c:pt idx="4">
                  <c:v>45778</c:v>
                </c:pt>
                <c:pt idx="5">
                  <c:v>45809</c:v>
                </c:pt>
                <c:pt idx="6">
                  <c:v>45839</c:v>
                </c:pt>
                <c:pt idx="7">
                  <c:v>45870</c:v>
                </c:pt>
                <c:pt idx="8">
                  <c:v>45901</c:v>
                </c:pt>
                <c:pt idx="9">
                  <c:v>45931</c:v>
                </c:pt>
              </c:numCache>
            </c:numRef>
          </c:cat>
          <c:val>
            <c:numRef>
              <c:f>CHART!$C$27:$L$27</c:f>
              <c:numCache>
                <c:formatCode>0</c:formatCode>
                <c:ptCount val="10"/>
                <c:pt idx="0">
                  <c:v>0</c:v>
                </c:pt>
                <c:pt idx="1">
                  <c:v>348</c:v>
                </c:pt>
                <c:pt idx="2">
                  <c:v>185</c:v>
                </c:pt>
                <c:pt idx="3">
                  <c:v>84</c:v>
                </c:pt>
              </c:numCache>
            </c:numRef>
          </c:val>
          <c:extLst>
            <c:ext xmlns:c16="http://schemas.microsoft.com/office/drawing/2014/chart" uri="{C3380CC4-5D6E-409C-BE32-E72D297353CC}">
              <c16:uniqueId val="{00000001-535C-4631-947F-28333BA133E1}"/>
            </c:ext>
          </c:extLst>
        </c:ser>
        <c:dLbls>
          <c:showLegendKey val="0"/>
          <c:showVal val="1"/>
          <c:showCatName val="0"/>
          <c:showSerName val="0"/>
          <c:showPercent val="0"/>
          <c:showBubbleSize val="0"/>
        </c:dLbls>
        <c:gapWidth val="219"/>
        <c:axId val="846264544"/>
        <c:axId val="846262880"/>
      </c:barChart>
      <c:lineChart>
        <c:grouping val="standard"/>
        <c:varyColors val="0"/>
        <c:ser>
          <c:idx val="1"/>
          <c:order val="1"/>
          <c:tx>
            <c:strRef>
              <c:f>CHART!$B$26</c:f>
              <c:strCache>
                <c:ptCount val="1"/>
                <c:pt idx="0">
                  <c:v>Cumm Plan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CHART!$C$24:$L$24</c:f>
              <c:numCache>
                <c:formatCode>mmm\-yy</c:formatCode>
                <c:ptCount val="10"/>
                <c:pt idx="0">
                  <c:v>45658</c:v>
                </c:pt>
                <c:pt idx="1">
                  <c:v>45689</c:v>
                </c:pt>
                <c:pt idx="2">
                  <c:v>45717</c:v>
                </c:pt>
                <c:pt idx="3">
                  <c:v>45748</c:v>
                </c:pt>
                <c:pt idx="4">
                  <c:v>45778</c:v>
                </c:pt>
                <c:pt idx="5">
                  <c:v>45809</c:v>
                </c:pt>
                <c:pt idx="6">
                  <c:v>45839</c:v>
                </c:pt>
                <c:pt idx="7">
                  <c:v>45870</c:v>
                </c:pt>
                <c:pt idx="8">
                  <c:v>45901</c:v>
                </c:pt>
                <c:pt idx="9">
                  <c:v>45931</c:v>
                </c:pt>
              </c:numCache>
            </c:numRef>
          </c:cat>
          <c:val>
            <c:numRef>
              <c:f>CHART!$C$26:$L$26</c:f>
              <c:numCache>
                <c:formatCode>0</c:formatCode>
                <c:ptCount val="10"/>
                <c:pt idx="0">
                  <c:v>363</c:v>
                </c:pt>
                <c:pt idx="1">
                  <c:v>1362</c:v>
                </c:pt>
                <c:pt idx="2">
                  <c:v>2429</c:v>
                </c:pt>
                <c:pt idx="3">
                  <c:v>4970</c:v>
                </c:pt>
                <c:pt idx="4">
                  <c:v>8323</c:v>
                </c:pt>
                <c:pt idx="5">
                  <c:v>11818</c:v>
                </c:pt>
                <c:pt idx="6">
                  <c:v>15764</c:v>
                </c:pt>
                <c:pt idx="7">
                  <c:v>18747</c:v>
                </c:pt>
                <c:pt idx="8">
                  <c:v>20086</c:v>
                </c:pt>
                <c:pt idx="9">
                  <c:v>20905</c:v>
                </c:pt>
              </c:numCache>
            </c:numRef>
          </c:val>
          <c:smooth val="0"/>
          <c:extLst>
            <c:ext xmlns:c16="http://schemas.microsoft.com/office/drawing/2014/chart" uri="{C3380CC4-5D6E-409C-BE32-E72D297353CC}">
              <c16:uniqueId val="{00000002-535C-4631-947F-28333BA133E1}"/>
            </c:ext>
          </c:extLst>
        </c:ser>
        <c:ser>
          <c:idx val="3"/>
          <c:order val="3"/>
          <c:tx>
            <c:strRef>
              <c:f>CHART!$B$28</c:f>
              <c:strCache>
                <c:ptCount val="1"/>
                <c:pt idx="0">
                  <c:v>Cumm Actual</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CHART!$C$24:$L$24</c:f>
              <c:numCache>
                <c:formatCode>mmm\-yy</c:formatCode>
                <c:ptCount val="10"/>
                <c:pt idx="0">
                  <c:v>45658</c:v>
                </c:pt>
                <c:pt idx="1">
                  <c:v>45689</c:v>
                </c:pt>
                <c:pt idx="2">
                  <c:v>45717</c:v>
                </c:pt>
                <c:pt idx="3">
                  <c:v>45748</c:v>
                </c:pt>
                <c:pt idx="4">
                  <c:v>45778</c:v>
                </c:pt>
                <c:pt idx="5">
                  <c:v>45809</c:v>
                </c:pt>
                <c:pt idx="6">
                  <c:v>45839</c:v>
                </c:pt>
                <c:pt idx="7">
                  <c:v>45870</c:v>
                </c:pt>
                <c:pt idx="8">
                  <c:v>45901</c:v>
                </c:pt>
                <c:pt idx="9">
                  <c:v>45931</c:v>
                </c:pt>
              </c:numCache>
            </c:numRef>
          </c:cat>
          <c:val>
            <c:numRef>
              <c:f>CHART!$C$28:$L$28</c:f>
              <c:numCache>
                <c:formatCode>0</c:formatCode>
                <c:ptCount val="10"/>
                <c:pt idx="0">
                  <c:v>3</c:v>
                </c:pt>
                <c:pt idx="1">
                  <c:v>351</c:v>
                </c:pt>
                <c:pt idx="2">
                  <c:v>536</c:v>
                </c:pt>
                <c:pt idx="3">
                  <c:v>620</c:v>
                </c:pt>
              </c:numCache>
            </c:numRef>
          </c:val>
          <c:smooth val="0"/>
          <c:extLst>
            <c:ext xmlns:c16="http://schemas.microsoft.com/office/drawing/2014/chart" uri="{C3380CC4-5D6E-409C-BE32-E72D297353CC}">
              <c16:uniqueId val="{00000003-535C-4631-947F-28333BA133E1}"/>
            </c:ext>
          </c:extLst>
        </c:ser>
        <c:dLbls>
          <c:showLegendKey val="0"/>
          <c:showVal val="1"/>
          <c:showCatName val="0"/>
          <c:showSerName val="0"/>
          <c:showPercent val="0"/>
          <c:showBubbleSize val="0"/>
        </c:dLbls>
        <c:marker val="1"/>
        <c:smooth val="0"/>
        <c:axId val="2127113776"/>
        <c:axId val="2127124176"/>
      </c:lineChart>
      <c:dateAx>
        <c:axId val="212711377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27124176"/>
        <c:crosses val="autoZero"/>
        <c:auto val="1"/>
        <c:lblOffset val="100"/>
        <c:baseTimeUnit val="months"/>
      </c:dateAx>
      <c:valAx>
        <c:axId val="2127124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27113776"/>
        <c:crosses val="autoZero"/>
        <c:crossBetween val="between"/>
      </c:valAx>
      <c:valAx>
        <c:axId val="84626288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46264544"/>
        <c:crosses val="max"/>
        <c:crossBetween val="between"/>
      </c:valAx>
      <c:dateAx>
        <c:axId val="846264544"/>
        <c:scaling>
          <c:orientation val="minMax"/>
        </c:scaling>
        <c:delete val="1"/>
        <c:axPos val="b"/>
        <c:numFmt formatCode="mmm\-yy" sourceLinked="1"/>
        <c:majorTickMark val="out"/>
        <c:minorTickMark val="none"/>
        <c:tickLblPos val="nextTo"/>
        <c:crossAx val="846262880"/>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baseline="0"/>
              <a:t>P&amp;E ERECTION</a:t>
            </a:r>
            <a:r>
              <a:rPr lang="en-IN"/>
              <a:t> PLAN VS ACTUAL</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CHART!$B$32</c:f>
              <c:strCache>
                <c:ptCount val="1"/>
                <c:pt idx="0">
                  <c:v>Month Plan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CHART!$C$31:$N$31</c:f>
              <c:numCache>
                <c:formatCode>mmm\-yy</c:formatCode>
                <c:ptCount val="12"/>
                <c:pt idx="0">
                  <c:v>45627</c:v>
                </c:pt>
                <c:pt idx="1">
                  <c:v>45658</c:v>
                </c:pt>
                <c:pt idx="2">
                  <c:v>45689</c:v>
                </c:pt>
                <c:pt idx="3">
                  <c:v>45717</c:v>
                </c:pt>
                <c:pt idx="4">
                  <c:v>45748</c:v>
                </c:pt>
                <c:pt idx="5">
                  <c:v>45778</c:v>
                </c:pt>
                <c:pt idx="6">
                  <c:v>45809</c:v>
                </c:pt>
                <c:pt idx="7">
                  <c:v>45839</c:v>
                </c:pt>
                <c:pt idx="8">
                  <c:v>45870</c:v>
                </c:pt>
                <c:pt idx="9">
                  <c:v>45901</c:v>
                </c:pt>
                <c:pt idx="10">
                  <c:v>45931</c:v>
                </c:pt>
                <c:pt idx="11">
                  <c:v>45962</c:v>
                </c:pt>
              </c:numCache>
            </c:numRef>
          </c:cat>
          <c:val>
            <c:numRef>
              <c:f>CHART!$C$32:$N$32</c:f>
              <c:numCache>
                <c:formatCode>0</c:formatCode>
                <c:ptCount val="12"/>
                <c:pt idx="0">
                  <c:v>67</c:v>
                </c:pt>
                <c:pt idx="1">
                  <c:v>378</c:v>
                </c:pt>
                <c:pt idx="2">
                  <c:v>906</c:v>
                </c:pt>
                <c:pt idx="3">
                  <c:v>1419</c:v>
                </c:pt>
                <c:pt idx="4">
                  <c:v>1878</c:v>
                </c:pt>
                <c:pt idx="5">
                  <c:v>2257</c:v>
                </c:pt>
                <c:pt idx="6">
                  <c:v>3295</c:v>
                </c:pt>
                <c:pt idx="7">
                  <c:v>3778</c:v>
                </c:pt>
                <c:pt idx="8">
                  <c:v>3419</c:v>
                </c:pt>
                <c:pt idx="9">
                  <c:v>2442</c:v>
                </c:pt>
                <c:pt idx="10">
                  <c:v>1555</c:v>
                </c:pt>
                <c:pt idx="11">
                  <c:v>111</c:v>
                </c:pt>
              </c:numCache>
            </c:numRef>
          </c:val>
          <c:extLst>
            <c:ext xmlns:c16="http://schemas.microsoft.com/office/drawing/2014/chart" uri="{C3380CC4-5D6E-409C-BE32-E72D297353CC}">
              <c16:uniqueId val="{00000000-C391-4C97-A427-BBB0056BE058}"/>
            </c:ext>
          </c:extLst>
        </c:ser>
        <c:ser>
          <c:idx val="2"/>
          <c:order val="2"/>
          <c:tx>
            <c:strRef>
              <c:f>CHART!$B$34</c:f>
              <c:strCache>
                <c:ptCount val="1"/>
                <c:pt idx="0">
                  <c:v>Month Actual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CHART!$C$31:$N$31</c:f>
              <c:numCache>
                <c:formatCode>mmm\-yy</c:formatCode>
                <c:ptCount val="12"/>
                <c:pt idx="0">
                  <c:v>45627</c:v>
                </c:pt>
                <c:pt idx="1">
                  <c:v>45658</c:v>
                </c:pt>
                <c:pt idx="2">
                  <c:v>45689</c:v>
                </c:pt>
                <c:pt idx="3">
                  <c:v>45717</c:v>
                </c:pt>
                <c:pt idx="4">
                  <c:v>45748</c:v>
                </c:pt>
                <c:pt idx="5">
                  <c:v>45778</c:v>
                </c:pt>
                <c:pt idx="6">
                  <c:v>45809</c:v>
                </c:pt>
                <c:pt idx="7">
                  <c:v>45839</c:v>
                </c:pt>
                <c:pt idx="8">
                  <c:v>45870</c:v>
                </c:pt>
                <c:pt idx="9">
                  <c:v>45901</c:v>
                </c:pt>
                <c:pt idx="10">
                  <c:v>45931</c:v>
                </c:pt>
                <c:pt idx="11">
                  <c:v>45962</c:v>
                </c:pt>
              </c:numCache>
            </c:numRef>
          </c:cat>
          <c:val>
            <c:numRef>
              <c:f>CHART!$C$34:$N$34</c:f>
              <c:numCache>
                <c:formatCode>0</c:formatCode>
                <c:ptCount val="12"/>
                <c:pt idx="0">
                  <c:v>272</c:v>
                </c:pt>
                <c:pt idx="1">
                  <c:v>545</c:v>
                </c:pt>
                <c:pt idx="2">
                  <c:v>455</c:v>
                </c:pt>
                <c:pt idx="3">
                  <c:v>64</c:v>
                </c:pt>
                <c:pt idx="4">
                  <c:v>520</c:v>
                </c:pt>
              </c:numCache>
            </c:numRef>
          </c:val>
          <c:extLst>
            <c:ext xmlns:c16="http://schemas.microsoft.com/office/drawing/2014/chart" uri="{C3380CC4-5D6E-409C-BE32-E72D297353CC}">
              <c16:uniqueId val="{00000001-C391-4C97-A427-BBB0056BE058}"/>
            </c:ext>
          </c:extLst>
        </c:ser>
        <c:dLbls>
          <c:showLegendKey val="0"/>
          <c:showVal val="1"/>
          <c:showCatName val="0"/>
          <c:showSerName val="0"/>
          <c:showPercent val="0"/>
          <c:showBubbleSize val="0"/>
        </c:dLbls>
        <c:gapWidth val="219"/>
        <c:axId val="846264544"/>
        <c:axId val="846262880"/>
      </c:barChart>
      <c:lineChart>
        <c:grouping val="standard"/>
        <c:varyColors val="0"/>
        <c:ser>
          <c:idx val="1"/>
          <c:order val="1"/>
          <c:tx>
            <c:strRef>
              <c:f>CHART!$B$33</c:f>
              <c:strCache>
                <c:ptCount val="1"/>
                <c:pt idx="0">
                  <c:v>Cumm Plan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CHART!$C$31:$N$31</c:f>
              <c:numCache>
                <c:formatCode>mmm\-yy</c:formatCode>
                <c:ptCount val="12"/>
                <c:pt idx="0">
                  <c:v>45627</c:v>
                </c:pt>
                <c:pt idx="1">
                  <c:v>45658</c:v>
                </c:pt>
                <c:pt idx="2">
                  <c:v>45689</c:v>
                </c:pt>
                <c:pt idx="3">
                  <c:v>45717</c:v>
                </c:pt>
                <c:pt idx="4">
                  <c:v>45748</c:v>
                </c:pt>
                <c:pt idx="5">
                  <c:v>45778</c:v>
                </c:pt>
                <c:pt idx="6">
                  <c:v>45809</c:v>
                </c:pt>
                <c:pt idx="7">
                  <c:v>45839</c:v>
                </c:pt>
                <c:pt idx="8">
                  <c:v>45870</c:v>
                </c:pt>
                <c:pt idx="9">
                  <c:v>45901</c:v>
                </c:pt>
                <c:pt idx="10">
                  <c:v>45931</c:v>
                </c:pt>
                <c:pt idx="11">
                  <c:v>45962</c:v>
                </c:pt>
              </c:numCache>
            </c:numRef>
          </c:cat>
          <c:val>
            <c:numRef>
              <c:f>CHART!$C$33:$N$33</c:f>
              <c:numCache>
                <c:formatCode>0</c:formatCode>
                <c:ptCount val="12"/>
                <c:pt idx="0">
                  <c:v>67</c:v>
                </c:pt>
                <c:pt idx="1">
                  <c:v>445</c:v>
                </c:pt>
                <c:pt idx="2">
                  <c:v>1351</c:v>
                </c:pt>
                <c:pt idx="3">
                  <c:v>2770</c:v>
                </c:pt>
                <c:pt idx="4">
                  <c:v>4648</c:v>
                </c:pt>
                <c:pt idx="5">
                  <c:v>6905</c:v>
                </c:pt>
                <c:pt idx="6">
                  <c:v>10200</c:v>
                </c:pt>
                <c:pt idx="7">
                  <c:v>13978</c:v>
                </c:pt>
                <c:pt idx="8">
                  <c:v>17397</c:v>
                </c:pt>
                <c:pt idx="9">
                  <c:v>19839</c:v>
                </c:pt>
                <c:pt idx="10">
                  <c:v>21394</c:v>
                </c:pt>
                <c:pt idx="11">
                  <c:v>21505</c:v>
                </c:pt>
              </c:numCache>
            </c:numRef>
          </c:val>
          <c:smooth val="0"/>
          <c:extLst>
            <c:ext xmlns:c16="http://schemas.microsoft.com/office/drawing/2014/chart" uri="{C3380CC4-5D6E-409C-BE32-E72D297353CC}">
              <c16:uniqueId val="{00000002-C391-4C97-A427-BBB0056BE058}"/>
            </c:ext>
          </c:extLst>
        </c:ser>
        <c:ser>
          <c:idx val="3"/>
          <c:order val="3"/>
          <c:tx>
            <c:strRef>
              <c:f>CHART!$B$35</c:f>
              <c:strCache>
                <c:ptCount val="1"/>
                <c:pt idx="0">
                  <c:v>Cumm Actual</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CHART!$C$31:$N$31</c:f>
              <c:numCache>
                <c:formatCode>mmm\-yy</c:formatCode>
                <c:ptCount val="12"/>
                <c:pt idx="0">
                  <c:v>45627</c:v>
                </c:pt>
                <c:pt idx="1">
                  <c:v>45658</c:v>
                </c:pt>
                <c:pt idx="2">
                  <c:v>45689</c:v>
                </c:pt>
                <c:pt idx="3">
                  <c:v>45717</c:v>
                </c:pt>
                <c:pt idx="4">
                  <c:v>45748</c:v>
                </c:pt>
                <c:pt idx="5">
                  <c:v>45778</c:v>
                </c:pt>
                <c:pt idx="6">
                  <c:v>45809</c:v>
                </c:pt>
                <c:pt idx="7">
                  <c:v>45839</c:v>
                </c:pt>
                <c:pt idx="8">
                  <c:v>45870</c:v>
                </c:pt>
                <c:pt idx="9">
                  <c:v>45901</c:v>
                </c:pt>
                <c:pt idx="10">
                  <c:v>45931</c:v>
                </c:pt>
                <c:pt idx="11">
                  <c:v>45962</c:v>
                </c:pt>
              </c:numCache>
            </c:numRef>
          </c:cat>
          <c:val>
            <c:numRef>
              <c:f>CHART!$C$35:$N$35</c:f>
              <c:numCache>
                <c:formatCode>0</c:formatCode>
                <c:ptCount val="12"/>
                <c:pt idx="0">
                  <c:v>272</c:v>
                </c:pt>
                <c:pt idx="1">
                  <c:v>817</c:v>
                </c:pt>
                <c:pt idx="2">
                  <c:v>1272</c:v>
                </c:pt>
                <c:pt idx="3">
                  <c:v>1336</c:v>
                </c:pt>
                <c:pt idx="4">
                  <c:v>1856</c:v>
                </c:pt>
              </c:numCache>
            </c:numRef>
          </c:val>
          <c:smooth val="0"/>
          <c:extLst>
            <c:ext xmlns:c16="http://schemas.microsoft.com/office/drawing/2014/chart" uri="{C3380CC4-5D6E-409C-BE32-E72D297353CC}">
              <c16:uniqueId val="{00000003-C391-4C97-A427-BBB0056BE058}"/>
            </c:ext>
          </c:extLst>
        </c:ser>
        <c:dLbls>
          <c:showLegendKey val="0"/>
          <c:showVal val="1"/>
          <c:showCatName val="0"/>
          <c:showSerName val="0"/>
          <c:showPercent val="0"/>
          <c:showBubbleSize val="0"/>
        </c:dLbls>
        <c:marker val="1"/>
        <c:smooth val="0"/>
        <c:axId val="2127113776"/>
        <c:axId val="2127124176"/>
      </c:lineChart>
      <c:dateAx>
        <c:axId val="212711377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27124176"/>
        <c:crosses val="autoZero"/>
        <c:auto val="1"/>
        <c:lblOffset val="100"/>
        <c:baseTimeUnit val="months"/>
      </c:dateAx>
      <c:valAx>
        <c:axId val="2127124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127113776"/>
        <c:crosses val="autoZero"/>
        <c:crossBetween val="between"/>
      </c:valAx>
      <c:valAx>
        <c:axId val="84626288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46264544"/>
        <c:crosses val="max"/>
        <c:crossBetween val="between"/>
      </c:valAx>
      <c:dateAx>
        <c:axId val="846264544"/>
        <c:scaling>
          <c:orientation val="minMax"/>
        </c:scaling>
        <c:delete val="1"/>
        <c:axPos val="b"/>
        <c:numFmt formatCode="mmm\-yy" sourceLinked="1"/>
        <c:majorTickMark val="out"/>
        <c:minorTickMark val="none"/>
        <c:tickLblPos val="nextTo"/>
        <c:crossAx val="846262880"/>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0" i="0" baseline="0">
                <a:effectLst/>
              </a:rPr>
              <a:t>Manower Plan vs Actual</a:t>
            </a:r>
            <a:endParaRPr lang="en-IN">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CHART!$C$59</c:f>
              <c:strCache>
                <c:ptCount val="1"/>
                <c:pt idx="0">
                  <c:v>PLAN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CHART!$B$60:$B$73</c:f>
              <c:numCache>
                <c:formatCode>mmm\-yy</c:formatCode>
                <c:ptCount val="14"/>
                <c:pt idx="0">
                  <c:v>45352</c:v>
                </c:pt>
                <c:pt idx="1">
                  <c:v>45383</c:v>
                </c:pt>
                <c:pt idx="2">
                  <c:v>45413</c:v>
                </c:pt>
                <c:pt idx="3">
                  <c:v>45444</c:v>
                </c:pt>
                <c:pt idx="4">
                  <c:v>45474</c:v>
                </c:pt>
                <c:pt idx="5">
                  <c:v>45505</c:v>
                </c:pt>
                <c:pt idx="6">
                  <c:v>45536</c:v>
                </c:pt>
                <c:pt idx="7">
                  <c:v>45566</c:v>
                </c:pt>
                <c:pt idx="8">
                  <c:v>45597</c:v>
                </c:pt>
                <c:pt idx="9">
                  <c:v>45627</c:v>
                </c:pt>
                <c:pt idx="10">
                  <c:v>45658</c:v>
                </c:pt>
                <c:pt idx="11">
                  <c:v>45689</c:v>
                </c:pt>
                <c:pt idx="12">
                  <c:v>45717</c:v>
                </c:pt>
                <c:pt idx="13">
                  <c:v>45748</c:v>
                </c:pt>
              </c:numCache>
            </c:numRef>
          </c:cat>
          <c:val>
            <c:numRef>
              <c:f>CHART!$C$60:$C$73</c:f>
              <c:numCache>
                <c:formatCode>General</c:formatCode>
                <c:ptCount val="14"/>
                <c:pt idx="0">
                  <c:v>100</c:v>
                </c:pt>
                <c:pt idx="1">
                  <c:v>250</c:v>
                </c:pt>
                <c:pt idx="2">
                  <c:v>470</c:v>
                </c:pt>
                <c:pt idx="3">
                  <c:v>663</c:v>
                </c:pt>
                <c:pt idx="4">
                  <c:v>978</c:v>
                </c:pt>
                <c:pt idx="5">
                  <c:v>1128</c:v>
                </c:pt>
                <c:pt idx="6">
                  <c:v>1177</c:v>
                </c:pt>
                <c:pt idx="7">
                  <c:v>1774</c:v>
                </c:pt>
                <c:pt idx="8">
                  <c:v>2279</c:v>
                </c:pt>
                <c:pt idx="9">
                  <c:v>2453</c:v>
                </c:pt>
                <c:pt idx="10">
                  <c:v>2560</c:v>
                </c:pt>
                <c:pt idx="11">
                  <c:v>2680</c:v>
                </c:pt>
                <c:pt idx="12">
                  <c:v>2830</c:v>
                </c:pt>
                <c:pt idx="13">
                  <c:v>2390</c:v>
                </c:pt>
              </c:numCache>
            </c:numRef>
          </c:val>
          <c:extLst>
            <c:ext xmlns:c16="http://schemas.microsoft.com/office/drawing/2014/chart" uri="{C3380CC4-5D6E-409C-BE32-E72D297353CC}">
              <c16:uniqueId val="{00000000-9F89-4A54-80E9-2F286BA1E26F}"/>
            </c:ext>
          </c:extLst>
        </c:ser>
        <c:ser>
          <c:idx val="1"/>
          <c:order val="1"/>
          <c:tx>
            <c:strRef>
              <c:f>CHART!$D$59</c:f>
              <c:strCache>
                <c:ptCount val="1"/>
                <c:pt idx="0">
                  <c:v>ACTUAL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CHART!$B$60:$B$73</c:f>
              <c:numCache>
                <c:formatCode>mmm\-yy</c:formatCode>
                <c:ptCount val="14"/>
                <c:pt idx="0">
                  <c:v>45352</c:v>
                </c:pt>
                <c:pt idx="1">
                  <c:v>45383</c:v>
                </c:pt>
                <c:pt idx="2">
                  <c:v>45413</c:v>
                </c:pt>
                <c:pt idx="3">
                  <c:v>45444</c:v>
                </c:pt>
                <c:pt idx="4">
                  <c:v>45474</c:v>
                </c:pt>
                <c:pt idx="5">
                  <c:v>45505</c:v>
                </c:pt>
                <c:pt idx="6">
                  <c:v>45536</c:v>
                </c:pt>
                <c:pt idx="7">
                  <c:v>45566</c:v>
                </c:pt>
                <c:pt idx="8">
                  <c:v>45597</c:v>
                </c:pt>
                <c:pt idx="9">
                  <c:v>45627</c:v>
                </c:pt>
                <c:pt idx="10">
                  <c:v>45658</c:v>
                </c:pt>
                <c:pt idx="11">
                  <c:v>45689</c:v>
                </c:pt>
                <c:pt idx="12">
                  <c:v>45717</c:v>
                </c:pt>
                <c:pt idx="13">
                  <c:v>45748</c:v>
                </c:pt>
              </c:numCache>
            </c:numRef>
          </c:cat>
          <c:val>
            <c:numRef>
              <c:f>CHART!$D$60:$D$73</c:f>
              <c:numCache>
                <c:formatCode>General</c:formatCode>
                <c:ptCount val="14"/>
                <c:pt idx="0">
                  <c:v>22</c:v>
                </c:pt>
                <c:pt idx="1">
                  <c:v>62</c:v>
                </c:pt>
                <c:pt idx="2">
                  <c:v>86</c:v>
                </c:pt>
                <c:pt idx="3">
                  <c:v>144</c:v>
                </c:pt>
                <c:pt idx="4">
                  <c:v>346</c:v>
                </c:pt>
                <c:pt idx="5">
                  <c:v>428</c:v>
                </c:pt>
                <c:pt idx="6">
                  <c:v>780</c:v>
                </c:pt>
                <c:pt idx="7">
                  <c:v>631</c:v>
                </c:pt>
                <c:pt idx="8">
                  <c:v>708</c:v>
                </c:pt>
                <c:pt idx="9">
                  <c:v>1006</c:v>
                </c:pt>
                <c:pt idx="10">
                  <c:v>1056</c:v>
                </c:pt>
                <c:pt idx="11">
                  <c:v>1140</c:v>
                </c:pt>
                <c:pt idx="12">
                  <c:v>1029</c:v>
                </c:pt>
                <c:pt idx="13">
                  <c:v>1016</c:v>
                </c:pt>
              </c:numCache>
            </c:numRef>
          </c:val>
          <c:extLst>
            <c:ext xmlns:c16="http://schemas.microsoft.com/office/drawing/2014/chart" uri="{C3380CC4-5D6E-409C-BE32-E72D297353CC}">
              <c16:uniqueId val="{00000001-9F89-4A54-80E9-2F286BA1E26F}"/>
            </c:ext>
          </c:extLst>
        </c:ser>
        <c:dLbls>
          <c:showLegendKey val="0"/>
          <c:showVal val="0"/>
          <c:showCatName val="0"/>
          <c:showSerName val="0"/>
          <c:showPercent val="0"/>
          <c:showBubbleSize val="0"/>
        </c:dLbls>
        <c:gapWidth val="219"/>
        <c:overlap val="-27"/>
        <c:axId val="300751295"/>
        <c:axId val="300754207"/>
      </c:barChart>
      <c:dateAx>
        <c:axId val="30075129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00754207"/>
        <c:crosses val="autoZero"/>
        <c:auto val="1"/>
        <c:lblOffset val="100"/>
        <c:baseTimeUnit val="months"/>
      </c:dateAx>
      <c:valAx>
        <c:axId val="300754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751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EXCAVATION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CHART!$C$80</c:f>
              <c:strCache>
                <c:ptCount val="1"/>
                <c:pt idx="0">
                  <c:v>PLAN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CHART!$B$81:$B$87</c:f>
              <c:strCache>
                <c:ptCount val="7"/>
                <c:pt idx="0">
                  <c:v>previous week</c:v>
                </c:pt>
                <c:pt idx="1">
                  <c:v>Week-1</c:v>
                </c:pt>
                <c:pt idx="2">
                  <c:v>Week-2</c:v>
                </c:pt>
                <c:pt idx="3">
                  <c:v>Week-3</c:v>
                </c:pt>
                <c:pt idx="4">
                  <c:v>Week-4</c:v>
                </c:pt>
                <c:pt idx="5">
                  <c:v>Week-5</c:v>
                </c:pt>
                <c:pt idx="6">
                  <c:v>Total</c:v>
                </c:pt>
              </c:strCache>
            </c:strRef>
          </c:cat>
          <c:val>
            <c:numRef>
              <c:f>CHART!$C$81:$C$87</c:f>
              <c:numCache>
                <c:formatCode>General</c:formatCode>
                <c:ptCount val="7"/>
                <c:pt idx="0">
                  <c:v>15000</c:v>
                </c:pt>
                <c:pt idx="1">
                  <c:v>3200</c:v>
                </c:pt>
                <c:pt idx="2">
                  <c:v>3200</c:v>
                </c:pt>
                <c:pt idx="3">
                  <c:v>3200</c:v>
                </c:pt>
                <c:pt idx="4">
                  <c:v>3200</c:v>
                </c:pt>
                <c:pt idx="5">
                  <c:v>3200</c:v>
                </c:pt>
                <c:pt idx="6">
                  <c:v>16000</c:v>
                </c:pt>
              </c:numCache>
            </c:numRef>
          </c:val>
          <c:extLst>
            <c:ext xmlns:c16="http://schemas.microsoft.com/office/drawing/2014/chart" uri="{C3380CC4-5D6E-409C-BE32-E72D297353CC}">
              <c16:uniqueId val="{00000000-BF9C-486D-8C52-8AB387236B47}"/>
            </c:ext>
          </c:extLst>
        </c:ser>
        <c:ser>
          <c:idx val="1"/>
          <c:order val="1"/>
          <c:tx>
            <c:strRef>
              <c:f>CHART!$D$80</c:f>
              <c:strCache>
                <c:ptCount val="1"/>
                <c:pt idx="0">
                  <c:v>ACTUAL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CHART!$B$81:$B$87</c:f>
              <c:strCache>
                <c:ptCount val="7"/>
                <c:pt idx="0">
                  <c:v>previous week</c:v>
                </c:pt>
                <c:pt idx="1">
                  <c:v>Week-1</c:v>
                </c:pt>
                <c:pt idx="2">
                  <c:v>Week-2</c:v>
                </c:pt>
                <c:pt idx="3">
                  <c:v>Week-3</c:v>
                </c:pt>
                <c:pt idx="4">
                  <c:v>Week-4</c:v>
                </c:pt>
                <c:pt idx="5">
                  <c:v>Week-5</c:v>
                </c:pt>
                <c:pt idx="6">
                  <c:v>Total</c:v>
                </c:pt>
              </c:strCache>
            </c:strRef>
          </c:cat>
          <c:val>
            <c:numRef>
              <c:f>CHART!$D$81:$D$87</c:f>
              <c:numCache>
                <c:formatCode>General</c:formatCode>
                <c:ptCount val="7"/>
                <c:pt idx="0">
                  <c:v>13847</c:v>
                </c:pt>
                <c:pt idx="1">
                  <c:v>2429</c:v>
                </c:pt>
                <c:pt idx="2">
                  <c:v>6193</c:v>
                </c:pt>
                <c:pt idx="3">
                  <c:v>3145</c:v>
                </c:pt>
                <c:pt idx="6">
                  <c:v>11767</c:v>
                </c:pt>
              </c:numCache>
            </c:numRef>
          </c:val>
          <c:extLst>
            <c:ext xmlns:c16="http://schemas.microsoft.com/office/drawing/2014/chart" uri="{C3380CC4-5D6E-409C-BE32-E72D297353CC}">
              <c16:uniqueId val="{00000001-BF9C-486D-8C52-8AB387236B47}"/>
            </c:ext>
          </c:extLst>
        </c:ser>
        <c:dLbls>
          <c:showLegendKey val="0"/>
          <c:showVal val="0"/>
          <c:showCatName val="0"/>
          <c:showSerName val="0"/>
          <c:showPercent val="0"/>
          <c:showBubbleSize val="0"/>
        </c:dLbls>
        <c:gapWidth val="219"/>
        <c:overlap val="-27"/>
        <c:axId val="231043087"/>
        <c:axId val="231049743"/>
      </c:barChart>
      <c:catAx>
        <c:axId val="23104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049743"/>
        <c:crosses val="autoZero"/>
        <c:auto val="1"/>
        <c:lblAlgn val="ctr"/>
        <c:lblOffset val="100"/>
        <c:noMultiLvlLbl val="0"/>
      </c:catAx>
      <c:valAx>
        <c:axId val="231049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04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RCC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CHART!$C$95</c:f>
              <c:strCache>
                <c:ptCount val="1"/>
                <c:pt idx="0">
                  <c:v>PLAN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CHART!$B$96:$B$102</c:f>
              <c:strCache>
                <c:ptCount val="7"/>
                <c:pt idx="0">
                  <c:v>previous week</c:v>
                </c:pt>
                <c:pt idx="1">
                  <c:v>Week-1</c:v>
                </c:pt>
                <c:pt idx="2">
                  <c:v>Week-2</c:v>
                </c:pt>
                <c:pt idx="3">
                  <c:v>Week-3</c:v>
                </c:pt>
                <c:pt idx="4">
                  <c:v>Week-4</c:v>
                </c:pt>
                <c:pt idx="5">
                  <c:v>Week-5</c:v>
                </c:pt>
                <c:pt idx="6">
                  <c:v>Total</c:v>
                </c:pt>
              </c:strCache>
            </c:strRef>
          </c:cat>
          <c:val>
            <c:numRef>
              <c:f>CHART!$C$96:$C$102</c:f>
              <c:numCache>
                <c:formatCode>General</c:formatCode>
                <c:ptCount val="7"/>
                <c:pt idx="0">
                  <c:v>9516</c:v>
                </c:pt>
                <c:pt idx="1">
                  <c:v>1459.2</c:v>
                </c:pt>
                <c:pt idx="2">
                  <c:v>1824</c:v>
                </c:pt>
                <c:pt idx="3">
                  <c:v>2188.7999999999997</c:v>
                </c:pt>
                <c:pt idx="4">
                  <c:v>1094.3999999999999</c:v>
                </c:pt>
                <c:pt idx="5">
                  <c:v>729.6</c:v>
                </c:pt>
                <c:pt idx="6">
                  <c:v>7296</c:v>
                </c:pt>
              </c:numCache>
            </c:numRef>
          </c:val>
          <c:extLst>
            <c:ext xmlns:c16="http://schemas.microsoft.com/office/drawing/2014/chart" uri="{C3380CC4-5D6E-409C-BE32-E72D297353CC}">
              <c16:uniqueId val="{00000000-7E4A-48D1-98EA-FE4E32FC8A71}"/>
            </c:ext>
          </c:extLst>
        </c:ser>
        <c:ser>
          <c:idx val="1"/>
          <c:order val="1"/>
          <c:tx>
            <c:strRef>
              <c:f>CHART!$D$95</c:f>
              <c:strCache>
                <c:ptCount val="1"/>
                <c:pt idx="0">
                  <c:v>ACTUAL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CHART!$B$96:$B$102</c:f>
              <c:strCache>
                <c:ptCount val="7"/>
                <c:pt idx="0">
                  <c:v>previous week</c:v>
                </c:pt>
                <c:pt idx="1">
                  <c:v>Week-1</c:v>
                </c:pt>
                <c:pt idx="2">
                  <c:v>Week-2</c:v>
                </c:pt>
                <c:pt idx="3">
                  <c:v>Week-3</c:v>
                </c:pt>
                <c:pt idx="4">
                  <c:v>Week-4</c:v>
                </c:pt>
                <c:pt idx="5">
                  <c:v>Week-5</c:v>
                </c:pt>
                <c:pt idx="6">
                  <c:v>Total</c:v>
                </c:pt>
              </c:strCache>
            </c:strRef>
          </c:cat>
          <c:val>
            <c:numRef>
              <c:f>CHART!$D$96:$D$102</c:f>
              <c:numCache>
                <c:formatCode>General</c:formatCode>
                <c:ptCount val="7"/>
                <c:pt idx="0">
                  <c:v>3136</c:v>
                </c:pt>
                <c:pt idx="1">
                  <c:v>699</c:v>
                </c:pt>
                <c:pt idx="2">
                  <c:v>721</c:v>
                </c:pt>
                <c:pt idx="3">
                  <c:v>568</c:v>
                </c:pt>
                <c:pt idx="6">
                  <c:v>1988</c:v>
                </c:pt>
              </c:numCache>
            </c:numRef>
          </c:val>
          <c:extLst>
            <c:ext xmlns:c16="http://schemas.microsoft.com/office/drawing/2014/chart" uri="{C3380CC4-5D6E-409C-BE32-E72D297353CC}">
              <c16:uniqueId val="{00000001-7E4A-48D1-98EA-FE4E32FC8A71}"/>
            </c:ext>
          </c:extLst>
        </c:ser>
        <c:dLbls>
          <c:dLblPos val="outEnd"/>
          <c:showLegendKey val="0"/>
          <c:showVal val="1"/>
          <c:showCatName val="0"/>
          <c:showSerName val="0"/>
          <c:showPercent val="0"/>
          <c:showBubbleSize val="0"/>
        </c:dLbls>
        <c:gapWidth val="219"/>
        <c:overlap val="-27"/>
        <c:axId val="791357392"/>
        <c:axId val="791357808"/>
      </c:barChart>
      <c:catAx>
        <c:axId val="79135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57808"/>
        <c:crosses val="autoZero"/>
        <c:auto val="1"/>
        <c:lblAlgn val="ctr"/>
        <c:lblOffset val="100"/>
        <c:noMultiLvlLbl val="0"/>
      </c:catAx>
      <c:valAx>
        <c:axId val="791357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57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35</xdr:col>
      <xdr:colOff>115055</xdr:colOff>
      <xdr:row>2</xdr:row>
      <xdr:rowOff>84024</xdr:rowOff>
    </xdr:from>
    <xdr:to>
      <xdr:col>50</xdr:col>
      <xdr:colOff>566964</xdr:colOff>
      <xdr:row>43</xdr:row>
      <xdr:rowOff>52321</xdr:rowOff>
    </xdr:to>
    <xdr:graphicFrame macro="">
      <xdr:nvGraphicFramePr>
        <xdr:cNvPr id="3" name="Chart 2">
          <a:extLst>
            <a:ext uri="{FF2B5EF4-FFF2-40B4-BE49-F238E27FC236}">
              <a16:creationId xmlns:a16="http://schemas.microsoft.com/office/drawing/2014/main" id="{0403CAEE-5A58-3B20-D7F0-C2A2D4AD8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482958</xdr:colOff>
      <xdr:row>16</xdr:row>
      <xdr:rowOff>26830</xdr:rowOff>
    </xdr:from>
    <xdr:to>
      <xdr:col>8</xdr:col>
      <xdr:colOff>234222</xdr:colOff>
      <xdr:row>25</xdr:row>
      <xdr:rowOff>68063</xdr:rowOff>
    </xdr:to>
    <xdr:graphicFrame macro="">
      <xdr:nvGraphicFramePr>
        <xdr:cNvPr id="2" name="Chart 1">
          <a:extLst>
            <a:ext uri="{FF2B5EF4-FFF2-40B4-BE49-F238E27FC236}">
              <a16:creationId xmlns:a16="http://schemas.microsoft.com/office/drawing/2014/main" id="{965B0AE1-E66A-4F05-A7ED-C537D69253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228064</xdr:colOff>
      <xdr:row>16</xdr:row>
      <xdr:rowOff>13415</xdr:rowOff>
    </xdr:from>
    <xdr:to>
      <xdr:col>12</xdr:col>
      <xdr:colOff>542778</xdr:colOff>
      <xdr:row>25</xdr:row>
      <xdr:rowOff>54648</xdr:rowOff>
    </xdr:to>
    <xdr:graphicFrame macro="">
      <xdr:nvGraphicFramePr>
        <xdr:cNvPr id="3" name="Chart 2">
          <a:extLst>
            <a:ext uri="{FF2B5EF4-FFF2-40B4-BE49-F238E27FC236}">
              <a16:creationId xmlns:a16="http://schemas.microsoft.com/office/drawing/2014/main" id="{7644FA51-B2CE-49B6-B14A-2D09FED04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16</xdr:row>
      <xdr:rowOff>0</xdr:rowOff>
    </xdr:from>
    <xdr:to>
      <xdr:col>17</xdr:col>
      <xdr:colOff>167144</xdr:colOff>
      <xdr:row>25</xdr:row>
      <xdr:rowOff>41233</xdr:rowOff>
    </xdr:to>
    <xdr:graphicFrame macro="">
      <xdr:nvGraphicFramePr>
        <xdr:cNvPr id="4" name="Chart 3">
          <a:extLst>
            <a:ext uri="{FF2B5EF4-FFF2-40B4-BE49-F238E27FC236}">
              <a16:creationId xmlns:a16="http://schemas.microsoft.com/office/drawing/2014/main" id="{BA4218D9-81EF-42EC-9883-8C2345416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120740</xdr:colOff>
      <xdr:row>15</xdr:row>
      <xdr:rowOff>187815</xdr:rowOff>
    </xdr:from>
    <xdr:to>
      <xdr:col>21</xdr:col>
      <xdr:colOff>335387</xdr:colOff>
      <xdr:row>25</xdr:row>
      <xdr:rowOff>41231</xdr:rowOff>
    </xdr:to>
    <xdr:graphicFrame macro="">
      <xdr:nvGraphicFramePr>
        <xdr:cNvPr id="5" name="Chart 4">
          <a:extLst>
            <a:ext uri="{FF2B5EF4-FFF2-40B4-BE49-F238E27FC236}">
              <a16:creationId xmlns:a16="http://schemas.microsoft.com/office/drawing/2014/main" id="{E42FCFB7-D870-4DDC-8847-951FCDFA4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0.75144</cdr:x>
      <cdr:y>0.14557</cdr:y>
    </cdr:from>
    <cdr:to>
      <cdr:x>0.96903</cdr:x>
      <cdr:y>0.32918</cdr:y>
    </cdr:to>
    <cdr:sp macro="" textlink="'RCC UPDATED SEP(3)'!$D$18">
      <cdr:nvSpPr>
        <cdr:cNvPr id="3" name="Rectangle: Rounded Corners 1">
          <a:extLst xmlns:a="http://schemas.openxmlformats.org/drawingml/2006/main">
            <a:ext uri="{FF2B5EF4-FFF2-40B4-BE49-F238E27FC236}">
              <a16:creationId xmlns:a16="http://schemas.microsoft.com/office/drawing/2014/main" id="{8E65546D-F11D-4C34-9816-37DBDD6EBE1B}"/>
            </a:ext>
          </a:extLst>
        </cdr:cNvPr>
        <cdr:cNvSpPr/>
      </cdr:nvSpPr>
      <cdr:spPr>
        <a:xfrm xmlns:a="http://schemas.openxmlformats.org/drawingml/2006/main">
          <a:off x="1809111" y="252071"/>
          <a:ext cx="523854" cy="317936"/>
        </a:xfrm>
        <a:prstGeom xmlns:a="http://schemas.openxmlformats.org/drawingml/2006/main" prst="roundRect">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fld id="{73B579C5-1267-4302-BB4D-282E910FFF20}" type="TxLink">
            <a:rPr lang="en-US" sz="1400" b="0" i="0" u="none" strike="noStrike" dirty="0">
              <a:solidFill>
                <a:srgbClr val="000000"/>
              </a:solidFill>
              <a:latin typeface="Calibri"/>
              <a:ea typeface="Calibri"/>
              <a:cs typeface="Calibri"/>
            </a:rPr>
            <a:pPr/>
            <a:t>40%</a:t>
          </a:fld>
          <a:endParaRPr lang="en-US" sz="1400" dirty="0"/>
        </a:p>
      </cdr:txBody>
    </cdr:sp>
  </cdr:relSizeAnchor>
</c:userShapes>
</file>

<file path=xl/drawings/drawing4.xml><?xml version="1.0" encoding="utf-8"?>
<c:userShapes xmlns:c="http://schemas.openxmlformats.org/drawingml/2006/chart">
  <cdr:relSizeAnchor xmlns:cdr="http://schemas.openxmlformats.org/drawingml/2006/chartDrawing">
    <cdr:from>
      <cdr:x>0.73783</cdr:x>
      <cdr:y>0.19206</cdr:y>
    </cdr:from>
    <cdr:to>
      <cdr:x>0.95542</cdr:x>
      <cdr:y>0.37567</cdr:y>
    </cdr:to>
    <cdr:sp macro="" textlink="'RCC UPDATED SEP(3)'!$D$19">
      <cdr:nvSpPr>
        <cdr:cNvPr id="3" name="Rectangle: Rounded Corners 1">
          <a:extLst xmlns:a="http://schemas.openxmlformats.org/drawingml/2006/main">
            <a:ext uri="{FF2B5EF4-FFF2-40B4-BE49-F238E27FC236}">
              <a16:creationId xmlns:a16="http://schemas.microsoft.com/office/drawing/2014/main" id="{8E65546D-F11D-4C34-9816-37DBDD6EBE1B}"/>
            </a:ext>
          </a:extLst>
        </cdr:cNvPr>
        <cdr:cNvSpPr/>
      </cdr:nvSpPr>
      <cdr:spPr>
        <a:xfrm xmlns:a="http://schemas.openxmlformats.org/drawingml/2006/main">
          <a:off x="1776353" y="332564"/>
          <a:ext cx="523854" cy="317936"/>
        </a:xfrm>
        <a:prstGeom xmlns:a="http://schemas.openxmlformats.org/drawingml/2006/main" prst="roundRect">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indent="0"/>
          <a:fld id="{D75A7479-6E87-48C5-A5EE-1E4D56C3C353}" type="TxLink">
            <a:rPr lang="en-US" sz="1400" b="0" i="0" u="none" strike="noStrike" dirty="0">
              <a:solidFill>
                <a:srgbClr val="000000"/>
              </a:solidFill>
              <a:latin typeface="Calibri"/>
              <a:ea typeface="Calibri"/>
              <a:cs typeface="Calibri"/>
            </a:rPr>
            <a:pPr marL="0" indent="0"/>
            <a:t>18%</a:t>
          </a:fld>
          <a:endParaRPr lang="en-US" sz="1400" b="0" i="0" u="none" strike="noStrike" dirty="0">
            <a:solidFill>
              <a:srgbClr val="000000"/>
            </a:solidFill>
            <a:latin typeface="Calibri"/>
            <a:ea typeface="Calibri"/>
            <a:cs typeface="Calibri"/>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0.73783</cdr:x>
      <cdr:y>0.18431</cdr:y>
    </cdr:from>
    <cdr:to>
      <cdr:x>0.95542</cdr:x>
      <cdr:y>0.36792</cdr:y>
    </cdr:to>
    <cdr:sp macro="" textlink="'RCC UPDATED SEP(3)'!$D$20">
      <cdr:nvSpPr>
        <cdr:cNvPr id="3" name="Rectangle: Rounded Corners 1">
          <a:extLst xmlns:a="http://schemas.openxmlformats.org/drawingml/2006/main">
            <a:ext uri="{FF2B5EF4-FFF2-40B4-BE49-F238E27FC236}">
              <a16:creationId xmlns:a16="http://schemas.microsoft.com/office/drawing/2014/main" id="{8E65546D-F11D-4C34-9816-37DBDD6EBE1B}"/>
            </a:ext>
          </a:extLst>
        </cdr:cNvPr>
        <cdr:cNvSpPr/>
      </cdr:nvSpPr>
      <cdr:spPr>
        <a:xfrm xmlns:a="http://schemas.openxmlformats.org/drawingml/2006/main">
          <a:off x="1776353" y="319149"/>
          <a:ext cx="523854" cy="317936"/>
        </a:xfrm>
        <a:prstGeom xmlns:a="http://schemas.openxmlformats.org/drawingml/2006/main" prst="roundRect">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indent="0"/>
          <a:fld id="{20B4D152-4053-49A7-9773-B2EAED816F67}" type="TxLink">
            <a:rPr lang="en-US" sz="1400" b="0" i="0" u="none" strike="noStrike" dirty="0">
              <a:solidFill>
                <a:srgbClr val="000000"/>
              </a:solidFill>
              <a:latin typeface="Calibri"/>
              <a:ea typeface="Calibri"/>
              <a:cs typeface="Calibri"/>
            </a:rPr>
            <a:pPr marL="0" indent="0"/>
            <a:t>3%</a:t>
          </a:fld>
          <a:endParaRPr lang="en-US" sz="1400" b="0" i="0" u="none" strike="noStrike" dirty="0">
            <a:solidFill>
              <a:srgbClr val="000000"/>
            </a:solidFill>
            <a:latin typeface="Calibri"/>
            <a:ea typeface="Calibri"/>
            <a:cs typeface="Calibri"/>
          </a:endParaRPr>
        </a:p>
      </cdr:txBody>
    </cdr:sp>
  </cdr:relSizeAnchor>
  <cdr:relSizeAnchor xmlns:cdr="http://schemas.openxmlformats.org/drawingml/2006/chartDrawing">
    <cdr:from>
      <cdr:x>0.73783</cdr:x>
      <cdr:y>0.19206</cdr:y>
    </cdr:from>
    <cdr:to>
      <cdr:x>0.95542</cdr:x>
      <cdr:y>0.37567</cdr:y>
    </cdr:to>
    <cdr:sp macro="" textlink="'RCC UPDATED SEP(3)'!$D$19">
      <cdr:nvSpPr>
        <cdr:cNvPr id="5" name="Rectangle: Rounded Corners 1">
          <a:extLst xmlns:a="http://schemas.openxmlformats.org/drawingml/2006/main">
            <a:ext uri="{FF2B5EF4-FFF2-40B4-BE49-F238E27FC236}">
              <a16:creationId xmlns:a16="http://schemas.microsoft.com/office/drawing/2014/main" id="{8E65546D-F11D-4C34-9816-37DBDD6EBE1B}"/>
            </a:ext>
          </a:extLst>
        </cdr:cNvPr>
        <cdr:cNvSpPr/>
      </cdr:nvSpPr>
      <cdr:spPr>
        <a:xfrm xmlns:a="http://schemas.openxmlformats.org/drawingml/2006/main">
          <a:off x="1776353" y="332564"/>
          <a:ext cx="523854" cy="317936"/>
        </a:xfrm>
        <a:prstGeom xmlns:a="http://schemas.openxmlformats.org/drawingml/2006/main" prst="roundRect">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indent="0"/>
          <a:fld id="{D75A7479-6E87-48C5-A5EE-1E4D56C3C353}" type="TxLink">
            <a:rPr lang="en-US" sz="1400" b="0" i="0" u="none" strike="noStrike" dirty="0">
              <a:solidFill>
                <a:srgbClr val="000000"/>
              </a:solidFill>
              <a:latin typeface="Calibri"/>
              <a:ea typeface="Calibri"/>
              <a:cs typeface="Calibri"/>
            </a:rPr>
            <a:pPr marL="0" indent="0"/>
            <a:t>18%</a:t>
          </a:fld>
          <a:endParaRPr lang="en-US" sz="1400" b="0" i="0" u="none" strike="noStrike" dirty="0">
            <a:solidFill>
              <a:srgbClr val="000000"/>
            </a:solidFill>
            <a:latin typeface="Calibri"/>
            <a:ea typeface="Calibri"/>
            <a:cs typeface="Calibri"/>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0.73783</cdr:x>
      <cdr:y>0.18431</cdr:y>
    </cdr:from>
    <cdr:to>
      <cdr:x>0.95542</cdr:x>
      <cdr:y>0.36792</cdr:y>
    </cdr:to>
    <cdr:sp macro="" textlink="'RCC UPDATED SEP(3)'!$D$21">
      <cdr:nvSpPr>
        <cdr:cNvPr id="3" name="Rectangle: Rounded Corners 1">
          <a:extLst xmlns:a="http://schemas.openxmlformats.org/drawingml/2006/main">
            <a:ext uri="{FF2B5EF4-FFF2-40B4-BE49-F238E27FC236}">
              <a16:creationId xmlns:a16="http://schemas.microsoft.com/office/drawing/2014/main" id="{8E65546D-F11D-4C34-9816-37DBDD6EBE1B}"/>
            </a:ext>
          </a:extLst>
        </cdr:cNvPr>
        <cdr:cNvSpPr/>
      </cdr:nvSpPr>
      <cdr:spPr>
        <a:xfrm xmlns:a="http://schemas.openxmlformats.org/drawingml/2006/main">
          <a:off x="1776353" y="319149"/>
          <a:ext cx="523854" cy="317936"/>
        </a:xfrm>
        <a:prstGeom xmlns:a="http://schemas.openxmlformats.org/drawingml/2006/main" prst="roundRect">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indent="0"/>
          <a:fld id="{C1623920-35B2-4178-8EF2-4D0DF01CCFB5}" type="TxLink">
            <a:rPr lang="en-US" sz="1100" b="0" i="0" u="none" strike="noStrike" dirty="0">
              <a:solidFill>
                <a:srgbClr val="000000"/>
              </a:solidFill>
              <a:latin typeface="Calibri"/>
              <a:ea typeface="Calibri"/>
              <a:cs typeface="Calibri"/>
            </a:rPr>
            <a:pPr marL="0" indent="0"/>
            <a:t>6%</a:t>
          </a:fld>
          <a:endParaRPr lang="en-US" sz="1400" b="0" i="0" u="none" strike="noStrike" dirty="0">
            <a:solidFill>
              <a:srgbClr val="000000"/>
            </a:solidFill>
            <a:latin typeface="Calibri"/>
            <a:ea typeface="Calibri"/>
            <a:cs typeface="Calibri"/>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21</xdr:col>
      <xdr:colOff>317500</xdr:colOff>
      <xdr:row>0</xdr:row>
      <xdr:rowOff>0</xdr:rowOff>
    </xdr:from>
    <xdr:to>
      <xdr:col>31</xdr:col>
      <xdr:colOff>31675</xdr:colOff>
      <xdr:row>16</xdr:row>
      <xdr:rowOff>73483</xdr:rowOff>
    </xdr:to>
    <xdr:graphicFrame macro="">
      <xdr:nvGraphicFramePr>
        <xdr:cNvPr id="2" name="Chart 1">
          <a:extLst>
            <a:ext uri="{FF2B5EF4-FFF2-40B4-BE49-F238E27FC236}">
              <a16:creationId xmlns:a16="http://schemas.microsoft.com/office/drawing/2014/main" id="{A61F9389-8085-4A95-9188-09B06331E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0</xdr:colOff>
      <xdr:row>19</xdr:row>
      <xdr:rowOff>0</xdr:rowOff>
    </xdr:from>
    <xdr:to>
      <xdr:col>31</xdr:col>
      <xdr:colOff>321161</xdr:colOff>
      <xdr:row>35</xdr:row>
      <xdr:rowOff>73482</xdr:rowOff>
    </xdr:to>
    <xdr:graphicFrame macro="">
      <xdr:nvGraphicFramePr>
        <xdr:cNvPr id="3" name="Chart 2">
          <a:extLst>
            <a:ext uri="{FF2B5EF4-FFF2-40B4-BE49-F238E27FC236}">
              <a16:creationId xmlns:a16="http://schemas.microsoft.com/office/drawing/2014/main" id="{9196E29C-AA1D-4188-BF24-DA2A434E8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0</xdr:colOff>
      <xdr:row>38</xdr:row>
      <xdr:rowOff>0</xdr:rowOff>
    </xdr:from>
    <xdr:to>
      <xdr:col>31</xdr:col>
      <xdr:colOff>321161</xdr:colOff>
      <xdr:row>54</xdr:row>
      <xdr:rowOff>73483</xdr:rowOff>
    </xdr:to>
    <xdr:graphicFrame macro="">
      <xdr:nvGraphicFramePr>
        <xdr:cNvPr id="4" name="Chart 3">
          <a:extLst>
            <a:ext uri="{FF2B5EF4-FFF2-40B4-BE49-F238E27FC236}">
              <a16:creationId xmlns:a16="http://schemas.microsoft.com/office/drawing/2014/main" id="{3FB3D3AF-E00E-4295-AF59-FB1AA8890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38</xdr:row>
      <xdr:rowOff>0</xdr:rowOff>
    </xdr:from>
    <xdr:to>
      <xdr:col>6</xdr:col>
      <xdr:colOff>644886</xdr:colOff>
      <xdr:row>54</xdr:row>
      <xdr:rowOff>73483</xdr:rowOff>
    </xdr:to>
    <xdr:graphicFrame macro="">
      <xdr:nvGraphicFramePr>
        <xdr:cNvPr id="5" name="Chart 4">
          <a:extLst>
            <a:ext uri="{FF2B5EF4-FFF2-40B4-BE49-F238E27FC236}">
              <a16:creationId xmlns:a16="http://schemas.microsoft.com/office/drawing/2014/main" id="{4A4A79D5-9912-4FF2-926A-AF7CB17C1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38</xdr:row>
      <xdr:rowOff>0</xdr:rowOff>
    </xdr:from>
    <xdr:to>
      <xdr:col>18</xdr:col>
      <xdr:colOff>258906</xdr:colOff>
      <xdr:row>54</xdr:row>
      <xdr:rowOff>73483</xdr:rowOff>
    </xdr:to>
    <xdr:graphicFrame macro="">
      <xdr:nvGraphicFramePr>
        <xdr:cNvPr id="6" name="Chart 5">
          <a:extLst>
            <a:ext uri="{FF2B5EF4-FFF2-40B4-BE49-F238E27FC236}">
              <a16:creationId xmlns:a16="http://schemas.microsoft.com/office/drawing/2014/main" id="{D6F5D285-DEE1-43D4-B3B0-95614C227F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56</xdr:row>
      <xdr:rowOff>63500</xdr:rowOff>
    </xdr:from>
    <xdr:to>
      <xdr:col>28</xdr:col>
      <xdr:colOff>203200</xdr:colOff>
      <xdr:row>76</xdr:row>
      <xdr:rowOff>101600</xdr:rowOff>
    </xdr:to>
    <xdr:graphicFrame macro="">
      <xdr:nvGraphicFramePr>
        <xdr:cNvPr id="9" name="Chart 8">
          <a:extLst>
            <a:ext uri="{FF2B5EF4-FFF2-40B4-BE49-F238E27FC236}">
              <a16:creationId xmlns:a16="http://schemas.microsoft.com/office/drawing/2014/main" id="{36C42E5A-3EC0-4AB0-9FA9-D0D072117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0</xdr:colOff>
      <xdr:row>79</xdr:row>
      <xdr:rowOff>0</xdr:rowOff>
    </xdr:from>
    <xdr:to>
      <xdr:col>16</xdr:col>
      <xdr:colOff>637043</xdr:colOff>
      <xdr:row>90</xdr:row>
      <xdr:rowOff>161316</xdr:rowOff>
    </xdr:to>
    <xdr:graphicFrame macro="">
      <xdr:nvGraphicFramePr>
        <xdr:cNvPr id="8" name="Chart 7">
          <a:extLst>
            <a:ext uri="{FF2B5EF4-FFF2-40B4-BE49-F238E27FC236}">
              <a16:creationId xmlns:a16="http://schemas.microsoft.com/office/drawing/2014/main" id="{DC80E006-85DA-4DA3-83CE-1B0DBFBD4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0</xdr:colOff>
      <xdr:row>93</xdr:row>
      <xdr:rowOff>121930</xdr:rowOff>
    </xdr:from>
    <xdr:to>
      <xdr:col>17</xdr:col>
      <xdr:colOff>188290</xdr:colOff>
      <xdr:row>105</xdr:row>
      <xdr:rowOff>119106</xdr:rowOff>
    </xdr:to>
    <xdr:graphicFrame macro="">
      <xdr:nvGraphicFramePr>
        <xdr:cNvPr id="10" name="Chart 9">
          <a:extLst>
            <a:ext uri="{FF2B5EF4-FFF2-40B4-BE49-F238E27FC236}">
              <a16:creationId xmlns:a16="http://schemas.microsoft.com/office/drawing/2014/main" id="{9C884B22-439E-42F9-996A-08791B08F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4</xdr:col>
      <xdr:colOff>1657350</xdr:colOff>
      <xdr:row>0</xdr:row>
      <xdr:rowOff>0</xdr:rowOff>
    </xdr:from>
    <xdr:ext cx="190500" cy="266700"/>
    <xdr:sp macro="" textlink="">
      <xdr:nvSpPr>
        <xdr:cNvPr id="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3243B5D-7E27-41E8-89A8-A4412D992FEF}"/>
            </a:ext>
          </a:extLst>
        </xdr:cNvPr>
        <xdr:cNvSpPr>
          <a:spLocks noChangeAspect="1" noChangeArrowheads="1"/>
        </xdr:cNvSpPr>
      </xdr:nvSpPr>
      <xdr:spPr bwMode="auto">
        <a:xfrm>
          <a:off x="7531100" y="0"/>
          <a:ext cx="190500" cy="266700"/>
        </a:xfrm>
        <a:prstGeom prst="rect">
          <a:avLst/>
        </a:prstGeom>
        <a:noFill/>
      </xdr:spPr>
    </xdr:sp>
    <xdr:clientData/>
  </xdr:oneCellAnchor>
  <xdr:oneCellAnchor>
    <xdr:from>
      <xdr:col>4</xdr:col>
      <xdr:colOff>1657350</xdr:colOff>
      <xdr:row>0</xdr:row>
      <xdr:rowOff>0</xdr:rowOff>
    </xdr:from>
    <xdr:ext cx="190500" cy="266700"/>
    <xdr:sp macro="" textlink="">
      <xdr:nvSpPr>
        <xdr:cNvPr id="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BAF1241-7A60-43B0-ACA2-3C25C13E2F5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0"/>
          <a:ext cx="190500" cy="266700"/>
        </a:xfrm>
        <a:prstGeom prst="rect">
          <a:avLst/>
        </a:prstGeom>
        <a:noFill/>
      </xdr:spPr>
    </xdr:sp>
    <xdr:clientData/>
  </xdr:oneCellAnchor>
  <xdr:oneCellAnchor>
    <xdr:from>
      <xdr:col>4</xdr:col>
      <xdr:colOff>1657350</xdr:colOff>
      <xdr:row>2</xdr:row>
      <xdr:rowOff>0</xdr:rowOff>
    </xdr:from>
    <xdr:ext cx="190500" cy="266700"/>
    <xdr:sp macro="" textlink="">
      <xdr:nvSpPr>
        <xdr:cNvPr id="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7DC678A-0FB4-419F-9E40-C046BC53A2A4}"/>
            </a:ext>
            <a:ext uri="{147F2762-F138-4A5C-976F-8EAC2B608ADB}">
              <a16:predDERef xmlns:a16="http://schemas.microsoft.com/office/drawing/2014/main" pred="{AE3F3181-7D8F-4D07-9022-70F6A9C09543}"/>
            </a:ext>
          </a:extLst>
        </xdr:cNvPr>
        <xdr:cNvSpPr>
          <a:spLocks noChangeAspect="1" noChangeArrowheads="1"/>
        </xdr:cNvSpPr>
      </xdr:nvSpPr>
      <xdr:spPr bwMode="auto">
        <a:xfrm>
          <a:off x="7531100" y="381000"/>
          <a:ext cx="190500" cy="266700"/>
        </a:xfrm>
        <a:prstGeom prst="rect">
          <a:avLst/>
        </a:prstGeom>
        <a:noFill/>
      </xdr:spPr>
    </xdr:sp>
    <xdr:clientData/>
  </xdr:oneCellAnchor>
  <xdr:oneCellAnchor>
    <xdr:from>
      <xdr:col>4</xdr:col>
      <xdr:colOff>1657350</xdr:colOff>
      <xdr:row>2</xdr:row>
      <xdr:rowOff>0</xdr:rowOff>
    </xdr:from>
    <xdr:ext cx="190500" cy="266700"/>
    <xdr:sp macro="" textlink="">
      <xdr:nvSpPr>
        <xdr:cNvPr id="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5B5F583-73E2-4537-A2B1-7A280F72282E}"/>
            </a:ext>
            <a:ext uri="{147F2762-F138-4A5C-976F-8EAC2B608ADB}">
              <a16:predDERef xmlns:a16="http://schemas.microsoft.com/office/drawing/2014/main" pred="{1A991A1D-1F56-4AB9-BD3D-5EC05317F3D6}"/>
            </a:ext>
          </a:extLst>
        </xdr:cNvPr>
        <xdr:cNvSpPr>
          <a:spLocks noChangeAspect="1" noChangeArrowheads="1"/>
        </xdr:cNvSpPr>
      </xdr:nvSpPr>
      <xdr:spPr bwMode="auto">
        <a:xfrm>
          <a:off x="7531100" y="381000"/>
          <a:ext cx="190500" cy="266700"/>
        </a:xfrm>
        <a:prstGeom prst="rect">
          <a:avLst/>
        </a:prstGeom>
        <a:noFill/>
      </xdr:spPr>
    </xdr:sp>
    <xdr:clientData/>
  </xdr:oneCellAnchor>
  <xdr:oneCellAnchor>
    <xdr:from>
      <xdr:col>4</xdr:col>
      <xdr:colOff>1657350</xdr:colOff>
      <xdr:row>4</xdr:row>
      <xdr:rowOff>0</xdr:rowOff>
    </xdr:from>
    <xdr:ext cx="190500" cy="266700"/>
    <xdr:sp macro="" textlink="">
      <xdr:nvSpPr>
        <xdr:cNvPr id="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20A1B0C-9D76-4D21-A151-D6E256D6F76F}"/>
            </a:ext>
            <a:ext uri="{147F2762-F138-4A5C-976F-8EAC2B608ADB}">
              <a16:predDERef xmlns:a16="http://schemas.microsoft.com/office/drawing/2014/main" pred="{70F36D7C-DF2E-4096-B377-6B9CCB01C6ED}"/>
            </a:ext>
          </a:extLst>
        </xdr:cNvPr>
        <xdr:cNvSpPr>
          <a:spLocks noChangeAspect="1" noChangeArrowheads="1"/>
        </xdr:cNvSpPr>
      </xdr:nvSpPr>
      <xdr:spPr bwMode="auto">
        <a:xfrm>
          <a:off x="7531100" y="749300"/>
          <a:ext cx="190500" cy="266700"/>
        </a:xfrm>
        <a:prstGeom prst="rect">
          <a:avLst/>
        </a:prstGeom>
        <a:noFill/>
      </xdr:spPr>
    </xdr:sp>
    <xdr:clientData/>
  </xdr:oneCellAnchor>
  <xdr:oneCellAnchor>
    <xdr:from>
      <xdr:col>4</xdr:col>
      <xdr:colOff>1657350</xdr:colOff>
      <xdr:row>4</xdr:row>
      <xdr:rowOff>0</xdr:rowOff>
    </xdr:from>
    <xdr:ext cx="190500" cy="266700"/>
    <xdr:sp macro="" textlink="">
      <xdr:nvSpPr>
        <xdr:cNvPr id="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A7025DD-59D3-4E97-9A64-14AD6643F419}"/>
            </a:ext>
            <a:ext uri="{147F2762-F138-4A5C-976F-8EAC2B608ADB}">
              <a16:predDERef xmlns:a16="http://schemas.microsoft.com/office/drawing/2014/main" pred="{A6D303E6-15D8-4098-9014-3BDB4214B982}"/>
            </a:ext>
          </a:extLst>
        </xdr:cNvPr>
        <xdr:cNvSpPr>
          <a:spLocks noChangeAspect="1" noChangeArrowheads="1"/>
        </xdr:cNvSpPr>
      </xdr:nvSpPr>
      <xdr:spPr bwMode="auto">
        <a:xfrm>
          <a:off x="7531100" y="749300"/>
          <a:ext cx="190500" cy="266700"/>
        </a:xfrm>
        <a:prstGeom prst="rect">
          <a:avLst/>
        </a:prstGeom>
        <a:noFill/>
      </xdr:spPr>
    </xdr:sp>
    <xdr:clientData/>
  </xdr:oneCellAnchor>
  <xdr:oneCellAnchor>
    <xdr:from>
      <xdr:col>4</xdr:col>
      <xdr:colOff>1657350</xdr:colOff>
      <xdr:row>6</xdr:row>
      <xdr:rowOff>0</xdr:rowOff>
    </xdr:from>
    <xdr:ext cx="190500" cy="266700"/>
    <xdr:sp macro="" textlink="">
      <xdr:nvSpPr>
        <xdr:cNvPr id="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F07C760-E604-494F-A11B-5C53D6509997}"/>
            </a:ext>
            <a:ext uri="{147F2762-F138-4A5C-976F-8EAC2B608ADB}">
              <a16:predDERef xmlns:a16="http://schemas.microsoft.com/office/drawing/2014/main" pred="{DFF51426-6DD4-49B6-BE71-389C4950C4E7}"/>
            </a:ext>
          </a:extLst>
        </xdr:cNvPr>
        <xdr:cNvSpPr>
          <a:spLocks noChangeAspect="1" noChangeArrowheads="1"/>
        </xdr:cNvSpPr>
      </xdr:nvSpPr>
      <xdr:spPr bwMode="auto">
        <a:xfrm>
          <a:off x="7531100" y="1263650"/>
          <a:ext cx="190500" cy="266700"/>
        </a:xfrm>
        <a:prstGeom prst="rect">
          <a:avLst/>
        </a:prstGeom>
        <a:noFill/>
      </xdr:spPr>
    </xdr:sp>
    <xdr:clientData/>
  </xdr:oneCellAnchor>
  <xdr:oneCellAnchor>
    <xdr:from>
      <xdr:col>4</xdr:col>
      <xdr:colOff>1657350</xdr:colOff>
      <xdr:row>6</xdr:row>
      <xdr:rowOff>0</xdr:rowOff>
    </xdr:from>
    <xdr:ext cx="190500" cy="266700"/>
    <xdr:sp macro="" textlink="">
      <xdr:nvSpPr>
        <xdr:cNvPr id="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0D27ADB-567C-494A-B84A-8736AF1A98F4}"/>
            </a:ext>
            <a:ext uri="{147F2762-F138-4A5C-976F-8EAC2B608ADB}">
              <a16:predDERef xmlns:a16="http://schemas.microsoft.com/office/drawing/2014/main" pred="{35CB5638-ECF2-4C2C-B33D-1BDAFD122686}"/>
            </a:ext>
          </a:extLst>
        </xdr:cNvPr>
        <xdr:cNvSpPr>
          <a:spLocks noChangeAspect="1" noChangeArrowheads="1"/>
        </xdr:cNvSpPr>
      </xdr:nvSpPr>
      <xdr:spPr bwMode="auto">
        <a:xfrm>
          <a:off x="7531100" y="1263650"/>
          <a:ext cx="190500" cy="266700"/>
        </a:xfrm>
        <a:prstGeom prst="rect">
          <a:avLst/>
        </a:prstGeom>
        <a:noFill/>
      </xdr:spPr>
    </xdr:sp>
    <xdr:clientData/>
  </xdr:oneCellAnchor>
  <xdr:oneCellAnchor>
    <xdr:from>
      <xdr:col>4</xdr:col>
      <xdr:colOff>1657350</xdr:colOff>
      <xdr:row>8</xdr:row>
      <xdr:rowOff>0</xdr:rowOff>
    </xdr:from>
    <xdr:ext cx="190500" cy="266700"/>
    <xdr:sp macro="" textlink="">
      <xdr:nvSpPr>
        <xdr:cNvPr id="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64F98EC-6C1D-4E8B-9F24-6D5CED38D2A9}"/>
            </a:ext>
            <a:ext uri="{147F2762-F138-4A5C-976F-8EAC2B608ADB}">
              <a16:predDERef xmlns:a16="http://schemas.microsoft.com/office/drawing/2014/main" pred="{1DBEE1CC-5ED5-4024-BB31-B1E9D4000822}"/>
            </a:ext>
          </a:extLst>
        </xdr:cNvPr>
        <xdr:cNvSpPr>
          <a:spLocks noChangeAspect="1" noChangeArrowheads="1"/>
        </xdr:cNvSpPr>
      </xdr:nvSpPr>
      <xdr:spPr bwMode="auto">
        <a:xfrm>
          <a:off x="7531100" y="1631950"/>
          <a:ext cx="190500" cy="266700"/>
        </a:xfrm>
        <a:prstGeom prst="rect">
          <a:avLst/>
        </a:prstGeom>
        <a:noFill/>
      </xdr:spPr>
    </xdr:sp>
    <xdr:clientData/>
  </xdr:oneCellAnchor>
  <xdr:oneCellAnchor>
    <xdr:from>
      <xdr:col>4</xdr:col>
      <xdr:colOff>1657350</xdr:colOff>
      <xdr:row>8</xdr:row>
      <xdr:rowOff>0</xdr:rowOff>
    </xdr:from>
    <xdr:ext cx="190500" cy="266700"/>
    <xdr:sp macro="" textlink="">
      <xdr:nvSpPr>
        <xdr:cNvPr id="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5F4BEB0-180D-446C-B412-73868E0D0D95}"/>
            </a:ext>
            <a:ext uri="{147F2762-F138-4A5C-976F-8EAC2B608ADB}">
              <a16:predDERef xmlns:a16="http://schemas.microsoft.com/office/drawing/2014/main" pred="{730DB062-7819-4551-8DFE-F34E0CEEECA1}"/>
            </a:ext>
          </a:extLst>
        </xdr:cNvPr>
        <xdr:cNvSpPr>
          <a:spLocks noChangeAspect="1" noChangeArrowheads="1"/>
        </xdr:cNvSpPr>
      </xdr:nvSpPr>
      <xdr:spPr bwMode="auto">
        <a:xfrm>
          <a:off x="7531100" y="1631950"/>
          <a:ext cx="190500" cy="266700"/>
        </a:xfrm>
        <a:prstGeom prst="rect">
          <a:avLst/>
        </a:prstGeom>
        <a:noFill/>
      </xdr:spPr>
    </xdr:sp>
    <xdr:clientData/>
  </xdr:oneCellAnchor>
  <xdr:oneCellAnchor>
    <xdr:from>
      <xdr:col>4</xdr:col>
      <xdr:colOff>1657350</xdr:colOff>
      <xdr:row>10</xdr:row>
      <xdr:rowOff>0</xdr:rowOff>
    </xdr:from>
    <xdr:ext cx="190500" cy="266700"/>
    <xdr:sp macro="" textlink="">
      <xdr:nvSpPr>
        <xdr:cNvPr id="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2BFF798-B943-4E40-BE89-2D4557EFA2F1}"/>
            </a:ext>
            <a:ext uri="{147F2762-F138-4A5C-976F-8EAC2B608ADB}">
              <a16:predDERef xmlns:a16="http://schemas.microsoft.com/office/drawing/2014/main" pred="{4D549F46-B6E2-4C77-9372-0AED8D6856BE}"/>
            </a:ext>
          </a:extLst>
        </xdr:cNvPr>
        <xdr:cNvSpPr>
          <a:spLocks noChangeAspect="1" noChangeArrowheads="1"/>
        </xdr:cNvSpPr>
      </xdr:nvSpPr>
      <xdr:spPr bwMode="auto">
        <a:xfrm>
          <a:off x="7531100" y="2146300"/>
          <a:ext cx="190500" cy="266700"/>
        </a:xfrm>
        <a:prstGeom prst="rect">
          <a:avLst/>
        </a:prstGeom>
        <a:noFill/>
      </xdr:spPr>
    </xdr:sp>
    <xdr:clientData/>
  </xdr:oneCellAnchor>
  <xdr:oneCellAnchor>
    <xdr:from>
      <xdr:col>4</xdr:col>
      <xdr:colOff>1657350</xdr:colOff>
      <xdr:row>10</xdr:row>
      <xdr:rowOff>0</xdr:rowOff>
    </xdr:from>
    <xdr:ext cx="190500" cy="266700"/>
    <xdr:sp macro="" textlink="">
      <xdr:nvSpPr>
        <xdr:cNvPr id="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D26AFE9-8669-4A53-BBE4-C8290AE79B35}"/>
            </a:ext>
            <a:ext uri="{147F2762-F138-4A5C-976F-8EAC2B608ADB}">
              <a16:predDERef xmlns:a16="http://schemas.microsoft.com/office/drawing/2014/main" pred="{AD2D34F0-CCE8-4A3A-ACBD-4443A0FE27E7}"/>
            </a:ext>
          </a:extLst>
        </xdr:cNvPr>
        <xdr:cNvSpPr>
          <a:spLocks noChangeAspect="1" noChangeArrowheads="1"/>
        </xdr:cNvSpPr>
      </xdr:nvSpPr>
      <xdr:spPr bwMode="auto">
        <a:xfrm>
          <a:off x="7531100" y="2146300"/>
          <a:ext cx="190500" cy="266700"/>
        </a:xfrm>
        <a:prstGeom prst="rect">
          <a:avLst/>
        </a:prstGeom>
        <a:noFill/>
      </xdr:spPr>
    </xdr:sp>
    <xdr:clientData/>
  </xdr:oneCellAnchor>
  <xdr:oneCellAnchor>
    <xdr:from>
      <xdr:col>4</xdr:col>
      <xdr:colOff>1657350</xdr:colOff>
      <xdr:row>12</xdr:row>
      <xdr:rowOff>0</xdr:rowOff>
    </xdr:from>
    <xdr:ext cx="190500" cy="266700"/>
    <xdr:sp macro="" textlink="">
      <xdr:nvSpPr>
        <xdr:cNvPr id="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C3B5DE1-4038-4E92-AE7A-FAB00229580D}"/>
            </a:ext>
            <a:ext uri="{147F2762-F138-4A5C-976F-8EAC2B608ADB}">
              <a16:predDERef xmlns:a16="http://schemas.microsoft.com/office/drawing/2014/main" pred="{1F4E5C02-CB9D-42AD-A25A-901269B6ED98}"/>
            </a:ext>
          </a:extLst>
        </xdr:cNvPr>
        <xdr:cNvSpPr>
          <a:spLocks noChangeAspect="1" noChangeArrowheads="1"/>
        </xdr:cNvSpPr>
      </xdr:nvSpPr>
      <xdr:spPr bwMode="auto">
        <a:xfrm>
          <a:off x="7531100" y="2514600"/>
          <a:ext cx="190500" cy="266700"/>
        </a:xfrm>
        <a:prstGeom prst="rect">
          <a:avLst/>
        </a:prstGeom>
        <a:noFill/>
      </xdr:spPr>
    </xdr:sp>
    <xdr:clientData/>
  </xdr:oneCellAnchor>
  <xdr:oneCellAnchor>
    <xdr:from>
      <xdr:col>4</xdr:col>
      <xdr:colOff>1657350</xdr:colOff>
      <xdr:row>12</xdr:row>
      <xdr:rowOff>0</xdr:rowOff>
    </xdr:from>
    <xdr:ext cx="190500" cy="266700"/>
    <xdr:sp macro="" textlink="">
      <xdr:nvSpPr>
        <xdr:cNvPr id="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C8CB527-ACBA-46BE-9E72-249F4750340B}"/>
            </a:ext>
            <a:ext uri="{147F2762-F138-4A5C-976F-8EAC2B608ADB}">
              <a16:predDERef xmlns:a16="http://schemas.microsoft.com/office/drawing/2014/main" pred="{47045F4E-6BAB-4398-A68B-4DE5043F2054}"/>
            </a:ext>
          </a:extLst>
        </xdr:cNvPr>
        <xdr:cNvSpPr>
          <a:spLocks noChangeAspect="1" noChangeArrowheads="1"/>
        </xdr:cNvSpPr>
      </xdr:nvSpPr>
      <xdr:spPr bwMode="auto">
        <a:xfrm>
          <a:off x="7531100" y="2514600"/>
          <a:ext cx="190500" cy="266700"/>
        </a:xfrm>
        <a:prstGeom prst="rect">
          <a:avLst/>
        </a:prstGeom>
        <a:noFill/>
      </xdr:spPr>
    </xdr:sp>
    <xdr:clientData/>
  </xdr:oneCellAnchor>
  <xdr:oneCellAnchor>
    <xdr:from>
      <xdr:col>4</xdr:col>
      <xdr:colOff>1657350</xdr:colOff>
      <xdr:row>14</xdr:row>
      <xdr:rowOff>0</xdr:rowOff>
    </xdr:from>
    <xdr:ext cx="190500" cy="266700"/>
    <xdr:sp macro="" textlink="">
      <xdr:nvSpPr>
        <xdr:cNvPr id="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058740F-59C8-4B09-850B-699FD24519A0}"/>
            </a:ext>
            <a:ext uri="{147F2762-F138-4A5C-976F-8EAC2B608ADB}">
              <a16:predDERef xmlns:a16="http://schemas.microsoft.com/office/drawing/2014/main" pred="{F74A4574-541E-46E6-88BE-A276479E1ECD}"/>
            </a:ext>
          </a:extLst>
        </xdr:cNvPr>
        <xdr:cNvSpPr>
          <a:spLocks noChangeAspect="1" noChangeArrowheads="1"/>
        </xdr:cNvSpPr>
      </xdr:nvSpPr>
      <xdr:spPr bwMode="auto">
        <a:xfrm>
          <a:off x="7531100" y="2882900"/>
          <a:ext cx="190500" cy="266700"/>
        </a:xfrm>
        <a:prstGeom prst="rect">
          <a:avLst/>
        </a:prstGeom>
        <a:noFill/>
      </xdr:spPr>
    </xdr:sp>
    <xdr:clientData/>
  </xdr:oneCellAnchor>
  <xdr:oneCellAnchor>
    <xdr:from>
      <xdr:col>4</xdr:col>
      <xdr:colOff>1657350</xdr:colOff>
      <xdr:row>14</xdr:row>
      <xdr:rowOff>0</xdr:rowOff>
    </xdr:from>
    <xdr:ext cx="190500" cy="266700"/>
    <xdr:sp macro="" textlink="">
      <xdr:nvSpPr>
        <xdr:cNvPr id="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F51BF67-CE94-4AC1-9C41-2BD6A7F370C1}"/>
            </a:ext>
            <a:ext uri="{147F2762-F138-4A5C-976F-8EAC2B608ADB}">
              <a16:predDERef xmlns:a16="http://schemas.microsoft.com/office/drawing/2014/main" pred="{F59EB2F7-0F43-423A-B6DD-71A2CEBAF61B}"/>
            </a:ext>
          </a:extLst>
        </xdr:cNvPr>
        <xdr:cNvSpPr>
          <a:spLocks noChangeAspect="1" noChangeArrowheads="1"/>
        </xdr:cNvSpPr>
      </xdr:nvSpPr>
      <xdr:spPr bwMode="auto">
        <a:xfrm>
          <a:off x="7531100" y="2882900"/>
          <a:ext cx="190500" cy="266700"/>
        </a:xfrm>
        <a:prstGeom prst="rect">
          <a:avLst/>
        </a:prstGeom>
        <a:noFill/>
      </xdr:spPr>
    </xdr:sp>
    <xdr:clientData/>
  </xdr:oneCellAnchor>
  <xdr:oneCellAnchor>
    <xdr:from>
      <xdr:col>4</xdr:col>
      <xdr:colOff>1657350</xdr:colOff>
      <xdr:row>16</xdr:row>
      <xdr:rowOff>0</xdr:rowOff>
    </xdr:from>
    <xdr:ext cx="190500" cy="266700"/>
    <xdr:sp macro="" textlink="">
      <xdr:nvSpPr>
        <xdr:cNvPr id="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D6FD88F-ADE8-4866-9C17-A74F5DBF5350}"/>
            </a:ext>
            <a:ext uri="{147F2762-F138-4A5C-976F-8EAC2B608ADB}">
              <a16:predDERef xmlns:a16="http://schemas.microsoft.com/office/drawing/2014/main" pred="{54E911FC-7E23-4668-86A4-3A6AB0634295}"/>
            </a:ext>
          </a:extLst>
        </xdr:cNvPr>
        <xdr:cNvSpPr>
          <a:spLocks noChangeAspect="1" noChangeArrowheads="1"/>
        </xdr:cNvSpPr>
      </xdr:nvSpPr>
      <xdr:spPr bwMode="auto">
        <a:xfrm>
          <a:off x="7531100" y="3251200"/>
          <a:ext cx="190500" cy="266700"/>
        </a:xfrm>
        <a:prstGeom prst="rect">
          <a:avLst/>
        </a:prstGeom>
        <a:noFill/>
      </xdr:spPr>
    </xdr:sp>
    <xdr:clientData/>
  </xdr:oneCellAnchor>
  <xdr:oneCellAnchor>
    <xdr:from>
      <xdr:col>4</xdr:col>
      <xdr:colOff>1657350</xdr:colOff>
      <xdr:row>16</xdr:row>
      <xdr:rowOff>0</xdr:rowOff>
    </xdr:from>
    <xdr:ext cx="190500" cy="266700"/>
    <xdr:sp macro="" textlink="">
      <xdr:nvSpPr>
        <xdr:cNvPr id="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6248C3C-688C-4B4D-8B42-8B7E107549B1}"/>
            </a:ext>
            <a:ext uri="{147F2762-F138-4A5C-976F-8EAC2B608ADB}">
              <a16:predDERef xmlns:a16="http://schemas.microsoft.com/office/drawing/2014/main" pred="{633006F1-D00F-4D41-B282-0BC9876FB817}"/>
            </a:ext>
          </a:extLst>
        </xdr:cNvPr>
        <xdr:cNvSpPr>
          <a:spLocks noChangeAspect="1" noChangeArrowheads="1"/>
        </xdr:cNvSpPr>
      </xdr:nvSpPr>
      <xdr:spPr bwMode="auto">
        <a:xfrm>
          <a:off x="7531100" y="3251200"/>
          <a:ext cx="190500" cy="266700"/>
        </a:xfrm>
        <a:prstGeom prst="rect">
          <a:avLst/>
        </a:prstGeom>
        <a:noFill/>
      </xdr:spPr>
    </xdr:sp>
    <xdr:clientData/>
  </xdr:oneCellAnchor>
  <xdr:oneCellAnchor>
    <xdr:from>
      <xdr:col>4</xdr:col>
      <xdr:colOff>1657350</xdr:colOff>
      <xdr:row>18</xdr:row>
      <xdr:rowOff>0</xdr:rowOff>
    </xdr:from>
    <xdr:ext cx="190500" cy="266700"/>
    <xdr:sp macro="" textlink="">
      <xdr:nvSpPr>
        <xdr:cNvPr id="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DF0496D-3800-427C-8740-C35FB609E07D}"/>
            </a:ext>
            <a:ext uri="{147F2762-F138-4A5C-976F-8EAC2B608ADB}">
              <a16:predDERef xmlns:a16="http://schemas.microsoft.com/office/drawing/2014/main" pred="{59973D59-851F-4D4E-B41F-49556B2DBD47}"/>
            </a:ext>
          </a:extLst>
        </xdr:cNvPr>
        <xdr:cNvSpPr>
          <a:spLocks noChangeAspect="1" noChangeArrowheads="1"/>
        </xdr:cNvSpPr>
      </xdr:nvSpPr>
      <xdr:spPr bwMode="auto">
        <a:xfrm>
          <a:off x="7531100" y="3619500"/>
          <a:ext cx="190500" cy="266700"/>
        </a:xfrm>
        <a:prstGeom prst="rect">
          <a:avLst/>
        </a:prstGeom>
        <a:noFill/>
      </xdr:spPr>
    </xdr:sp>
    <xdr:clientData/>
  </xdr:oneCellAnchor>
  <xdr:oneCellAnchor>
    <xdr:from>
      <xdr:col>4</xdr:col>
      <xdr:colOff>1657350</xdr:colOff>
      <xdr:row>18</xdr:row>
      <xdr:rowOff>0</xdr:rowOff>
    </xdr:from>
    <xdr:ext cx="190500" cy="266700"/>
    <xdr:sp macro="" textlink="">
      <xdr:nvSpPr>
        <xdr:cNvPr id="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53F3D94-A6C7-4E25-94F5-A81950FD5031}"/>
            </a:ext>
            <a:ext uri="{147F2762-F138-4A5C-976F-8EAC2B608ADB}">
              <a16:predDERef xmlns:a16="http://schemas.microsoft.com/office/drawing/2014/main" pred="{61649E5B-C26D-44FF-94F5-FEE3A9589855}"/>
            </a:ext>
          </a:extLst>
        </xdr:cNvPr>
        <xdr:cNvSpPr>
          <a:spLocks noChangeAspect="1" noChangeArrowheads="1"/>
        </xdr:cNvSpPr>
      </xdr:nvSpPr>
      <xdr:spPr bwMode="auto">
        <a:xfrm>
          <a:off x="7531100" y="3619500"/>
          <a:ext cx="190500" cy="266700"/>
        </a:xfrm>
        <a:prstGeom prst="rect">
          <a:avLst/>
        </a:prstGeom>
        <a:noFill/>
      </xdr:spPr>
    </xdr:sp>
    <xdr:clientData/>
  </xdr:oneCellAnchor>
  <xdr:oneCellAnchor>
    <xdr:from>
      <xdr:col>4</xdr:col>
      <xdr:colOff>1657350</xdr:colOff>
      <xdr:row>20</xdr:row>
      <xdr:rowOff>0</xdr:rowOff>
    </xdr:from>
    <xdr:ext cx="190500" cy="266700"/>
    <xdr:sp macro="" textlink="">
      <xdr:nvSpPr>
        <xdr:cNvPr id="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41A2C2C-B5F8-4628-967E-E55AACC98A33}"/>
            </a:ext>
            <a:ext uri="{147F2762-F138-4A5C-976F-8EAC2B608ADB}">
              <a16:predDERef xmlns:a16="http://schemas.microsoft.com/office/drawing/2014/main" pred="{303F0739-F5F9-42CC-ABF6-889C53357854}"/>
            </a:ext>
          </a:extLst>
        </xdr:cNvPr>
        <xdr:cNvSpPr>
          <a:spLocks noChangeAspect="1" noChangeArrowheads="1"/>
        </xdr:cNvSpPr>
      </xdr:nvSpPr>
      <xdr:spPr bwMode="auto">
        <a:xfrm>
          <a:off x="7531100" y="3987800"/>
          <a:ext cx="190500" cy="266700"/>
        </a:xfrm>
        <a:prstGeom prst="rect">
          <a:avLst/>
        </a:prstGeom>
        <a:noFill/>
      </xdr:spPr>
    </xdr:sp>
    <xdr:clientData/>
  </xdr:oneCellAnchor>
  <xdr:oneCellAnchor>
    <xdr:from>
      <xdr:col>4</xdr:col>
      <xdr:colOff>1657350</xdr:colOff>
      <xdr:row>20</xdr:row>
      <xdr:rowOff>0</xdr:rowOff>
    </xdr:from>
    <xdr:ext cx="190500" cy="266700"/>
    <xdr:sp macro="" textlink="">
      <xdr:nvSpPr>
        <xdr:cNvPr id="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EEC679C-76B9-4815-8436-DB0F04794C5E}"/>
            </a:ext>
            <a:ext uri="{147F2762-F138-4A5C-976F-8EAC2B608ADB}">
              <a16:predDERef xmlns:a16="http://schemas.microsoft.com/office/drawing/2014/main" pred="{67D4E734-BB1B-477D-AE53-6D9A2A70D22C}"/>
            </a:ext>
          </a:extLst>
        </xdr:cNvPr>
        <xdr:cNvSpPr>
          <a:spLocks noChangeAspect="1" noChangeArrowheads="1"/>
        </xdr:cNvSpPr>
      </xdr:nvSpPr>
      <xdr:spPr bwMode="auto">
        <a:xfrm>
          <a:off x="7531100" y="3987800"/>
          <a:ext cx="190500" cy="266700"/>
        </a:xfrm>
        <a:prstGeom prst="rect">
          <a:avLst/>
        </a:prstGeom>
        <a:noFill/>
      </xdr:spPr>
    </xdr:sp>
    <xdr:clientData/>
  </xdr:oneCellAnchor>
  <xdr:oneCellAnchor>
    <xdr:from>
      <xdr:col>4</xdr:col>
      <xdr:colOff>1657350</xdr:colOff>
      <xdr:row>22</xdr:row>
      <xdr:rowOff>0</xdr:rowOff>
    </xdr:from>
    <xdr:ext cx="190500" cy="266700"/>
    <xdr:sp macro="" textlink="">
      <xdr:nvSpPr>
        <xdr:cNvPr id="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E92B4B3-4926-4595-AF4E-B19A72BF550F}"/>
            </a:ext>
            <a:ext uri="{147F2762-F138-4A5C-976F-8EAC2B608ADB}">
              <a16:predDERef xmlns:a16="http://schemas.microsoft.com/office/drawing/2014/main" pred="{4DC0D536-4272-4B31-9938-9DFFA447594A}"/>
            </a:ext>
          </a:extLst>
        </xdr:cNvPr>
        <xdr:cNvSpPr>
          <a:spLocks noChangeAspect="1" noChangeArrowheads="1"/>
        </xdr:cNvSpPr>
      </xdr:nvSpPr>
      <xdr:spPr bwMode="auto">
        <a:xfrm>
          <a:off x="7531100" y="4356100"/>
          <a:ext cx="190500" cy="266700"/>
        </a:xfrm>
        <a:prstGeom prst="rect">
          <a:avLst/>
        </a:prstGeom>
        <a:noFill/>
      </xdr:spPr>
    </xdr:sp>
    <xdr:clientData/>
  </xdr:oneCellAnchor>
  <xdr:oneCellAnchor>
    <xdr:from>
      <xdr:col>4</xdr:col>
      <xdr:colOff>1657350</xdr:colOff>
      <xdr:row>22</xdr:row>
      <xdr:rowOff>0</xdr:rowOff>
    </xdr:from>
    <xdr:ext cx="190500" cy="266700"/>
    <xdr:sp macro="" textlink="">
      <xdr:nvSpPr>
        <xdr:cNvPr id="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57C0C0D-5685-42D1-9EC7-1A934EF9BF4F}"/>
            </a:ext>
            <a:ext uri="{147F2762-F138-4A5C-976F-8EAC2B608ADB}">
              <a16:predDERef xmlns:a16="http://schemas.microsoft.com/office/drawing/2014/main" pred="{781D9D97-A215-4FCF-BD39-2583D2E6B65C}"/>
            </a:ext>
          </a:extLst>
        </xdr:cNvPr>
        <xdr:cNvSpPr>
          <a:spLocks noChangeAspect="1" noChangeArrowheads="1"/>
        </xdr:cNvSpPr>
      </xdr:nvSpPr>
      <xdr:spPr bwMode="auto">
        <a:xfrm>
          <a:off x="7531100" y="4356100"/>
          <a:ext cx="190500" cy="266700"/>
        </a:xfrm>
        <a:prstGeom prst="rect">
          <a:avLst/>
        </a:prstGeom>
        <a:noFill/>
      </xdr:spPr>
    </xdr:sp>
    <xdr:clientData/>
  </xdr:oneCellAnchor>
  <xdr:oneCellAnchor>
    <xdr:from>
      <xdr:col>4</xdr:col>
      <xdr:colOff>1657350</xdr:colOff>
      <xdr:row>24</xdr:row>
      <xdr:rowOff>0</xdr:rowOff>
    </xdr:from>
    <xdr:ext cx="190500" cy="266700"/>
    <xdr:sp macro="" textlink="">
      <xdr:nvSpPr>
        <xdr:cNvPr id="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1F37F0E-21D7-47A0-854E-BB2422DB7FB0}"/>
            </a:ext>
            <a:ext uri="{147F2762-F138-4A5C-976F-8EAC2B608ADB}">
              <a16:predDERef xmlns:a16="http://schemas.microsoft.com/office/drawing/2014/main" pred="{5359F3E3-27C9-4D5E-8B78-F605FABF725A}"/>
            </a:ext>
          </a:extLst>
        </xdr:cNvPr>
        <xdr:cNvSpPr>
          <a:spLocks noChangeAspect="1" noChangeArrowheads="1"/>
        </xdr:cNvSpPr>
      </xdr:nvSpPr>
      <xdr:spPr bwMode="auto">
        <a:xfrm>
          <a:off x="7531100" y="4724400"/>
          <a:ext cx="190500" cy="266700"/>
        </a:xfrm>
        <a:prstGeom prst="rect">
          <a:avLst/>
        </a:prstGeom>
        <a:noFill/>
      </xdr:spPr>
    </xdr:sp>
    <xdr:clientData/>
  </xdr:oneCellAnchor>
  <xdr:oneCellAnchor>
    <xdr:from>
      <xdr:col>4</xdr:col>
      <xdr:colOff>1657350</xdr:colOff>
      <xdr:row>24</xdr:row>
      <xdr:rowOff>0</xdr:rowOff>
    </xdr:from>
    <xdr:ext cx="190500" cy="266700"/>
    <xdr:sp macro="" textlink="">
      <xdr:nvSpPr>
        <xdr:cNvPr id="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49D0392-C1F5-4F84-8E4F-582A482CF7E8}"/>
            </a:ext>
            <a:ext uri="{147F2762-F138-4A5C-976F-8EAC2B608ADB}">
              <a16:predDERef xmlns:a16="http://schemas.microsoft.com/office/drawing/2014/main" pred="{22ED1AA9-8362-45FD-A975-CD0B98289608}"/>
            </a:ext>
          </a:extLst>
        </xdr:cNvPr>
        <xdr:cNvSpPr>
          <a:spLocks noChangeAspect="1" noChangeArrowheads="1"/>
        </xdr:cNvSpPr>
      </xdr:nvSpPr>
      <xdr:spPr bwMode="auto">
        <a:xfrm>
          <a:off x="7531100" y="4724400"/>
          <a:ext cx="190500" cy="266700"/>
        </a:xfrm>
        <a:prstGeom prst="rect">
          <a:avLst/>
        </a:prstGeom>
        <a:noFill/>
      </xdr:spPr>
    </xdr:sp>
    <xdr:clientData/>
  </xdr:oneCellAnchor>
  <xdr:oneCellAnchor>
    <xdr:from>
      <xdr:col>4</xdr:col>
      <xdr:colOff>1657350</xdr:colOff>
      <xdr:row>26</xdr:row>
      <xdr:rowOff>0</xdr:rowOff>
    </xdr:from>
    <xdr:ext cx="190500" cy="266700"/>
    <xdr:sp macro="" textlink="">
      <xdr:nvSpPr>
        <xdr:cNvPr id="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C718E84-074B-415C-8860-6D200D9C27D7}"/>
            </a:ext>
            <a:ext uri="{147F2762-F138-4A5C-976F-8EAC2B608ADB}">
              <a16:predDERef xmlns:a16="http://schemas.microsoft.com/office/drawing/2014/main" pred="{506569B4-FB61-4A2A-A0DB-2739B340A225}"/>
            </a:ext>
          </a:extLst>
        </xdr:cNvPr>
        <xdr:cNvSpPr>
          <a:spLocks noChangeAspect="1" noChangeArrowheads="1"/>
        </xdr:cNvSpPr>
      </xdr:nvSpPr>
      <xdr:spPr bwMode="auto">
        <a:xfrm>
          <a:off x="7531100" y="5092700"/>
          <a:ext cx="190500" cy="266700"/>
        </a:xfrm>
        <a:prstGeom prst="rect">
          <a:avLst/>
        </a:prstGeom>
        <a:noFill/>
      </xdr:spPr>
    </xdr:sp>
    <xdr:clientData/>
  </xdr:oneCellAnchor>
  <xdr:oneCellAnchor>
    <xdr:from>
      <xdr:col>4</xdr:col>
      <xdr:colOff>1657350</xdr:colOff>
      <xdr:row>26</xdr:row>
      <xdr:rowOff>0</xdr:rowOff>
    </xdr:from>
    <xdr:ext cx="190500" cy="266700"/>
    <xdr:sp macro="" textlink="">
      <xdr:nvSpPr>
        <xdr:cNvPr id="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C7432D-3C59-47CA-8C44-EC8809FBEB7A}"/>
            </a:ext>
            <a:ext uri="{147F2762-F138-4A5C-976F-8EAC2B608ADB}">
              <a16:predDERef xmlns:a16="http://schemas.microsoft.com/office/drawing/2014/main" pred="{49055D66-A614-4A9D-B533-D9DDE6F2CC07}"/>
            </a:ext>
          </a:extLst>
        </xdr:cNvPr>
        <xdr:cNvSpPr>
          <a:spLocks noChangeAspect="1" noChangeArrowheads="1"/>
        </xdr:cNvSpPr>
      </xdr:nvSpPr>
      <xdr:spPr bwMode="auto">
        <a:xfrm>
          <a:off x="7531100" y="5092700"/>
          <a:ext cx="190500" cy="266700"/>
        </a:xfrm>
        <a:prstGeom prst="rect">
          <a:avLst/>
        </a:prstGeom>
        <a:noFill/>
      </xdr:spPr>
    </xdr:sp>
    <xdr:clientData/>
  </xdr:oneCellAnchor>
  <xdr:oneCellAnchor>
    <xdr:from>
      <xdr:col>4</xdr:col>
      <xdr:colOff>1657350</xdr:colOff>
      <xdr:row>28</xdr:row>
      <xdr:rowOff>0</xdr:rowOff>
    </xdr:from>
    <xdr:ext cx="190500" cy="266700"/>
    <xdr:sp macro="" textlink="">
      <xdr:nvSpPr>
        <xdr:cNvPr id="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50A2180-517E-40EF-9EC4-1393EF7C7BDC}"/>
            </a:ext>
            <a:ext uri="{147F2762-F138-4A5C-976F-8EAC2B608ADB}">
              <a16:predDERef xmlns:a16="http://schemas.microsoft.com/office/drawing/2014/main" pred="{B747CBAA-AD58-462D-A11D-0C41C92761A3}"/>
            </a:ext>
          </a:extLst>
        </xdr:cNvPr>
        <xdr:cNvSpPr>
          <a:spLocks noChangeAspect="1" noChangeArrowheads="1"/>
        </xdr:cNvSpPr>
      </xdr:nvSpPr>
      <xdr:spPr bwMode="auto">
        <a:xfrm>
          <a:off x="7531100" y="5461000"/>
          <a:ext cx="190500" cy="266700"/>
        </a:xfrm>
        <a:prstGeom prst="rect">
          <a:avLst/>
        </a:prstGeom>
        <a:noFill/>
      </xdr:spPr>
    </xdr:sp>
    <xdr:clientData/>
  </xdr:oneCellAnchor>
  <xdr:oneCellAnchor>
    <xdr:from>
      <xdr:col>4</xdr:col>
      <xdr:colOff>1657350</xdr:colOff>
      <xdr:row>28</xdr:row>
      <xdr:rowOff>0</xdr:rowOff>
    </xdr:from>
    <xdr:ext cx="190500" cy="266700"/>
    <xdr:sp macro="" textlink="">
      <xdr:nvSpPr>
        <xdr:cNvPr id="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C289761-7FD8-410A-A9EF-22180F3A1085}"/>
            </a:ext>
            <a:ext uri="{147F2762-F138-4A5C-976F-8EAC2B608ADB}">
              <a16:predDERef xmlns:a16="http://schemas.microsoft.com/office/drawing/2014/main" pred="{FC2DF754-C365-40B5-8528-EE6417E7339B}"/>
            </a:ext>
          </a:extLst>
        </xdr:cNvPr>
        <xdr:cNvSpPr>
          <a:spLocks noChangeAspect="1" noChangeArrowheads="1"/>
        </xdr:cNvSpPr>
      </xdr:nvSpPr>
      <xdr:spPr bwMode="auto">
        <a:xfrm>
          <a:off x="7531100" y="5461000"/>
          <a:ext cx="190500" cy="266700"/>
        </a:xfrm>
        <a:prstGeom prst="rect">
          <a:avLst/>
        </a:prstGeom>
        <a:noFill/>
      </xdr:spPr>
    </xdr:sp>
    <xdr:clientData/>
  </xdr:oneCellAnchor>
  <xdr:oneCellAnchor>
    <xdr:from>
      <xdr:col>4</xdr:col>
      <xdr:colOff>1657350</xdr:colOff>
      <xdr:row>30</xdr:row>
      <xdr:rowOff>0</xdr:rowOff>
    </xdr:from>
    <xdr:ext cx="190500" cy="266700"/>
    <xdr:sp macro="" textlink="">
      <xdr:nvSpPr>
        <xdr:cNvPr id="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A6197B3-5D7B-4DFC-98BE-6C7B48D450E0}"/>
            </a:ext>
            <a:ext uri="{147F2762-F138-4A5C-976F-8EAC2B608ADB}">
              <a16:predDERef xmlns:a16="http://schemas.microsoft.com/office/drawing/2014/main" pred="{EFF5DD1A-FAE3-4F02-B79C-07E434608BCE}"/>
            </a:ext>
          </a:extLst>
        </xdr:cNvPr>
        <xdr:cNvSpPr>
          <a:spLocks noChangeAspect="1" noChangeArrowheads="1"/>
        </xdr:cNvSpPr>
      </xdr:nvSpPr>
      <xdr:spPr bwMode="auto">
        <a:xfrm>
          <a:off x="7531100" y="6121400"/>
          <a:ext cx="190500" cy="266700"/>
        </a:xfrm>
        <a:prstGeom prst="rect">
          <a:avLst/>
        </a:prstGeom>
        <a:noFill/>
      </xdr:spPr>
    </xdr:sp>
    <xdr:clientData/>
  </xdr:oneCellAnchor>
  <xdr:oneCellAnchor>
    <xdr:from>
      <xdr:col>4</xdr:col>
      <xdr:colOff>1657350</xdr:colOff>
      <xdr:row>30</xdr:row>
      <xdr:rowOff>0</xdr:rowOff>
    </xdr:from>
    <xdr:ext cx="190500" cy="266700"/>
    <xdr:sp macro="" textlink="">
      <xdr:nvSpPr>
        <xdr:cNvPr id="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78BD3E2-32EC-41D3-BF1C-9C02B931DC5A}"/>
            </a:ext>
            <a:ext uri="{147F2762-F138-4A5C-976F-8EAC2B608ADB}">
              <a16:predDERef xmlns:a16="http://schemas.microsoft.com/office/drawing/2014/main" pred="{2DB276F9-C48F-462F-8EF8-3821D7634276}"/>
            </a:ext>
          </a:extLst>
        </xdr:cNvPr>
        <xdr:cNvSpPr>
          <a:spLocks noChangeAspect="1" noChangeArrowheads="1"/>
        </xdr:cNvSpPr>
      </xdr:nvSpPr>
      <xdr:spPr bwMode="auto">
        <a:xfrm>
          <a:off x="7531100" y="6121400"/>
          <a:ext cx="190500" cy="266700"/>
        </a:xfrm>
        <a:prstGeom prst="rect">
          <a:avLst/>
        </a:prstGeom>
        <a:noFill/>
      </xdr:spPr>
    </xdr:sp>
    <xdr:clientData/>
  </xdr:oneCellAnchor>
  <xdr:oneCellAnchor>
    <xdr:from>
      <xdr:col>4</xdr:col>
      <xdr:colOff>1657350</xdr:colOff>
      <xdr:row>32</xdr:row>
      <xdr:rowOff>0</xdr:rowOff>
    </xdr:from>
    <xdr:ext cx="190500" cy="266700"/>
    <xdr:sp macro="" textlink="">
      <xdr:nvSpPr>
        <xdr:cNvPr id="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4B1B19E-E1EB-449F-99E7-73616B67E46B}"/>
            </a:ext>
            <a:ext uri="{147F2762-F138-4A5C-976F-8EAC2B608ADB}">
              <a16:predDERef xmlns:a16="http://schemas.microsoft.com/office/drawing/2014/main" pred="{560186DE-51EE-481A-8396-C2B6F9E4DB51}"/>
            </a:ext>
          </a:extLst>
        </xdr:cNvPr>
        <xdr:cNvSpPr>
          <a:spLocks noChangeAspect="1" noChangeArrowheads="1"/>
        </xdr:cNvSpPr>
      </xdr:nvSpPr>
      <xdr:spPr bwMode="auto">
        <a:xfrm>
          <a:off x="7531100" y="6489700"/>
          <a:ext cx="190500" cy="266700"/>
        </a:xfrm>
        <a:prstGeom prst="rect">
          <a:avLst/>
        </a:prstGeom>
        <a:noFill/>
      </xdr:spPr>
    </xdr:sp>
    <xdr:clientData/>
  </xdr:oneCellAnchor>
  <xdr:oneCellAnchor>
    <xdr:from>
      <xdr:col>4</xdr:col>
      <xdr:colOff>1657350</xdr:colOff>
      <xdr:row>32</xdr:row>
      <xdr:rowOff>0</xdr:rowOff>
    </xdr:from>
    <xdr:ext cx="190500" cy="266700"/>
    <xdr:sp macro="" textlink="">
      <xdr:nvSpPr>
        <xdr:cNvPr id="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2BAE299-F0C5-42EE-AA8E-4CF3897E5FB7}"/>
            </a:ext>
            <a:ext uri="{147F2762-F138-4A5C-976F-8EAC2B608ADB}">
              <a16:predDERef xmlns:a16="http://schemas.microsoft.com/office/drawing/2014/main" pred="{18C0CE84-6A61-428B-892B-90906D648A64}"/>
            </a:ext>
          </a:extLst>
        </xdr:cNvPr>
        <xdr:cNvSpPr>
          <a:spLocks noChangeAspect="1" noChangeArrowheads="1"/>
        </xdr:cNvSpPr>
      </xdr:nvSpPr>
      <xdr:spPr bwMode="auto">
        <a:xfrm>
          <a:off x="7531100" y="6489700"/>
          <a:ext cx="190500" cy="266700"/>
        </a:xfrm>
        <a:prstGeom prst="rect">
          <a:avLst/>
        </a:prstGeom>
        <a:noFill/>
      </xdr:spPr>
    </xdr:sp>
    <xdr:clientData/>
  </xdr:oneCellAnchor>
  <xdr:oneCellAnchor>
    <xdr:from>
      <xdr:col>4</xdr:col>
      <xdr:colOff>1657350</xdr:colOff>
      <xdr:row>34</xdr:row>
      <xdr:rowOff>0</xdr:rowOff>
    </xdr:from>
    <xdr:ext cx="190500" cy="266700"/>
    <xdr:sp macro="" textlink="">
      <xdr:nvSpPr>
        <xdr:cNvPr id="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7BF0B6C-D556-4212-9714-D073B39D5507}"/>
            </a:ext>
            <a:ext uri="{147F2762-F138-4A5C-976F-8EAC2B608ADB}">
              <a16:predDERef xmlns:a16="http://schemas.microsoft.com/office/drawing/2014/main" pred="{8A65B610-1C25-4EFD-915C-A817DB8E7901}"/>
            </a:ext>
          </a:extLst>
        </xdr:cNvPr>
        <xdr:cNvSpPr>
          <a:spLocks noChangeAspect="1" noChangeArrowheads="1"/>
        </xdr:cNvSpPr>
      </xdr:nvSpPr>
      <xdr:spPr bwMode="auto">
        <a:xfrm>
          <a:off x="7531100" y="7004050"/>
          <a:ext cx="190500" cy="266700"/>
        </a:xfrm>
        <a:prstGeom prst="rect">
          <a:avLst/>
        </a:prstGeom>
        <a:noFill/>
      </xdr:spPr>
    </xdr:sp>
    <xdr:clientData/>
  </xdr:oneCellAnchor>
  <xdr:oneCellAnchor>
    <xdr:from>
      <xdr:col>4</xdr:col>
      <xdr:colOff>1657350</xdr:colOff>
      <xdr:row>34</xdr:row>
      <xdr:rowOff>0</xdr:rowOff>
    </xdr:from>
    <xdr:ext cx="190500" cy="266700"/>
    <xdr:sp macro="" textlink="">
      <xdr:nvSpPr>
        <xdr:cNvPr id="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780AF29-9780-4156-A2EA-A830736E373D}"/>
            </a:ext>
            <a:ext uri="{147F2762-F138-4A5C-976F-8EAC2B608ADB}">
              <a16:predDERef xmlns:a16="http://schemas.microsoft.com/office/drawing/2014/main" pred="{72A9B788-E872-45E3-9A7C-862F63EC288E}"/>
            </a:ext>
          </a:extLst>
        </xdr:cNvPr>
        <xdr:cNvSpPr>
          <a:spLocks noChangeAspect="1" noChangeArrowheads="1"/>
        </xdr:cNvSpPr>
      </xdr:nvSpPr>
      <xdr:spPr bwMode="auto">
        <a:xfrm>
          <a:off x="7531100" y="7004050"/>
          <a:ext cx="190500" cy="266700"/>
        </a:xfrm>
        <a:prstGeom prst="rect">
          <a:avLst/>
        </a:prstGeom>
        <a:noFill/>
      </xdr:spPr>
    </xdr:sp>
    <xdr:clientData/>
  </xdr:oneCellAnchor>
  <xdr:oneCellAnchor>
    <xdr:from>
      <xdr:col>4</xdr:col>
      <xdr:colOff>1657350</xdr:colOff>
      <xdr:row>36</xdr:row>
      <xdr:rowOff>0</xdr:rowOff>
    </xdr:from>
    <xdr:ext cx="190500" cy="266700"/>
    <xdr:sp macro="" textlink="">
      <xdr:nvSpPr>
        <xdr:cNvPr id="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045C593-3FAF-497D-9177-02DBBDED2DD0}"/>
            </a:ext>
            <a:ext uri="{147F2762-F138-4A5C-976F-8EAC2B608ADB}">
              <a16:predDERef xmlns:a16="http://schemas.microsoft.com/office/drawing/2014/main" pred="{51F3A9B9-6282-4565-96A1-4D577EA7F826}"/>
            </a:ext>
          </a:extLst>
        </xdr:cNvPr>
        <xdr:cNvSpPr>
          <a:spLocks noChangeAspect="1" noChangeArrowheads="1"/>
        </xdr:cNvSpPr>
      </xdr:nvSpPr>
      <xdr:spPr bwMode="auto">
        <a:xfrm>
          <a:off x="7531100" y="7372350"/>
          <a:ext cx="190500" cy="266700"/>
        </a:xfrm>
        <a:prstGeom prst="rect">
          <a:avLst/>
        </a:prstGeom>
        <a:noFill/>
      </xdr:spPr>
    </xdr:sp>
    <xdr:clientData/>
  </xdr:oneCellAnchor>
  <xdr:oneCellAnchor>
    <xdr:from>
      <xdr:col>4</xdr:col>
      <xdr:colOff>1657350</xdr:colOff>
      <xdr:row>36</xdr:row>
      <xdr:rowOff>0</xdr:rowOff>
    </xdr:from>
    <xdr:ext cx="190500" cy="266700"/>
    <xdr:sp macro="" textlink="">
      <xdr:nvSpPr>
        <xdr:cNvPr id="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A09E3C3-DA19-4F5C-BE64-06B9F83FBD40}"/>
            </a:ext>
            <a:ext uri="{147F2762-F138-4A5C-976F-8EAC2B608ADB}">
              <a16:predDERef xmlns:a16="http://schemas.microsoft.com/office/drawing/2014/main" pred="{ABCFB362-A269-4DB8-9C63-4F1BB15618A0}"/>
            </a:ext>
          </a:extLst>
        </xdr:cNvPr>
        <xdr:cNvSpPr>
          <a:spLocks noChangeAspect="1" noChangeArrowheads="1"/>
        </xdr:cNvSpPr>
      </xdr:nvSpPr>
      <xdr:spPr bwMode="auto">
        <a:xfrm>
          <a:off x="7531100" y="7372350"/>
          <a:ext cx="190500" cy="266700"/>
        </a:xfrm>
        <a:prstGeom prst="rect">
          <a:avLst/>
        </a:prstGeom>
        <a:noFill/>
      </xdr:spPr>
    </xdr:sp>
    <xdr:clientData/>
  </xdr:oneCellAnchor>
  <xdr:oneCellAnchor>
    <xdr:from>
      <xdr:col>4</xdr:col>
      <xdr:colOff>1657350</xdr:colOff>
      <xdr:row>38</xdr:row>
      <xdr:rowOff>0</xdr:rowOff>
    </xdr:from>
    <xdr:ext cx="190500" cy="266700"/>
    <xdr:sp macro="" textlink="">
      <xdr:nvSpPr>
        <xdr:cNvPr id="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5EC935A-4287-4537-BDA6-B0B4362FA2D6}"/>
            </a:ext>
            <a:ext uri="{147F2762-F138-4A5C-976F-8EAC2B608ADB}">
              <a16:predDERef xmlns:a16="http://schemas.microsoft.com/office/drawing/2014/main" pred="{8CB728AD-DB3C-43C0-AF29-B1569DB45BFA}"/>
            </a:ext>
          </a:extLst>
        </xdr:cNvPr>
        <xdr:cNvSpPr>
          <a:spLocks noChangeAspect="1" noChangeArrowheads="1"/>
        </xdr:cNvSpPr>
      </xdr:nvSpPr>
      <xdr:spPr bwMode="auto">
        <a:xfrm>
          <a:off x="7531100" y="7740650"/>
          <a:ext cx="190500" cy="266700"/>
        </a:xfrm>
        <a:prstGeom prst="rect">
          <a:avLst/>
        </a:prstGeom>
        <a:noFill/>
      </xdr:spPr>
    </xdr:sp>
    <xdr:clientData/>
  </xdr:oneCellAnchor>
  <xdr:oneCellAnchor>
    <xdr:from>
      <xdr:col>4</xdr:col>
      <xdr:colOff>1657350</xdr:colOff>
      <xdr:row>38</xdr:row>
      <xdr:rowOff>0</xdr:rowOff>
    </xdr:from>
    <xdr:ext cx="190500" cy="266700"/>
    <xdr:sp macro="" textlink="">
      <xdr:nvSpPr>
        <xdr:cNvPr id="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C62CC7-BE58-4226-B8E9-650E0D293E19}"/>
            </a:ext>
            <a:ext uri="{147F2762-F138-4A5C-976F-8EAC2B608ADB}">
              <a16:predDERef xmlns:a16="http://schemas.microsoft.com/office/drawing/2014/main" pred="{BFB675F4-53AB-4E24-8F7E-D27B27E32940}"/>
            </a:ext>
          </a:extLst>
        </xdr:cNvPr>
        <xdr:cNvSpPr>
          <a:spLocks noChangeAspect="1" noChangeArrowheads="1"/>
        </xdr:cNvSpPr>
      </xdr:nvSpPr>
      <xdr:spPr bwMode="auto">
        <a:xfrm>
          <a:off x="7531100" y="7740650"/>
          <a:ext cx="190500" cy="266700"/>
        </a:xfrm>
        <a:prstGeom prst="rect">
          <a:avLst/>
        </a:prstGeom>
        <a:noFill/>
      </xdr:spPr>
    </xdr:sp>
    <xdr:clientData/>
  </xdr:oneCellAnchor>
  <xdr:oneCellAnchor>
    <xdr:from>
      <xdr:col>4</xdr:col>
      <xdr:colOff>1657350</xdr:colOff>
      <xdr:row>40</xdr:row>
      <xdr:rowOff>0</xdr:rowOff>
    </xdr:from>
    <xdr:ext cx="190500" cy="266700"/>
    <xdr:sp macro="" textlink="">
      <xdr:nvSpPr>
        <xdr:cNvPr id="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39E5A2-33CB-4FFE-BD36-8FA0CA890EE9}"/>
            </a:ext>
            <a:ext uri="{147F2762-F138-4A5C-976F-8EAC2B608ADB}">
              <a16:predDERef xmlns:a16="http://schemas.microsoft.com/office/drawing/2014/main" pred="{DA6152E0-FC36-42CB-BC3B-75805F03DB71}"/>
            </a:ext>
          </a:extLst>
        </xdr:cNvPr>
        <xdr:cNvSpPr>
          <a:spLocks noChangeAspect="1" noChangeArrowheads="1"/>
        </xdr:cNvSpPr>
      </xdr:nvSpPr>
      <xdr:spPr bwMode="auto">
        <a:xfrm>
          <a:off x="7531100" y="8108950"/>
          <a:ext cx="190500" cy="266700"/>
        </a:xfrm>
        <a:prstGeom prst="rect">
          <a:avLst/>
        </a:prstGeom>
        <a:noFill/>
      </xdr:spPr>
    </xdr:sp>
    <xdr:clientData/>
  </xdr:oneCellAnchor>
  <xdr:oneCellAnchor>
    <xdr:from>
      <xdr:col>4</xdr:col>
      <xdr:colOff>1657350</xdr:colOff>
      <xdr:row>40</xdr:row>
      <xdr:rowOff>0</xdr:rowOff>
    </xdr:from>
    <xdr:ext cx="190500" cy="266700"/>
    <xdr:sp macro="" textlink="">
      <xdr:nvSpPr>
        <xdr:cNvPr id="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A952BF3-D8CD-4248-9394-9A26D0851154}"/>
            </a:ext>
            <a:ext uri="{147F2762-F138-4A5C-976F-8EAC2B608ADB}">
              <a16:predDERef xmlns:a16="http://schemas.microsoft.com/office/drawing/2014/main" pred="{BD335AAE-3393-440A-8E4C-7D049CAFAE49}"/>
            </a:ext>
          </a:extLst>
        </xdr:cNvPr>
        <xdr:cNvSpPr>
          <a:spLocks noChangeAspect="1" noChangeArrowheads="1"/>
        </xdr:cNvSpPr>
      </xdr:nvSpPr>
      <xdr:spPr bwMode="auto">
        <a:xfrm>
          <a:off x="7531100" y="8108950"/>
          <a:ext cx="190500" cy="266700"/>
        </a:xfrm>
        <a:prstGeom prst="rect">
          <a:avLst/>
        </a:prstGeom>
        <a:noFill/>
      </xdr:spPr>
    </xdr:sp>
    <xdr:clientData/>
  </xdr:oneCellAnchor>
  <xdr:oneCellAnchor>
    <xdr:from>
      <xdr:col>4</xdr:col>
      <xdr:colOff>1657350</xdr:colOff>
      <xdr:row>42</xdr:row>
      <xdr:rowOff>0</xdr:rowOff>
    </xdr:from>
    <xdr:ext cx="190500" cy="266700"/>
    <xdr:sp macro="" textlink="">
      <xdr:nvSpPr>
        <xdr:cNvPr id="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129BFBE-4740-4989-87BE-74BA77B42492}"/>
            </a:ext>
            <a:ext uri="{147F2762-F138-4A5C-976F-8EAC2B608ADB}">
              <a16:predDERef xmlns:a16="http://schemas.microsoft.com/office/drawing/2014/main" pred="{4CBCC53B-A0D9-47C0-AF8B-74B48D93A516}"/>
            </a:ext>
          </a:extLst>
        </xdr:cNvPr>
        <xdr:cNvSpPr>
          <a:spLocks noChangeAspect="1" noChangeArrowheads="1"/>
        </xdr:cNvSpPr>
      </xdr:nvSpPr>
      <xdr:spPr bwMode="auto">
        <a:xfrm>
          <a:off x="7531100" y="8477250"/>
          <a:ext cx="190500" cy="266700"/>
        </a:xfrm>
        <a:prstGeom prst="rect">
          <a:avLst/>
        </a:prstGeom>
        <a:noFill/>
      </xdr:spPr>
    </xdr:sp>
    <xdr:clientData/>
  </xdr:oneCellAnchor>
  <xdr:oneCellAnchor>
    <xdr:from>
      <xdr:col>4</xdr:col>
      <xdr:colOff>1657350</xdr:colOff>
      <xdr:row>42</xdr:row>
      <xdr:rowOff>0</xdr:rowOff>
    </xdr:from>
    <xdr:ext cx="190500" cy="266700"/>
    <xdr:sp macro="" textlink="">
      <xdr:nvSpPr>
        <xdr:cNvPr id="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45631BF-A4BF-4AD0-9FDB-649F4B4A25A0}"/>
            </a:ext>
            <a:ext uri="{147F2762-F138-4A5C-976F-8EAC2B608ADB}">
              <a16:predDERef xmlns:a16="http://schemas.microsoft.com/office/drawing/2014/main" pred="{436DBA39-2CF3-47CA-882F-B7249582B6E3}"/>
            </a:ext>
          </a:extLst>
        </xdr:cNvPr>
        <xdr:cNvSpPr>
          <a:spLocks noChangeAspect="1" noChangeArrowheads="1"/>
        </xdr:cNvSpPr>
      </xdr:nvSpPr>
      <xdr:spPr bwMode="auto">
        <a:xfrm>
          <a:off x="7531100" y="8477250"/>
          <a:ext cx="190500" cy="266700"/>
        </a:xfrm>
        <a:prstGeom prst="rect">
          <a:avLst/>
        </a:prstGeom>
        <a:noFill/>
      </xdr:spPr>
    </xdr:sp>
    <xdr:clientData/>
  </xdr:oneCellAnchor>
  <xdr:oneCellAnchor>
    <xdr:from>
      <xdr:col>4</xdr:col>
      <xdr:colOff>1657350</xdr:colOff>
      <xdr:row>44</xdr:row>
      <xdr:rowOff>0</xdr:rowOff>
    </xdr:from>
    <xdr:ext cx="190500" cy="266700"/>
    <xdr:sp macro="" textlink="">
      <xdr:nvSpPr>
        <xdr:cNvPr id="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0B84ADD-7BC9-409F-9FA4-4099A028E07A}"/>
            </a:ext>
            <a:ext uri="{147F2762-F138-4A5C-976F-8EAC2B608ADB}">
              <a16:predDERef xmlns:a16="http://schemas.microsoft.com/office/drawing/2014/main" pred="{83DB4AC0-B16F-44F5-9237-CE80D0EC91FD}"/>
            </a:ext>
          </a:extLst>
        </xdr:cNvPr>
        <xdr:cNvSpPr>
          <a:spLocks noChangeAspect="1" noChangeArrowheads="1"/>
        </xdr:cNvSpPr>
      </xdr:nvSpPr>
      <xdr:spPr bwMode="auto">
        <a:xfrm>
          <a:off x="7531100" y="8845550"/>
          <a:ext cx="190500" cy="266700"/>
        </a:xfrm>
        <a:prstGeom prst="rect">
          <a:avLst/>
        </a:prstGeom>
        <a:noFill/>
      </xdr:spPr>
    </xdr:sp>
    <xdr:clientData/>
  </xdr:oneCellAnchor>
  <xdr:oneCellAnchor>
    <xdr:from>
      <xdr:col>4</xdr:col>
      <xdr:colOff>1657350</xdr:colOff>
      <xdr:row>44</xdr:row>
      <xdr:rowOff>0</xdr:rowOff>
    </xdr:from>
    <xdr:ext cx="190500" cy="266700"/>
    <xdr:sp macro="" textlink="">
      <xdr:nvSpPr>
        <xdr:cNvPr id="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059750C-3A70-48D2-ACBA-32FAEE0CF0C4}"/>
            </a:ext>
            <a:ext uri="{147F2762-F138-4A5C-976F-8EAC2B608ADB}">
              <a16:predDERef xmlns:a16="http://schemas.microsoft.com/office/drawing/2014/main" pred="{404EEF29-99DC-46D8-A4BE-796EE23D32BE}"/>
            </a:ext>
          </a:extLst>
        </xdr:cNvPr>
        <xdr:cNvSpPr>
          <a:spLocks noChangeAspect="1" noChangeArrowheads="1"/>
        </xdr:cNvSpPr>
      </xdr:nvSpPr>
      <xdr:spPr bwMode="auto">
        <a:xfrm>
          <a:off x="7531100" y="8845550"/>
          <a:ext cx="190500" cy="266700"/>
        </a:xfrm>
        <a:prstGeom prst="rect">
          <a:avLst/>
        </a:prstGeom>
        <a:noFill/>
      </xdr:spPr>
    </xdr:sp>
    <xdr:clientData/>
  </xdr:oneCellAnchor>
  <xdr:oneCellAnchor>
    <xdr:from>
      <xdr:col>4</xdr:col>
      <xdr:colOff>1657350</xdr:colOff>
      <xdr:row>46</xdr:row>
      <xdr:rowOff>0</xdr:rowOff>
    </xdr:from>
    <xdr:ext cx="190500" cy="266700"/>
    <xdr:sp macro="" textlink="">
      <xdr:nvSpPr>
        <xdr:cNvPr id="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8971234-4DC9-4218-8B65-D0426C6C159A}"/>
            </a:ext>
            <a:ext uri="{147F2762-F138-4A5C-976F-8EAC2B608ADB}">
              <a16:predDERef xmlns:a16="http://schemas.microsoft.com/office/drawing/2014/main" pred="{F0748C7E-B511-4FE5-9FCD-F73AAC31C1E8}"/>
            </a:ext>
          </a:extLst>
        </xdr:cNvPr>
        <xdr:cNvSpPr>
          <a:spLocks noChangeAspect="1" noChangeArrowheads="1"/>
        </xdr:cNvSpPr>
      </xdr:nvSpPr>
      <xdr:spPr bwMode="auto">
        <a:xfrm>
          <a:off x="7531100" y="9213850"/>
          <a:ext cx="190500" cy="266700"/>
        </a:xfrm>
        <a:prstGeom prst="rect">
          <a:avLst/>
        </a:prstGeom>
        <a:noFill/>
      </xdr:spPr>
    </xdr:sp>
    <xdr:clientData/>
  </xdr:oneCellAnchor>
  <xdr:oneCellAnchor>
    <xdr:from>
      <xdr:col>4</xdr:col>
      <xdr:colOff>1657350</xdr:colOff>
      <xdr:row>46</xdr:row>
      <xdr:rowOff>0</xdr:rowOff>
    </xdr:from>
    <xdr:ext cx="190500" cy="266700"/>
    <xdr:sp macro="" textlink="">
      <xdr:nvSpPr>
        <xdr:cNvPr id="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8D79B39-734F-4A5B-A028-6585A99ED3F0}"/>
            </a:ext>
            <a:ext uri="{147F2762-F138-4A5C-976F-8EAC2B608ADB}">
              <a16:predDERef xmlns:a16="http://schemas.microsoft.com/office/drawing/2014/main" pred="{10632CE9-8212-423B-9FE9-E69F5B6A0FDC}"/>
            </a:ext>
          </a:extLst>
        </xdr:cNvPr>
        <xdr:cNvSpPr>
          <a:spLocks noChangeAspect="1" noChangeArrowheads="1"/>
        </xdr:cNvSpPr>
      </xdr:nvSpPr>
      <xdr:spPr bwMode="auto">
        <a:xfrm>
          <a:off x="7531100" y="9213850"/>
          <a:ext cx="190500" cy="266700"/>
        </a:xfrm>
        <a:prstGeom prst="rect">
          <a:avLst/>
        </a:prstGeom>
        <a:noFill/>
      </xdr:spPr>
    </xdr:sp>
    <xdr:clientData/>
  </xdr:oneCellAnchor>
  <xdr:oneCellAnchor>
    <xdr:from>
      <xdr:col>4</xdr:col>
      <xdr:colOff>1657350</xdr:colOff>
      <xdr:row>48</xdr:row>
      <xdr:rowOff>0</xdr:rowOff>
    </xdr:from>
    <xdr:ext cx="190500" cy="266700"/>
    <xdr:sp macro="" textlink="">
      <xdr:nvSpPr>
        <xdr:cNvPr id="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764BE4-506F-4B34-8033-6711926859DA}"/>
            </a:ext>
            <a:ext uri="{147F2762-F138-4A5C-976F-8EAC2B608ADB}">
              <a16:predDERef xmlns:a16="http://schemas.microsoft.com/office/drawing/2014/main" pred="{1C9762D0-A309-4447-B533-DE020ACF7417}"/>
            </a:ext>
          </a:extLst>
        </xdr:cNvPr>
        <xdr:cNvSpPr>
          <a:spLocks noChangeAspect="1" noChangeArrowheads="1"/>
        </xdr:cNvSpPr>
      </xdr:nvSpPr>
      <xdr:spPr bwMode="auto">
        <a:xfrm>
          <a:off x="7531100" y="9582150"/>
          <a:ext cx="190500" cy="266700"/>
        </a:xfrm>
        <a:prstGeom prst="rect">
          <a:avLst/>
        </a:prstGeom>
        <a:noFill/>
      </xdr:spPr>
    </xdr:sp>
    <xdr:clientData/>
  </xdr:oneCellAnchor>
  <xdr:oneCellAnchor>
    <xdr:from>
      <xdr:col>4</xdr:col>
      <xdr:colOff>1657350</xdr:colOff>
      <xdr:row>48</xdr:row>
      <xdr:rowOff>0</xdr:rowOff>
    </xdr:from>
    <xdr:ext cx="190500" cy="266700"/>
    <xdr:sp macro="" textlink="">
      <xdr:nvSpPr>
        <xdr:cNvPr id="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C930851-B407-48FA-9FA1-B27F42889DC2}"/>
            </a:ext>
            <a:ext uri="{147F2762-F138-4A5C-976F-8EAC2B608ADB}">
              <a16:predDERef xmlns:a16="http://schemas.microsoft.com/office/drawing/2014/main" pred="{64FAF2F5-D83E-4002-B65C-72F9A3ED1BC5}"/>
            </a:ext>
          </a:extLst>
        </xdr:cNvPr>
        <xdr:cNvSpPr>
          <a:spLocks noChangeAspect="1" noChangeArrowheads="1"/>
        </xdr:cNvSpPr>
      </xdr:nvSpPr>
      <xdr:spPr bwMode="auto">
        <a:xfrm>
          <a:off x="7531100" y="9582150"/>
          <a:ext cx="190500" cy="266700"/>
        </a:xfrm>
        <a:prstGeom prst="rect">
          <a:avLst/>
        </a:prstGeom>
        <a:noFill/>
      </xdr:spPr>
    </xdr:sp>
    <xdr:clientData/>
  </xdr:oneCellAnchor>
  <xdr:oneCellAnchor>
    <xdr:from>
      <xdr:col>4</xdr:col>
      <xdr:colOff>1657350</xdr:colOff>
      <xdr:row>50</xdr:row>
      <xdr:rowOff>0</xdr:rowOff>
    </xdr:from>
    <xdr:ext cx="190500" cy="266700"/>
    <xdr:sp macro="" textlink="">
      <xdr:nvSpPr>
        <xdr:cNvPr id="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B9463BD-0F29-4E3E-BC0C-D8206362E800}"/>
            </a:ext>
            <a:ext uri="{147F2762-F138-4A5C-976F-8EAC2B608ADB}">
              <a16:predDERef xmlns:a16="http://schemas.microsoft.com/office/drawing/2014/main" pred="{7998EF87-F3CE-4510-A637-9E6D928E690A}"/>
            </a:ext>
          </a:extLst>
        </xdr:cNvPr>
        <xdr:cNvSpPr>
          <a:spLocks noChangeAspect="1" noChangeArrowheads="1"/>
        </xdr:cNvSpPr>
      </xdr:nvSpPr>
      <xdr:spPr bwMode="auto">
        <a:xfrm>
          <a:off x="7531100" y="9950450"/>
          <a:ext cx="190500" cy="266700"/>
        </a:xfrm>
        <a:prstGeom prst="rect">
          <a:avLst/>
        </a:prstGeom>
        <a:noFill/>
      </xdr:spPr>
    </xdr:sp>
    <xdr:clientData/>
  </xdr:oneCellAnchor>
  <xdr:oneCellAnchor>
    <xdr:from>
      <xdr:col>4</xdr:col>
      <xdr:colOff>1657350</xdr:colOff>
      <xdr:row>50</xdr:row>
      <xdr:rowOff>0</xdr:rowOff>
    </xdr:from>
    <xdr:ext cx="190500" cy="266700"/>
    <xdr:sp macro="" textlink="">
      <xdr:nvSpPr>
        <xdr:cNvPr id="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CB8AED4-3A24-4D74-AE92-C1F2CC4F60D8}"/>
            </a:ext>
            <a:ext uri="{147F2762-F138-4A5C-976F-8EAC2B608ADB}">
              <a16:predDERef xmlns:a16="http://schemas.microsoft.com/office/drawing/2014/main" pred="{D259AE66-1390-4FD4-829C-FCB7EE94D7E1}"/>
            </a:ext>
          </a:extLst>
        </xdr:cNvPr>
        <xdr:cNvSpPr>
          <a:spLocks noChangeAspect="1" noChangeArrowheads="1"/>
        </xdr:cNvSpPr>
      </xdr:nvSpPr>
      <xdr:spPr bwMode="auto">
        <a:xfrm>
          <a:off x="7531100" y="9950450"/>
          <a:ext cx="190500" cy="266700"/>
        </a:xfrm>
        <a:prstGeom prst="rect">
          <a:avLst/>
        </a:prstGeom>
        <a:noFill/>
      </xdr:spPr>
    </xdr:sp>
    <xdr:clientData/>
  </xdr:oneCellAnchor>
  <xdr:oneCellAnchor>
    <xdr:from>
      <xdr:col>4</xdr:col>
      <xdr:colOff>1657350</xdr:colOff>
      <xdr:row>52</xdr:row>
      <xdr:rowOff>0</xdr:rowOff>
    </xdr:from>
    <xdr:ext cx="190500" cy="266700"/>
    <xdr:sp macro="" textlink="">
      <xdr:nvSpPr>
        <xdr:cNvPr id="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B1EA284-491D-489D-AE7A-02F5F16EC145}"/>
            </a:ext>
            <a:ext uri="{147F2762-F138-4A5C-976F-8EAC2B608ADB}">
              <a16:predDERef xmlns:a16="http://schemas.microsoft.com/office/drawing/2014/main" pred="{1AFC2FDD-798D-4A74-857F-72919381DFE0}"/>
            </a:ext>
          </a:extLst>
        </xdr:cNvPr>
        <xdr:cNvSpPr>
          <a:spLocks noChangeAspect="1" noChangeArrowheads="1"/>
        </xdr:cNvSpPr>
      </xdr:nvSpPr>
      <xdr:spPr bwMode="auto">
        <a:xfrm>
          <a:off x="7531100" y="10318750"/>
          <a:ext cx="190500" cy="266700"/>
        </a:xfrm>
        <a:prstGeom prst="rect">
          <a:avLst/>
        </a:prstGeom>
        <a:noFill/>
      </xdr:spPr>
    </xdr:sp>
    <xdr:clientData/>
  </xdr:oneCellAnchor>
  <xdr:oneCellAnchor>
    <xdr:from>
      <xdr:col>4</xdr:col>
      <xdr:colOff>1657350</xdr:colOff>
      <xdr:row>52</xdr:row>
      <xdr:rowOff>0</xdr:rowOff>
    </xdr:from>
    <xdr:ext cx="190500" cy="266700"/>
    <xdr:sp macro="" textlink="">
      <xdr:nvSpPr>
        <xdr:cNvPr id="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D4B5C98-120E-44E6-A5B2-6DC14F2F4D30}"/>
            </a:ext>
            <a:ext uri="{147F2762-F138-4A5C-976F-8EAC2B608ADB}">
              <a16:predDERef xmlns:a16="http://schemas.microsoft.com/office/drawing/2014/main" pred="{82A8126B-6445-4A81-BBDC-36191A7856DD}"/>
            </a:ext>
          </a:extLst>
        </xdr:cNvPr>
        <xdr:cNvSpPr>
          <a:spLocks noChangeAspect="1" noChangeArrowheads="1"/>
        </xdr:cNvSpPr>
      </xdr:nvSpPr>
      <xdr:spPr bwMode="auto">
        <a:xfrm>
          <a:off x="7531100" y="10318750"/>
          <a:ext cx="190500" cy="266700"/>
        </a:xfrm>
        <a:prstGeom prst="rect">
          <a:avLst/>
        </a:prstGeom>
        <a:noFill/>
      </xdr:spPr>
    </xdr:sp>
    <xdr:clientData/>
  </xdr:oneCellAnchor>
  <xdr:oneCellAnchor>
    <xdr:from>
      <xdr:col>4</xdr:col>
      <xdr:colOff>1657350</xdr:colOff>
      <xdr:row>54</xdr:row>
      <xdr:rowOff>0</xdr:rowOff>
    </xdr:from>
    <xdr:ext cx="190500" cy="266700"/>
    <xdr:sp macro="" textlink="">
      <xdr:nvSpPr>
        <xdr:cNvPr id="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E9491D9-8CAC-42AA-8150-CFED7FC17439}"/>
            </a:ext>
            <a:ext uri="{147F2762-F138-4A5C-976F-8EAC2B608ADB}">
              <a16:predDERef xmlns:a16="http://schemas.microsoft.com/office/drawing/2014/main" pred="{39F87B5E-7170-45B2-B3DA-E3B14B9A0DDF}"/>
            </a:ext>
          </a:extLst>
        </xdr:cNvPr>
        <xdr:cNvSpPr>
          <a:spLocks noChangeAspect="1" noChangeArrowheads="1"/>
        </xdr:cNvSpPr>
      </xdr:nvSpPr>
      <xdr:spPr bwMode="auto">
        <a:xfrm>
          <a:off x="7531100" y="10687050"/>
          <a:ext cx="190500" cy="266700"/>
        </a:xfrm>
        <a:prstGeom prst="rect">
          <a:avLst/>
        </a:prstGeom>
        <a:noFill/>
      </xdr:spPr>
    </xdr:sp>
    <xdr:clientData/>
  </xdr:oneCellAnchor>
  <xdr:oneCellAnchor>
    <xdr:from>
      <xdr:col>4</xdr:col>
      <xdr:colOff>1657350</xdr:colOff>
      <xdr:row>54</xdr:row>
      <xdr:rowOff>0</xdr:rowOff>
    </xdr:from>
    <xdr:ext cx="190500" cy="266700"/>
    <xdr:sp macro="" textlink="">
      <xdr:nvSpPr>
        <xdr:cNvPr id="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5F43E42-B79C-4493-A329-F61ACF5227A6}"/>
            </a:ext>
            <a:ext uri="{147F2762-F138-4A5C-976F-8EAC2B608ADB}">
              <a16:predDERef xmlns:a16="http://schemas.microsoft.com/office/drawing/2014/main" pred="{D95BB1E3-7134-47D9-AA0B-1021A8436242}"/>
            </a:ext>
          </a:extLst>
        </xdr:cNvPr>
        <xdr:cNvSpPr>
          <a:spLocks noChangeAspect="1" noChangeArrowheads="1"/>
        </xdr:cNvSpPr>
      </xdr:nvSpPr>
      <xdr:spPr bwMode="auto">
        <a:xfrm>
          <a:off x="7531100" y="10687050"/>
          <a:ext cx="190500" cy="266700"/>
        </a:xfrm>
        <a:prstGeom prst="rect">
          <a:avLst/>
        </a:prstGeom>
        <a:noFill/>
      </xdr:spPr>
    </xdr:sp>
    <xdr:clientData/>
  </xdr:oneCellAnchor>
  <xdr:oneCellAnchor>
    <xdr:from>
      <xdr:col>4</xdr:col>
      <xdr:colOff>1657350</xdr:colOff>
      <xdr:row>56</xdr:row>
      <xdr:rowOff>0</xdr:rowOff>
    </xdr:from>
    <xdr:ext cx="190500" cy="266700"/>
    <xdr:sp macro="" textlink="">
      <xdr:nvSpPr>
        <xdr:cNvPr id="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C8E83B6-0509-4BB6-A358-B380E9E1A266}"/>
            </a:ext>
            <a:ext uri="{147F2762-F138-4A5C-976F-8EAC2B608ADB}">
              <a16:predDERef xmlns:a16="http://schemas.microsoft.com/office/drawing/2014/main" pred="{58F42104-DDFD-480A-A872-DBD1AB56695C}"/>
            </a:ext>
          </a:extLst>
        </xdr:cNvPr>
        <xdr:cNvSpPr>
          <a:spLocks noChangeAspect="1" noChangeArrowheads="1"/>
        </xdr:cNvSpPr>
      </xdr:nvSpPr>
      <xdr:spPr bwMode="auto">
        <a:xfrm>
          <a:off x="7531100" y="11055350"/>
          <a:ext cx="190500" cy="266700"/>
        </a:xfrm>
        <a:prstGeom prst="rect">
          <a:avLst/>
        </a:prstGeom>
        <a:noFill/>
      </xdr:spPr>
    </xdr:sp>
    <xdr:clientData/>
  </xdr:oneCellAnchor>
  <xdr:oneCellAnchor>
    <xdr:from>
      <xdr:col>4</xdr:col>
      <xdr:colOff>1657350</xdr:colOff>
      <xdr:row>56</xdr:row>
      <xdr:rowOff>0</xdr:rowOff>
    </xdr:from>
    <xdr:ext cx="190500" cy="266700"/>
    <xdr:sp macro="" textlink="">
      <xdr:nvSpPr>
        <xdr:cNvPr id="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9099F95-252B-4853-90DB-82474EBE70E7}"/>
            </a:ext>
            <a:ext uri="{147F2762-F138-4A5C-976F-8EAC2B608ADB}">
              <a16:predDERef xmlns:a16="http://schemas.microsoft.com/office/drawing/2014/main" pred="{DE8985FF-0DC6-4A38-BBD7-8419C26084ED}"/>
            </a:ext>
          </a:extLst>
        </xdr:cNvPr>
        <xdr:cNvSpPr>
          <a:spLocks noChangeAspect="1" noChangeArrowheads="1"/>
        </xdr:cNvSpPr>
      </xdr:nvSpPr>
      <xdr:spPr bwMode="auto">
        <a:xfrm>
          <a:off x="7531100" y="11055350"/>
          <a:ext cx="190500" cy="266700"/>
        </a:xfrm>
        <a:prstGeom prst="rect">
          <a:avLst/>
        </a:prstGeom>
        <a:noFill/>
      </xdr:spPr>
    </xdr:sp>
    <xdr:clientData/>
  </xdr:oneCellAnchor>
  <xdr:oneCellAnchor>
    <xdr:from>
      <xdr:col>4</xdr:col>
      <xdr:colOff>1657350</xdr:colOff>
      <xdr:row>58</xdr:row>
      <xdr:rowOff>0</xdr:rowOff>
    </xdr:from>
    <xdr:ext cx="190500" cy="266700"/>
    <xdr:sp macro="" textlink="">
      <xdr:nvSpPr>
        <xdr:cNvPr id="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BFCAD96-63FF-4355-A8D6-7669E4B6B98B}"/>
            </a:ext>
            <a:ext uri="{147F2762-F138-4A5C-976F-8EAC2B608ADB}">
              <a16:predDERef xmlns:a16="http://schemas.microsoft.com/office/drawing/2014/main" pred="{E82A673C-D972-4EB8-BB46-98EB11669942}"/>
            </a:ext>
          </a:extLst>
        </xdr:cNvPr>
        <xdr:cNvSpPr>
          <a:spLocks noChangeAspect="1" noChangeArrowheads="1"/>
        </xdr:cNvSpPr>
      </xdr:nvSpPr>
      <xdr:spPr bwMode="auto">
        <a:xfrm>
          <a:off x="7531100" y="11423650"/>
          <a:ext cx="190500" cy="266700"/>
        </a:xfrm>
        <a:prstGeom prst="rect">
          <a:avLst/>
        </a:prstGeom>
        <a:noFill/>
      </xdr:spPr>
    </xdr:sp>
    <xdr:clientData/>
  </xdr:oneCellAnchor>
  <xdr:oneCellAnchor>
    <xdr:from>
      <xdr:col>4</xdr:col>
      <xdr:colOff>1657350</xdr:colOff>
      <xdr:row>58</xdr:row>
      <xdr:rowOff>0</xdr:rowOff>
    </xdr:from>
    <xdr:ext cx="190500" cy="266700"/>
    <xdr:sp macro="" textlink="">
      <xdr:nvSpPr>
        <xdr:cNvPr id="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94F99C5-A752-4A2A-B4D5-492307AE9781}"/>
            </a:ext>
            <a:ext uri="{147F2762-F138-4A5C-976F-8EAC2B608ADB}">
              <a16:predDERef xmlns:a16="http://schemas.microsoft.com/office/drawing/2014/main" pred="{1DD2DEA1-112E-4846-BFE5-AB5C77745661}"/>
            </a:ext>
          </a:extLst>
        </xdr:cNvPr>
        <xdr:cNvSpPr>
          <a:spLocks noChangeAspect="1" noChangeArrowheads="1"/>
        </xdr:cNvSpPr>
      </xdr:nvSpPr>
      <xdr:spPr bwMode="auto">
        <a:xfrm>
          <a:off x="7531100" y="11423650"/>
          <a:ext cx="190500" cy="266700"/>
        </a:xfrm>
        <a:prstGeom prst="rect">
          <a:avLst/>
        </a:prstGeom>
        <a:noFill/>
      </xdr:spPr>
    </xdr:sp>
    <xdr:clientData/>
  </xdr:oneCellAnchor>
  <xdr:oneCellAnchor>
    <xdr:from>
      <xdr:col>4</xdr:col>
      <xdr:colOff>1657350</xdr:colOff>
      <xdr:row>60</xdr:row>
      <xdr:rowOff>0</xdr:rowOff>
    </xdr:from>
    <xdr:ext cx="190500" cy="266700"/>
    <xdr:sp macro="" textlink="">
      <xdr:nvSpPr>
        <xdr:cNvPr id="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2D542B-06CA-46C2-A80E-77CF26700975}"/>
            </a:ext>
            <a:ext uri="{147F2762-F138-4A5C-976F-8EAC2B608ADB}">
              <a16:predDERef xmlns:a16="http://schemas.microsoft.com/office/drawing/2014/main" pred="{ABAC94F1-C241-4222-9D25-91EA97CDF556}"/>
            </a:ext>
          </a:extLst>
        </xdr:cNvPr>
        <xdr:cNvSpPr>
          <a:spLocks noChangeAspect="1" noChangeArrowheads="1"/>
        </xdr:cNvSpPr>
      </xdr:nvSpPr>
      <xdr:spPr bwMode="auto">
        <a:xfrm>
          <a:off x="7531100" y="11791950"/>
          <a:ext cx="190500" cy="266700"/>
        </a:xfrm>
        <a:prstGeom prst="rect">
          <a:avLst/>
        </a:prstGeom>
        <a:noFill/>
      </xdr:spPr>
    </xdr:sp>
    <xdr:clientData/>
  </xdr:oneCellAnchor>
  <xdr:oneCellAnchor>
    <xdr:from>
      <xdr:col>4</xdr:col>
      <xdr:colOff>1657350</xdr:colOff>
      <xdr:row>60</xdr:row>
      <xdr:rowOff>0</xdr:rowOff>
    </xdr:from>
    <xdr:ext cx="190500" cy="266700"/>
    <xdr:sp macro="" textlink="">
      <xdr:nvSpPr>
        <xdr:cNvPr id="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CF053DC-4C83-42F7-8F33-C6867E31A049}"/>
            </a:ext>
            <a:ext uri="{147F2762-F138-4A5C-976F-8EAC2B608ADB}">
              <a16:predDERef xmlns:a16="http://schemas.microsoft.com/office/drawing/2014/main" pred="{8E25E62D-E6FC-45C0-9D71-5AD8ACEDFB53}"/>
            </a:ext>
          </a:extLst>
        </xdr:cNvPr>
        <xdr:cNvSpPr>
          <a:spLocks noChangeAspect="1" noChangeArrowheads="1"/>
        </xdr:cNvSpPr>
      </xdr:nvSpPr>
      <xdr:spPr bwMode="auto">
        <a:xfrm>
          <a:off x="7531100" y="11791950"/>
          <a:ext cx="190500" cy="266700"/>
        </a:xfrm>
        <a:prstGeom prst="rect">
          <a:avLst/>
        </a:prstGeom>
        <a:noFill/>
      </xdr:spPr>
    </xdr:sp>
    <xdr:clientData/>
  </xdr:oneCellAnchor>
  <xdr:oneCellAnchor>
    <xdr:from>
      <xdr:col>4</xdr:col>
      <xdr:colOff>1657350</xdr:colOff>
      <xdr:row>62</xdr:row>
      <xdr:rowOff>0</xdr:rowOff>
    </xdr:from>
    <xdr:ext cx="190500" cy="266700"/>
    <xdr:sp macro="" textlink="">
      <xdr:nvSpPr>
        <xdr:cNvPr id="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44F5220-BA5A-4F35-BDEF-0FF7E1FD5BEC}"/>
            </a:ext>
            <a:ext uri="{147F2762-F138-4A5C-976F-8EAC2B608ADB}">
              <a16:predDERef xmlns:a16="http://schemas.microsoft.com/office/drawing/2014/main" pred="{26FA5754-7DDA-4F26-B927-A2D528D235CA}"/>
            </a:ext>
          </a:extLst>
        </xdr:cNvPr>
        <xdr:cNvSpPr>
          <a:spLocks noChangeAspect="1" noChangeArrowheads="1"/>
        </xdr:cNvSpPr>
      </xdr:nvSpPr>
      <xdr:spPr bwMode="auto">
        <a:xfrm>
          <a:off x="7531100" y="12160250"/>
          <a:ext cx="190500" cy="266700"/>
        </a:xfrm>
        <a:prstGeom prst="rect">
          <a:avLst/>
        </a:prstGeom>
        <a:noFill/>
      </xdr:spPr>
    </xdr:sp>
    <xdr:clientData/>
  </xdr:oneCellAnchor>
  <xdr:oneCellAnchor>
    <xdr:from>
      <xdr:col>4</xdr:col>
      <xdr:colOff>1657350</xdr:colOff>
      <xdr:row>62</xdr:row>
      <xdr:rowOff>0</xdr:rowOff>
    </xdr:from>
    <xdr:ext cx="190500" cy="266700"/>
    <xdr:sp macro="" textlink="">
      <xdr:nvSpPr>
        <xdr:cNvPr id="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BAF514-0436-40CC-8D1B-22B6E720A697}"/>
            </a:ext>
            <a:ext uri="{147F2762-F138-4A5C-976F-8EAC2B608ADB}">
              <a16:predDERef xmlns:a16="http://schemas.microsoft.com/office/drawing/2014/main" pred="{72652497-F780-4BCA-8AE3-2E77166A7C49}"/>
            </a:ext>
          </a:extLst>
        </xdr:cNvPr>
        <xdr:cNvSpPr>
          <a:spLocks noChangeAspect="1" noChangeArrowheads="1"/>
        </xdr:cNvSpPr>
      </xdr:nvSpPr>
      <xdr:spPr bwMode="auto">
        <a:xfrm>
          <a:off x="7531100" y="12160250"/>
          <a:ext cx="190500" cy="266700"/>
        </a:xfrm>
        <a:prstGeom prst="rect">
          <a:avLst/>
        </a:prstGeom>
        <a:noFill/>
      </xdr:spPr>
    </xdr:sp>
    <xdr:clientData/>
  </xdr:oneCellAnchor>
  <xdr:oneCellAnchor>
    <xdr:from>
      <xdr:col>4</xdr:col>
      <xdr:colOff>1657350</xdr:colOff>
      <xdr:row>64</xdr:row>
      <xdr:rowOff>0</xdr:rowOff>
    </xdr:from>
    <xdr:ext cx="190500" cy="266700"/>
    <xdr:sp macro="" textlink="">
      <xdr:nvSpPr>
        <xdr:cNvPr id="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82342C-412C-4EBC-92C0-B12FA01F0803}"/>
            </a:ext>
            <a:ext uri="{147F2762-F138-4A5C-976F-8EAC2B608ADB}">
              <a16:predDERef xmlns:a16="http://schemas.microsoft.com/office/drawing/2014/main" pred="{52546AB0-815D-46D2-8A21-98EEF8CDDFEE}"/>
            </a:ext>
          </a:extLst>
        </xdr:cNvPr>
        <xdr:cNvSpPr>
          <a:spLocks noChangeAspect="1" noChangeArrowheads="1"/>
        </xdr:cNvSpPr>
      </xdr:nvSpPr>
      <xdr:spPr bwMode="auto">
        <a:xfrm>
          <a:off x="7531100" y="12528550"/>
          <a:ext cx="190500" cy="266700"/>
        </a:xfrm>
        <a:prstGeom prst="rect">
          <a:avLst/>
        </a:prstGeom>
        <a:noFill/>
      </xdr:spPr>
    </xdr:sp>
    <xdr:clientData/>
  </xdr:oneCellAnchor>
  <xdr:oneCellAnchor>
    <xdr:from>
      <xdr:col>4</xdr:col>
      <xdr:colOff>1657350</xdr:colOff>
      <xdr:row>64</xdr:row>
      <xdr:rowOff>0</xdr:rowOff>
    </xdr:from>
    <xdr:ext cx="190500" cy="266700"/>
    <xdr:sp macro="" textlink="">
      <xdr:nvSpPr>
        <xdr:cNvPr id="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666B711-10D9-417C-B008-E1E762BFDECC}"/>
            </a:ext>
            <a:ext uri="{147F2762-F138-4A5C-976F-8EAC2B608ADB}">
              <a16:predDERef xmlns:a16="http://schemas.microsoft.com/office/drawing/2014/main" pred="{B5F5B561-8BAB-428F-BFC6-C1480C0FB923}"/>
            </a:ext>
          </a:extLst>
        </xdr:cNvPr>
        <xdr:cNvSpPr>
          <a:spLocks noChangeAspect="1" noChangeArrowheads="1"/>
        </xdr:cNvSpPr>
      </xdr:nvSpPr>
      <xdr:spPr bwMode="auto">
        <a:xfrm>
          <a:off x="7531100" y="12528550"/>
          <a:ext cx="190500" cy="266700"/>
        </a:xfrm>
        <a:prstGeom prst="rect">
          <a:avLst/>
        </a:prstGeom>
        <a:noFill/>
      </xdr:spPr>
    </xdr:sp>
    <xdr:clientData/>
  </xdr:oneCellAnchor>
  <xdr:oneCellAnchor>
    <xdr:from>
      <xdr:col>4</xdr:col>
      <xdr:colOff>1657350</xdr:colOff>
      <xdr:row>66</xdr:row>
      <xdr:rowOff>0</xdr:rowOff>
    </xdr:from>
    <xdr:ext cx="190500" cy="266700"/>
    <xdr:sp macro="" textlink="">
      <xdr:nvSpPr>
        <xdr:cNvPr id="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A0217F0-DCBE-4BDA-A032-F72E9AD73EC5}"/>
            </a:ext>
            <a:ext uri="{147F2762-F138-4A5C-976F-8EAC2B608ADB}">
              <a16:predDERef xmlns:a16="http://schemas.microsoft.com/office/drawing/2014/main" pred="{FF9AA86F-5646-49EA-B2C5-60549423AA7D}"/>
            </a:ext>
          </a:extLst>
        </xdr:cNvPr>
        <xdr:cNvSpPr>
          <a:spLocks noChangeAspect="1" noChangeArrowheads="1"/>
        </xdr:cNvSpPr>
      </xdr:nvSpPr>
      <xdr:spPr bwMode="auto">
        <a:xfrm>
          <a:off x="7531100" y="12896850"/>
          <a:ext cx="190500" cy="266700"/>
        </a:xfrm>
        <a:prstGeom prst="rect">
          <a:avLst/>
        </a:prstGeom>
        <a:noFill/>
      </xdr:spPr>
    </xdr:sp>
    <xdr:clientData/>
  </xdr:oneCellAnchor>
  <xdr:oneCellAnchor>
    <xdr:from>
      <xdr:col>4</xdr:col>
      <xdr:colOff>1657350</xdr:colOff>
      <xdr:row>66</xdr:row>
      <xdr:rowOff>0</xdr:rowOff>
    </xdr:from>
    <xdr:ext cx="190500" cy="266700"/>
    <xdr:sp macro="" textlink="">
      <xdr:nvSpPr>
        <xdr:cNvPr id="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44E4660-0CEC-40EE-AE1D-6028F82E7737}"/>
            </a:ext>
            <a:ext uri="{147F2762-F138-4A5C-976F-8EAC2B608ADB}">
              <a16:predDERef xmlns:a16="http://schemas.microsoft.com/office/drawing/2014/main" pred="{E5D148D6-A1E7-4A01-ABFF-2CA3D7B4B07E}"/>
            </a:ext>
          </a:extLst>
        </xdr:cNvPr>
        <xdr:cNvSpPr>
          <a:spLocks noChangeAspect="1" noChangeArrowheads="1"/>
        </xdr:cNvSpPr>
      </xdr:nvSpPr>
      <xdr:spPr bwMode="auto">
        <a:xfrm>
          <a:off x="7531100" y="12896850"/>
          <a:ext cx="190500" cy="266700"/>
        </a:xfrm>
        <a:prstGeom prst="rect">
          <a:avLst/>
        </a:prstGeom>
        <a:noFill/>
      </xdr:spPr>
    </xdr:sp>
    <xdr:clientData/>
  </xdr:oneCellAnchor>
  <xdr:oneCellAnchor>
    <xdr:from>
      <xdr:col>4</xdr:col>
      <xdr:colOff>1657350</xdr:colOff>
      <xdr:row>68</xdr:row>
      <xdr:rowOff>0</xdr:rowOff>
    </xdr:from>
    <xdr:ext cx="190500" cy="266700"/>
    <xdr:sp macro="" textlink="">
      <xdr:nvSpPr>
        <xdr:cNvPr id="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D5C343F-6E92-4541-983C-3E10CAEA4A95}"/>
            </a:ext>
            <a:ext uri="{147F2762-F138-4A5C-976F-8EAC2B608ADB}">
              <a16:predDERef xmlns:a16="http://schemas.microsoft.com/office/drawing/2014/main" pred="{32D536EF-5E13-4981-B404-98160E46AD69}"/>
            </a:ext>
          </a:extLst>
        </xdr:cNvPr>
        <xdr:cNvSpPr>
          <a:spLocks noChangeAspect="1" noChangeArrowheads="1"/>
        </xdr:cNvSpPr>
      </xdr:nvSpPr>
      <xdr:spPr bwMode="auto">
        <a:xfrm>
          <a:off x="7531100" y="13265150"/>
          <a:ext cx="190500" cy="266700"/>
        </a:xfrm>
        <a:prstGeom prst="rect">
          <a:avLst/>
        </a:prstGeom>
        <a:noFill/>
      </xdr:spPr>
    </xdr:sp>
    <xdr:clientData/>
  </xdr:oneCellAnchor>
  <xdr:oneCellAnchor>
    <xdr:from>
      <xdr:col>4</xdr:col>
      <xdr:colOff>1657350</xdr:colOff>
      <xdr:row>68</xdr:row>
      <xdr:rowOff>0</xdr:rowOff>
    </xdr:from>
    <xdr:ext cx="190500" cy="266700"/>
    <xdr:sp macro="" textlink="">
      <xdr:nvSpPr>
        <xdr:cNvPr id="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D1FBE18-DDA6-4E56-9A45-531708CDEB9B}"/>
            </a:ext>
            <a:ext uri="{147F2762-F138-4A5C-976F-8EAC2B608ADB}">
              <a16:predDERef xmlns:a16="http://schemas.microsoft.com/office/drawing/2014/main" pred="{B7928E29-B126-4D65-B3CF-D5F7530C28F9}"/>
            </a:ext>
          </a:extLst>
        </xdr:cNvPr>
        <xdr:cNvSpPr>
          <a:spLocks noChangeAspect="1" noChangeArrowheads="1"/>
        </xdr:cNvSpPr>
      </xdr:nvSpPr>
      <xdr:spPr bwMode="auto">
        <a:xfrm>
          <a:off x="7531100" y="13265150"/>
          <a:ext cx="190500" cy="266700"/>
        </a:xfrm>
        <a:prstGeom prst="rect">
          <a:avLst/>
        </a:prstGeom>
        <a:noFill/>
      </xdr:spPr>
    </xdr:sp>
    <xdr:clientData/>
  </xdr:oneCellAnchor>
  <xdr:oneCellAnchor>
    <xdr:from>
      <xdr:col>4</xdr:col>
      <xdr:colOff>1657350</xdr:colOff>
      <xdr:row>70</xdr:row>
      <xdr:rowOff>0</xdr:rowOff>
    </xdr:from>
    <xdr:ext cx="190500" cy="266700"/>
    <xdr:sp macro="" textlink="">
      <xdr:nvSpPr>
        <xdr:cNvPr id="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DD9CF5D-D535-464F-85FF-FAD3C7A7539F}"/>
            </a:ext>
            <a:ext uri="{147F2762-F138-4A5C-976F-8EAC2B608ADB}">
              <a16:predDERef xmlns:a16="http://schemas.microsoft.com/office/drawing/2014/main" pred="{C7675A00-71A1-4F22-A7CC-FF2BA6C47C4F}"/>
            </a:ext>
          </a:extLst>
        </xdr:cNvPr>
        <xdr:cNvSpPr>
          <a:spLocks noChangeAspect="1" noChangeArrowheads="1"/>
        </xdr:cNvSpPr>
      </xdr:nvSpPr>
      <xdr:spPr bwMode="auto">
        <a:xfrm>
          <a:off x="7531100" y="13633450"/>
          <a:ext cx="190500" cy="266700"/>
        </a:xfrm>
        <a:prstGeom prst="rect">
          <a:avLst/>
        </a:prstGeom>
        <a:noFill/>
      </xdr:spPr>
    </xdr:sp>
    <xdr:clientData/>
  </xdr:oneCellAnchor>
  <xdr:oneCellAnchor>
    <xdr:from>
      <xdr:col>4</xdr:col>
      <xdr:colOff>1657350</xdr:colOff>
      <xdr:row>70</xdr:row>
      <xdr:rowOff>0</xdr:rowOff>
    </xdr:from>
    <xdr:ext cx="190500" cy="266700"/>
    <xdr:sp macro="" textlink="">
      <xdr:nvSpPr>
        <xdr:cNvPr id="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5D6344E-0280-4983-BF4D-B4EB89B0953D}"/>
            </a:ext>
            <a:ext uri="{147F2762-F138-4A5C-976F-8EAC2B608ADB}">
              <a16:predDERef xmlns:a16="http://schemas.microsoft.com/office/drawing/2014/main" pred="{823472C2-2408-4D67-B816-23CAFE2E30C3}"/>
            </a:ext>
          </a:extLst>
        </xdr:cNvPr>
        <xdr:cNvSpPr>
          <a:spLocks noChangeAspect="1" noChangeArrowheads="1"/>
        </xdr:cNvSpPr>
      </xdr:nvSpPr>
      <xdr:spPr bwMode="auto">
        <a:xfrm>
          <a:off x="7531100" y="13633450"/>
          <a:ext cx="190500" cy="266700"/>
        </a:xfrm>
        <a:prstGeom prst="rect">
          <a:avLst/>
        </a:prstGeom>
        <a:noFill/>
      </xdr:spPr>
    </xdr:sp>
    <xdr:clientData/>
  </xdr:oneCellAnchor>
  <xdr:oneCellAnchor>
    <xdr:from>
      <xdr:col>4</xdr:col>
      <xdr:colOff>1657350</xdr:colOff>
      <xdr:row>72</xdr:row>
      <xdr:rowOff>0</xdr:rowOff>
    </xdr:from>
    <xdr:ext cx="190500" cy="266700"/>
    <xdr:sp macro="" textlink="">
      <xdr:nvSpPr>
        <xdr:cNvPr id="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00DBFC-02AB-4956-BFD5-E6E537E3511B}"/>
            </a:ext>
            <a:ext uri="{147F2762-F138-4A5C-976F-8EAC2B608ADB}">
              <a16:predDERef xmlns:a16="http://schemas.microsoft.com/office/drawing/2014/main" pred="{F2DE785A-4BD7-4286-BDE9-B3E65CBDC284}"/>
            </a:ext>
          </a:extLst>
        </xdr:cNvPr>
        <xdr:cNvSpPr>
          <a:spLocks noChangeAspect="1" noChangeArrowheads="1"/>
        </xdr:cNvSpPr>
      </xdr:nvSpPr>
      <xdr:spPr bwMode="auto">
        <a:xfrm>
          <a:off x="7531100" y="14001750"/>
          <a:ext cx="190500" cy="266700"/>
        </a:xfrm>
        <a:prstGeom prst="rect">
          <a:avLst/>
        </a:prstGeom>
        <a:noFill/>
      </xdr:spPr>
    </xdr:sp>
    <xdr:clientData/>
  </xdr:oneCellAnchor>
  <xdr:oneCellAnchor>
    <xdr:from>
      <xdr:col>4</xdr:col>
      <xdr:colOff>1657350</xdr:colOff>
      <xdr:row>72</xdr:row>
      <xdr:rowOff>0</xdr:rowOff>
    </xdr:from>
    <xdr:ext cx="190500" cy="266700"/>
    <xdr:sp macro="" textlink="">
      <xdr:nvSpPr>
        <xdr:cNvPr id="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5F9F404-13C9-46F2-BA8A-1846FBEA2FCC}"/>
            </a:ext>
            <a:ext uri="{147F2762-F138-4A5C-976F-8EAC2B608ADB}">
              <a16:predDERef xmlns:a16="http://schemas.microsoft.com/office/drawing/2014/main" pred="{AF194C2D-8EDD-4F1F-ADD7-F0F659ED1399}"/>
            </a:ext>
          </a:extLst>
        </xdr:cNvPr>
        <xdr:cNvSpPr>
          <a:spLocks noChangeAspect="1" noChangeArrowheads="1"/>
        </xdr:cNvSpPr>
      </xdr:nvSpPr>
      <xdr:spPr bwMode="auto">
        <a:xfrm>
          <a:off x="7531100" y="14001750"/>
          <a:ext cx="190500" cy="266700"/>
        </a:xfrm>
        <a:prstGeom prst="rect">
          <a:avLst/>
        </a:prstGeom>
        <a:noFill/>
      </xdr:spPr>
    </xdr:sp>
    <xdr:clientData/>
  </xdr:oneCellAnchor>
  <xdr:oneCellAnchor>
    <xdr:from>
      <xdr:col>4</xdr:col>
      <xdr:colOff>1657350</xdr:colOff>
      <xdr:row>74</xdr:row>
      <xdr:rowOff>0</xdr:rowOff>
    </xdr:from>
    <xdr:ext cx="190500" cy="266700"/>
    <xdr:sp macro="" textlink="">
      <xdr:nvSpPr>
        <xdr:cNvPr id="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9A67DF9-2907-431A-8CF5-FA14D3A639B7}"/>
            </a:ext>
            <a:ext uri="{147F2762-F138-4A5C-976F-8EAC2B608ADB}">
              <a16:predDERef xmlns:a16="http://schemas.microsoft.com/office/drawing/2014/main" pred="{F525F74E-5290-47FA-B518-9383CC74E32E}"/>
            </a:ext>
          </a:extLst>
        </xdr:cNvPr>
        <xdr:cNvSpPr>
          <a:spLocks noChangeAspect="1" noChangeArrowheads="1"/>
        </xdr:cNvSpPr>
      </xdr:nvSpPr>
      <xdr:spPr bwMode="auto">
        <a:xfrm>
          <a:off x="7531100" y="14370050"/>
          <a:ext cx="190500" cy="266700"/>
        </a:xfrm>
        <a:prstGeom prst="rect">
          <a:avLst/>
        </a:prstGeom>
        <a:noFill/>
      </xdr:spPr>
    </xdr:sp>
    <xdr:clientData/>
  </xdr:oneCellAnchor>
  <xdr:oneCellAnchor>
    <xdr:from>
      <xdr:col>4</xdr:col>
      <xdr:colOff>1657350</xdr:colOff>
      <xdr:row>74</xdr:row>
      <xdr:rowOff>0</xdr:rowOff>
    </xdr:from>
    <xdr:ext cx="190500" cy="266700"/>
    <xdr:sp macro="" textlink="">
      <xdr:nvSpPr>
        <xdr:cNvPr id="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E56E1D6-832F-4465-BA2F-097C5631243C}"/>
            </a:ext>
            <a:ext uri="{147F2762-F138-4A5C-976F-8EAC2B608ADB}">
              <a16:predDERef xmlns:a16="http://schemas.microsoft.com/office/drawing/2014/main" pred="{A7EF6A3C-9A73-4436-81C7-CE89357CA5A3}"/>
            </a:ext>
          </a:extLst>
        </xdr:cNvPr>
        <xdr:cNvSpPr>
          <a:spLocks noChangeAspect="1" noChangeArrowheads="1"/>
        </xdr:cNvSpPr>
      </xdr:nvSpPr>
      <xdr:spPr bwMode="auto">
        <a:xfrm>
          <a:off x="7531100" y="14370050"/>
          <a:ext cx="190500" cy="266700"/>
        </a:xfrm>
        <a:prstGeom prst="rect">
          <a:avLst/>
        </a:prstGeom>
        <a:noFill/>
      </xdr:spPr>
    </xdr:sp>
    <xdr:clientData/>
  </xdr:oneCellAnchor>
  <xdr:oneCellAnchor>
    <xdr:from>
      <xdr:col>4</xdr:col>
      <xdr:colOff>1657350</xdr:colOff>
      <xdr:row>76</xdr:row>
      <xdr:rowOff>0</xdr:rowOff>
    </xdr:from>
    <xdr:ext cx="190500" cy="266700"/>
    <xdr:sp macro="" textlink="">
      <xdr:nvSpPr>
        <xdr:cNvPr id="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1490C29-8506-4D4D-89F0-4E4BA37A3A63}"/>
            </a:ext>
            <a:ext uri="{147F2762-F138-4A5C-976F-8EAC2B608ADB}">
              <a16:predDERef xmlns:a16="http://schemas.microsoft.com/office/drawing/2014/main" pred="{9864ED4A-D7EB-4AC0-A06C-9D6A7A0EE3DD}"/>
            </a:ext>
          </a:extLst>
        </xdr:cNvPr>
        <xdr:cNvSpPr>
          <a:spLocks noChangeAspect="1" noChangeArrowheads="1"/>
        </xdr:cNvSpPr>
      </xdr:nvSpPr>
      <xdr:spPr bwMode="auto">
        <a:xfrm>
          <a:off x="7531100" y="14738350"/>
          <a:ext cx="190500" cy="266700"/>
        </a:xfrm>
        <a:prstGeom prst="rect">
          <a:avLst/>
        </a:prstGeom>
        <a:noFill/>
      </xdr:spPr>
    </xdr:sp>
    <xdr:clientData/>
  </xdr:oneCellAnchor>
  <xdr:oneCellAnchor>
    <xdr:from>
      <xdr:col>4</xdr:col>
      <xdr:colOff>1657350</xdr:colOff>
      <xdr:row>76</xdr:row>
      <xdr:rowOff>0</xdr:rowOff>
    </xdr:from>
    <xdr:ext cx="190500" cy="266700"/>
    <xdr:sp macro="" textlink="">
      <xdr:nvSpPr>
        <xdr:cNvPr id="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393E831-148F-4452-9D55-48A964E0BFC7}"/>
            </a:ext>
            <a:ext uri="{147F2762-F138-4A5C-976F-8EAC2B608ADB}">
              <a16:predDERef xmlns:a16="http://schemas.microsoft.com/office/drawing/2014/main" pred="{B796F32A-A227-4212-8D87-5B322019DC8C}"/>
            </a:ext>
          </a:extLst>
        </xdr:cNvPr>
        <xdr:cNvSpPr>
          <a:spLocks noChangeAspect="1" noChangeArrowheads="1"/>
        </xdr:cNvSpPr>
      </xdr:nvSpPr>
      <xdr:spPr bwMode="auto">
        <a:xfrm>
          <a:off x="7531100" y="14738350"/>
          <a:ext cx="190500" cy="266700"/>
        </a:xfrm>
        <a:prstGeom prst="rect">
          <a:avLst/>
        </a:prstGeom>
        <a:noFill/>
      </xdr:spPr>
    </xdr:sp>
    <xdr:clientData/>
  </xdr:oneCellAnchor>
  <xdr:oneCellAnchor>
    <xdr:from>
      <xdr:col>4</xdr:col>
      <xdr:colOff>1657350</xdr:colOff>
      <xdr:row>78</xdr:row>
      <xdr:rowOff>0</xdr:rowOff>
    </xdr:from>
    <xdr:ext cx="190500" cy="266700"/>
    <xdr:sp macro="" textlink="">
      <xdr:nvSpPr>
        <xdr:cNvPr id="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BA13B5-AD29-42E0-86BB-F040660A56AC}"/>
            </a:ext>
            <a:ext uri="{147F2762-F138-4A5C-976F-8EAC2B608ADB}">
              <a16:predDERef xmlns:a16="http://schemas.microsoft.com/office/drawing/2014/main" pred="{E0ACFC4F-5626-46FC-9153-30CFE3450552}"/>
            </a:ext>
          </a:extLst>
        </xdr:cNvPr>
        <xdr:cNvSpPr>
          <a:spLocks noChangeAspect="1" noChangeArrowheads="1"/>
        </xdr:cNvSpPr>
      </xdr:nvSpPr>
      <xdr:spPr bwMode="auto">
        <a:xfrm>
          <a:off x="7531100" y="15106650"/>
          <a:ext cx="190500" cy="266700"/>
        </a:xfrm>
        <a:prstGeom prst="rect">
          <a:avLst/>
        </a:prstGeom>
        <a:noFill/>
      </xdr:spPr>
    </xdr:sp>
    <xdr:clientData/>
  </xdr:oneCellAnchor>
  <xdr:oneCellAnchor>
    <xdr:from>
      <xdr:col>4</xdr:col>
      <xdr:colOff>1657350</xdr:colOff>
      <xdr:row>78</xdr:row>
      <xdr:rowOff>0</xdr:rowOff>
    </xdr:from>
    <xdr:ext cx="190500" cy="266700"/>
    <xdr:sp macro="" textlink="">
      <xdr:nvSpPr>
        <xdr:cNvPr id="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DEBE581-650E-4EDE-A48E-7FAE8DD57B85}"/>
            </a:ext>
            <a:ext uri="{147F2762-F138-4A5C-976F-8EAC2B608ADB}">
              <a16:predDERef xmlns:a16="http://schemas.microsoft.com/office/drawing/2014/main" pred="{FA717569-919D-4770-B933-0C95E313049F}"/>
            </a:ext>
          </a:extLst>
        </xdr:cNvPr>
        <xdr:cNvSpPr>
          <a:spLocks noChangeAspect="1" noChangeArrowheads="1"/>
        </xdr:cNvSpPr>
      </xdr:nvSpPr>
      <xdr:spPr bwMode="auto">
        <a:xfrm>
          <a:off x="7531100" y="15106650"/>
          <a:ext cx="190500" cy="266700"/>
        </a:xfrm>
        <a:prstGeom prst="rect">
          <a:avLst/>
        </a:prstGeom>
        <a:noFill/>
      </xdr:spPr>
    </xdr:sp>
    <xdr:clientData/>
  </xdr:oneCellAnchor>
  <xdr:oneCellAnchor>
    <xdr:from>
      <xdr:col>4</xdr:col>
      <xdr:colOff>1657350</xdr:colOff>
      <xdr:row>80</xdr:row>
      <xdr:rowOff>0</xdr:rowOff>
    </xdr:from>
    <xdr:ext cx="190500" cy="266700"/>
    <xdr:sp macro="" textlink="">
      <xdr:nvSpPr>
        <xdr:cNvPr id="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6850CEE-E07F-49F9-8D20-F7962EA02A0F}"/>
            </a:ext>
            <a:ext uri="{147F2762-F138-4A5C-976F-8EAC2B608ADB}">
              <a16:predDERef xmlns:a16="http://schemas.microsoft.com/office/drawing/2014/main" pred="{6EB1836B-0F23-43D0-9A5B-FC91B2C6B0B4}"/>
            </a:ext>
          </a:extLst>
        </xdr:cNvPr>
        <xdr:cNvSpPr>
          <a:spLocks noChangeAspect="1" noChangeArrowheads="1"/>
        </xdr:cNvSpPr>
      </xdr:nvSpPr>
      <xdr:spPr bwMode="auto">
        <a:xfrm>
          <a:off x="7531100" y="15474950"/>
          <a:ext cx="190500" cy="266700"/>
        </a:xfrm>
        <a:prstGeom prst="rect">
          <a:avLst/>
        </a:prstGeom>
        <a:noFill/>
      </xdr:spPr>
    </xdr:sp>
    <xdr:clientData/>
  </xdr:oneCellAnchor>
  <xdr:oneCellAnchor>
    <xdr:from>
      <xdr:col>4</xdr:col>
      <xdr:colOff>1657350</xdr:colOff>
      <xdr:row>80</xdr:row>
      <xdr:rowOff>0</xdr:rowOff>
    </xdr:from>
    <xdr:ext cx="190500" cy="266700"/>
    <xdr:sp macro="" textlink="">
      <xdr:nvSpPr>
        <xdr:cNvPr id="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0C29EA-47F5-4F38-BCBF-C98B983A8E35}"/>
            </a:ext>
            <a:ext uri="{147F2762-F138-4A5C-976F-8EAC2B608ADB}">
              <a16:predDERef xmlns:a16="http://schemas.microsoft.com/office/drawing/2014/main" pred="{2F88AC3B-9365-47B6-B703-C5281DD19C34}"/>
            </a:ext>
          </a:extLst>
        </xdr:cNvPr>
        <xdr:cNvSpPr>
          <a:spLocks noChangeAspect="1" noChangeArrowheads="1"/>
        </xdr:cNvSpPr>
      </xdr:nvSpPr>
      <xdr:spPr bwMode="auto">
        <a:xfrm>
          <a:off x="7531100" y="15474950"/>
          <a:ext cx="190500" cy="266700"/>
        </a:xfrm>
        <a:prstGeom prst="rect">
          <a:avLst/>
        </a:prstGeom>
        <a:noFill/>
      </xdr:spPr>
    </xdr:sp>
    <xdr:clientData/>
  </xdr:oneCellAnchor>
  <xdr:oneCellAnchor>
    <xdr:from>
      <xdr:col>4</xdr:col>
      <xdr:colOff>1657350</xdr:colOff>
      <xdr:row>82</xdr:row>
      <xdr:rowOff>0</xdr:rowOff>
    </xdr:from>
    <xdr:ext cx="190500" cy="266700"/>
    <xdr:sp macro="" textlink="">
      <xdr:nvSpPr>
        <xdr:cNvPr id="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BD99CD8-04D4-4724-8B60-E7F2B2EC1C55}"/>
            </a:ext>
            <a:ext uri="{147F2762-F138-4A5C-976F-8EAC2B608ADB}">
              <a16:predDERef xmlns:a16="http://schemas.microsoft.com/office/drawing/2014/main" pred="{F679609A-2070-49A6-BF5A-0DF56C773680}"/>
            </a:ext>
          </a:extLst>
        </xdr:cNvPr>
        <xdr:cNvSpPr>
          <a:spLocks noChangeAspect="1" noChangeArrowheads="1"/>
        </xdr:cNvSpPr>
      </xdr:nvSpPr>
      <xdr:spPr bwMode="auto">
        <a:xfrm>
          <a:off x="7531100" y="15843250"/>
          <a:ext cx="190500" cy="266700"/>
        </a:xfrm>
        <a:prstGeom prst="rect">
          <a:avLst/>
        </a:prstGeom>
        <a:noFill/>
      </xdr:spPr>
    </xdr:sp>
    <xdr:clientData/>
  </xdr:oneCellAnchor>
  <xdr:oneCellAnchor>
    <xdr:from>
      <xdr:col>4</xdr:col>
      <xdr:colOff>1657350</xdr:colOff>
      <xdr:row>82</xdr:row>
      <xdr:rowOff>0</xdr:rowOff>
    </xdr:from>
    <xdr:ext cx="190500" cy="266700"/>
    <xdr:sp macro="" textlink="">
      <xdr:nvSpPr>
        <xdr:cNvPr id="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27E95B-9C15-4C95-9093-DF37DC918061}"/>
            </a:ext>
            <a:ext uri="{147F2762-F138-4A5C-976F-8EAC2B608ADB}">
              <a16:predDERef xmlns:a16="http://schemas.microsoft.com/office/drawing/2014/main" pred="{8E75B31D-42F5-4240-B482-1F2BD57CA3F0}"/>
            </a:ext>
          </a:extLst>
        </xdr:cNvPr>
        <xdr:cNvSpPr>
          <a:spLocks noChangeAspect="1" noChangeArrowheads="1"/>
        </xdr:cNvSpPr>
      </xdr:nvSpPr>
      <xdr:spPr bwMode="auto">
        <a:xfrm>
          <a:off x="7531100" y="15843250"/>
          <a:ext cx="190500" cy="266700"/>
        </a:xfrm>
        <a:prstGeom prst="rect">
          <a:avLst/>
        </a:prstGeom>
        <a:noFill/>
      </xdr:spPr>
    </xdr:sp>
    <xdr:clientData/>
  </xdr:oneCellAnchor>
  <xdr:oneCellAnchor>
    <xdr:from>
      <xdr:col>4</xdr:col>
      <xdr:colOff>1657350</xdr:colOff>
      <xdr:row>84</xdr:row>
      <xdr:rowOff>0</xdr:rowOff>
    </xdr:from>
    <xdr:ext cx="190500" cy="266700"/>
    <xdr:sp macro="" textlink="">
      <xdr:nvSpPr>
        <xdr:cNvPr id="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2EBBC08-EBD4-4887-92DE-0596341F2F4B}"/>
            </a:ext>
            <a:ext uri="{147F2762-F138-4A5C-976F-8EAC2B608ADB}">
              <a16:predDERef xmlns:a16="http://schemas.microsoft.com/office/drawing/2014/main" pred="{60F6FCFD-E96D-4815-B48D-E697E4DA8B84}"/>
            </a:ext>
          </a:extLst>
        </xdr:cNvPr>
        <xdr:cNvSpPr>
          <a:spLocks noChangeAspect="1" noChangeArrowheads="1"/>
        </xdr:cNvSpPr>
      </xdr:nvSpPr>
      <xdr:spPr bwMode="auto">
        <a:xfrm>
          <a:off x="7531100" y="16211550"/>
          <a:ext cx="190500" cy="266700"/>
        </a:xfrm>
        <a:prstGeom prst="rect">
          <a:avLst/>
        </a:prstGeom>
        <a:noFill/>
      </xdr:spPr>
    </xdr:sp>
    <xdr:clientData/>
  </xdr:oneCellAnchor>
  <xdr:oneCellAnchor>
    <xdr:from>
      <xdr:col>4</xdr:col>
      <xdr:colOff>1657350</xdr:colOff>
      <xdr:row>84</xdr:row>
      <xdr:rowOff>0</xdr:rowOff>
    </xdr:from>
    <xdr:ext cx="190500" cy="266700"/>
    <xdr:sp macro="" textlink="">
      <xdr:nvSpPr>
        <xdr:cNvPr id="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FE35C7-4151-4A27-9259-7D975FB9ED6B}"/>
            </a:ext>
            <a:ext uri="{147F2762-F138-4A5C-976F-8EAC2B608ADB}">
              <a16:predDERef xmlns:a16="http://schemas.microsoft.com/office/drawing/2014/main" pred="{D27924C4-BC9B-426A-AD72-8B56A7ED4B1A}"/>
            </a:ext>
          </a:extLst>
        </xdr:cNvPr>
        <xdr:cNvSpPr>
          <a:spLocks noChangeAspect="1" noChangeArrowheads="1"/>
        </xdr:cNvSpPr>
      </xdr:nvSpPr>
      <xdr:spPr bwMode="auto">
        <a:xfrm>
          <a:off x="7531100" y="16211550"/>
          <a:ext cx="190500" cy="266700"/>
        </a:xfrm>
        <a:prstGeom prst="rect">
          <a:avLst/>
        </a:prstGeom>
        <a:noFill/>
      </xdr:spPr>
    </xdr:sp>
    <xdr:clientData/>
  </xdr:oneCellAnchor>
  <xdr:oneCellAnchor>
    <xdr:from>
      <xdr:col>4</xdr:col>
      <xdr:colOff>1657350</xdr:colOff>
      <xdr:row>86</xdr:row>
      <xdr:rowOff>0</xdr:rowOff>
    </xdr:from>
    <xdr:ext cx="190500" cy="266700"/>
    <xdr:sp macro="" textlink="">
      <xdr:nvSpPr>
        <xdr:cNvPr id="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96149EE-0168-412F-B22C-6864C65BE452}"/>
            </a:ext>
            <a:ext uri="{147F2762-F138-4A5C-976F-8EAC2B608ADB}">
              <a16:predDERef xmlns:a16="http://schemas.microsoft.com/office/drawing/2014/main" pred="{FFEE498C-74EA-4BC7-8BBE-B962B268C1A0}"/>
            </a:ext>
          </a:extLst>
        </xdr:cNvPr>
        <xdr:cNvSpPr>
          <a:spLocks noChangeAspect="1" noChangeArrowheads="1"/>
        </xdr:cNvSpPr>
      </xdr:nvSpPr>
      <xdr:spPr bwMode="auto">
        <a:xfrm>
          <a:off x="7531100" y="16725900"/>
          <a:ext cx="190500" cy="266700"/>
        </a:xfrm>
        <a:prstGeom prst="rect">
          <a:avLst/>
        </a:prstGeom>
        <a:noFill/>
      </xdr:spPr>
    </xdr:sp>
    <xdr:clientData/>
  </xdr:oneCellAnchor>
  <xdr:oneCellAnchor>
    <xdr:from>
      <xdr:col>4</xdr:col>
      <xdr:colOff>1657350</xdr:colOff>
      <xdr:row>86</xdr:row>
      <xdr:rowOff>0</xdr:rowOff>
    </xdr:from>
    <xdr:ext cx="190500" cy="266700"/>
    <xdr:sp macro="" textlink="">
      <xdr:nvSpPr>
        <xdr:cNvPr id="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E135C36-1CB5-4FAE-8FC9-E3CBFB86F2E1}"/>
            </a:ext>
            <a:ext uri="{147F2762-F138-4A5C-976F-8EAC2B608ADB}">
              <a16:predDERef xmlns:a16="http://schemas.microsoft.com/office/drawing/2014/main" pred="{F342BEBC-4873-4025-9B66-67046EA35ACE}"/>
            </a:ext>
          </a:extLst>
        </xdr:cNvPr>
        <xdr:cNvSpPr>
          <a:spLocks noChangeAspect="1" noChangeArrowheads="1"/>
        </xdr:cNvSpPr>
      </xdr:nvSpPr>
      <xdr:spPr bwMode="auto">
        <a:xfrm>
          <a:off x="7531100" y="16725900"/>
          <a:ext cx="190500" cy="266700"/>
        </a:xfrm>
        <a:prstGeom prst="rect">
          <a:avLst/>
        </a:prstGeom>
        <a:noFill/>
      </xdr:spPr>
    </xdr:sp>
    <xdr:clientData/>
  </xdr:oneCellAnchor>
  <xdr:oneCellAnchor>
    <xdr:from>
      <xdr:col>4</xdr:col>
      <xdr:colOff>1657350</xdr:colOff>
      <xdr:row>88</xdr:row>
      <xdr:rowOff>0</xdr:rowOff>
    </xdr:from>
    <xdr:ext cx="190500" cy="266700"/>
    <xdr:sp macro="" textlink="">
      <xdr:nvSpPr>
        <xdr:cNvPr id="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00CE529-6C6F-460F-BAD8-815AF87F2814}"/>
            </a:ext>
            <a:ext uri="{147F2762-F138-4A5C-976F-8EAC2B608ADB}">
              <a16:predDERef xmlns:a16="http://schemas.microsoft.com/office/drawing/2014/main" pred="{4200927D-2984-42E1-BA62-87897803612D}"/>
            </a:ext>
          </a:extLst>
        </xdr:cNvPr>
        <xdr:cNvSpPr>
          <a:spLocks noChangeAspect="1" noChangeArrowheads="1"/>
        </xdr:cNvSpPr>
      </xdr:nvSpPr>
      <xdr:spPr bwMode="auto">
        <a:xfrm>
          <a:off x="7531100" y="17240250"/>
          <a:ext cx="190500" cy="266700"/>
        </a:xfrm>
        <a:prstGeom prst="rect">
          <a:avLst/>
        </a:prstGeom>
        <a:noFill/>
      </xdr:spPr>
    </xdr:sp>
    <xdr:clientData/>
  </xdr:oneCellAnchor>
  <xdr:oneCellAnchor>
    <xdr:from>
      <xdr:col>4</xdr:col>
      <xdr:colOff>1657350</xdr:colOff>
      <xdr:row>88</xdr:row>
      <xdr:rowOff>0</xdr:rowOff>
    </xdr:from>
    <xdr:ext cx="190500" cy="266700"/>
    <xdr:sp macro="" textlink="">
      <xdr:nvSpPr>
        <xdr:cNvPr id="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4DB2F32-E4F5-420B-8720-07A642566BA2}"/>
            </a:ext>
            <a:ext uri="{147F2762-F138-4A5C-976F-8EAC2B608ADB}">
              <a16:predDERef xmlns:a16="http://schemas.microsoft.com/office/drawing/2014/main" pred="{F59C947A-C0A7-426D-97CD-8B134F8833D4}"/>
            </a:ext>
          </a:extLst>
        </xdr:cNvPr>
        <xdr:cNvSpPr>
          <a:spLocks noChangeAspect="1" noChangeArrowheads="1"/>
        </xdr:cNvSpPr>
      </xdr:nvSpPr>
      <xdr:spPr bwMode="auto">
        <a:xfrm>
          <a:off x="7531100" y="17240250"/>
          <a:ext cx="190500" cy="266700"/>
        </a:xfrm>
        <a:prstGeom prst="rect">
          <a:avLst/>
        </a:prstGeom>
        <a:noFill/>
      </xdr:spPr>
    </xdr:sp>
    <xdr:clientData/>
  </xdr:oneCellAnchor>
  <xdr:oneCellAnchor>
    <xdr:from>
      <xdr:col>4</xdr:col>
      <xdr:colOff>1657350</xdr:colOff>
      <xdr:row>90</xdr:row>
      <xdr:rowOff>0</xdr:rowOff>
    </xdr:from>
    <xdr:ext cx="190500" cy="266700"/>
    <xdr:sp macro="" textlink="">
      <xdr:nvSpPr>
        <xdr:cNvPr id="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CAA718F-587D-4A26-8611-F2058A7B4522}"/>
            </a:ext>
            <a:ext uri="{147F2762-F138-4A5C-976F-8EAC2B608ADB}">
              <a16:predDERef xmlns:a16="http://schemas.microsoft.com/office/drawing/2014/main" pred="{439590A0-690B-4AA2-B8E8-446959012247}"/>
            </a:ext>
          </a:extLst>
        </xdr:cNvPr>
        <xdr:cNvSpPr>
          <a:spLocks noChangeAspect="1" noChangeArrowheads="1"/>
        </xdr:cNvSpPr>
      </xdr:nvSpPr>
      <xdr:spPr bwMode="auto">
        <a:xfrm>
          <a:off x="7531100" y="17608550"/>
          <a:ext cx="190500" cy="266700"/>
        </a:xfrm>
        <a:prstGeom prst="rect">
          <a:avLst/>
        </a:prstGeom>
        <a:noFill/>
      </xdr:spPr>
    </xdr:sp>
    <xdr:clientData/>
  </xdr:oneCellAnchor>
  <xdr:oneCellAnchor>
    <xdr:from>
      <xdr:col>4</xdr:col>
      <xdr:colOff>1657350</xdr:colOff>
      <xdr:row>90</xdr:row>
      <xdr:rowOff>0</xdr:rowOff>
    </xdr:from>
    <xdr:ext cx="190500" cy="266700"/>
    <xdr:sp macro="" textlink="">
      <xdr:nvSpPr>
        <xdr:cNvPr id="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5BB0FFC-9242-4525-9715-3AA70EDBD079}"/>
            </a:ext>
            <a:ext uri="{147F2762-F138-4A5C-976F-8EAC2B608ADB}">
              <a16:predDERef xmlns:a16="http://schemas.microsoft.com/office/drawing/2014/main" pred="{76B04A15-B80B-4A8D-9D5A-17D5EA8CB511}"/>
            </a:ext>
          </a:extLst>
        </xdr:cNvPr>
        <xdr:cNvSpPr>
          <a:spLocks noChangeAspect="1" noChangeArrowheads="1"/>
        </xdr:cNvSpPr>
      </xdr:nvSpPr>
      <xdr:spPr bwMode="auto">
        <a:xfrm>
          <a:off x="7531100" y="17608550"/>
          <a:ext cx="190500" cy="266700"/>
        </a:xfrm>
        <a:prstGeom prst="rect">
          <a:avLst/>
        </a:prstGeom>
        <a:noFill/>
      </xdr:spPr>
    </xdr:sp>
    <xdr:clientData/>
  </xdr:oneCellAnchor>
  <xdr:oneCellAnchor>
    <xdr:from>
      <xdr:col>4</xdr:col>
      <xdr:colOff>1657350</xdr:colOff>
      <xdr:row>92</xdr:row>
      <xdr:rowOff>0</xdr:rowOff>
    </xdr:from>
    <xdr:ext cx="190500" cy="266700"/>
    <xdr:sp macro="" textlink="">
      <xdr:nvSpPr>
        <xdr:cNvPr id="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DEFE788-A243-42C5-B289-47F2DAA9274E}"/>
            </a:ext>
            <a:ext uri="{147F2762-F138-4A5C-976F-8EAC2B608ADB}">
              <a16:predDERef xmlns:a16="http://schemas.microsoft.com/office/drawing/2014/main" pred="{5E4A18A4-1A9B-41E3-8A42-D00EF899E2CD}"/>
            </a:ext>
          </a:extLst>
        </xdr:cNvPr>
        <xdr:cNvSpPr>
          <a:spLocks noChangeAspect="1" noChangeArrowheads="1"/>
        </xdr:cNvSpPr>
      </xdr:nvSpPr>
      <xdr:spPr bwMode="auto">
        <a:xfrm>
          <a:off x="7531100" y="18122900"/>
          <a:ext cx="190500" cy="266700"/>
        </a:xfrm>
        <a:prstGeom prst="rect">
          <a:avLst/>
        </a:prstGeom>
        <a:noFill/>
      </xdr:spPr>
    </xdr:sp>
    <xdr:clientData/>
  </xdr:oneCellAnchor>
  <xdr:oneCellAnchor>
    <xdr:from>
      <xdr:col>4</xdr:col>
      <xdr:colOff>1657350</xdr:colOff>
      <xdr:row>92</xdr:row>
      <xdr:rowOff>0</xdr:rowOff>
    </xdr:from>
    <xdr:ext cx="190500" cy="266700"/>
    <xdr:sp macro="" textlink="">
      <xdr:nvSpPr>
        <xdr:cNvPr id="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B7B768D-4D8A-42BB-8A0C-4218271E9FCF}"/>
            </a:ext>
            <a:ext uri="{147F2762-F138-4A5C-976F-8EAC2B608ADB}">
              <a16:predDERef xmlns:a16="http://schemas.microsoft.com/office/drawing/2014/main" pred="{FC4C38A4-E35B-4398-AD9D-7820A39EBC81}"/>
            </a:ext>
          </a:extLst>
        </xdr:cNvPr>
        <xdr:cNvSpPr>
          <a:spLocks noChangeAspect="1" noChangeArrowheads="1"/>
        </xdr:cNvSpPr>
      </xdr:nvSpPr>
      <xdr:spPr bwMode="auto">
        <a:xfrm>
          <a:off x="7531100" y="18122900"/>
          <a:ext cx="190500" cy="266700"/>
        </a:xfrm>
        <a:prstGeom prst="rect">
          <a:avLst/>
        </a:prstGeom>
        <a:noFill/>
      </xdr:spPr>
    </xdr:sp>
    <xdr:clientData/>
  </xdr:oneCellAnchor>
  <xdr:oneCellAnchor>
    <xdr:from>
      <xdr:col>4</xdr:col>
      <xdr:colOff>1657350</xdr:colOff>
      <xdr:row>94</xdr:row>
      <xdr:rowOff>0</xdr:rowOff>
    </xdr:from>
    <xdr:ext cx="190500" cy="266700"/>
    <xdr:sp macro="" textlink="">
      <xdr:nvSpPr>
        <xdr:cNvPr id="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20DDBE6-9B11-4E1B-8831-E764F4788002}"/>
            </a:ext>
            <a:ext uri="{147F2762-F138-4A5C-976F-8EAC2B608ADB}">
              <a16:predDERef xmlns:a16="http://schemas.microsoft.com/office/drawing/2014/main" pred="{E73DB866-F0EE-4201-82AF-B3119A547D53}"/>
            </a:ext>
          </a:extLst>
        </xdr:cNvPr>
        <xdr:cNvSpPr>
          <a:spLocks noChangeAspect="1" noChangeArrowheads="1"/>
        </xdr:cNvSpPr>
      </xdr:nvSpPr>
      <xdr:spPr bwMode="auto">
        <a:xfrm>
          <a:off x="7531100" y="18491200"/>
          <a:ext cx="190500" cy="266700"/>
        </a:xfrm>
        <a:prstGeom prst="rect">
          <a:avLst/>
        </a:prstGeom>
        <a:noFill/>
      </xdr:spPr>
    </xdr:sp>
    <xdr:clientData/>
  </xdr:oneCellAnchor>
  <xdr:oneCellAnchor>
    <xdr:from>
      <xdr:col>4</xdr:col>
      <xdr:colOff>1657350</xdr:colOff>
      <xdr:row>94</xdr:row>
      <xdr:rowOff>0</xdr:rowOff>
    </xdr:from>
    <xdr:ext cx="190500" cy="266700"/>
    <xdr:sp macro="" textlink="">
      <xdr:nvSpPr>
        <xdr:cNvPr id="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1CC7938-5D29-416E-B350-141242373E54}"/>
            </a:ext>
            <a:ext uri="{147F2762-F138-4A5C-976F-8EAC2B608ADB}">
              <a16:predDERef xmlns:a16="http://schemas.microsoft.com/office/drawing/2014/main" pred="{A469AA48-9B0B-4289-BF2F-6382958F0CD4}"/>
            </a:ext>
          </a:extLst>
        </xdr:cNvPr>
        <xdr:cNvSpPr>
          <a:spLocks noChangeAspect="1" noChangeArrowheads="1"/>
        </xdr:cNvSpPr>
      </xdr:nvSpPr>
      <xdr:spPr bwMode="auto">
        <a:xfrm>
          <a:off x="7531100" y="18491200"/>
          <a:ext cx="190500" cy="266700"/>
        </a:xfrm>
        <a:prstGeom prst="rect">
          <a:avLst/>
        </a:prstGeom>
        <a:noFill/>
      </xdr:spPr>
    </xdr:sp>
    <xdr:clientData/>
  </xdr:oneCellAnchor>
  <xdr:oneCellAnchor>
    <xdr:from>
      <xdr:col>4</xdr:col>
      <xdr:colOff>1657350</xdr:colOff>
      <xdr:row>96</xdr:row>
      <xdr:rowOff>0</xdr:rowOff>
    </xdr:from>
    <xdr:ext cx="190500" cy="266700"/>
    <xdr:sp macro="" textlink="">
      <xdr:nvSpPr>
        <xdr:cNvPr id="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79B74B1-4C8F-4F01-9834-730ABBE982F1}"/>
            </a:ext>
            <a:ext uri="{147F2762-F138-4A5C-976F-8EAC2B608ADB}">
              <a16:predDERef xmlns:a16="http://schemas.microsoft.com/office/drawing/2014/main" pred="{01C68800-2CDF-4154-8155-60A82770E3C5}"/>
            </a:ext>
          </a:extLst>
        </xdr:cNvPr>
        <xdr:cNvSpPr>
          <a:spLocks noChangeAspect="1" noChangeArrowheads="1"/>
        </xdr:cNvSpPr>
      </xdr:nvSpPr>
      <xdr:spPr bwMode="auto">
        <a:xfrm>
          <a:off x="7531100" y="18859500"/>
          <a:ext cx="190500" cy="266700"/>
        </a:xfrm>
        <a:prstGeom prst="rect">
          <a:avLst/>
        </a:prstGeom>
        <a:noFill/>
      </xdr:spPr>
    </xdr:sp>
    <xdr:clientData/>
  </xdr:oneCellAnchor>
  <xdr:oneCellAnchor>
    <xdr:from>
      <xdr:col>4</xdr:col>
      <xdr:colOff>1657350</xdr:colOff>
      <xdr:row>96</xdr:row>
      <xdr:rowOff>0</xdr:rowOff>
    </xdr:from>
    <xdr:ext cx="190500" cy="266700"/>
    <xdr:sp macro="" textlink="">
      <xdr:nvSpPr>
        <xdr:cNvPr id="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A1F1152-7BA3-456A-A6E8-8E6CF79F4E4D}"/>
            </a:ext>
            <a:ext uri="{147F2762-F138-4A5C-976F-8EAC2B608ADB}">
              <a16:predDERef xmlns:a16="http://schemas.microsoft.com/office/drawing/2014/main" pred="{83E4CF29-F916-4D58-B6AC-846CA3949903}"/>
            </a:ext>
          </a:extLst>
        </xdr:cNvPr>
        <xdr:cNvSpPr>
          <a:spLocks noChangeAspect="1" noChangeArrowheads="1"/>
        </xdr:cNvSpPr>
      </xdr:nvSpPr>
      <xdr:spPr bwMode="auto">
        <a:xfrm>
          <a:off x="7531100" y="18859500"/>
          <a:ext cx="190500" cy="266700"/>
        </a:xfrm>
        <a:prstGeom prst="rect">
          <a:avLst/>
        </a:prstGeom>
        <a:noFill/>
      </xdr:spPr>
    </xdr:sp>
    <xdr:clientData/>
  </xdr:oneCellAnchor>
  <xdr:oneCellAnchor>
    <xdr:from>
      <xdr:col>4</xdr:col>
      <xdr:colOff>1657350</xdr:colOff>
      <xdr:row>98</xdr:row>
      <xdr:rowOff>0</xdr:rowOff>
    </xdr:from>
    <xdr:ext cx="190500" cy="266700"/>
    <xdr:sp macro="" textlink="">
      <xdr:nvSpPr>
        <xdr:cNvPr id="1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9FBF29F-C0EB-40A2-904F-BB12CD8887AA}"/>
            </a:ext>
            <a:ext uri="{147F2762-F138-4A5C-976F-8EAC2B608ADB}">
              <a16:predDERef xmlns:a16="http://schemas.microsoft.com/office/drawing/2014/main" pred="{9FB4FAA2-8F76-4C67-8048-5C1992CBA846}"/>
            </a:ext>
          </a:extLst>
        </xdr:cNvPr>
        <xdr:cNvSpPr>
          <a:spLocks noChangeAspect="1" noChangeArrowheads="1"/>
        </xdr:cNvSpPr>
      </xdr:nvSpPr>
      <xdr:spPr bwMode="auto">
        <a:xfrm>
          <a:off x="7531100" y="19373850"/>
          <a:ext cx="190500" cy="266700"/>
        </a:xfrm>
        <a:prstGeom prst="rect">
          <a:avLst/>
        </a:prstGeom>
        <a:noFill/>
      </xdr:spPr>
    </xdr:sp>
    <xdr:clientData/>
  </xdr:oneCellAnchor>
  <xdr:oneCellAnchor>
    <xdr:from>
      <xdr:col>4</xdr:col>
      <xdr:colOff>1657350</xdr:colOff>
      <xdr:row>98</xdr:row>
      <xdr:rowOff>0</xdr:rowOff>
    </xdr:from>
    <xdr:ext cx="190500" cy="266700"/>
    <xdr:sp macro="" textlink="">
      <xdr:nvSpPr>
        <xdr:cNvPr id="1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7E1D6CC-F221-4CDD-8A62-7A3DE087238E}"/>
            </a:ext>
            <a:ext uri="{147F2762-F138-4A5C-976F-8EAC2B608ADB}">
              <a16:predDERef xmlns:a16="http://schemas.microsoft.com/office/drawing/2014/main" pred="{59AADFCF-82EF-4BD9-8C9D-DE818C89F722}"/>
            </a:ext>
          </a:extLst>
        </xdr:cNvPr>
        <xdr:cNvSpPr>
          <a:spLocks noChangeAspect="1" noChangeArrowheads="1"/>
        </xdr:cNvSpPr>
      </xdr:nvSpPr>
      <xdr:spPr bwMode="auto">
        <a:xfrm>
          <a:off x="7531100" y="19373850"/>
          <a:ext cx="190500" cy="266700"/>
        </a:xfrm>
        <a:prstGeom prst="rect">
          <a:avLst/>
        </a:prstGeom>
        <a:noFill/>
      </xdr:spPr>
    </xdr:sp>
    <xdr:clientData/>
  </xdr:oneCellAnchor>
  <xdr:oneCellAnchor>
    <xdr:from>
      <xdr:col>4</xdr:col>
      <xdr:colOff>1657350</xdr:colOff>
      <xdr:row>100</xdr:row>
      <xdr:rowOff>0</xdr:rowOff>
    </xdr:from>
    <xdr:ext cx="190500" cy="266700"/>
    <xdr:sp macro="" textlink="">
      <xdr:nvSpPr>
        <xdr:cNvPr id="1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1ED996D-1E16-456C-94CE-A4AF89CABB14}"/>
            </a:ext>
            <a:ext uri="{147F2762-F138-4A5C-976F-8EAC2B608ADB}">
              <a16:predDERef xmlns:a16="http://schemas.microsoft.com/office/drawing/2014/main" pred="{F7DFC0BC-25A9-4E32-ACF4-ED0CAF5E5251}"/>
            </a:ext>
          </a:extLst>
        </xdr:cNvPr>
        <xdr:cNvSpPr>
          <a:spLocks noChangeAspect="1" noChangeArrowheads="1"/>
        </xdr:cNvSpPr>
      </xdr:nvSpPr>
      <xdr:spPr bwMode="auto">
        <a:xfrm>
          <a:off x="7531100" y="19742150"/>
          <a:ext cx="190500" cy="266700"/>
        </a:xfrm>
        <a:prstGeom prst="rect">
          <a:avLst/>
        </a:prstGeom>
        <a:noFill/>
      </xdr:spPr>
    </xdr:sp>
    <xdr:clientData/>
  </xdr:oneCellAnchor>
  <xdr:oneCellAnchor>
    <xdr:from>
      <xdr:col>4</xdr:col>
      <xdr:colOff>1657350</xdr:colOff>
      <xdr:row>100</xdr:row>
      <xdr:rowOff>0</xdr:rowOff>
    </xdr:from>
    <xdr:ext cx="190500" cy="266700"/>
    <xdr:sp macro="" textlink="">
      <xdr:nvSpPr>
        <xdr:cNvPr id="1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3E85225-89B5-4842-B4E2-C8E5C3A7D07B}"/>
            </a:ext>
            <a:ext uri="{147F2762-F138-4A5C-976F-8EAC2B608ADB}">
              <a16:predDERef xmlns:a16="http://schemas.microsoft.com/office/drawing/2014/main" pred="{D307C793-3EE9-427F-9EF9-1E372AA1FDE0}"/>
            </a:ext>
          </a:extLst>
        </xdr:cNvPr>
        <xdr:cNvSpPr>
          <a:spLocks noChangeAspect="1" noChangeArrowheads="1"/>
        </xdr:cNvSpPr>
      </xdr:nvSpPr>
      <xdr:spPr bwMode="auto">
        <a:xfrm>
          <a:off x="7531100" y="19742150"/>
          <a:ext cx="190500" cy="266700"/>
        </a:xfrm>
        <a:prstGeom prst="rect">
          <a:avLst/>
        </a:prstGeom>
        <a:noFill/>
      </xdr:spPr>
    </xdr:sp>
    <xdr:clientData/>
  </xdr:oneCellAnchor>
  <xdr:oneCellAnchor>
    <xdr:from>
      <xdr:col>4</xdr:col>
      <xdr:colOff>1657350</xdr:colOff>
      <xdr:row>102</xdr:row>
      <xdr:rowOff>0</xdr:rowOff>
    </xdr:from>
    <xdr:ext cx="190500" cy="266700"/>
    <xdr:sp macro="" textlink="">
      <xdr:nvSpPr>
        <xdr:cNvPr id="1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C2B2D41-CEB0-422A-8056-94A5A335D913}"/>
            </a:ext>
            <a:ext uri="{147F2762-F138-4A5C-976F-8EAC2B608ADB}">
              <a16:predDERef xmlns:a16="http://schemas.microsoft.com/office/drawing/2014/main" pred="{2639AF67-54ED-4128-B1A6-B609E6060AE0}"/>
            </a:ext>
          </a:extLst>
        </xdr:cNvPr>
        <xdr:cNvSpPr>
          <a:spLocks noChangeAspect="1" noChangeArrowheads="1"/>
        </xdr:cNvSpPr>
      </xdr:nvSpPr>
      <xdr:spPr bwMode="auto">
        <a:xfrm>
          <a:off x="7531100" y="20110450"/>
          <a:ext cx="190500" cy="266700"/>
        </a:xfrm>
        <a:prstGeom prst="rect">
          <a:avLst/>
        </a:prstGeom>
        <a:noFill/>
      </xdr:spPr>
    </xdr:sp>
    <xdr:clientData/>
  </xdr:oneCellAnchor>
  <xdr:oneCellAnchor>
    <xdr:from>
      <xdr:col>4</xdr:col>
      <xdr:colOff>1657350</xdr:colOff>
      <xdr:row>102</xdr:row>
      <xdr:rowOff>0</xdr:rowOff>
    </xdr:from>
    <xdr:ext cx="190500" cy="266700"/>
    <xdr:sp macro="" textlink="">
      <xdr:nvSpPr>
        <xdr:cNvPr id="1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036A095-779E-48E6-AA3E-6B5535D7D0A5}"/>
            </a:ext>
            <a:ext uri="{147F2762-F138-4A5C-976F-8EAC2B608ADB}">
              <a16:predDERef xmlns:a16="http://schemas.microsoft.com/office/drawing/2014/main" pred="{7F2578D7-81D1-452B-A0B1-27BEEE57EEED}"/>
            </a:ext>
          </a:extLst>
        </xdr:cNvPr>
        <xdr:cNvSpPr>
          <a:spLocks noChangeAspect="1" noChangeArrowheads="1"/>
        </xdr:cNvSpPr>
      </xdr:nvSpPr>
      <xdr:spPr bwMode="auto">
        <a:xfrm>
          <a:off x="7531100" y="20110450"/>
          <a:ext cx="190500" cy="266700"/>
        </a:xfrm>
        <a:prstGeom prst="rect">
          <a:avLst/>
        </a:prstGeom>
        <a:noFill/>
      </xdr:spPr>
    </xdr:sp>
    <xdr:clientData/>
  </xdr:oneCellAnchor>
  <xdr:oneCellAnchor>
    <xdr:from>
      <xdr:col>4</xdr:col>
      <xdr:colOff>1657350</xdr:colOff>
      <xdr:row>104</xdr:row>
      <xdr:rowOff>0</xdr:rowOff>
    </xdr:from>
    <xdr:ext cx="190500" cy="266700"/>
    <xdr:sp macro="" textlink="">
      <xdr:nvSpPr>
        <xdr:cNvPr id="1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2B1C05A-ADEE-45FD-BBFC-F346656CD4C2}"/>
            </a:ext>
            <a:ext uri="{147F2762-F138-4A5C-976F-8EAC2B608ADB}">
              <a16:predDERef xmlns:a16="http://schemas.microsoft.com/office/drawing/2014/main" pred="{EF24677F-8B73-4C17-BB35-98C5DD4EB25E}"/>
            </a:ext>
          </a:extLst>
        </xdr:cNvPr>
        <xdr:cNvSpPr>
          <a:spLocks noChangeAspect="1" noChangeArrowheads="1"/>
        </xdr:cNvSpPr>
      </xdr:nvSpPr>
      <xdr:spPr bwMode="auto">
        <a:xfrm>
          <a:off x="7531100" y="20478750"/>
          <a:ext cx="190500" cy="266700"/>
        </a:xfrm>
        <a:prstGeom prst="rect">
          <a:avLst/>
        </a:prstGeom>
        <a:noFill/>
      </xdr:spPr>
    </xdr:sp>
    <xdr:clientData/>
  </xdr:oneCellAnchor>
  <xdr:oneCellAnchor>
    <xdr:from>
      <xdr:col>4</xdr:col>
      <xdr:colOff>1657350</xdr:colOff>
      <xdr:row>104</xdr:row>
      <xdr:rowOff>0</xdr:rowOff>
    </xdr:from>
    <xdr:ext cx="190500" cy="266700"/>
    <xdr:sp macro="" textlink="">
      <xdr:nvSpPr>
        <xdr:cNvPr id="1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1AEDDF4-BB86-4CCC-88C7-61525CD34EF5}"/>
            </a:ext>
            <a:ext uri="{147F2762-F138-4A5C-976F-8EAC2B608ADB}">
              <a16:predDERef xmlns:a16="http://schemas.microsoft.com/office/drawing/2014/main" pred="{6B2235F2-95C4-4D8F-80FA-67191A5D6F5B}"/>
            </a:ext>
          </a:extLst>
        </xdr:cNvPr>
        <xdr:cNvSpPr>
          <a:spLocks noChangeAspect="1" noChangeArrowheads="1"/>
        </xdr:cNvSpPr>
      </xdr:nvSpPr>
      <xdr:spPr bwMode="auto">
        <a:xfrm>
          <a:off x="7531100" y="20478750"/>
          <a:ext cx="190500" cy="266700"/>
        </a:xfrm>
        <a:prstGeom prst="rect">
          <a:avLst/>
        </a:prstGeom>
        <a:noFill/>
      </xdr:spPr>
    </xdr:sp>
    <xdr:clientData/>
  </xdr:oneCellAnchor>
  <xdr:oneCellAnchor>
    <xdr:from>
      <xdr:col>4</xdr:col>
      <xdr:colOff>1657350</xdr:colOff>
      <xdr:row>106</xdr:row>
      <xdr:rowOff>0</xdr:rowOff>
    </xdr:from>
    <xdr:ext cx="190500" cy="266700"/>
    <xdr:sp macro="" textlink="">
      <xdr:nvSpPr>
        <xdr:cNvPr id="1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24EDB1A-4DCD-4D97-B929-9B5731DEE1F1}"/>
            </a:ext>
            <a:ext uri="{147F2762-F138-4A5C-976F-8EAC2B608ADB}">
              <a16:predDERef xmlns:a16="http://schemas.microsoft.com/office/drawing/2014/main" pred="{72CB0892-448B-42CB-B1DE-E93927398A7A}"/>
            </a:ext>
          </a:extLst>
        </xdr:cNvPr>
        <xdr:cNvSpPr>
          <a:spLocks noChangeAspect="1" noChangeArrowheads="1"/>
        </xdr:cNvSpPr>
      </xdr:nvSpPr>
      <xdr:spPr bwMode="auto">
        <a:xfrm>
          <a:off x="7531100" y="20847050"/>
          <a:ext cx="190500" cy="266700"/>
        </a:xfrm>
        <a:prstGeom prst="rect">
          <a:avLst/>
        </a:prstGeom>
        <a:noFill/>
      </xdr:spPr>
    </xdr:sp>
    <xdr:clientData/>
  </xdr:oneCellAnchor>
  <xdr:oneCellAnchor>
    <xdr:from>
      <xdr:col>4</xdr:col>
      <xdr:colOff>1657350</xdr:colOff>
      <xdr:row>106</xdr:row>
      <xdr:rowOff>0</xdr:rowOff>
    </xdr:from>
    <xdr:ext cx="190500" cy="266700"/>
    <xdr:sp macro="" textlink="">
      <xdr:nvSpPr>
        <xdr:cNvPr id="1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E2FF40C-299B-4C79-8C03-FFEECA3A24BF}"/>
            </a:ext>
            <a:ext uri="{147F2762-F138-4A5C-976F-8EAC2B608ADB}">
              <a16:predDERef xmlns:a16="http://schemas.microsoft.com/office/drawing/2014/main" pred="{85D45E00-94E3-4DAE-A596-92350A5BEEE5}"/>
            </a:ext>
          </a:extLst>
        </xdr:cNvPr>
        <xdr:cNvSpPr>
          <a:spLocks noChangeAspect="1" noChangeArrowheads="1"/>
        </xdr:cNvSpPr>
      </xdr:nvSpPr>
      <xdr:spPr bwMode="auto">
        <a:xfrm>
          <a:off x="7531100" y="20847050"/>
          <a:ext cx="190500" cy="266700"/>
        </a:xfrm>
        <a:prstGeom prst="rect">
          <a:avLst/>
        </a:prstGeom>
        <a:noFill/>
      </xdr:spPr>
    </xdr:sp>
    <xdr:clientData/>
  </xdr:oneCellAnchor>
  <xdr:oneCellAnchor>
    <xdr:from>
      <xdr:col>4</xdr:col>
      <xdr:colOff>1657350</xdr:colOff>
      <xdr:row>108</xdr:row>
      <xdr:rowOff>0</xdr:rowOff>
    </xdr:from>
    <xdr:ext cx="190500" cy="266700"/>
    <xdr:sp macro="" textlink="">
      <xdr:nvSpPr>
        <xdr:cNvPr id="1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C26F858-26F6-46C0-A120-FC1D2E100041}"/>
            </a:ext>
            <a:ext uri="{147F2762-F138-4A5C-976F-8EAC2B608ADB}">
              <a16:predDERef xmlns:a16="http://schemas.microsoft.com/office/drawing/2014/main" pred="{6A4A64C5-079C-42BF-83B4-83496492044D}"/>
            </a:ext>
          </a:extLst>
        </xdr:cNvPr>
        <xdr:cNvSpPr>
          <a:spLocks noChangeAspect="1" noChangeArrowheads="1"/>
        </xdr:cNvSpPr>
      </xdr:nvSpPr>
      <xdr:spPr bwMode="auto">
        <a:xfrm>
          <a:off x="7531100" y="21215350"/>
          <a:ext cx="190500" cy="266700"/>
        </a:xfrm>
        <a:prstGeom prst="rect">
          <a:avLst/>
        </a:prstGeom>
        <a:noFill/>
      </xdr:spPr>
    </xdr:sp>
    <xdr:clientData/>
  </xdr:oneCellAnchor>
  <xdr:oneCellAnchor>
    <xdr:from>
      <xdr:col>4</xdr:col>
      <xdr:colOff>1657350</xdr:colOff>
      <xdr:row>108</xdr:row>
      <xdr:rowOff>0</xdr:rowOff>
    </xdr:from>
    <xdr:ext cx="190500" cy="266700"/>
    <xdr:sp macro="" textlink="">
      <xdr:nvSpPr>
        <xdr:cNvPr id="1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4D632F-FF54-48F2-AF59-518667651262}"/>
            </a:ext>
            <a:ext uri="{147F2762-F138-4A5C-976F-8EAC2B608ADB}">
              <a16:predDERef xmlns:a16="http://schemas.microsoft.com/office/drawing/2014/main" pred="{51844FBB-F4AB-42F9-A8BD-8A61DDD63476}"/>
            </a:ext>
          </a:extLst>
        </xdr:cNvPr>
        <xdr:cNvSpPr>
          <a:spLocks noChangeAspect="1" noChangeArrowheads="1"/>
        </xdr:cNvSpPr>
      </xdr:nvSpPr>
      <xdr:spPr bwMode="auto">
        <a:xfrm>
          <a:off x="7531100" y="21215350"/>
          <a:ext cx="190500" cy="266700"/>
        </a:xfrm>
        <a:prstGeom prst="rect">
          <a:avLst/>
        </a:prstGeom>
        <a:noFill/>
      </xdr:spPr>
    </xdr:sp>
    <xdr:clientData/>
  </xdr:oneCellAnchor>
  <xdr:oneCellAnchor>
    <xdr:from>
      <xdr:col>4</xdr:col>
      <xdr:colOff>1657350</xdr:colOff>
      <xdr:row>110</xdr:row>
      <xdr:rowOff>0</xdr:rowOff>
    </xdr:from>
    <xdr:ext cx="190500" cy="266700"/>
    <xdr:sp macro="" textlink="">
      <xdr:nvSpPr>
        <xdr:cNvPr id="1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DFACC5E-1DA6-4438-B064-FB97D62B700E}"/>
            </a:ext>
            <a:ext uri="{147F2762-F138-4A5C-976F-8EAC2B608ADB}">
              <a16:predDERef xmlns:a16="http://schemas.microsoft.com/office/drawing/2014/main" pred="{1A4A9500-4F93-4634-80C5-7FABA180BC77}"/>
            </a:ext>
          </a:extLst>
        </xdr:cNvPr>
        <xdr:cNvSpPr>
          <a:spLocks noChangeAspect="1" noChangeArrowheads="1"/>
        </xdr:cNvSpPr>
      </xdr:nvSpPr>
      <xdr:spPr bwMode="auto">
        <a:xfrm>
          <a:off x="7531100" y="21583650"/>
          <a:ext cx="190500" cy="266700"/>
        </a:xfrm>
        <a:prstGeom prst="rect">
          <a:avLst/>
        </a:prstGeom>
        <a:noFill/>
      </xdr:spPr>
    </xdr:sp>
    <xdr:clientData/>
  </xdr:oneCellAnchor>
  <xdr:oneCellAnchor>
    <xdr:from>
      <xdr:col>4</xdr:col>
      <xdr:colOff>1657350</xdr:colOff>
      <xdr:row>110</xdr:row>
      <xdr:rowOff>0</xdr:rowOff>
    </xdr:from>
    <xdr:ext cx="190500" cy="266700"/>
    <xdr:sp macro="" textlink="">
      <xdr:nvSpPr>
        <xdr:cNvPr id="1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3EA235F-0F4F-4E4A-BDB3-5C9808AF3C52}"/>
            </a:ext>
            <a:ext uri="{147F2762-F138-4A5C-976F-8EAC2B608ADB}">
              <a16:predDERef xmlns:a16="http://schemas.microsoft.com/office/drawing/2014/main" pred="{93509540-E6A3-44DF-AD40-16CEAFD8A2C7}"/>
            </a:ext>
          </a:extLst>
        </xdr:cNvPr>
        <xdr:cNvSpPr>
          <a:spLocks noChangeAspect="1" noChangeArrowheads="1"/>
        </xdr:cNvSpPr>
      </xdr:nvSpPr>
      <xdr:spPr bwMode="auto">
        <a:xfrm>
          <a:off x="7531100" y="21583650"/>
          <a:ext cx="190500" cy="266700"/>
        </a:xfrm>
        <a:prstGeom prst="rect">
          <a:avLst/>
        </a:prstGeom>
        <a:noFill/>
      </xdr:spPr>
    </xdr:sp>
    <xdr:clientData/>
  </xdr:oneCellAnchor>
  <xdr:oneCellAnchor>
    <xdr:from>
      <xdr:col>4</xdr:col>
      <xdr:colOff>1657350</xdr:colOff>
      <xdr:row>112</xdr:row>
      <xdr:rowOff>0</xdr:rowOff>
    </xdr:from>
    <xdr:ext cx="190500" cy="266700"/>
    <xdr:sp macro="" textlink="">
      <xdr:nvSpPr>
        <xdr:cNvPr id="1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8C87C3B-2C4E-480B-A07C-50B6066A8012}"/>
            </a:ext>
            <a:ext uri="{147F2762-F138-4A5C-976F-8EAC2B608ADB}">
              <a16:predDERef xmlns:a16="http://schemas.microsoft.com/office/drawing/2014/main" pred="{FA06380B-3DFD-4680-9395-67D2B3A63F13}"/>
            </a:ext>
          </a:extLst>
        </xdr:cNvPr>
        <xdr:cNvSpPr>
          <a:spLocks noChangeAspect="1" noChangeArrowheads="1"/>
        </xdr:cNvSpPr>
      </xdr:nvSpPr>
      <xdr:spPr bwMode="auto">
        <a:xfrm>
          <a:off x="7531100" y="21951950"/>
          <a:ext cx="190500" cy="266700"/>
        </a:xfrm>
        <a:prstGeom prst="rect">
          <a:avLst/>
        </a:prstGeom>
        <a:noFill/>
      </xdr:spPr>
    </xdr:sp>
    <xdr:clientData/>
  </xdr:oneCellAnchor>
  <xdr:oneCellAnchor>
    <xdr:from>
      <xdr:col>4</xdr:col>
      <xdr:colOff>1657350</xdr:colOff>
      <xdr:row>112</xdr:row>
      <xdr:rowOff>0</xdr:rowOff>
    </xdr:from>
    <xdr:ext cx="190500" cy="266700"/>
    <xdr:sp macro="" textlink="">
      <xdr:nvSpPr>
        <xdr:cNvPr id="1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41E8A0F-DD33-4472-AB43-835AC8B88B0A}"/>
            </a:ext>
            <a:ext uri="{147F2762-F138-4A5C-976F-8EAC2B608ADB}">
              <a16:predDERef xmlns:a16="http://schemas.microsoft.com/office/drawing/2014/main" pred="{B95554AD-2F9A-44B4-83D0-B074839FD863}"/>
            </a:ext>
          </a:extLst>
        </xdr:cNvPr>
        <xdr:cNvSpPr>
          <a:spLocks noChangeAspect="1" noChangeArrowheads="1"/>
        </xdr:cNvSpPr>
      </xdr:nvSpPr>
      <xdr:spPr bwMode="auto">
        <a:xfrm>
          <a:off x="7531100" y="21951950"/>
          <a:ext cx="190500" cy="266700"/>
        </a:xfrm>
        <a:prstGeom prst="rect">
          <a:avLst/>
        </a:prstGeom>
        <a:noFill/>
      </xdr:spPr>
    </xdr:sp>
    <xdr:clientData/>
  </xdr:oneCellAnchor>
  <xdr:oneCellAnchor>
    <xdr:from>
      <xdr:col>4</xdr:col>
      <xdr:colOff>1657350</xdr:colOff>
      <xdr:row>114</xdr:row>
      <xdr:rowOff>0</xdr:rowOff>
    </xdr:from>
    <xdr:ext cx="190500" cy="266700"/>
    <xdr:sp macro="" textlink="">
      <xdr:nvSpPr>
        <xdr:cNvPr id="1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358F285-6435-4F81-A997-FC486876A2B3}"/>
            </a:ext>
            <a:ext uri="{147F2762-F138-4A5C-976F-8EAC2B608ADB}">
              <a16:predDERef xmlns:a16="http://schemas.microsoft.com/office/drawing/2014/main" pred="{435EC8F5-8906-42CD-88BD-93BA5957CFE0}"/>
            </a:ext>
          </a:extLst>
        </xdr:cNvPr>
        <xdr:cNvSpPr>
          <a:spLocks noChangeAspect="1" noChangeArrowheads="1"/>
        </xdr:cNvSpPr>
      </xdr:nvSpPr>
      <xdr:spPr bwMode="auto">
        <a:xfrm>
          <a:off x="7531100" y="22320250"/>
          <a:ext cx="190500" cy="266700"/>
        </a:xfrm>
        <a:prstGeom prst="rect">
          <a:avLst/>
        </a:prstGeom>
        <a:noFill/>
      </xdr:spPr>
    </xdr:sp>
    <xdr:clientData/>
  </xdr:oneCellAnchor>
  <xdr:oneCellAnchor>
    <xdr:from>
      <xdr:col>4</xdr:col>
      <xdr:colOff>1657350</xdr:colOff>
      <xdr:row>114</xdr:row>
      <xdr:rowOff>0</xdr:rowOff>
    </xdr:from>
    <xdr:ext cx="190500" cy="266700"/>
    <xdr:sp macro="" textlink="">
      <xdr:nvSpPr>
        <xdr:cNvPr id="1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EF36437-D3E4-4A4D-BCF4-F78DDB7D073F}"/>
            </a:ext>
            <a:ext uri="{147F2762-F138-4A5C-976F-8EAC2B608ADB}">
              <a16:predDERef xmlns:a16="http://schemas.microsoft.com/office/drawing/2014/main" pred="{437489F2-6F01-4DD5-80B0-4883FD183ADB}"/>
            </a:ext>
          </a:extLst>
        </xdr:cNvPr>
        <xdr:cNvSpPr>
          <a:spLocks noChangeAspect="1" noChangeArrowheads="1"/>
        </xdr:cNvSpPr>
      </xdr:nvSpPr>
      <xdr:spPr bwMode="auto">
        <a:xfrm>
          <a:off x="7531100" y="22320250"/>
          <a:ext cx="190500" cy="266700"/>
        </a:xfrm>
        <a:prstGeom prst="rect">
          <a:avLst/>
        </a:prstGeom>
        <a:noFill/>
      </xdr:spPr>
    </xdr:sp>
    <xdr:clientData/>
  </xdr:oneCellAnchor>
  <xdr:oneCellAnchor>
    <xdr:from>
      <xdr:col>4</xdr:col>
      <xdr:colOff>1657350</xdr:colOff>
      <xdr:row>116</xdr:row>
      <xdr:rowOff>0</xdr:rowOff>
    </xdr:from>
    <xdr:ext cx="190500" cy="266700"/>
    <xdr:sp macro="" textlink="">
      <xdr:nvSpPr>
        <xdr:cNvPr id="1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ECA6F98-7E27-40B9-8BC2-7E9218DA2A9A}"/>
            </a:ext>
            <a:ext uri="{147F2762-F138-4A5C-976F-8EAC2B608ADB}">
              <a16:predDERef xmlns:a16="http://schemas.microsoft.com/office/drawing/2014/main" pred="{172A9856-6182-4E81-970D-187D37C46A26}"/>
            </a:ext>
          </a:extLst>
        </xdr:cNvPr>
        <xdr:cNvSpPr>
          <a:spLocks noChangeAspect="1" noChangeArrowheads="1"/>
        </xdr:cNvSpPr>
      </xdr:nvSpPr>
      <xdr:spPr bwMode="auto">
        <a:xfrm>
          <a:off x="7531100" y="22688550"/>
          <a:ext cx="190500" cy="266700"/>
        </a:xfrm>
        <a:prstGeom prst="rect">
          <a:avLst/>
        </a:prstGeom>
        <a:noFill/>
      </xdr:spPr>
    </xdr:sp>
    <xdr:clientData/>
  </xdr:oneCellAnchor>
  <xdr:oneCellAnchor>
    <xdr:from>
      <xdr:col>4</xdr:col>
      <xdr:colOff>1657350</xdr:colOff>
      <xdr:row>116</xdr:row>
      <xdr:rowOff>0</xdr:rowOff>
    </xdr:from>
    <xdr:ext cx="190500" cy="266700"/>
    <xdr:sp macro="" textlink="">
      <xdr:nvSpPr>
        <xdr:cNvPr id="1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961DC8C-E4C6-4A77-AFCE-844E01DE37F5}"/>
            </a:ext>
            <a:ext uri="{147F2762-F138-4A5C-976F-8EAC2B608ADB}">
              <a16:predDERef xmlns:a16="http://schemas.microsoft.com/office/drawing/2014/main" pred="{B3A7A716-940F-47DB-94F9-90FD1ACFFB91}"/>
            </a:ext>
          </a:extLst>
        </xdr:cNvPr>
        <xdr:cNvSpPr>
          <a:spLocks noChangeAspect="1" noChangeArrowheads="1"/>
        </xdr:cNvSpPr>
      </xdr:nvSpPr>
      <xdr:spPr bwMode="auto">
        <a:xfrm>
          <a:off x="7531100" y="22688550"/>
          <a:ext cx="190500" cy="266700"/>
        </a:xfrm>
        <a:prstGeom prst="rect">
          <a:avLst/>
        </a:prstGeom>
        <a:noFill/>
      </xdr:spPr>
    </xdr:sp>
    <xdr:clientData/>
  </xdr:oneCellAnchor>
  <xdr:oneCellAnchor>
    <xdr:from>
      <xdr:col>4</xdr:col>
      <xdr:colOff>1657350</xdr:colOff>
      <xdr:row>118</xdr:row>
      <xdr:rowOff>0</xdr:rowOff>
    </xdr:from>
    <xdr:ext cx="190500" cy="266700"/>
    <xdr:sp macro="" textlink="">
      <xdr:nvSpPr>
        <xdr:cNvPr id="1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935F19C-2792-48F7-90DE-5025C142F6C6}"/>
            </a:ext>
            <a:ext uri="{147F2762-F138-4A5C-976F-8EAC2B608ADB}">
              <a16:predDERef xmlns:a16="http://schemas.microsoft.com/office/drawing/2014/main" pred="{91381250-BCFE-4BED-BCC0-DE66C9B91F25}"/>
            </a:ext>
          </a:extLst>
        </xdr:cNvPr>
        <xdr:cNvSpPr>
          <a:spLocks noChangeAspect="1" noChangeArrowheads="1"/>
        </xdr:cNvSpPr>
      </xdr:nvSpPr>
      <xdr:spPr bwMode="auto">
        <a:xfrm>
          <a:off x="7531100" y="23056850"/>
          <a:ext cx="190500" cy="266700"/>
        </a:xfrm>
        <a:prstGeom prst="rect">
          <a:avLst/>
        </a:prstGeom>
        <a:noFill/>
      </xdr:spPr>
    </xdr:sp>
    <xdr:clientData/>
  </xdr:oneCellAnchor>
  <xdr:oneCellAnchor>
    <xdr:from>
      <xdr:col>4</xdr:col>
      <xdr:colOff>1657350</xdr:colOff>
      <xdr:row>118</xdr:row>
      <xdr:rowOff>0</xdr:rowOff>
    </xdr:from>
    <xdr:ext cx="190500" cy="266700"/>
    <xdr:sp macro="" textlink="">
      <xdr:nvSpPr>
        <xdr:cNvPr id="1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5708BD5-56D4-45B4-84AB-1CB659070664}"/>
            </a:ext>
            <a:ext uri="{147F2762-F138-4A5C-976F-8EAC2B608ADB}">
              <a16:predDERef xmlns:a16="http://schemas.microsoft.com/office/drawing/2014/main" pred="{EAA1B07D-32E4-4E24-ABD8-92C0D0680883}"/>
            </a:ext>
          </a:extLst>
        </xdr:cNvPr>
        <xdr:cNvSpPr>
          <a:spLocks noChangeAspect="1" noChangeArrowheads="1"/>
        </xdr:cNvSpPr>
      </xdr:nvSpPr>
      <xdr:spPr bwMode="auto">
        <a:xfrm>
          <a:off x="7531100" y="23056850"/>
          <a:ext cx="190500" cy="266700"/>
        </a:xfrm>
        <a:prstGeom prst="rect">
          <a:avLst/>
        </a:prstGeom>
        <a:noFill/>
      </xdr:spPr>
    </xdr:sp>
    <xdr:clientData/>
  </xdr:oneCellAnchor>
  <xdr:oneCellAnchor>
    <xdr:from>
      <xdr:col>4</xdr:col>
      <xdr:colOff>1657350</xdr:colOff>
      <xdr:row>120</xdr:row>
      <xdr:rowOff>0</xdr:rowOff>
    </xdr:from>
    <xdr:ext cx="190500" cy="266700"/>
    <xdr:sp macro="" textlink="">
      <xdr:nvSpPr>
        <xdr:cNvPr id="1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9ADB971-D16F-4828-B049-FBDCF6C34352}"/>
            </a:ext>
            <a:ext uri="{147F2762-F138-4A5C-976F-8EAC2B608ADB}">
              <a16:predDERef xmlns:a16="http://schemas.microsoft.com/office/drawing/2014/main" pred="{13867247-434F-4F71-93A9-969830D6763A}"/>
            </a:ext>
          </a:extLst>
        </xdr:cNvPr>
        <xdr:cNvSpPr>
          <a:spLocks noChangeAspect="1" noChangeArrowheads="1"/>
        </xdr:cNvSpPr>
      </xdr:nvSpPr>
      <xdr:spPr bwMode="auto">
        <a:xfrm>
          <a:off x="7531100" y="23425150"/>
          <a:ext cx="190500" cy="266700"/>
        </a:xfrm>
        <a:prstGeom prst="rect">
          <a:avLst/>
        </a:prstGeom>
        <a:noFill/>
      </xdr:spPr>
    </xdr:sp>
    <xdr:clientData/>
  </xdr:oneCellAnchor>
  <xdr:oneCellAnchor>
    <xdr:from>
      <xdr:col>4</xdr:col>
      <xdr:colOff>1657350</xdr:colOff>
      <xdr:row>120</xdr:row>
      <xdr:rowOff>0</xdr:rowOff>
    </xdr:from>
    <xdr:ext cx="190500" cy="266700"/>
    <xdr:sp macro="" textlink="">
      <xdr:nvSpPr>
        <xdr:cNvPr id="1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C11F68-96B9-455D-B3E1-FA1BCB9A3386}"/>
            </a:ext>
            <a:ext uri="{147F2762-F138-4A5C-976F-8EAC2B608ADB}">
              <a16:predDERef xmlns:a16="http://schemas.microsoft.com/office/drawing/2014/main" pred="{6880344A-7E3F-46FF-A818-94AB4A44AAE3}"/>
            </a:ext>
          </a:extLst>
        </xdr:cNvPr>
        <xdr:cNvSpPr>
          <a:spLocks noChangeAspect="1" noChangeArrowheads="1"/>
        </xdr:cNvSpPr>
      </xdr:nvSpPr>
      <xdr:spPr bwMode="auto">
        <a:xfrm>
          <a:off x="7531100" y="23425150"/>
          <a:ext cx="190500" cy="266700"/>
        </a:xfrm>
        <a:prstGeom prst="rect">
          <a:avLst/>
        </a:prstGeom>
        <a:noFill/>
      </xdr:spPr>
    </xdr:sp>
    <xdr:clientData/>
  </xdr:oneCellAnchor>
  <xdr:oneCellAnchor>
    <xdr:from>
      <xdr:col>4</xdr:col>
      <xdr:colOff>1657350</xdr:colOff>
      <xdr:row>122</xdr:row>
      <xdr:rowOff>0</xdr:rowOff>
    </xdr:from>
    <xdr:ext cx="190500" cy="266700"/>
    <xdr:sp macro="" textlink="">
      <xdr:nvSpPr>
        <xdr:cNvPr id="1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4E434D8-5449-4E96-B9F0-72702ABD17D7}"/>
            </a:ext>
            <a:ext uri="{147F2762-F138-4A5C-976F-8EAC2B608ADB}">
              <a16:predDERef xmlns:a16="http://schemas.microsoft.com/office/drawing/2014/main" pred="{2FA7FE29-166C-40F9-B98A-0D5DFC4F3605}"/>
            </a:ext>
          </a:extLst>
        </xdr:cNvPr>
        <xdr:cNvSpPr>
          <a:spLocks noChangeAspect="1" noChangeArrowheads="1"/>
        </xdr:cNvSpPr>
      </xdr:nvSpPr>
      <xdr:spPr bwMode="auto">
        <a:xfrm>
          <a:off x="7531100" y="23793450"/>
          <a:ext cx="190500" cy="266700"/>
        </a:xfrm>
        <a:prstGeom prst="rect">
          <a:avLst/>
        </a:prstGeom>
        <a:noFill/>
      </xdr:spPr>
    </xdr:sp>
    <xdr:clientData/>
  </xdr:oneCellAnchor>
  <xdr:oneCellAnchor>
    <xdr:from>
      <xdr:col>4</xdr:col>
      <xdr:colOff>1657350</xdr:colOff>
      <xdr:row>122</xdr:row>
      <xdr:rowOff>0</xdr:rowOff>
    </xdr:from>
    <xdr:ext cx="190500" cy="266700"/>
    <xdr:sp macro="" textlink="">
      <xdr:nvSpPr>
        <xdr:cNvPr id="1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FFC9FB8-EA83-4B8A-85ED-A0DB45A9612B}"/>
            </a:ext>
            <a:ext uri="{147F2762-F138-4A5C-976F-8EAC2B608ADB}">
              <a16:predDERef xmlns:a16="http://schemas.microsoft.com/office/drawing/2014/main" pred="{99117DB7-571C-4773-9F63-81A3EDCCB2D9}"/>
            </a:ext>
          </a:extLst>
        </xdr:cNvPr>
        <xdr:cNvSpPr>
          <a:spLocks noChangeAspect="1" noChangeArrowheads="1"/>
        </xdr:cNvSpPr>
      </xdr:nvSpPr>
      <xdr:spPr bwMode="auto">
        <a:xfrm>
          <a:off x="7531100" y="23793450"/>
          <a:ext cx="190500" cy="266700"/>
        </a:xfrm>
        <a:prstGeom prst="rect">
          <a:avLst/>
        </a:prstGeom>
        <a:noFill/>
      </xdr:spPr>
    </xdr:sp>
    <xdr:clientData/>
  </xdr:oneCellAnchor>
  <xdr:oneCellAnchor>
    <xdr:from>
      <xdr:col>4</xdr:col>
      <xdr:colOff>1657350</xdr:colOff>
      <xdr:row>124</xdr:row>
      <xdr:rowOff>0</xdr:rowOff>
    </xdr:from>
    <xdr:ext cx="190500" cy="266700"/>
    <xdr:sp macro="" textlink="">
      <xdr:nvSpPr>
        <xdr:cNvPr id="1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E2EC25B-32E8-42A3-87B4-48C8905BD593}"/>
            </a:ext>
            <a:ext uri="{147F2762-F138-4A5C-976F-8EAC2B608ADB}">
              <a16:predDERef xmlns:a16="http://schemas.microsoft.com/office/drawing/2014/main" pred="{B38CCDAF-2A47-4182-AEE6-2DD705357DC3}"/>
            </a:ext>
          </a:extLst>
        </xdr:cNvPr>
        <xdr:cNvSpPr>
          <a:spLocks noChangeAspect="1" noChangeArrowheads="1"/>
        </xdr:cNvSpPr>
      </xdr:nvSpPr>
      <xdr:spPr bwMode="auto">
        <a:xfrm>
          <a:off x="7531100" y="24307800"/>
          <a:ext cx="190500" cy="266700"/>
        </a:xfrm>
        <a:prstGeom prst="rect">
          <a:avLst/>
        </a:prstGeom>
        <a:noFill/>
      </xdr:spPr>
    </xdr:sp>
    <xdr:clientData/>
  </xdr:oneCellAnchor>
  <xdr:oneCellAnchor>
    <xdr:from>
      <xdr:col>4</xdr:col>
      <xdr:colOff>1657350</xdr:colOff>
      <xdr:row>124</xdr:row>
      <xdr:rowOff>0</xdr:rowOff>
    </xdr:from>
    <xdr:ext cx="190500" cy="266700"/>
    <xdr:sp macro="" textlink="">
      <xdr:nvSpPr>
        <xdr:cNvPr id="1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9CC2CE1-9677-4592-B55C-58EB6E1734F7}"/>
            </a:ext>
            <a:ext uri="{147F2762-F138-4A5C-976F-8EAC2B608ADB}">
              <a16:predDERef xmlns:a16="http://schemas.microsoft.com/office/drawing/2014/main" pred="{62F1F949-F0DD-4A3E-BB6E-8C27F83C2B5F}"/>
            </a:ext>
          </a:extLst>
        </xdr:cNvPr>
        <xdr:cNvSpPr>
          <a:spLocks noChangeAspect="1" noChangeArrowheads="1"/>
        </xdr:cNvSpPr>
      </xdr:nvSpPr>
      <xdr:spPr bwMode="auto">
        <a:xfrm>
          <a:off x="7531100" y="24307800"/>
          <a:ext cx="190500" cy="266700"/>
        </a:xfrm>
        <a:prstGeom prst="rect">
          <a:avLst/>
        </a:prstGeom>
        <a:noFill/>
      </xdr:spPr>
    </xdr:sp>
    <xdr:clientData/>
  </xdr:oneCellAnchor>
  <xdr:oneCellAnchor>
    <xdr:from>
      <xdr:col>4</xdr:col>
      <xdr:colOff>1657350</xdr:colOff>
      <xdr:row>126</xdr:row>
      <xdr:rowOff>0</xdr:rowOff>
    </xdr:from>
    <xdr:ext cx="190500" cy="266700"/>
    <xdr:sp macro="" textlink="">
      <xdr:nvSpPr>
        <xdr:cNvPr id="1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EF671CB-6183-4DDF-B814-8B4184BD7411}"/>
            </a:ext>
            <a:ext uri="{147F2762-F138-4A5C-976F-8EAC2B608ADB}">
              <a16:predDERef xmlns:a16="http://schemas.microsoft.com/office/drawing/2014/main" pred="{E98B80BF-259E-4742-8DE5-864A57940AA7}"/>
            </a:ext>
          </a:extLst>
        </xdr:cNvPr>
        <xdr:cNvSpPr>
          <a:spLocks noChangeAspect="1" noChangeArrowheads="1"/>
        </xdr:cNvSpPr>
      </xdr:nvSpPr>
      <xdr:spPr bwMode="auto">
        <a:xfrm>
          <a:off x="7531100" y="24676100"/>
          <a:ext cx="190500" cy="266700"/>
        </a:xfrm>
        <a:prstGeom prst="rect">
          <a:avLst/>
        </a:prstGeom>
        <a:noFill/>
      </xdr:spPr>
    </xdr:sp>
    <xdr:clientData/>
  </xdr:oneCellAnchor>
  <xdr:oneCellAnchor>
    <xdr:from>
      <xdr:col>4</xdr:col>
      <xdr:colOff>1657350</xdr:colOff>
      <xdr:row>126</xdr:row>
      <xdr:rowOff>0</xdr:rowOff>
    </xdr:from>
    <xdr:ext cx="190500" cy="266700"/>
    <xdr:sp macro="" textlink="">
      <xdr:nvSpPr>
        <xdr:cNvPr id="1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15BB781-1020-45B5-B5A1-140573398457}"/>
            </a:ext>
            <a:ext uri="{147F2762-F138-4A5C-976F-8EAC2B608ADB}">
              <a16:predDERef xmlns:a16="http://schemas.microsoft.com/office/drawing/2014/main" pred="{050357A4-0E22-4AA0-9613-C2243518398E}"/>
            </a:ext>
          </a:extLst>
        </xdr:cNvPr>
        <xdr:cNvSpPr>
          <a:spLocks noChangeAspect="1" noChangeArrowheads="1"/>
        </xdr:cNvSpPr>
      </xdr:nvSpPr>
      <xdr:spPr bwMode="auto">
        <a:xfrm>
          <a:off x="7531100" y="24676100"/>
          <a:ext cx="190500" cy="266700"/>
        </a:xfrm>
        <a:prstGeom prst="rect">
          <a:avLst/>
        </a:prstGeom>
        <a:noFill/>
      </xdr:spPr>
    </xdr:sp>
    <xdr:clientData/>
  </xdr:oneCellAnchor>
  <xdr:oneCellAnchor>
    <xdr:from>
      <xdr:col>4</xdr:col>
      <xdr:colOff>1657350</xdr:colOff>
      <xdr:row>128</xdr:row>
      <xdr:rowOff>0</xdr:rowOff>
    </xdr:from>
    <xdr:ext cx="190500" cy="266700"/>
    <xdr:sp macro="" textlink="">
      <xdr:nvSpPr>
        <xdr:cNvPr id="1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4234E24-EE22-43B5-B9A1-0CC240DC479B}"/>
            </a:ext>
            <a:ext uri="{147F2762-F138-4A5C-976F-8EAC2B608ADB}">
              <a16:predDERef xmlns:a16="http://schemas.microsoft.com/office/drawing/2014/main" pred="{1A42E708-CF38-48A3-B511-F9FBB2AAE35D}"/>
            </a:ext>
          </a:extLst>
        </xdr:cNvPr>
        <xdr:cNvSpPr>
          <a:spLocks noChangeAspect="1" noChangeArrowheads="1"/>
        </xdr:cNvSpPr>
      </xdr:nvSpPr>
      <xdr:spPr bwMode="auto">
        <a:xfrm>
          <a:off x="7531100" y="25190450"/>
          <a:ext cx="190500" cy="266700"/>
        </a:xfrm>
        <a:prstGeom prst="rect">
          <a:avLst/>
        </a:prstGeom>
        <a:noFill/>
      </xdr:spPr>
    </xdr:sp>
    <xdr:clientData/>
  </xdr:oneCellAnchor>
  <xdr:oneCellAnchor>
    <xdr:from>
      <xdr:col>4</xdr:col>
      <xdr:colOff>1657350</xdr:colOff>
      <xdr:row>128</xdr:row>
      <xdr:rowOff>0</xdr:rowOff>
    </xdr:from>
    <xdr:ext cx="190500" cy="266700"/>
    <xdr:sp macro="" textlink="">
      <xdr:nvSpPr>
        <xdr:cNvPr id="1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9357B06-855A-49CA-B938-16850F04E806}"/>
            </a:ext>
            <a:ext uri="{147F2762-F138-4A5C-976F-8EAC2B608ADB}">
              <a16:predDERef xmlns:a16="http://schemas.microsoft.com/office/drawing/2014/main" pred="{ED7E4665-B405-4CF0-924F-F1F9A5AEF437}"/>
            </a:ext>
          </a:extLst>
        </xdr:cNvPr>
        <xdr:cNvSpPr>
          <a:spLocks noChangeAspect="1" noChangeArrowheads="1"/>
        </xdr:cNvSpPr>
      </xdr:nvSpPr>
      <xdr:spPr bwMode="auto">
        <a:xfrm>
          <a:off x="7531100" y="25190450"/>
          <a:ext cx="190500" cy="266700"/>
        </a:xfrm>
        <a:prstGeom prst="rect">
          <a:avLst/>
        </a:prstGeom>
        <a:noFill/>
      </xdr:spPr>
    </xdr:sp>
    <xdr:clientData/>
  </xdr:oneCellAnchor>
  <xdr:oneCellAnchor>
    <xdr:from>
      <xdr:col>4</xdr:col>
      <xdr:colOff>1657350</xdr:colOff>
      <xdr:row>130</xdr:row>
      <xdr:rowOff>0</xdr:rowOff>
    </xdr:from>
    <xdr:ext cx="190500" cy="266700"/>
    <xdr:sp macro="" textlink="">
      <xdr:nvSpPr>
        <xdr:cNvPr id="1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6CC4150-45BC-4DF8-865F-800E8CE88EAA}"/>
            </a:ext>
            <a:ext uri="{147F2762-F138-4A5C-976F-8EAC2B608ADB}">
              <a16:predDERef xmlns:a16="http://schemas.microsoft.com/office/drawing/2014/main" pred="{B1478203-DC4E-444B-84EB-81EA5DE73FA2}"/>
            </a:ext>
          </a:extLst>
        </xdr:cNvPr>
        <xdr:cNvSpPr>
          <a:spLocks noChangeAspect="1" noChangeArrowheads="1"/>
        </xdr:cNvSpPr>
      </xdr:nvSpPr>
      <xdr:spPr bwMode="auto">
        <a:xfrm>
          <a:off x="7531100" y="25704800"/>
          <a:ext cx="190500" cy="266700"/>
        </a:xfrm>
        <a:prstGeom prst="rect">
          <a:avLst/>
        </a:prstGeom>
        <a:noFill/>
      </xdr:spPr>
    </xdr:sp>
    <xdr:clientData/>
  </xdr:oneCellAnchor>
  <xdr:oneCellAnchor>
    <xdr:from>
      <xdr:col>4</xdr:col>
      <xdr:colOff>1657350</xdr:colOff>
      <xdr:row>130</xdr:row>
      <xdr:rowOff>0</xdr:rowOff>
    </xdr:from>
    <xdr:ext cx="190500" cy="266700"/>
    <xdr:sp macro="" textlink="">
      <xdr:nvSpPr>
        <xdr:cNvPr id="1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B32031B-ACBA-4F76-8A31-307419A6F0B8}"/>
            </a:ext>
            <a:ext uri="{147F2762-F138-4A5C-976F-8EAC2B608ADB}">
              <a16:predDERef xmlns:a16="http://schemas.microsoft.com/office/drawing/2014/main" pred="{8D54BC00-89F7-44BB-9956-AEA15783C175}"/>
            </a:ext>
          </a:extLst>
        </xdr:cNvPr>
        <xdr:cNvSpPr>
          <a:spLocks noChangeAspect="1" noChangeArrowheads="1"/>
        </xdr:cNvSpPr>
      </xdr:nvSpPr>
      <xdr:spPr bwMode="auto">
        <a:xfrm>
          <a:off x="7531100" y="25704800"/>
          <a:ext cx="190500" cy="266700"/>
        </a:xfrm>
        <a:prstGeom prst="rect">
          <a:avLst/>
        </a:prstGeom>
        <a:noFill/>
      </xdr:spPr>
    </xdr:sp>
    <xdr:clientData/>
  </xdr:oneCellAnchor>
  <xdr:oneCellAnchor>
    <xdr:from>
      <xdr:col>4</xdr:col>
      <xdr:colOff>1657350</xdr:colOff>
      <xdr:row>132</xdr:row>
      <xdr:rowOff>0</xdr:rowOff>
    </xdr:from>
    <xdr:ext cx="190500" cy="266700"/>
    <xdr:sp macro="" textlink="">
      <xdr:nvSpPr>
        <xdr:cNvPr id="1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C6B87D6-7442-4F40-95A4-52B7520AF409}"/>
            </a:ext>
            <a:ext uri="{147F2762-F138-4A5C-976F-8EAC2B608ADB}">
              <a16:predDERef xmlns:a16="http://schemas.microsoft.com/office/drawing/2014/main" pred="{047115BD-E5F4-435A-BCF8-517850FC0E79}"/>
            </a:ext>
          </a:extLst>
        </xdr:cNvPr>
        <xdr:cNvSpPr>
          <a:spLocks noChangeAspect="1" noChangeArrowheads="1"/>
        </xdr:cNvSpPr>
      </xdr:nvSpPr>
      <xdr:spPr bwMode="auto">
        <a:xfrm>
          <a:off x="7531100" y="26219150"/>
          <a:ext cx="190500" cy="266700"/>
        </a:xfrm>
        <a:prstGeom prst="rect">
          <a:avLst/>
        </a:prstGeom>
        <a:noFill/>
      </xdr:spPr>
    </xdr:sp>
    <xdr:clientData/>
  </xdr:oneCellAnchor>
  <xdr:oneCellAnchor>
    <xdr:from>
      <xdr:col>4</xdr:col>
      <xdr:colOff>1657350</xdr:colOff>
      <xdr:row>132</xdr:row>
      <xdr:rowOff>0</xdr:rowOff>
    </xdr:from>
    <xdr:ext cx="190500" cy="266700"/>
    <xdr:sp macro="" textlink="">
      <xdr:nvSpPr>
        <xdr:cNvPr id="1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97F3FE8-24CC-418D-A258-52A44BA5F75E}"/>
            </a:ext>
            <a:ext uri="{147F2762-F138-4A5C-976F-8EAC2B608ADB}">
              <a16:predDERef xmlns:a16="http://schemas.microsoft.com/office/drawing/2014/main" pred="{F54A4A88-0C9C-4B0E-9AE9-299B2F479000}"/>
            </a:ext>
          </a:extLst>
        </xdr:cNvPr>
        <xdr:cNvSpPr>
          <a:spLocks noChangeAspect="1" noChangeArrowheads="1"/>
        </xdr:cNvSpPr>
      </xdr:nvSpPr>
      <xdr:spPr bwMode="auto">
        <a:xfrm>
          <a:off x="7531100" y="26219150"/>
          <a:ext cx="190500" cy="266700"/>
        </a:xfrm>
        <a:prstGeom prst="rect">
          <a:avLst/>
        </a:prstGeom>
        <a:noFill/>
      </xdr:spPr>
    </xdr:sp>
    <xdr:clientData/>
  </xdr:oneCellAnchor>
  <xdr:oneCellAnchor>
    <xdr:from>
      <xdr:col>4</xdr:col>
      <xdr:colOff>1657350</xdr:colOff>
      <xdr:row>134</xdr:row>
      <xdr:rowOff>0</xdr:rowOff>
    </xdr:from>
    <xdr:ext cx="190500" cy="266700"/>
    <xdr:sp macro="" textlink="">
      <xdr:nvSpPr>
        <xdr:cNvPr id="1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98CA6A5-6A6D-4C49-8FB5-66796A98AD83}"/>
            </a:ext>
            <a:ext uri="{147F2762-F138-4A5C-976F-8EAC2B608ADB}">
              <a16:predDERef xmlns:a16="http://schemas.microsoft.com/office/drawing/2014/main" pred="{9AF79034-DBFB-4591-892C-1AFD7F9CC71B}"/>
            </a:ext>
          </a:extLst>
        </xdr:cNvPr>
        <xdr:cNvSpPr>
          <a:spLocks noChangeAspect="1" noChangeArrowheads="1"/>
        </xdr:cNvSpPr>
      </xdr:nvSpPr>
      <xdr:spPr bwMode="auto">
        <a:xfrm>
          <a:off x="7531100" y="26587450"/>
          <a:ext cx="190500" cy="266700"/>
        </a:xfrm>
        <a:prstGeom prst="rect">
          <a:avLst/>
        </a:prstGeom>
        <a:noFill/>
      </xdr:spPr>
    </xdr:sp>
    <xdr:clientData/>
  </xdr:oneCellAnchor>
  <xdr:oneCellAnchor>
    <xdr:from>
      <xdr:col>4</xdr:col>
      <xdr:colOff>1657350</xdr:colOff>
      <xdr:row>134</xdr:row>
      <xdr:rowOff>0</xdr:rowOff>
    </xdr:from>
    <xdr:ext cx="190500" cy="266700"/>
    <xdr:sp macro="" textlink="">
      <xdr:nvSpPr>
        <xdr:cNvPr id="1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55E1CE0-1F2F-40AE-8BF7-ECFD2613881C}"/>
            </a:ext>
            <a:ext uri="{147F2762-F138-4A5C-976F-8EAC2B608ADB}">
              <a16:predDERef xmlns:a16="http://schemas.microsoft.com/office/drawing/2014/main" pred="{3E75DDA3-1010-4C95-B2E9-FE3075AFAC6E}"/>
            </a:ext>
          </a:extLst>
        </xdr:cNvPr>
        <xdr:cNvSpPr>
          <a:spLocks noChangeAspect="1" noChangeArrowheads="1"/>
        </xdr:cNvSpPr>
      </xdr:nvSpPr>
      <xdr:spPr bwMode="auto">
        <a:xfrm>
          <a:off x="7531100" y="26587450"/>
          <a:ext cx="190500" cy="266700"/>
        </a:xfrm>
        <a:prstGeom prst="rect">
          <a:avLst/>
        </a:prstGeom>
        <a:noFill/>
      </xdr:spPr>
    </xdr:sp>
    <xdr:clientData/>
  </xdr:oneCellAnchor>
  <xdr:oneCellAnchor>
    <xdr:from>
      <xdr:col>4</xdr:col>
      <xdr:colOff>1657350</xdr:colOff>
      <xdr:row>136</xdr:row>
      <xdr:rowOff>0</xdr:rowOff>
    </xdr:from>
    <xdr:ext cx="190500" cy="266700"/>
    <xdr:sp macro="" textlink="">
      <xdr:nvSpPr>
        <xdr:cNvPr id="1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73375F-0CEE-4DF2-B961-9736E4A4DD63}"/>
            </a:ext>
            <a:ext uri="{147F2762-F138-4A5C-976F-8EAC2B608ADB}">
              <a16:predDERef xmlns:a16="http://schemas.microsoft.com/office/drawing/2014/main" pred="{EE23CEFA-B428-41A7-9F18-B33CBA221F7C}"/>
            </a:ext>
          </a:extLst>
        </xdr:cNvPr>
        <xdr:cNvSpPr>
          <a:spLocks noChangeAspect="1" noChangeArrowheads="1"/>
        </xdr:cNvSpPr>
      </xdr:nvSpPr>
      <xdr:spPr bwMode="auto">
        <a:xfrm>
          <a:off x="7531100" y="26955750"/>
          <a:ext cx="190500" cy="266700"/>
        </a:xfrm>
        <a:prstGeom prst="rect">
          <a:avLst/>
        </a:prstGeom>
        <a:noFill/>
      </xdr:spPr>
    </xdr:sp>
    <xdr:clientData/>
  </xdr:oneCellAnchor>
  <xdr:oneCellAnchor>
    <xdr:from>
      <xdr:col>4</xdr:col>
      <xdr:colOff>1657350</xdr:colOff>
      <xdr:row>136</xdr:row>
      <xdr:rowOff>0</xdr:rowOff>
    </xdr:from>
    <xdr:ext cx="190500" cy="266700"/>
    <xdr:sp macro="" textlink="">
      <xdr:nvSpPr>
        <xdr:cNvPr id="1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41D97C4-6E09-433E-8B77-4BCD9192B5B4}"/>
            </a:ext>
            <a:ext uri="{147F2762-F138-4A5C-976F-8EAC2B608ADB}">
              <a16:predDERef xmlns:a16="http://schemas.microsoft.com/office/drawing/2014/main" pred="{A4E7C463-3AE4-47F9-96D8-0C0D3F144915}"/>
            </a:ext>
          </a:extLst>
        </xdr:cNvPr>
        <xdr:cNvSpPr>
          <a:spLocks noChangeAspect="1" noChangeArrowheads="1"/>
        </xdr:cNvSpPr>
      </xdr:nvSpPr>
      <xdr:spPr bwMode="auto">
        <a:xfrm>
          <a:off x="7531100" y="26955750"/>
          <a:ext cx="190500" cy="266700"/>
        </a:xfrm>
        <a:prstGeom prst="rect">
          <a:avLst/>
        </a:prstGeom>
        <a:noFill/>
      </xdr:spPr>
    </xdr:sp>
    <xdr:clientData/>
  </xdr:oneCellAnchor>
  <xdr:oneCellAnchor>
    <xdr:from>
      <xdr:col>4</xdr:col>
      <xdr:colOff>1657350</xdr:colOff>
      <xdr:row>138</xdr:row>
      <xdr:rowOff>0</xdr:rowOff>
    </xdr:from>
    <xdr:ext cx="190500" cy="266700"/>
    <xdr:sp macro="" textlink="">
      <xdr:nvSpPr>
        <xdr:cNvPr id="1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8418F39-F13E-41F0-ACE8-2237C61E5502}"/>
            </a:ext>
            <a:ext uri="{147F2762-F138-4A5C-976F-8EAC2B608ADB}">
              <a16:predDERef xmlns:a16="http://schemas.microsoft.com/office/drawing/2014/main" pred="{74799405-6ADD-428C-956E-FFA56B256E89}"/>
            </a:ext>
          </a:extLst>
        </xdr:cNvPr>
        <xdr:cNvSpPr>
          <a:spLocks noChangeAspect="1" noChangeArrowheads="1"/>
        </xdr:cNvSpPr>
      </xdr:nvSpPr>
      <xdr:spPr bwMode="auto">
        <a:xfrm>
          <a:off x="7531100" y="27324050"/>
          <a:ext cx="190500" cy="266700"/>
        </a:xfrm>
        <a:prstGeom prst="rect">
          <a:avLst/>
        </a:prstGeom>
        <a:noFill/>
      </xdr:spPr>
    </xdr:sp>
    <xdr:clientData/>
  </xdr:oneCellAnchor>
  <xdr:oneCellAnchor>
    <xdr:from>
      <xdr:col>4</xdr:col>
      <xdr:colOff>1657350</xdr:colOff>
      <xdr:row>138</xdr:row>
      <xdr:rowOff>0</xdr:rowOff>
    </xdr:from>
    <xdr:ext cx="190500" cy="266700"/>
    <xdr:sp macro="" textlink="">
      <xdr:nvSpPr>
        <xdr:cNvPr id="1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84694CC-381C-48DD-B7B7-DB039FFA6CE7}"/>
            </a:ext>
            <a:ext uri="{147F2762-F138-4A5C-976F-8EAC2B608ADB}">
              <a16:predDERef xmlns:a16="http://schemas.microsoft.com/office/drawing/2014/main" pred="{AF68C074-E83E-4896-AD33-6DAABEAB28F8}"/>
            </a:ext>
          </a:extLst>
        </xdr:cNvPr>
        <xdr:cNvSpPr>
          <a:spLocks noChangeAspect="1" noChangeArrowheads="1"/>
        </xdr:cNvSpPr>
      </xdr:nvSpPr>
      <xdr:spPr bwMode="auto">
        <a:xfrm>
          <a:off x="7531100" y="27324050"/>
          <a:ext cx="190500" cy="266700"/>
        </a:xfrm>
        <a:prstGeom prst="rect">
          <a:avLst/>
        </a:prstGeom>
        <a:noFill/>
      </xdr:spPr>
    </xdr:sp>
    <xdr:clientData/>
  </xdr:oneCellAnchor>
  <xdr:oneCellAnchor>
    <xdr:from>
      <xdr:col>4</xdr:col>
      <xdr:colOff>1657350</xdr:colOff>
      <xdr:row>140</xdr:row>
      <xdr:rowOff>0</xdr:rowOff>
    </xdr:from>
    <xdr:ext cx="190500" cy="266700"/>
    <xdr:sp macro="" textlink="">
      <xdr:nvSpPr>
        <xdr:cNvPr id="1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C6E89A1-1B93-4A9F-A179-1ADEE9F9C4F8}"/>
            </a:ext>
            <a:ext uri="{147F2762-F138-4A5C-976F-8EAC2B608ADB}">
              <a16:predDERef xmlns:a16="http://schemas.microsoft.com/office/drawing/2014/main" pred="{DCAD3C25-74BF-4649-81F8-251D36E6F776}"/>
            </a:ext>
          </a:extLst>
        </xdr:cNvPr>
        <xdr:cNvSpPr>
          <a:spLocks noChangeAspect="1" noChangeArrowheads="1"/>
        </xdr:cNvSpPr>
      </xdr:nvSpPr>
      <xdr:spPr bwMode="auto">
        <a:xfrm>
          <a:off x="7531100" y="27692350"/>
          <a:ext cx="190500" cy="266700"/>
        </a:xfrm>
        <a:prstGeom prst="rect">
          <a:avLst/>
        </a:prstGeom>
        <a:noFill/>
      </xdr:spPr>
    </xdr:sp>
    <xdr:clientData/>
  </xdr:oneCellAnchor>
  <xdr:oneCellAnchor>
    <xdr:from>
      <xdr:col>4</xdr:col>
      <xdr:colOff>1657350</xdr:colOff>
      <xdr:row>140</xdr:row>
      <xdr:rowOff>0</xdr:rowOff>
    </xdr:from>
    <xdr:ext cx="190500" cy="266700"/>
    <xdr:sp macro="" textlink="">
      <xdr:nvSpPr>
        <xdr:cNvPr id="1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403E170-CB49-449C-8025-8E83FC8687FE}"/>
            </a:ext>
            <a:ext uri="{147F2762-F138-4A5C-976F-8EAC2B608ADB}">
              <a16:predDERef xmlns:a16="http://schemas.microsoft.com/office/drawing/2014/main" pred="{F56B674D-6B89-40C1-AB54-23FF1B0B87B7}"/>
            </a:ext>
          </a:extLst>
        </xdr:cNvPr>
        <xdr:cNvSpPr>
          <a:spLocks noChangeAspect="1" noChangeArrowheads="1"/>
        </xdr:cNvSpPr>
      </xdr:nvSpPr>
      <xdr:spPr bwMode="auto">
        <a:xfrm>
          <a:off x="7531100" y="27692350"/>
          <a:ext cx="190500" cy="266700"/>
        </a:xfrm>
        <a:prstGeom prst="rect">
          <a:avLst/>
        </a:prstGeom>
        <a:noFill/>
      </xdr:spPr>
    </xdr:sp>
    <xdr:clientData/>
  </xdr:oneCellAnchor>
  <xdr:oneCellAnchor>
    <xdr:from>
      <xdr:col>4</xdr:col>
      <xdr:colOff>1657350</xdr:colOff>
      <xdr:row>142</xdr:row>
      <xdr:rowOff>0</xdr:rowOff>
    </xdr:from>
    <xdr:ext cx="190500" cy="266700"/>
    <xdr:sp macro="" textlink="">
      <xdr:nvSpPr>
        <xdr:cNvPr id="1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0459573-4ECE-4FDF-8F77-ACAAB1B8E57E}"/>
            </a:ext>
            <a:ext uri="{147F2762-F138-4A5C-976F-8EAC2B608ADB}">
              <a16:predDERef xmlns:a16="http://schemas.microsoft.com/office/drawing/2014/main" pred="{369E0901-2E22-49C4-B08A-98BF9B3D2BE5}"/>
            </a:ext>
          </a:extLst>
        </xdr:cNvPr>
        <xdr:cNvSpPr>
          <a:spLocks noChangeAspect="1" noChangeArrowheads="1"/>
        </xdr:cNvSpPr>
      </xdr:nvSpPr>
      <xdr:spPr bwMode="auto">
        <a:xfrm>
          <a:off x="7531100" y="28060650"/>
          <a:ext cx="190500" cy="266700"/>
        </a:xfrm>
        <a:prstGeom prst="rect">
          <a:avLst/>
        </a:prstGeom>
        <a:noFill/>
      </xdr:spPr>
    </xdr:sp>
    <xdr:clientData/>
  </xdr:oneCellAnchor>
  <xdr:oneCellAnchor>
    <xdr:from>
      <xdr:col>4</xdr:col>
      <xdr:colOff>1657350</xdr:colOff>
      <xdr:row>142</xdr:row>
      <xdr:rowOff>0</xdr:rowOff>
    </xdr:from>
    <xdr:ext cx="190500" cy="266700"/>
    <xdr:sp macro="" textlink="">
      <xdr:nvSpPr>
        <xdr:cNvPr id="1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5DBF95A-10B1-4ADB-A3B2-3A958513EA7B}"/>
            </a:ext>
            <a:ext uri="{147F2762-F138-4A5C-976F-8EAC2B608ADB}">
              <a16:predDERef xmlns:a16="http://schemas.microsoft.com/office/drawing/2014/main" pred="{794FF58A-6517-4D76-AC6C-68D2A3EB7AC1}"/>
            </a:ext>
          </a:extLst>
        </xdr:cNvPr>
        <xdr:cNvSpPr>
          <a:spLocks noChangeAspect="1" noChangeArrowheads="1"/>
        </xdr:cNvSpPr>
      </xdr:nvSpPr>
      <xdr:spPr bwMode="auto">
        <a:xfrm>
          <a:off x="7531100" y="28060650"/>
          <a:ext cx="190500" cy="266700"/>
        </a:xfrm>
        <a:prstGeom prst="rect">
          <a:avLst/>
        </a:prstGeom>
        <a:noFill/>
      </xdr:spPr>
    </xdr:sp>
    <xdr:clientData/>
  </xdr:oneCellAnchor>
  <xdr:oneCellAnchor>
    <xdr:from>
      <xdr:col>4</xdr:col>
      <xdr:colOff>1657350</xdr:colOff>
      <xdr:row>144</xdr:row>
      <xdr:rowOff>0</xdr:rowOff>
    </xdr:from>
    <xdr:ext cx="190500" cy="266700"/>
    <xdr:sp macro="" textlink="">
      <xdr:nvSpPr>
        <xdr:cNvPr id="1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E660670-D44B-4235-A1C0-39AD27EA4D0B}"/>
            </a:ext>
            <a:ext uri="{147F2762-F138-4A5C-976F-8EAC2B608ADB}">
              <a16:predDERef xmlns:a16="http://schemas.microsoft.com/office/drawing/2014/main" pred="{FA0376DC-88EA-48BD-938F-D4B71940F51A}"/>
            </a:ext>
          </a:extLst>
        </xdr:cNvPr>
        <xdr:cNvSpPr>
          <a:spLocks noChangeAspect="1" noChangeArrowheads="1"/>
        </xdr:cNvSpPr>
      </xdr:nvSpPr>
      <xdr:spPr bwMode="auto">
        <a:xfrm>
          <a:off x="7531100" y="28428950"/>
          <a:ext cx="190500" cy="266700"/>
        </a:xfrm>
        <a:prstGeom prst="rect">
          <a:avLst/>
        </a:prstGeom>
        <a:noFill/>
      </xdr:spPr>
    </xdr:sp>
    <xdr:clientData/>
  </xdr:oneCellAnchor>
  <xdr:oneCellAnchor>
    <xdr:from>
      <xdr:col>4</xdr:col>
      <xdr:colOff>1657350</xdr:colOff>
      <xdr:row>144</xdr:row>
      <xdr:rowOff>0</xdr:rowOff>
    </xdr:from>
    <xdr:ext cx="190500" cy="266700"/>
    <xdr:sp macro="" textlink="">
      <xdr:nvSpPr>
        <xdr:cNvPr id="1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3948FE4-9E32-4DE8-834C-E6EF0FD4DC36}"/>
            </a:ext>
            <a:ext uri="{147F2762-F138-4A5C-976F-8EAC2B608ADB}">
              <a16:predDERef xmlns:a16="http://schemas.microsoft.com/office/drawing/2014/main" pred="{E07DD07D-2F77-43D5-8B4C-F63CBBDE618F}"/>
            </a:ext>
          </a:extLst>
        </xdr:cNvPr>
        <xdr:cNvSpPr>
          <a:spLocks noChangeAspect="1" noChangeArrowheads="1"/>
        </xdr:cNvSpPr>
      </xdr:nvSpPr>
      <xdr:spPr bwMode="auto">
        <a:xfrm>
          <a:off x="7531100" y="28428950"/>
          <a:ext cx="190500" cy="266700"/>
        </a:xfrm>
        <a:prstGeom prst="rect">
          <a:avLst/>
        </a:prstGeom>
        <a:noFill/>
      </xdr:spPr>
    </xdr:sp>
    <xdr:clientData/>
  </xdr:oneCellAnchor>
  <xdr:oneCellAnchor>
    <xdr:from>
      <xdr:col>4</xdr:col>
      <xdr:colOff>1657350</xdr:colOff>
      <xdr:row>146</xdr:row>
      <xdr:rowOff>0</xdr:rowOff>
    </xdr:from>
    <xdr:ext cx="190500" cy="266700"/>
    <xdr:sp macro="" textlink="">
      <xdr:nvSpPr>
        <xdr:cNvPr id="1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52C984C-8A9A-45A1-A2FD-232683ECD97D}"/>
            </a:ext>
            <a:ext uri="{147F2762-F138-4A5C-976F-8EAC2B608ADB}">
              <a16:predDERef xmlns:a16="http://schemas.microsoft.com/office/drawing/2014/main" pred="{F96998AA-9F8C-4610-B0EC-733505C95FEB}"/>
            </a:ext>
          </a:extLst>
        </xdr:cNvPr>
        <xdr:cNvSpPr>
          <a:spLocks noChangeAspect="1" noChangeArrowheads="1"/>
        </xdr:cNvSpPr>
      </xdr:nvSpPr>
      <xdr:spPr bwMode="auto">
        <a:xfrm>
          <a:off x="7531100" y="28797250"/>
          <a:ext cx="190500" cy="266700"/>
        </a:xfrm>
        <a:prstGeom prst="rect">
          <a:avLst/>
        </a:prstGeom>
        <a:noFill/>
      </xdr:spPr>
    </xdr:sp>
    <xdr:clientData/>
  </xdr:oneCellAnchor>
  <xdr:oneCellAnchor>
    <xdr:from>
      <xdr:col>4</xdr:col>
      <xdr:colOff>1657350</xdr:colOff>
      <xdr:row>146</xdr:row>
      <xdr:rowOff>0</xdr:rowOff>
    </xdr:from>
    <xdr:ext cx="190500" cy="266700"/>
    <xdr:sp macro="" textlink="">
      <xdr:nvSpPr>
        <xdr:cNvPr id="1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587BE58-F04C-4B94-B3EF-25CE9C9E91FB}"/>
            </a:ext>
            <a:ext uri="{147F2762-F138-4A5C-976F-8EAC2B608ADB}">
              <a16:predDERef xmlns:a16="http://schemas.microsoft.com/office/drawing/2014/main" pred="{83F549E8-4FEB-4290-9647-ED06A0BD7AF8}"/>
            </a:ext>
          </a:extLst>
        </xdr:cNvPr>
        <xdr:cNvSpPr>
          <a:spLocks noChangeAspect="1" noChangeArrowheads="1"/>
        </xdr:cNvSpPr>
      </xdr:nvSpPr>
      <xdr:spPr bwMode="auto">
        <a:xfrm>
          <a:off x="7531100" y="28797250"/>
          <a:ext cx="190500" cy="266700"/>
        </a:xfrm>
        <a:prstGeom prst="rect">
          <a:avLst/>
        </a:prstGeom>
        <a:noFill/>
      </xdr:spPr>
    </xdr:sp>
    <xdr:clientData/>
  </xdr:oneCellAnchor>
  <xdr:oneCellAnchor>
    <xdr:from>
      <xdr:col>4</xdr:col>
      <xdr:colOff>1657350</xdr:colOff>
      <xdr:row>148</xdr:row>
      <xdr:rowOff>0</xdr:rowOff>
    </xdr:from>
    <xdr:ext cx="190500" cy="266700"/>
    <xdr:sp macro="" textlink="">
      <xdr:nvSpPr>
        <xdr:cNvPr id="1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8B44C1D-A204-4ADE-9D82-7AE8B85AD310}"/>
            </a:ext>
            <a:ext uri="{147F2762-F138-4A5C-976F-8EAC2B608ADB}">
              <a16:predDERef xmlns:a16="http://schemas.microsoft.com/office/drawing/2014/main" pred="{91D9479C-4AFE-40AB-B095-CF7CCA5A4516}"/>
            </a:ext>
          </a:extLst>
        </xdr:cNvPr>
        <xdr:cNvSpPr>
          <a:spLocks noChangeAspect="1" noChangeArrowheads="1"/>
        </xdr:cNvSpPr>
      </xdr:nvSpPr>
      <xdr:spPr bwMode="auto">
        <a:xfrm>
          <a:off x="7531100" y="29165550"/>
          <a:ext cx="190500" cy="266700"/>
        </a:xfrm>
        <a:prstGeom prst="rect">
          <a:avLst/>
        </a:prstGeom>
        <a:noFill/>
      </xdr:spPr>
    </xdr:sp>
    <xdr:clientData/>
  </xdr:oneCellAnchor>
  <xdr:oneCellAnchor>
    <xdr:from>
      <xdr:col>4</xdr:col>
      <xdr:colOff>1657350</xdr:colOff>
      <xdr:row>148</xdr:row>
      <xdr:rowOff>0</xdr:rowOff>
    </xdr:from>
    <xdr:ext cx="190500" cy="266700"/>
    <xdr:sp macro="" textlink="">
      <xdr:nvSpPr>
        <xdr:cNvPr id="1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A5BEA24-B913-4AC3-A3F2-E9187C3077DD}"/>
            </a:ext>
            <a:ext uri="{147F2762-F138-4A5C-976F-8EAC2B608ADB}">
              <a16:predDERef xmlns:a16="http://schemas.microsoft.com/office/drawing/2014/main" pred="{16D682A7-391E-4D97-9EA9-9681A3050EBC}"/>
            </a:ext>
          </a:extLst>
        </xdr:cNvPr>
        <xdr:cNvSpPr>
          <a:spLocks noChangeAspect="1" noChangeArrowheads="1"/>
        </xdr:cNvSpPr>
      </xdr:nvSpPr>
      <xdr:spPr bwMode="auto">
        <a:xfrm>
          <a:off x="7531100" y="29165550"/>
          <a:ext cx="190500" cy="266700"/>
        </a:xfrm>
        <a:prstGeom prst="rect">
          <a:avLst/>
        </a:prstGeom>
        <a:noFill/>
      </xdr:spPr>
    </xdr:sp>
    <xdr:clientData/>
  </xdr:oneCellAnchor>
  <xdr:oneCellAnchor>
    <xdr:from>
      <xdr:col>4</xdr:col>
      <xdr:colOff>1657350</xdr:colOff>
      <xdr:row>150</xdr:row>
      <xdr:rowOff>0</xdr:rowOff>
    </xdr:from>
    <xdr:ext cx="190500" cy="266700"/>
    <xdr:sp macro="" textlink="">
      <xdr:nvSpPr>
        <xdr:cNvPr id="1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9BEECF-61C5-44A7-8FC0-3522C10E2A3A}"/>
            </a:ext>
            <a:ext uri="{147F2762-F138-4A5C-976F-8EAC2B608ADB}">
              <a16:predDERef xmlns:a16="http://schemas.microsoft.com/office/drawing/2014/main" pred="{72390BC1-7BBD-4C4C-8FB6-F1621DD99DE8}"/>
            </a:ext>
          </a:extLst>
        </xdr:cNvPr>
        <xdr:cNvSpPr>
          <a:spLocks noChangeAspect="1" noChangeArrowheads="1"/>
        </xdr:cNvSpPr>
      </xdr:nvSpPr>
      <xdr:spPr bwMode="auto">
        <a:xfrm>
          <a:off x="7531100" y="29533850"/>
          <a:ext cx="190500" cy="266700"/>
        </a:xfrm>
        <a:prstGeom prst="rect">
          <a:avLst/>
        </a:prstGeom>
        <a:noFill/>
      </xdr:spPr>
    </xdr:sp>
    <xdr:clientData/>
  </xdr:oneCellAnchor>
  <xdr:oneCellAnchor>
    <xdr:from>
      <xdr:col>4</xdr:col>
      <xdr:colOff>1657350</xdr:colOff>
      <xdr:row>150</xdr:row>
      <xdr:rowOff>0</xdr:rowOff>
    </xdr:from>
    <xdr:ext cx="190500" cy="266700"/>
    <xdr:sp macro="" textlink="">
      <xdr:nvSpPr>
        <xdr:cNvPr id="1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E568EDF-732F-4DBF-A24F-32F16B688945}"/>
            </a:ext>
            <a:ext uri="{147F2762-F138-4A5C-976F-8EAC2B608ADB}">
              <a16:predDERef xmlns:a16="http://schemas.microsoft.com/office/drawing/2014/main" pred="{0322C391-F57B-45C6-B217-0199E36D4598}"/>
            </a:ext>
          </a:extLst>
        </xdr:cNvPr>
        <xdr:cNvSpPr>
          <a:spLocks noChangeAspect="1" noChangeArrowheads="1"/>
        </xdr:cNvSpPr>
      </xdr:nvSpPr>
      <xdr:spPr bwMode="auto">
        <a:xfrm>
          <a:off x="7531100" y="29533850"/>
          <a:ext cx="190500" cy="266700"/>
        </a:xfrm>
        <a:prstGeom prst="rect">
          <a:avLst/>
        </a:prstGeom>
        <a:noFill/>
      </xdr:spPr>
    </xdr:sp>
    <xdr:clientData/>
  </xdr:oneCellAnchor>
  <xdr:oneCellAnchor>
    <xdr:from>
      <xdr:col>4</xdr:col>
      <xdr:colOff>1657350</xdr:colOff>
      <xdr:row>152</xdr:row>
      <xdr:rowOff>0</xdr:rowOff>
    </xdr:from>
    <xdr:ext cx="190500" cy="266700"/>
    <xdr:sp macro="" textlink="">
      <xdr:nvSpPr>
        <xdr:cNvPr id="1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7362F18-B89B-4D61-9184-524CD96D6326}"/>
            </a:ext>
            <a:ext uri="{147F2762-F138-4A5C-976F-8EAC2B608ADB}">
              <a16:predDERef xmlns:a16="http://schemas.microsoft.com/office/drawing/2014/main" pred="{0505689C-5C99-459D-9BB3-0BC03E41FCA4}"/>
            </a:ext>
          </a:extLst>
        </xdr:cNvPr>
        <xdr:cNvSpPr>
          <a:spLocks noChangeAspect="1" noChangeArrowheads="1"/>
        </xdr:cNvSpPr>
      </xdr:nvSpPr>
      <xdr:spPr bwMode="auto">
        <a:xfrm>
          <a:off x="7531100" y="29902150"/>
          <a:ext cx="190500" cy="266700"/>
        </a:xfrm>
        <a:prstGeom prst="rect">
          <a:avLst/>
        </a:prstGeom>
        <a:noFill/>
      </xdr:spPr>
    </xdr:sp>
    <xdr:clientData/>
  </xdr:oneCellAnchor>
  <xdr:oneCellAnchor>
    <xdr:from>
      <xdr:col>4</xdr:col>
      <xdr:colOff>1657350</xdr:colOff>
      <xdr:row>152</xdr:row>
      <xdr:rowOff>0</xdr:rowOff>
    </xdr:from>
    <xdr:ext cx="190500" cy="266700"/>
    <xdr:sp macro="" textlink="">
      <xdr:nvSpPr>
        <xdr:cNvPr id="1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6049BED-3D45-476B-8B05-3E0B4A512C56}"/>
            </a:ext>
            <a:ext uri="{147F2762-F138-4A5C-976F-8EAC2B608ADB}">
              <a16:predDERef xmlns:a16="http://schemas.microsoft.com/office/drawing/2014/main" pred="{F2C16F40-FD62-4901-A930-5BB2FCE4D35F}"/>
            </a:ext>
          </a:extLst>
        </xdr:cNvPr>
        <xdr:cNvSpPr>
          <a:spLocks noChangeAspect="1" noChangeArrowheads="1"/>
        </xdr:cNvSpPr>
      </xdr:nvSpPr>
      <xdr:spPr bwMode="auto">
        <a:xfrm>
          <a:off x="7531100" y="29902150"/>
          <a:ext cx="190500" cy="266700"/>
        </a:xfrm>
        <a:prstGeom prst="rect">
          <a:avLst/>
        </a:prstGeom>
        <a:noFill/>
      </xdr:spPr>
    </xdr:sp>
    <xdr:clientData/>
  </xdr:oneCellAnchor>
  <xdr:oneCellAnchor>
    <xdr:from>
      <xdr:col>4</xdr:col>
      <xdr:colOff>1657350</xdr:colOff>
      <xdr:row>154</xdr:row>
      <xdr:rowOff>0</xdr:rowOff>
    </xdr:from>
    <xdr:ext cx="190500" cy="266700"/>
    <xdr:sp macro="" textlink="">
      <xdr:nvSpPr>
        <xdr:cNvPr id="1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DD9EB26-D271-4A0B-B4B3-95349E22A06D}"/>
            </a:ext>
            <a:ext uri="{147F2762-F138-4A5C-976F-8EAC2B608ADB}">
              <a16:predDERef xmlns:a16="http://schemas.microsoft.com/office/drawing/2014/main" pred="{6FB3AAD5-2DA4-4E15-AE6D-1AF46D49F4DB}"/>
            </a:ext>
          </a:extLst>
        </xdr:cNvPr>
        <xdr:cNvSpPr>
          <a:spLocks noChangeAspect="1" noChangeArrowheads="1"/>
        </xdr:cNvSpPr>
      </xdr:nvSpPr>
      <xdr:spPr bwMode="auto">
        <a:xfrm>
          <a:off x="7531100" y="30270450"/>
          <a:ext cx="190500" cy="266700"/>
        </a:xfrm>
        <a:prstGeom prst="rect">
          <a:avLst/>
        </a:prstGeom>
        <a:noFill/>
      </xdr:spPr>
    </xdr:sp>
    <xdr:clientData/>
  </xdr:oneCellAnchor>
  <xdr:oneCellAnchor>
    <xdr:from>
      <xdr:col>4</xdr:col>
      <xdr:colOff>1657350</xdr:colOff>
      <xdr:row>154</xdr:row>
      <xdr:rowOff>0</xdr:rowOff>
    </xdr:from>
    <xdr:ext cx="190500" cy="266700"/>
    <xdr:sp macro="" textlink="">
      <xdr:nvSpPr>
        <xdr:cNvPr id="1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F99FF8B-5E23-4BAF-8AB8-F0DAE41E80AA}"/>
            </a:ext>
            <a:ext uri="{147F2762-F138-4A5C-976F-8EAC2B608ADB}">
              <a16:predDERef xmlns:a16="http://schemas.microsoft.com/office/drawing/2014/main" pred="{37987C49-CACB-47DB-AC92-E941981454CB}"/>
            </a:ext>
          </a:extLst>
        </xdr:cNvPr>
        <xdr:cNvSpPr>
          <a:spLocks noChangeAspect="1" noChangeArrowheads="1"/>
        </xdr:cNvSpPr>
      </xdr:nvSpPr>
      <xdr:spPr bwMode="auto">
        <a:xfrm>
          <a:off x="7531100" y="30270450"/>
          <a:ext cx="190500" cy="266700"/>
        </a:xfrm>
        <a:prstGeom prst="rect">
          <a:avLst/>
        </a:prstGeom>
        <a:noFill/>
      </xdr:spPr>
    </xdr:sp>
    <xdr:clientData/>
  </xdr:oneCellAnchor>
  <xdr:oneCellAnchor>
    <xdr:from>
      <xdr:col>4</xdr:col>
      <xdr:colOff>1657350</xdr:colOff>
      <xdr:row>156</xdr:row>
      <xdr:rowOff>0</xdr:rowOff>
    </xdr:from>
    <xdr:ext cx="190500" cy="266700"/>
    <xdr:sp macro="" textlink="">
      <xdr:nvSpPr>
        <xdr:cNvPr id="1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E2C3915-DC28-411C-94FB-EBCDA95B282B}"/>
            </a:ext>
            <a:ext uri="{147F2762-F138-4A5C-976F-8EAC2B608ADB}">
              <a16:predDERef xmlns:a16="http://schemas.microsoft.com/office/drawing/2014/main" pred="{9E0BAD40-BA66-49B3-814A-B4378070990D}"/>
            </a:ext>
          </a:extLst>
        </xdr:cNvPr>
        <xdr:cNvSpPr>
          <a:spLocks noChangeAspect="1" noChangeArrowheads="1"/>
        </xdr:cNvSpPr>
      </xdr:nvSpPr>
      <xdr:spPr bwMode="auto">
        <a:xfrm>
          <a:off x="7531100" y="30638750"/>
          <a:ext cx="190500" cy="266700"/>
        </a:xfrm>
        <a:prstGeom prst="rect">
          <a:avLst/>
        </a:prstGeom>
        <a:noFill/>
      </xdr:spPr>
    </xdr:sp>
    <xdr:clientData/>
  </xdr:oneCellAnchor>
  <xdr:oneCellAnchor>
    <xdr:from>
      <xdr:col>4</xdr:col>
      <xdr:colOff>1657350</xdr:colOff>
      <xdr:row>156</xdr:row>
      <xdr:rowOff>0</xdr:rowOff>
    </xdr:from>
    <xdr:ext cx="190500" cy="266700"/>
    <xdr:sp macro="" textlink="">
      <xdr:nvSpPr>
        <xdr:cNvPr id="1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2E30E3F-5F3C-4EB9-9793-578CC1DAF30E}"/>
            </a:ext>
            <a:ext uri="{147F2762-F138-4A5C-976F-8EAC2B608ADB}">
              <a16:predDERef xmlns:a16="http://schemas.microsoft.com/office/drawing/2014/main" pred="{E624ADC1-6B89-4CB5-B965-CD8158233BE3}"/>
            </a:ext>
          </a:extLst>
        </xdr:cNvPr>
        <xdr:cNvSpPr>
          <a:spLocks noChangeAspect="1" noChangeArrowheads="1"/>
        </xdr:cNvSpPr>
      </xdr:nvSpPr>
      <xdr:spPr bwMode="auto">
        <a:xfrm>
          <a:off x="7531100" y="30638750"/>
          <a:ext cx="190500" cy="266700"/>
        </a:xfrm>
        <a:prstGeom prst="rect">
          <a:avLst/>
        </a:prstGeom>
        <a:noFill/>
      </xdr:spPr>
    </xdr:sp>
    <xdr:clientData/>
  </xdr:oneCellAnchor>
  <xdr:oneCellAnchor>
    <xdr:from>
      <xdr:col>4</xdr:col>
      <xdr:colOff>1657350</xdr:colOff>
      <xdr:row>158</xdr:row>
      <xdr:rowOff>0</xdr:rowOff>
    </xdr:from>
    <xdr:ext cx="190500" cy="266700"/>
    <xdr:sp macro="" textlink="">
      <xdr:nvSpPr>
        <xdr:cNvPr id="1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23FF348-8278-4B64-AC4F-DFB9A01CE38C}"/>
            </a:ext>
            <a:ext uri="{147F2762-F138-4A5C-976F-8EAC2B608ADB}">
              <a16:predDERef xmlns:a16="http://schemas.microsoft.com/office/drawing/2014/main" pred="{8B73D611-9CAC-4246-ACD2-61106105938D}"/>
            </a:ext>
          </a:extLst>
        </xdr:cNvPr>
        <xdr:cNvSpPr>
          <a:spLocks noChangeAspect="1" noChangeArrowheads="1"/>
        </xdr:cNvSpPr>
      </xdr:nvSpPr>
      <xdr:spPr bwMode="auto">
        <a:xfrm>
          <a:off x="7531100" y="31007050"/>
          <a:ext cx="190500" cy="266700"/>
        </a:xfrm>
        <a:prstGeom prst="rect">
          <a:avLst/>
        </a:prstGeom>
        <a:noFill/>
      </xdr:spPr>
    </xdr:sp>
    <xdr:clientData/>
  </xdr:oneCellAnchor>
  <xdr:oneCellAnchor>
    <xdr:from>
      <xdr:col>4</xdr:col>
      <xdr:colOff>1657350</xdr:colOff>
      <xdr:row>158</xdr:row>
      <xdr:rowOff>0</xdr:rowOff>
    </xdr:from>
    <xdr:ext cx="190500" cy="266700"/>
    <xdr:sp macro="" textlink="">
      <xdr:nvSpPr>
        <xdr:cNvPr id="1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1395CC2-16FD-4F1A-AF66-AA2674CD1778}"/>
            </a:ext>
            <a:ext uri="{147F2762-F138-4A5C-976F-8EAC2B608ADB}">
              <a16:predDERef xmlns:a16="http://schemas.microsoft.com/office/drawing/2014/main" pred="{3AB0DB64-1CC1-462C-A624-77E4455576D6}"/>
            </a:ext>
          </a:extLst>
        </xdr:cNvPr>
        <xdr:cNvSpPr>
          <a:spLocks noChangeAspect="1" noChangeArrowheads="1"/>
        </xdr:cNvSpPr>
      </xdr:nvSpPr>
      <xdr:spPr bwMode="auto">
        <a:xfrm>
          <a:off x="7531100" y="31007050"/>
          <a:ext cx="190500" cy="266700"/>
        </a:xfrm>
        <a:prstGeom prst="rect">
          <a:avLst/>
        </a:prstGeom>
        <a:noFill/>
      </xdr:spPr>
    </xdr:sp>
    <xdr:clientData/>
  </xdr:oneCellAnchor>
  <xdr:oneCellAnchor>
    <xdr:from>
      <xdr:col>4</xdr:col>
      <xdr:colOff>1657350</xdr:colOff>
      <xdr:row>160</xdr:row>
      <xdr:rowOff>0</xdr:rowOff>
    </xdr:from>
    <xdr:ext cx="190500" cy="266700"/>
    <xdr:sp macro="" textlink="">
      <xdr:nvSpPr>
        <xdr:cNvPr id="1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7A2CAC4-766A-433B-8089-7BC93E0894FA}"/>
            </a:ext>
            <a:ext uri="{147F2762-F138-4A5C-976F-8EAC2B608ADB}">
              <a16:predDERef xmlns:a16="http://schemas.microsoft.com/office/drawing/2014/main" pred="{8E625BDC-242D-4AD0-A5AD-77685F3FFE22}"/>
            </a:ext>
          </a:extLst>
        </xdr:cNvPr>
        <xdr:cNvSpPr>
          <a:spLocks noChangeAspect="1" noChangeArrowheads="1"/>
        </xdr:cNvSpPr>
      </xdr:nvSpPr>
      <xdr:spPr bwMode="auto">
        <a:xfrm>
          <a:off x="7531100" y="31375350"/>
          <a:ext cx="190500" cy="266700"/>
        </a:xfrm>
        <a:prstGeom prst="rect">
          <a:avLst/>
        </a:prstGeom>
        <a:noFill/>
      </xdr:spPr>
    </xdr:sp>
    <xdr:clientData/>
  </xdr:oneCellAnchor>
  <xdr:oneCellAnchor>
    <xdr:from>
      <xdr:col>4</xdr:col>
      <xdr:colOff>1657350</xdr:colOff>
      <xdr:row>160</xdr:row>
      <xdr:rowOff>0</xdr:rowOff>
    </xdr:from>
    <xdr:ext cx="190500" cy="266700"/>
    <xdr:sp macro="" textlink="">
      <xdr:nvSpPr>
        <xdr:cNvPr id="1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FD23156-7DE6-454D-B10C-D35CCD09D552}"/>
            </a:ext>
            <a:ext uri="{147F2762-F138-4A5C-976F-8EAC2B608ADB}">
              <a16:predDERef xmlns:a16="http://schemas.microsoft.com/office/drawing/2014/main" pred="{1475880B-3B71-4094-9697-94083DA0C9E5}"/>
            </a:ext>
          </a:extLst>
        </xdr:cNvPr>
        <xdr:cNvSpPr>
          <a:spLocks noChangeAspect="1" noChangeArrowheads="1"/>
        </xdr:cNvSpPr>
      </xdr:nvSpPr>
      <xdr:spPr bwMode="auto">
        <a:xfrm>
          <a:off x="7531100" y="31375350"/>
          <a:ext cx="190500" cy="266700"/>
        </a:xfrm>
        <a:prstGeom prst="rect">
          <a:avLst/>
        </a:prstGeom>
        <a:noFill/>
      </xdr:spPr>
    </xdr:sp>
    <xdr:clientData/>
  </xdr:oneCellAnchor>
  <xdr:oneCellAnchor>
    <xdr:from>
      <xdr:col>4</xdr:col>
      <xdr:colOff>1657350</xdr:colOff>
      <xdr:row>162</xdr:row>
      <xdr:rowOff>0</xdr:rowOff>
    </xdr:from>
    <xdr:ext cx="190500" cy="266700"/>
    <xdr:sp macro="" textlink="">
      <xdr:nvSpPr>
        <xdr:cNvPr id="1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22D424B-F9D3-4823-B288-1D1C9377447D}"/>
            </a:ext>
            <a:ext uri="{147F2762-F138-4A5C-976F-8EAC2B608ADB}">
              <a16:predDERef xmlns:a16="http://schemas.microsoft.com/office/drawing/2014/main" pred="{6E07F4BA-C5AE-408D-BC84-E1DD59F09786}"/>
            </a:ext>
          </a:extLst>
        </xdr:cNvPr>
        <xdr:cNvSpPr>
          <a:spLocks noChangeAspect="1" noChangeArrowheads="1"/>
        </xdr:cNvSpPr>
      </xdr:nvSpPr>
      <xdr:spPr bwMode="auto">
        <a:xfrm>
          <a:off x="7531100" y="31743650"/>
          <a:ext cx="190500" cy="266700"/>
        </a:xfrm>
        <a:prstGeom prst="rect">
          <a:avLst/>
        </a:prstGeom>
        <a:noFill/>
      </xdr:spPr>
    </xdr:sp>
    <xdr:clientData/>
  </xdr:oneCellAnchor>
  <xdr:oneCellAnchor>
    <xdr:from>
      <xdr:col>4</xdr:col>
      <xdr:colOff>1657350</xdr:colOff>
      <xdr:row>162</xdr:row>
      <xdr:rowOff>0</xdr:rowOff>
    </xdr:from>
    <xdr:ext cx="190500" cy="266700"/>
    <xdr:sp macro="" textlink="">
      <xdr:nvSpPr>
        <xdr:cNvPr id="1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28E3CB0-A100-44A9-92AD-46D02755BBC6}"/>
            </a:ext>
            <a:ext uri="{147F2762-F138-4A5C-976F-8EAC2B608ADB}">
              <a16:predDERef xmlns:a16="http://schemas.microsoft.com/office/drawing/2014/main" pred="{72150C4C-0C64-49DA-BA4E-27DEA30431F7}"/>
            </a:ext>
          </a:extLst>
        </xdr:cNvPr>
        <xdr:cNvSpPr>
          <a:spLocks noChangeAspect="1" noChangeArrowheads="1"/>
        </xdr:cNvSpPr>
      </xdr:nvSpPr>
      <xdr:spPr bwMode="auto">
        <a:xfrm>
          <a:off x="7531100" y="31743650"/>
          <a:ext cx="190500" cy="266700"/>
        </a:xfrm>
        <a:prstGeom prst="rect">
          <a:avLst/>
        </a:prstGeom>
        <a:noFill/>
      </xdr:spPr>
    </xdr:sp>
    <xdr:clientData/>
  </xdr:oneCellAnchor>
  <xdr:oneCellAnchor>
    <xdr:from>
      <xdr:col>4</xdr:col>
      <xdr:colOff>1657350</xdr:colOff>
      <xdr:row>164</xdr:row>
      <xdr:rowOff>0</xdr:rowOff>
    </xdr:from>
    <xdr:ext cx="190500" cy="266700"/>
    <xdr:sp macro="" textlink="">
      <xdr:nvSpPr>
        <xdr:cNvPr id="1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89FC2E0-4C6D-4847-A598-8FBCE08B7C16}"/>
            </a:ext>
            <a:ext uri="{147F2762-F138-4A5C-976F-8EAC2B608ADB}">
              <a16:predDERef xmlns:a16="http://schemas.microsoft.com/office/drawing/2014/main" pred="{C2A84C46-A690-4698-8CF7-578EFC10A8D2}"/>
            </a:ext>
          </a:extLst>
        </xdr:cNvPr>
        <xdr:cNvSpPr>
          <a:spLocks noChangeAspect="1" noChangeArrowheads="1"/>
        </xdr:cNvSpPr>
      </xdr:nvSpPr>
      <xdr:spPr bwMode="auto">
        <a:xfrm>
          <a:off x="7531100" y="32111950"/>
          <a:ext cx="190500" cy="266700"/>
        </a:xfrm>
        <a:prstGeom prst="rect">
          <a:avLst/>
        </a:prstGeom>
        <a:noFill/>
      </xdr:spPr>
    </xdr:sp>
    <xdr:clientData/>
  </xdr:oneCellAnchor>
  <xdr:oneCellAnchor>
    <xdr:from>
      <xdr:col>4</xdr:col>
      <xdr:colOff>1657350</xdr:colOff>
      <xdr:row>164</xdr:row>
      <xdr:rowOff>0</xdr:rowOff>
    </xdr:from>
    <xdr:ext cx="190500" cy="266700"/>
    <xdr:sp macro="" textlink="">
      <xdr:nvSpPr>
        <xdr:cNvPr id="1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2BA0482-ED11-44D5-A40F-89413EB2C1F1}"/>
            </a:ext>
            <a:ext uri="{147F2762-F138-4A5C-976F-8EAC2B608ADB}">
              <a16:predDERef xmlns:a16="http://schemas.microsoft.com/office/drawing/2014/main" pred="{C2460C3C-CDE9-4851-8837-804444A3EBBA}"/>
            </a:ext>
          </a:extLst>
        </xdr:cNvPr>
        <xdr:cNvSpPr>
          <a:spLocks noChangeAspect="1" noChangeArrowheads="1"/>
        </xdr:cNvSpPr>
      </xdr:nvSpPr>
      <xdr:spPr bwMode="auto">
        <a:xfrm>
          <a:off x="7531100" y="32111950"/>
          <a:ext cx="190500" cy="266700"/>
        </a:xfrm>
        <a:prstGeom prst="rect">
          <a:avLst/>
        </a:prstGeom>
        <a:noFill/>
      </xdr:spPr>
    </xdr:sp>
    <xdr:clientData/>
  </xdr:oneCellAnchor>
  <xdr:oneCellAnchor>
    <xdr:from>
      <xdr:col>4</xdr:col>
      <xdr:colOff>1657350</xdr:colOff>
      <xdr:row>166</xdr:row>
      <xdr:rowOff>0</xdr:rowOff>
    </xdr:from>
    <xdr:ext cx="190500" cy="266700"/>
    <xdr:sp macro="" textlink="">
      <xdr:nvSpPr>
        <xdr:cNvPr id="1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1A3DC3C-F3EC-4DA4-BD0A-AAE548A52972}"/>
            </a:ext>
            <a:ext uri="{147F2762-F138-4A5C-976F-8EAC2B608ADB}">
              <a16:predDERef xmlns:a16="http://schemas.microsoft.com/office/drawing/2014/main" pred="{5E260DF0-3F4C-4685-8F19-34B15C6E0128}"/>
            </a:ext>
          </a:extLst>
        </xdr:cNvPr>
        <xdr:cNvSpPr>
          <a:spLocks noChangeAspect="1" noChangeArrowheads="1"/>
        </xdr:cNvSpPr>
      </xdr:nvSpPr>
      <xdr:spPr bwMode="auto">
        <a:xfrm>
          <a:off x="7531100" y="32480250"/>
          <a:ext cx="190500" cy="266700"/>
        </a:xfrm>
        <a:prstGeom prst="rect">
          <a:avLst/>
        </a:prstGeom>
        <a:noFill/>
      </xdr:spPr>
    </xdr:sp>
    <xdr:clientData/>
  </xdr:oneCellAnchor>
  <xdr:oneCellAnchor>
    <xdr:from>
      <xdr:col>4</xdr:col>
      <xdr:colOff>1657350</xdr:colOff>
      <xdr:row>166</xdr:row>
      <xdr:rowOff>0</xdr:rowOff>
    </xdr:from>
    <xdr:ext cx="190500" cy="266700"/>
    <xdr:sp macro="" textlink="">
      <xdr:nvSpPr>
        <xdr:cNvPr id="1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1DE943E-6886-4D2F-8999-EB59EB1DEF7F}"/>
            </a:ext>
            <a:ext uri="{147F2762-F138-4A5C-976F-8EAC2B608ADB}">
              <a16:predDERef xmlns:a16="http://schemas.microsoft.com/office/drawing/2014/main" pred="{1A6BD4FB-5F2F-4DB4-A375-146E719D3B08}"/>
            </a:ext>
          </a:extLst>
        </xdr:cNvPr>
        <xdr:cNvSpPr>
          <a:spLocks noChangeAspect="1" noChangeArrowheads="1"/>
        </xdr:cNvSpPr>
      </xdr:nvSpPr>
      <xdr:spPr bwMode="auto">
        <a:xfrm>
          <a:off x="7531100" y="32480250"/>
          <a:ext cx="190500" cy="266700"/>
        </a:xfrm>
        <a:prstGeom prst="rect">
          <a:avLst/>
        </a:prstGeom>
        <a:noFill/>
      </xdr:spPr>
    </xdr:sp>
    <xdr:clientData/>
  </xdr:oneCellAnchor>
  <xdr:oneCellAnchor>
    <xdr:from>
      <xdr:col>4</xdr:col>
      <xdr:colOff>1657350</xdr:colOff>
      <xdr:row>168</xdr:row>
      <xdr:rowOff>0</xdr:rowOff>
    </xdr:from>
    <xdr:ext cx="190500" cy="266700"/>
    <xdr:sp macro="" textlink="">
      <xdr:nvSpPr>
        <xdr:cNvPr id="1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4135B47-DFCE-444B-8312-16476E324A66}"/>
            </a:ext>
            <a:ext uri="{147F2762-F138-4A5C-976F-8EAC2B608ADB}">
              <a16:predDERef xmlns:a16="http://schemas.microsoft.com/office/drawing/2014/main" pred="{6A2E8A2B-D3A4-4941-9B8D-9E0196BECE8D}"/>
            </a:ext>
          </a:extLst>
        </xdr:cNvPr>
        <xdr:cNvSpPr>
          <a:spLocks noChangeAspect="1" noChangeArrowheads="1"/>
        </xdr:cNvSpPr>
      </xdr:nvSpPr>
      <xdr:spPr bwMode="auto">
        <a:xfrm>
          <a:off x="7531100" y="32848550"/>
          <a:ext cx="190500" cy="266700"/>
        </a:xfrm>
        <a:prstGeom prst="rect">
          <a:avLst/>
        </a:prstGeom>
        <a:noFill/>
      </xdr:spPr>
    </xdr:sp>
    <xdr:clientData/>
  </xdr:oneCellAnchor>
  <xdr:oneCellAnchor>
    <xdr:from>
      <xdr:col>4</xdr:col>
      <xdr:colOff>1657350</xdr:colOff>
      <xdr:row>168</xdr:row>
      <xdr:rowOff>0</xdr:rowOff>
    </xdr:from>
    <xdr:ext cx="190500" cy="266700"/>
    <xdr:sp macro="" textlink="">
      <xdr:nvSpPr>
        <xdr:cNvPr id="1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DC65205-B019-4F82-9A3B-018FEE80AF41}"/>
            </a:ext>
            <a:ext uri="{147F2762-F138-4A5C-976F-8EAC2B608ADB}">
              <a16:predDERef xmlns:a16="http://schemas.microsoft.com/office/drawing/2014/main" pred="{75C02D70-9DCB-42AE-8EF7-FD12FE21EC1F}"/>
            </a:ext>
          </a:extLst>
        </xdr:cNvPr>
        <xdr:cNvSpPr>
          <a:spLocks noChangeAspect="1" noChangeArrowheads="1"/>
        </xdr:cNvSpPr>
      </xdr:nvSpPr>
      <xdr:spPr bwMode="auto">
        <a:xfrm>
          <a:off x="7531100" y="32848550"/>
          <a:ext cx="190500" cy="266700"/>
        </a:xfrm>
        <a:prstGeom prst="rect">
          <a:avLst/>
        </a:prstGeom>
        <a:noFill/>
      </xdr:spPr>
    </xdr:sp>
    <xdr:clientData/>
  </xdr:oneCellAnchor>
  <xdr:oneCellAnchor>
    <xdr:from>
      <xdr:col>4</xdr:col>
      <xdr:colOff>1657350</xdr:colOff>
      <xdr:row>170</xdr:row>
      <xdr:rowOff>0</xdr:rowOff>
    </xdr:from>
    <xdr:ext cx="190500" cy="266700"/>
    <xdr:sp macro="" textlink="">
      <xdr:nvSpPr>
        <xdr:cNvPr id="1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A7EB544-9A74-482D-868A-F503532324AB}"/>
            </a:ext>
            <a:ext uri="{147F2762-F138-4A5C-976F-8EAC2B608ADB}">
              <a16:predDERef xmlns:a16="http://schemas.microsoft.com/office/drawing/2014/main" pred="{44B170A7-DF01-4EA1-AC88-CBA933CBDD0F}"/>
            </a:ext>
          </a:extLst>
        </xdr:cNvPr>
        <xdr:cNvSpPr>
          <a:spLocks noChangeAspect="1" noChangeArrowheads="1"/>
        </xdr:cNvSpPr>
      </xdr:nvSpPr>
      <xdr:spPr bwMode="auto">
        <a:xfrm>
          <a:off x="7531100" y="33216850"/>
          <a:ext cx="190500" cy="266700"/>
        </a:xfrm>
        <a:prstGeom prst="rect">
          <a:avLst/>
        </a:prstGeom>
        <a:noFill/>
      </xdr:spPr>
    </xdr:sp>
    <xdr:clientData/>
  </xdr:oneCellAnchor>
  <xdr:oneCellAnchor>
    <xdr:from>
      <xdr:col>4</xdr:col>
      <xdr:colOff>1657350</xdr:colOff>
      <xdr:row>170</xdr:row>
      <xdr:rowOff>0</xdr:rowOff>
    </xdr:from>
    <xdr:ext cx="190500" cy="266700"/>
    <xdr:sp macro="" textlink="">
      <xdr:nvSpPr>
        <xdr:cNvPr id="1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BC4133F-3CD2-45EA-8F2D-F1D1A43B34B9}"/>
            </a:ext>
            <a:ext uri="{147F2762-F138-4A5C-976F-8EAC2B608ADB}">
              <a16:predDERef xmlns:a16="http://schemas.microsoft.com/office/drawing/2014/main" pred="{BD58A4A6-8AF8-4BFA-B484-E1F08E824CBD}"/>
            </a:ext>
          </a:extLst>
        </xdr:cNvPr>
        <xdr:cNvSpPr>
          <a:spLocks noChangeAspect="1" noChangeArrowheads="1"/>
        </xdr:cNvSpPr>
      </xdr:nvSpPr>
      <xdr:spPr bwMode="auto">
        <a:xfrm>
          <a:off x="7531100" y="33216850"/>
          <a:ext cx="190500" cy="266700"/>
        </a:xfrm>
        <a:prstGeom prst="rect">
          <a:avLst/>
        </a:prstGeom>
        <a:noFill/>
      </xdr:spPr>
    </xdr:sp>
    <xdr:clientData/>
  </xdr:oneCellAnchor>
  <xdr:oneCellAnchor>
    <xdr:from>
      <xdr:col>4</xdr:col>
      <xdr:colOff>1657350</xdr:colOff>
      <xdr:row>172</xdr:row>
      <xdr:rowOff>0</xdr:rowOff>
    </xdr:from>
    <xdr:ext cx="190500" cy="266700"/>
    <xdr:sp macro="" textlink="">
      <xdr:nvSpPr>
        <xdr:cNvPr id="1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3A7F462-76E6-45BB-9788-BE23A15946B0}"/>
            </a:ext>
            <a:ext uri="{147F2762-F138-4A5C-976F-8EAC2B608ADB}">
              <a16:predDERef xmlns:a16="http://schemas.microsoft.com/office/drawing/2014/main" pred="{A22E6134-32DE-4B58-8201-5BEFB3BF4F61}"/>
            </a:ext>
          </a:extLst>
        </xdr:cNvPr>
        <xdr:cNvSpPr>
          <a:spLocks noChangeAspect="1" noChangeArrowheads="1"/>
        </xdr:cNvSpPr>
      </xdr:nvSpPr>
      <xdr:spPr bwMode="auto">
        <a:xfrm>
          <a:off x="7531100" y="33585150"/>
          <a:ext cx="190500" cy="266700"/>
        </a:xfrm>
        <a:prstGeom prst="rect">
          <a:avLst/>
        </a:prstGeom>
        <a:noFill/>
      </xdr:spPr>
    </xdr:sp>
    <xdr:clientData/>
  </xdr:oneCellAnchor>
  <xdr:oneCellAnchor>
    <xdr:from>
      <xdr:col>4</xdr:col>
      <xdr:colOff>1657350</xdr:colOff>
      <xdr:row>172</xdr:row>
      <xdr:rowOff>0</xdr:rowOff>
    </xdr:from>
    <xdr:ext cx="190500" cy="266700"/>
    <xdr:sp macro="" textlink="">
      <xdr:nvSpPr>
        <xdr:cNvPr id="1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E4A344D-EBB2-48E7-B1BC-94A7CE1FC92C}"/>
            </a:ext>
            <a:ext uri="{147F2762-F138-4A5C-976F-8EAC2B608ADB}">
              <a16:predDERef xmlns:a16="http://schemas.microsoft.com/office/drawing/2014/main" pred="{5243B416-AB6B-4B6C-882D-AB8DED4F5A9C}"/>
            </a:ext>
          </a:extLst>
        </xdr:cNvPr>
        <xdr:cNvSpPr>
          <a:spLocks noChangeAspect="1" noChangeArrowheads="1"/>
        </xdr:cNvSpPr>
      </xdr:nvSpPr>
      <xdr:spPr bwMode="auto">
        <a:xfrm>
          <a:off x="7531100" y="33585150"/>
          <a:ext cx="190500" cy="266700"/>
        </a:xfrm>
        <a:prstGeom prst="rect">
          <a:avLst/>
        </a:prstGeom>
        <a:noFill/>
      </xdr:spPr>
    </xdr:sp>
    <xdr:clientData/>
  </xdr:oneCellAnchor>
  <xdr:oneCellAnchor>
    <xdr:from>
      <xdr:col>4</xdr:col>
      <xdr:colOff>1657350</xdr:colOff>
      <xdr:row>174</xdr:row>
      <xdr:rowOff>0</xdr:rowOff>
    </xdr:from>
    <xdr:ext cx="190500" cy="266700"/>
    <xdr:sp macro="" textlink="">
      <xdr:nvSpPr>
        <xdr:cNvPr id="1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F56553E-7795-4D6D-81F3-1D1C2FFDC14D}"/>
            </a:ext>
            <a:ext uri="{147F2762-F138-4A5C-976F-8EAC2B608ADB}">
              <a16:predDERef xmlns:a16="http://schemas.microsoft.com/office/drawing/2014/main" pred="{30270C53-4026-4082-B34A-CB84419D3F51}"/>
            </a:ext>
          </a:extLst>
        </xdr:cNvPr>
        <xdr:cNvSpPr>
          <a:spLocks noChangeAspect="1" noChangeArrowheads="1"/>
        </xdr:cNvSpPr>
      </xdr:nvSpPr>
      <xdr:spPr bwMode="auto">
        <a:xfrm>
          <a:off x="7531100" y="33953450"/>
          <a:ext cx="190500" cy="266700"/>
        </a:xfrm>
        <a:prstGeom prst="rect">
          <a:avLst/>
        </a:prstGeom>
        <a:noFill/>
      </xdr:spPr>
    </xdr:sp>
    <xdr:clientData/>
  </xdr:oneCellAnchor>
  <xdr:oneCellAnchor>
    <xdr:from>
      <xdr:col>4</xdr:col>
      <xdr:colOff>1657350</xdr:colOff>
      <xdr:row>174</xdr:row>
      <xdr:rowOff>0</xdr:rowOff>
    </xdr:from>
    <xdr:ext cx="190500" cy="266700"/>
    <xdr:sp macro="" textlink="">
      <xdr:nvSpPr>
        <xdr:cNvPr id="1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63901D-045E-4587-9090-D342B99D074A}"/>
            </a:ext>
            <a:ext uri="{147F2762-F138-4A5C-976F-8EAC2B608ADB}">
              <a16:predDERef xmlns:a16="http://schemas.microsoft.com/office/drawing/2014/main" pred="{7C43CC29-2F04-4EA8-89E0-B28DE6C131B8}"/>
            </a:ext>
          </a:extLst>
        </xdr:cNvPr>
        <xdr:cNvSpPr>
          <a:spLocks noChangeAspect="1" noChangeArrowheads="1"/>
        </xdr:cNvSpPr>
      </xdr:nvSpPr>
      <xdr:spPr bwMode="auto">
        <a:xfrm>
          <a:off x="7531100" y="33953450"/>
          <a:ext cx="190500" cy="266700"/>
        </a:xfrm>
        <a:prstGeom prst="rect">
          <a:avLst/>
        </a:prstGeom>
        <a:noFill/>
      </xdr:spPr>
    </xdr:sp>
    <xdr:clientData/>
  </xdr:oneCellAnchor>
  <xdr:oneCellAnchor>
    <xdr:from>
      <xdr:col>4</xdr:col>
      <xdr:colOff>1657350</xdr:colOff>
      <xdr:row>176</xdr:row>
      <xdr:rowOff>0</xdr:rowOff>
    </xdr:from>
    <xdr:ext cx="190500" cy="266700"/>
    <xdr:sp macro="" textlink="">
      <xdr:nvSpPr>
        <xdr:cNvPr id="1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F97EFEE-B94F-4735-8686-5AB820D8E3B1}"/>
            </a:ext>
            <a:ext uri="{147F2762-F138-4A5C-976F-8EAC2B608ADB}">
              <a16:predDERef xmlns:a16="http://schemas.microsoft.com/office/drawing/2014/main" pred="{0D07EB24-0360-4D84-A947-0C9CA5B8F0F2}"/>
            </a:ext>
          </a:extLst>
        </xdr:cNvPr>
        <xdr:cNvSpPr>
          <a:spLocks noChangeAspect="1" noChangeArrowheads="1"/>
        </xdr:cNvSpPr>
      </xdr:nvSpPr>
      <xdr:spPr bwMode="auto">
        <a:xfrm>
          <a:off x="7531100" y="34321750"/>
          <a:ext cx="190500" cy="266700"/>
        </a:xfrm>
        <a:prstGeom prst="rect">
          <a:avLst/>
        </a:prstGeom>
        <a:noFill/>
      </xdr:spPr>
    </xdr:sp>
    <xdr:clientData/>
  </xdr:oneCellAnchor>
  <xdr:oneCellAnchor>
    <xdr:from>
      <xdr:col>4</xdr:col>
      <xdr:colOff>1657350</xdr:colOff>
      <xdr:row>176</xdr:row>
      <xdr:rowOff>0</xdr:rowOff>
    </xdr:from>
    <xdr:ext cx="190500" cy="266700"/>
    <xdr:sp macro="" textlink="">
      <xdr:nvSpPr>
        <xdr:cNvPr id="1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864D7AC-74EC-48D8-BA0C-B6B32C32FB6E}"/>
            </a:ext>
            <a:ext uri="{147F2762-F138-4A5C-976F-8EAC2B608ADB}">
              <a16:predDERef xmlns:a16="http://schemas.microsoft.com/office/drawing/2014/main" pred="{5A91D782-6386-4874-BB71-6DEB5DA3B596}"/>
            </a:ext>
          </a:extLst>
        </xdr:cNvPr>
        <xdr:cNvSpPr>
          <a:spLocks noChangeAspect="1" noChangeArrowheads="1"/>
        </xdr:cNvSpPr>
      </xdr:nvSpPr>
      <xdr:spPr bwMode="auto">
        <a:xfrm>
          <a:off x="7531100" y="34321750"/>
          <a:ext cx="190500" cy="266700"/>
        </a:xfrm>
        <a:prstGeom prst="rect">
          <a:avLst/>
        </a:prstGeom>
        <a:noFill/>
      </xdr:spPr>
    </xdr:sp>
    <xdr:clientData/>
  </xdr:oneCellAnchor>
  <xdr:oneCellAnchor>
    <xdr:from>
      <xdr:col>4</xdr:col>
      <xdr:colOff>1657350</xdr:colOff>
      <xdr:row>178</xdr:row>
      <xdr:rowOff>0</xdr:rowOff>
    </xdr:from>
    <xdr:ext cx="190500" cy="266700"/>
    <xdr:sp macro="" textlink="">
      <xdr:nvSpPr>
        <xdr:cNvPr id="1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F7FE8FF-6357-4BC3-B807-1A58410436E0}"/>
            </a:ext>
            <a:ext uri="{147F2762-F138-4A5C-976F-8EAC2B608ADB}">
              <a16:predDERef xmlns:a16="http://schemas.microsoft.com/office/drawing/2014/main" pred="{0DA5CE13-3694-4C71-9E2F-9BB561367357}"/>
            </a:ext>
          </a:extLst>
        </xdr:cNvPr>
        <xdr:cNvSpPr>
          <a:spLocks noChangeAspect="1" noChangeArrowheads="1"/>
        </xdr:cNvSpPr>
      </xdr:nvSpPr>
      <xdr:spPr bwMode="auto">
        <a:xfrm>
          <a:off x="7531100" y="34690050"/>
          <a:ext cx="190500" cy="266700"/>
        </a:xfrm>
        <a:prstGeom prst="rect">
          <a:avLst/>
        </a:prstGeom>
        <a:noFill/>
      </xdr:spPr>
    </xdr:sp>
    <xdr:clientData/>
  </xdr:oneCellAnchor>
  <xdr:oneCellAnchor>
    <xdr:from>
      <xdr:col>4</xdr:col>
      <xdr:colOff>1657350</xdr:colOff>
      <xdr:row>178</xdr:row>
      <xdr:rowOff>0</xdr:rowOff>
    </xdr:from>
    <xdr:ext cx="190500" cy="266700"/>
    <xdr:sp macro="" textlink="">
      <xdr:nvSpPr>
        <xdr:cNvPr id="1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0FF7A88-F02A-45B0-9A86-616267B16673}"/>
            </a:ext>
            <a:ext uri="{147F2762-F138-4A5C-976F-8EAC2B608ADB}">
              <a16:predDERef xmlns:a16="http://schemas.microsoft.com/office/drawing/2014/main" pred="{80411550-F436-40BA-B5F6-7D9B9D26F12A}"/>
            </a:ext>
          </a:extLst>
        </xdr:cNvPr>
        <xdr:cNvSpPr>
          <a:spLocks noChangeAspect="1" noChangeArrowheads="1"/>
        </xdr:cNvSpPr>
      </xdr:nvSpPr>
      <xdr:spPr bwMode="auto">
        <a:xfrm>
          <a:off x="7531100" y="34690050"/>
          <a:ext cx="190500" cy="266700"/>
        </a:xfrm>
        <a:prstGeom prst="rect">
          <a:avLst/>
        </a:prstGeom>
        <a:noFill/>
      </xdr:spPr>
    </xdr:sp>
    <xdr:clientData/>
  </xdr:oneCellAnchor>
  <xdr:oneCellAnchor>
    <xdr:from>
      <xdr:col>4</xdr:col>
      <xdr:colOff>1657350</xdr:colOff>
      <xdr:row>180</xdr:row>
      <xdr:rowOff>0</xdr:rowOff>
    </xdr:from>
    <xdr:ext cx="190500" cy="266700"/>
    <xdr:sp macro="" textlink="">
      <xdr:nvSpPr>
        <xdr:cNvPr id="1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EC99181-BF6A-45B3-976A-94D6E1663583}"/>
            </a:ext>
            <a:ext uri="{147F2762-F138-4A5C-976F-8EAC2B608ADB}">
              <a16:predDERef xmlns:a16="http://schemas.microsoft.com/office/drawing/2014/main" pred="{A38B7107-54BF-4ADD-98A6-2FE7806951F7}"/>
            </a:ext>
          </a:extLst>
        </xdr:cNvPr>
        <xdr:cNvSpPr>
          <a:spLocks noChangeAspect="1" noChangeArrowheads="1"/>
        </xdr:cNvSpPr>
      </xdr:nvSpPr>
      <xdr:spPr bwMode="auto">
        <a:xfrm>
          <a:off x="7531100" y="35058350"/>
          <a:ext cx="190500" cy="266700"/>
        </a:xfrm>
        <a:prstGeom prst="rect">
          <a:avLst/>
        </a:prstGeom>
        <a:noFill/>
      </xdr:spPr>
    </xdr:sp>
    <xdr:clientData/>
  </xdr:oneCellAnchor>
  <xdr:oneCellAnchor>
    <xdr:from>
      <xdr:col>4</xdr:col>
      <xdr:colOff>1657350</xdr:colOff>
      <xdr:row>180</xdr:row>
      <xdr:rowOff>0</xdr:rowOff>
    </xdr:from>
    <xdr:ext cx="190500" cy="266700"/>
    <xdr:sp macro="" textlink="">
      <xdr:nvSpPr>
        <xdr:cNvPr id="1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2407D3-ED3D-4FB1-B644-885ADA74E9E1}"/>
            </a:ext>
            <a:ext uri="{147F2762-F138-4A5C-976F-8EAC2B608ADB}">
              <a16:predDERef xmlns:a16="http://schemas.microsoft.com/office/drawing/2014/main" pred="{2E85363C-A4F0-4D7F-8DBB-9F67B5616F3C}"/>
            </a:ext>
          </a:extLst>
        </xdr:cNvPr>
        <xdr:cNvSpPr>
          <a:spLocks noChangeAspect="1" noChangeArrowheads="1"/>
        </xdr:cNvSpPr>
      </xdr:nvSpPr>
      <xdr:spPr bwMode="auto">
        <a:xfrm>
          <a:off x="7531100" y="35058350"/>
          <a:ext cx="190500" cy="266700"/>
        </a:xfrm>
        <a:prstGeom prst="rect">
          <a:avLst/>
        </a:prstGeom>
        <a:noFill/>
      </xdr:spPr>
    </xdr:sp>
    <xdr:clientData/>
  </xdr:oneCellAnchor>
  <xdr:oneCellAnchor>
    <xdr:from>
      <xdr:col>4</xdr:col>
      <xdr:colOff>1657350</xdr:colOff>
      <xdr:row>182</xdr:row>
      <xdr:rowOff>0</xdr:rowOff>
    </xdr:from>
    <xdr:ext cx="190500" cy="266700"/>
    <xdr:sp macro="" textlink="">
      <xdr:nvSpPr>
        <xdr:cNvPr id="1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75E93C8-A336-4A6C-81CB-EDC101C04936}"/>
            </a:ext>
            <a:ext uri="{147F2762-F138-4A5C-976F-8EAC2B608ADB}">
              <a16:predDERef xmlns:a16="http://schemas.microsoft.com/office/drawing/2014/main" pred="{8512653B-0058-4A1A-842A-515854FAB55F}"/>
            </a:ext>
          </a:extLst>
        </xdr:cNvPr>
        <xdr:cNvSpPr>
          <a:spLocks noChangeAspect="1" noChangeArrowheads="1"/>
        </xdr:cNvSpPr>
      </xdr:nvSpPr>
      <xdr:spPr bwMode="auto">
        <a:xfrm>
          <a:off x="7531100" y="35718750"/>
          <a:ext cx="190500" cy="266700"/>
        </a:xfrm>
        <a:prstGeom prst="rect">
          <a:avLst/>
        </a:prstGeom>
        <a:noFill/>
      </xdr:spPr>
    </xdr:sp>
    <xdr:clientData/>
  </xdr:oneCellAnchor>
  <xdr:oneCellAnchor>
    <xdr:from>
      <xdr:col>4</xdr:col>
      <xdr:colOff>1657350</xdr:colOff>
      <xdr:row>182</xdr:row>
      <xdr:rowOff>0</xdr:rowOff>
    </xdr:from>
    <xdr:ext cx="190500" cy="266700"/>
    <xdr:sp macro="" textlink="">
      <xdr:nvSpPr>
        <xdr:cNvPr id="1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EE73B81-6DE3-4FD7-A5B9-DFEC47EB6A59}"/>
            </a:ext>
            <a:ext uri="{147F2762-F138-4A5C-976F-8EAC2B608ADB}">
              <a16:predDERef xmlns:a16="http://schemas.microsoft.com/office/drawing/2014/main" pred="{59CBEAF0-6C4B-4F5C-B178-D22EABEAC1A2}"/>
            </a:ext>
          </a:extLst>
        </xdr:cNvPr>
        <xdr:cNvSpPr>
          <a:spLocks noChangeAspect="1" noChangeArrowheads="1"/>
        </xdr:cNvSpPr>
      </xdr:nvSpPr>
      <xdr:spPr bwMode="auto">
        <a:xfrm>
          <a:off x="7531100" y="35718750"/>
          <a:ext cx="190500" cy="266700"/>
        </a:xfrm>
        <a:prstGeom prst="rect">
          <a:avLst/>
        </a:prstGeom>
        <a:noFill/>
      </xdr:spPr>
    </xdr:sp>
    <xdr:clientData/>
  </xdr:oneCellAnchor>
  <xdr:oneCellAnchor>
    <xdr:from>
      <xdr:col>4</xdr:col>
      <xdr:colOff>1657350</xdr:colOff>
      <xdr:row>184</xdr:row>
      <xdr:rowOff>0</xdr:rowOff>
    </xdr:from>
    <xdr:ext cx="190500" cy="266700"/>
    <xdr:sp macro="" textlink="">
      <xdr:nvSpPr>
        <xdr:cNvPr id="1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191B3A4-BB31-455F-9C26-BD715DE89817}"/>
            </a:ext>
            <a:ext uri="{147F2762-F138-4A5C-976F-8EAC2B608ADB}">
              <a16:predDERef xmlns:a16="http://schemas.microsoft.com/office/drawing/2014/main" pred="{1BBA6A34-9B61-4960-ACE1-76ECA7721B4B}"/>
            </a:ext>
          </a:extLst>
        </xdr:cNvPr>
        <xdr:cNvSpPr>
          <a:spLocks noChangeAspect="1" noChangeArrowheads="1"/>
        </xdr:cNvSpPr>
      </xdr:nvSpPr>
      <xdr:spPr bwMode="auto">
        <a:xfrm>
          <a:off x="7531100" y="36087050"/>
          <a:ext cx="190500" cy="266700"/>
        </a:xfrm>
        <a:prstGeom prst="rect">
          <a:avLst/>
        </a:prstGeom>
        <a:noFill/>
      </xdr:spPr>
    </xdr:sp>
    <xdr:clientData/>
  </xdr:oneCellAnchor>
  <xdr:oneCellAnchor>
    <xdr:from>
      <xdr:col>4</xdr:col>
      <xdr:colOff>1657350</xdr:colOff>
      <xdr:row>184</xdr:row>
      <xdr:rowOff>0</xdr:rowOff>
    </xdr:from>
    <xdr:ext cx="190500" cy="266700"/>
    <xdr:sp macro="" textlink="">
      <xdr:nvSpPr>
        <xdr:cNvPr id="1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6D3CE7B-CE1C-41AB-89D6-3FF456B662D2}"/>
            </a:ext>
            <a:ext uri="{147F2762-F138-4A5C-976F-8EAC2B608ADB}">
              <a16:predDERef xmlns:a16="http://schemas.microsoft.com/office/drawing/2014/main" pred="{CFF925D9-F1E3-4E75-B56B-BD0D945CE1C7}"/>
            </a:ext>
          </a:extLst>
        </xdr:cNvPr>
        <xdr:cNvSpPr>
          <a:spLocks noChangeAspect="1" noChangeArrowheads="1"/>
        </xdr:cNvSpPr>
      </xdr:nvSpPr>
      <xdr:spPr bwMode="auto">
        <a:xfrm>
          <a:off x="7531100" y="36087050"/>
          <a:ext cx="190500" cy="266700"/>
        </a:xfrm>
        <a:prstGeom prst="rect">
          <a:avLst/>
        </a:prstGeom>
        <a:noFill/>
      </xdr:spPr>
    </xdr:sp>
    <xdr:clientData/>
  </xdr:oneCellAnchor>
  <xdr:oneCellAnchor>
    <xdr:from>
      <xdr:col>4</xdr:col>
      <xdr:colOff>1657350</xdr:colOff>
      <xdr:row>186</xdr:row>
      <xdr:rowOff>0</xdr:rowOff>
    </xdr:from>
    <xdr:ext cx="190500" cy="266700"/>
    <xdr:sp macro="" textlink="">
      <xdr:nvSpPr>
        <xdr:cNvPr id="1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AAD9A89-6E6E-4055-9D4F-9DCEDB5DA9E2}"/>
            </a:ext>
            <a:ext uri="{147F2762-F138-4A5C-976F-8EAC2B608ADB}">
              <a16:predDERef xmlns:a16="http://schemas.microsoft.com/office/drawing/2014/main" pred="{353384B1-D944-4E94-B392-0902504AEBC0}"/>
            </a:ext>
          </a:extLst>
        </xdr:cNvPr>
        <xdr:cNvSpPr>
          <a:spLocks noChangeAspect="1" noChangeArrowheads="1"/>
        </xdr:cNvSpPr>
      </xdr:nvSpPr>
      <xdr:spPr bwMode="auto">
        <a:xfrm>
          <a:off x="7531100" y="36455350"/>
          <a:ext cx="190500" cy="266700"/>
        </a:xfrm>
        <a:prstGeom prst="rect">
          <a:avLst/>
        </a:prstGeom>
        <a:noFill/>
      </xdr:spPr>
    </xdr:sp>
    <xdr:clientData/>
  </xdr:oneCellAnchor>
  <xdr:oneCellAnchor>
    <xdr:from>
      <xdr:col>4</xdr:col>
      <xdr:colOff>1657350</xdr:colOff>
      <xdr:row>186</xdr:row>
      <xdr:rowOff>0</xdr:rowOff>
    </xdr:from>
    <xdr:ext cx="190500" cy="266700"/>
    <xdr:sp macro="" textlink="">
      <xdr:nvSpPr>
        <xdr:cNvPr id="1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E1B47D1-F20C-4B92-9F75-106E7C0F6E74}"/>
            </a:ext>
            <a:ext uri="{147F2762-F138-4A5C-976F-8EAC2B608ADB}">
              <a16:predDERef xmlns:a16="http://schemas.microsoft.com/office/drawing/2014/main" pred="{42EE5F28-301D-4D2D-B0CC-96C9C7143AC2}"/>
            </a:ext>
          </a:extLst>
        </xdr:cNvPr>
        <xdr:cNvSpPr>
          <a:spLocks noChangeAspect="1" noChangeArrowheads="1"/>
        </xdr:cNvSpPr>
      </xdr:nvSpPr>
      <xdr:spPr bwMode="auto">
        <a:xfrm>
          <a:off x="7531100" y="36455350"/>
          <a:ext cx="190500" cy="266700"/>
        </a:xfrm>
        <a:prstGeom prst="rect">
          <a:avLst/>
        </a:prstGeom>
        <a:noFill/>
      </xdr:spPr>
    </xdr:sp>
    <xdr:clientData/>
  </xdr:oneCellAnchor>
  <xdr:oneCellAnchor>
    <xdr:from>
      <xdr:col>4</xdr:col>
      <xdr:colOff>1657350</xdr:colOff>
      <xdr:row>188</xdr:row>
      <xdr:rowOff>0</xdr:rowOff>
    </xdr:from>
    <xdr:ext cx="190500" cy="266700"/>
    <xdr:sp macro="" textlink="">
      <xdr:nvSpPr>
        <xdr:cNvPr id="1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FDE3D61-7185-4974-A58D-29F68D1386A9}"/>
            </a:ext>
            <a:ext uri="{147F2762-F138-4A5C-976F-8EAC2B608ADB}">
              <a16:predDERef xmlns:a16="http://schemas.microsoft.com/office/drawing/2014/main" pred="{A5D0EAF1-3CEF-4DAF-88A9-D08EBEA0B174}"/>
            </a:ext>
          </a:extLst>
        </xdr:cNvPr>
        <xdr:cNvSpPr>
          <a:spLocks noChangeAspect="1" noChangeArrowheads="1"/>
        </xdr:cNvSpPr>
      </xdr:nvSpPr>
      <xdr:spPr bwMode="auto">
        <a:xfrm>
          <a:off x="7531100" y="36823650"/>
          <a:ext cx="190500" cy="266700"/>
        </a:xfrm>
        <a:prstGeom prst="rect">
          <a:avLst/>
        </a:prstGeom>
        <a:noFill/>
      </xdr:spPr>
    </xdr:sp>
    <xdr:clientData/>
  </xdr:oneCellAnchor>
  <xdr:oneCellAnchor>
    <xdr:from>
      <xdr:col>4</xdr:col>
      <xdr:colOff>1657350</xdr:colOff>
      <xdr:row>188</xdr:row>
      <xdr:rowOff>0</xdr:rowOff>
    </xdr:from>
    <xdr:ext cx="190500" cy="266700"/>
    <xdr:sp macro="" textlink="">
      <xdr:nvSpPr>
        <xdr:cNvPr id="1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D9C012-BC82-477C-9333-17B550C34CAC}"/>
            </a:ext>
            <a:ext uri="{147F2762-F138-4A5C-976F-8EAC2B608ADB}">
              <a16:predDERef xmlns:a16="http://schemas.microsoft.com/office/drawing/2014/main" pred="{325A4B8E-D15C-4DBE-960E-674EB12CA1D8}"/>
            </a:ext>
          </a:extLst>
        </xdr:cNvPr>
        <xdr:cNvSpPr>
          <a:spLocks noChangeAspect="1" noChangeArrowheads="1"/>
        </xdr:cNvSpPr>
      </xdr:nvSpPr>
      <xdr:spPr bwMode="auto">
        <a:xfrm>
          <a:off x="7531100" y="36823650"/>
          <a:ext cx="190500" cy="266700"/>
        </a:xfrm>
        <a:prstGeom prst="rect">
          <a:avLst/>
        </a:prstGeom>
        <a:noFill/>
      </xdr:spPr>
    </xdr:sp>
    <xdr:clientData/>
  </xdr:oneCellAnchor>
  <xdr:oneCellAnchor>
    <xdr:from>
      <xdr:col>4</xdr:col>
      <xdr:colOff>1657350</xdr:colOff>
      <xdr:row>190</xdr:row>
      <xdr:rowOff>0</xdr:rowOff>
    </xdr:from>
    <xdr:ext cx="190500" cy="266700"/>
    <xdr:sp macro="" textlink="">
      <xdr:nvSpPr>
        <xdr:cNvPr id="1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47F6D55-6C16-41B2-B7AA-E10C24D7A6F2}"/>
            </a:ext>
            <a:ext uri="{147F2762-F138-4A5C-976F-8EAC2B608ADB}">
              <a16:predDERef xmlns:a16="http://schemas.microsoft.com/office/drawing/2014/main" pred="{75FAAC03-738F-477E-8408-FE5F3D75106A}"/>
            </a:ext>
          </a:extLst>
        </xdr:cNvPr>
        <xdr:cNvSpPr>
          <a:spLocks noChangeAspect="1" noChangeArrowheads="1"/>
        </xdr:cNvSpPr>
      </xdr:nvSpPr>
      <xdr:spPr bwMode="auto">
        <a:xfrm>
          <a:off x="7531100" y="37191950"/>
          <a:ext cx="190500" cy="266700"/>
        </a:xfrm>
        <a:prstGeom prst="rect">
          <a:avLst/>
        </a:prstGeom>
        <a:noFill/>
      </xdr:spPr>
    </xdr:sp>
    <xdr:clientData/>
  </xdr:oneCellAnchor>
  <xdr:oneCellAnchor>
    <xdr:from>
      <xdr:col>4</xdr:col>
      <xdr:colOff>1657350</xdr:colOff>
      <xdr:row>190</xdr:row>
      <xdr:rowOff>0</xdr:rowOff>
    </xdr:from>
    <xdr:ext cx="190500" cy="266700"/>
    <xdr:sp macro="" textlink="">
      <xdr:nvSpPr>
        <xdr:cNvPr id="1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15B5B2C-3C00-4931-A826-F82AB5E71672}"/>
            </a:ext>
            <a:ext uri="{147F2762-F138-4A5C-976F-8EAC2B608ADB}">
              <a16:predDERef xmlns:a16="http://schemas.microsoft.com/office/drawing/2014/main" pred="{F65CEC90-9D9D-420E-9749-10AA1A8EC7B6}"/>
            </a:ext>
          </a:extLst>
        </xdr:cNvPr>
        <xdr:cNvSpPr>
          <a:spLocks noChangeAspect="1" noChangeArrowheads="1"/>
        </xdr:cNvSpPr>
      </xdr:nvSpPr>
      <xdr:spPr bwMode="auto">
        <a:xfrm>
          <a:off x="7531100" y="37191950"/>
          <a:ext cx="190500" cy="266700"/>
        </a:xfrm>
        <a:prstGeom prst="rect">
          <a:avLst/>
        </a:prstGeom>
        <a:noFill/>
      </xdr:spPr>
    </xdr:sp>
    <xdr:clientData/>
  </xdr:oneCellAnchor>
  <xdr:oneCellAnchor>
    <xdr:from>
      <xdr:col>4</xdr:col>
      <xdr:colOff>1657350</xdr:colOff>
      <xdr:row>192</xdr:row>
      <xdr:rowOff>0</xdr:rowOff>
    </xdr:from>
    <xdr:ext cx="190500" cy="266700"/>
    <xdr:sp macro="" textlink="">
      <xdr:nvSpPr>
        <xdr:cNvPr id="1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68457BC-733F-427A-87AC-CE012830A597}"/>
            </a:ext>
            <a:ext uri="{147F2762-F138-4A5C-976F-8EAC2B608ADB}">
              <a16:predDERef xmlns:a16="http://schemas.microsoft.com/office/drawing/2014/main" pred="{9188EC6C-8056-45B0-9F06-1D5F8615BBE0}"/>
            </a:ext>
          </a:extLst>
        </xdr:cNvPr>
        <xdr:cNvSpPr>
          <a:spLocks noChangeAspect="1" noChangeArrowheads="1"/>
        </xdr:cNvSpPr>
      </xdr:nvSpPr>
      <xdr:spPr bwMode="auto">
        <a:xfrm>
          <a:off x="7531100" y="37560250"/>
          <a:ext cx="190500" cy="266700"/>
        </a:xfrm>
        <a:prstGeom prst="rect">
          <a:avLst/>
        </a:prstGeom>
        <a:noFill/>
      </xdr:spPr>
    </xdr:sp>
    <xdr:clientData/>
  </xdr:oneCellAnchor>
  <xdr:oneCellAnchor>
    <xdr:from>
      <xdr:col>4</xdr:col>
      <xdr:colOff>1657350</xdr:colOff>
      <xdr:row>192</xdr:row>
      <xdr:rowOff>0</xdr:rowOff>
    </xdr:from>
    <xdr:ext cx="190500" cy="266700"/>
    <xdr:sp macro="" textlink="">
      <xdr:nvSpPr>
        <xdr:cNvPr id="1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ED46AE-CF76-431B-ADC5-65C23FA8EBEF}"/>
            </a:ext>
            <a:ext uri="{147F2762-F138-4A5C-976F-8EAC2B608ADB}">
              <a16:predDERef xmlns:a16="http://schemas.microsoft.com/office/drawing/2014/main" pred="{AED0DF3E-93DC-40B9-934F-95A648B0C746}"/>
            </a:ext>
          </a:extLst>
        </xdr:cNvPr>
        <xdr:cNvSpPr>
          <a:spLocks noChangeAspect="1" noChangeArrowheads="1"/>
        </xdr:cNvSpPr>
      </xdr:nvSpPr>
      <xdr:spPr bwMode="auto">
        <a:xfrm>
          <a:off x="7531100" y="37560250"/>
          <a:ext cx="190500" cy="266700"/>
        </a:xfrm>
        <a:prstGeom prst="rect">
          <a:avLst/>
        </a:prstGeom>
        <a:noFill/>
      </xdr:spPr>
    </xdr:sp>
    <xdr:clientData/>
  </xdr:oneCellAnchor>
  <xdr:oneCellAnchor>
    <xdr:from>
      <xdr:col>4</xdr:col>
      <xdr:colOff>1657350</xdr:colOff>
      <xdr:row>194</xdr:row>
      <xdr:rowOff>0</xdr:rowOff>
    </xdr:from>
    <xdr:ext cx="190500" cy="266700"/>
    <xdr:sp macro="" textlink="">
      <xdr:nvSpPr>
        <xdr:cNvPr id="1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8E8B2D-994D-4F7F-9AD4-ACB57FB9FBE7}"/>
            </a:ext>
            <a:ext uri="{147F2762-F138-4A5C-976F-8EAC2B608ADB}">
              <a16:predDERef xmlns:a16="http://schemas.microsoft.com/office/drawing/2014/main" pred="{F12D4C21-5B50-4BAF-9CDF-83CDD7299182}"/>
            </a:ext>
          </a:extLst>
        </xdr:cNvPr>
        <xdr:cNvSpPr>
          <a:spLocks noChangeAspect="1" noChangeArrowheads="1"/>
        </xdr:cNvSpPr>
      </xdr:nvSpPr>
      <xdr:spPr bwMode="auto">
        <a:xfrm>
          <a:off x="7531100" y="37928550"/>
          <a:ext cx="190500" cy="266700"/>
        </a:xfrm>
        <a:prstGeom prst="rect">
          <a:avLst/>
        </a:prstGeom>
        <a:noFill/>
      </xdr:spPr>
    </xdr:sp>
    <xdr:clientData/>
  </xdr:oneCellAnchor>
  <xdr:oneCellAnchor>
    <xdr:from>
      <xdr:col>4</xdr:col>
      <xdr:colOff>1657350</xdr:colOff>
      <xdr:row>194</xdr:row>
      <xdr:rowOff>0</xdr:rowOff>
    </xdr:from>
    <xdr:ext cx="190500" cy="266700"/>
    <xdr:sp macro="" textlink="">
      <xdr:nvSpPr>
        <xdr:cNvPr id="1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EAA2FE6-DAF3-44B2-9D8C-4C0C8E0C813E}"/>
            </a:ext>
            <a:ext uri="{147F2762-F138-4A5C-976F-8EAC2B608ADB}">
              <a16:predDERef xmlns:a16="http://schemas.microsoft.com/office/drawing/2014/main" pred="{3C40B108-8F59-4455-8528-12ED26402811}"/>
            </a:ext>
          </a:extLst>
        </xdr:cNvPr>
        <xdr:cNvSpPr>
          <a:spLocks noChangeAspect="1" noChangeArrowheads="1"/>
        </xdr:cNvSpPr>
      </xdr:nvSpPr>
      <xdr:spPr bwMode="auto">
        <a:xfrm>
          <a:off x="7531100" y="37928550"/>
          <a:ext cx="190500" cy="266700"/>
        </a:xfrm>
        <a:prstGeom prst="rect">
          <a:avLst/>
        </a:prstGeom>
        <a:noFill/>
      </xdr:spPr>
    </xdr:sp>
    <xdr:clientData/>
  </xdr:oneCellAnchor>
  <xdr:oneCellAnchor>
    <xdr:from>
      <xdr:col>4</xdr:col>
      <xdr:colOff>1657350</xdr:colOff>
      <xdr:row>196</xdr:row>
      <xdr:rowOff>0</xdr:rowOff>
    </xdr:from>
    <xdr:ext cx="190500" cy="266700"/>
    <xdr:sp macro="" textlink="">
      <xdr:nvSpPr>
        <xdr:cNvPr id="1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AAE1A22-952E-4894-A5CF-71AC95FEA656}"/>
            </a:ext>
            <a:ext uri="{147F2762-F138-4A5C-976F-8EAC2B608ADB}">
              <a16:predDERef xmlns:a16="http://schemas.microsoft.com/office/drawing/2014/main" pred="{F692937D-CE1C-40AA-8C71-E7836CEF45BA}"/>
            </a:ext>
          </a:extLst>
        </xdr:cNvPr>
        <xdr:cNvSpPr>
          <a:spLocks noChangeAspect="1" noChangeArrowheads="1"/>
        </xdr:cNvSpPr>
      </xdr:nvSpPr>
      <xdr:spPr bwMode="auto">
        <a:xfrm>
          <a:off x="7531100" y="38296850"/>
          <a:ext cx="190500" cy="266700"/>
        </a:xfrm>
        <a:prstGeom prst="rect">
          <a:avLst/>
        </a:prstGeom>
        <a:noFill/>
      </xdr:spPr>
    </xdr:sp>
    <xdr:clientData/>
  </xdr:oneCellAnchor>
  <xdr:oneCellAnchor>
    <xdr:from>
      <xdr:col>4</xdr:col>
      <xdr:colOff>1657350</xdr:colOff>
      <xdr:row>196</xdr:row>
      <xdr:rowOff>0</xdr:rowOff>
    </xdr:from>
    <xdr:ext cx="190500" cy="266700"/>
    <xdr:sp macro="" textlink="">
      <xdr:nvSpPr>
        <xdr:cNvPr id="1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DEDB8EC-7F32-4226-AE82-448029541A2A}"/>
            </a:ext>
            <a:ext uri="{147F2762-F138-4A5C-976F-8EAC2B608ADB}">
              <a16:predDERef xmlns:a16="http://schemas.microsoft.com/office/drawing/2014/main" pred="{4F140F02-2B4D-418C-A67D-1BFF6B2D91B3}"/>
            </a:ext>
          </a:extLst>
        </xdr:cNvPr>
        <xdr:cNvSpPr>
          <a:spLocks noChangeAspect="1" noChangeArrowheads="1"/>
        </xdr:cNvSpPr>
      </xdr:nvSpPr>
      <xdr:spPr bwMode="auto">
        <a:xfrm>
          <a:off x="7531100" y="38296850"/>
          <a:ext cx="190500" cy="266700"/>
        </a:xfrm>
        <a:prstGeom prst="rect">
          <a:avLst/>
        </a:prstGeom>
        <a:noFill/>
      </xdr:spPr>
    </xdr:sp>
    <xdr:clientData/>
  </xdr:oneCellAnchor>
  <xdr:oneCellAnchor>
    <xdr:from>
      <xdr:col>4</xdr:col>
      <xdr:colOff>1657350</xdr:colOff>
      <xdr:row>198</xdr:row>
      <xdr:rowOff>0</xdr:rowOff>
    </xdr:from>
    <xdr:ext cx="190500" cy="266700"/>
    <xdr:sp macro="" textlink="">
      <xdr:nvSpPr>
        <xdr:cNvPr id="2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3AC1CDE-367D-49AE-834F-B8EF212890C8}"/>
            </a:ext>
            <a:ext uri="{147F2762-F138-4A5C-976F-8EAC2B608ADB}">
              <a16:predDERef xmlns:a16="http://schemas.microsoft.com/office/drawing/2014/main" pred="{BBD26CC9-7CBD-4AB4-9CCD-45E0C30EA84E}"/>
            </a:ext>
          </a:extLst>
        </xdr:cNvPr>
        <xdr:cNvSpPr>
          <a:spLocks noChangeAspect="1" noChangeArrowheads="1"/>
        </xdr:cNvSpPr>
      </xdr:nvSpPr>
      <xdr:spPr bwMode="auto">
        <a:xfrm>
          <a:off x="7531100" y="38665150"/>
          <a:ext cx="190500" cy="266700"/>
        </a:xfrm>
        <a:prstGeom prst="rect">
          <a:avLst/>
        </a:prstGeom>
        <a:noFill/>
      </xdr:spPr>
    </xdr:sp>
    <xdr:clientData/>
  </xdr:oneCellAnchor>
  <xdr:oneCellAnchor>
    <xdr:from>
      <xdr:col>4</xdr:col>
      <xdr:colOff>1657350</xdr:colOff>
      <xdr:row>198</xdr:row>
      <xdr:rowOff>0</xdr:rowOff>
    </xdr:from>
    <xdr:ext cx="190500" cy="266700"/>
    <xdr:sp macro="" textlink="">
      <xdr:nvSpPr>
        <xdr:cNvPr id="2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B590426-473F-40C6-90F8-6F9DE12FF711}"/>
            </a:ext>
            <a:ext uri="{147F2762-F138-4A5C-976F-8EAC2B608ADB}">
              <a16:predDERef xmlns:a16="http://schemas.microsoft.com/office/drawing/2014/main" pred="{D37A7588-E412-4766-BD28-AEBE6BFC1265}"/>
            </a:ext>
          </a:extLst>
        </xdr:cNvPr>
        <xdr:cNvSpPr>
          <a:spLocks noChangeAspect="1" noChangeArrowheads="1"/>
        </xdr:cNvSpPr>
      </xdr:nvSpPr>
      <xdr:spPr bwMode="auto">
        <a:xfrm>
          <a:off x="7531100" y="38665150"/>
          <a:ext cx="190500" cy="266700"/>
        </a:xfrm>
        <a:prstGeom prst="rect">
          <a:avLst/>
        </a:prstGeom>
        <a:noFill/>
      </xdr:spPr>
    </xdr:sp>
    <xdr:clientData/>
  </xdr:oneCellAnchor>
  <xdr:oneCellAnchor>
    <xdr:from>
      <xdr:col>4</xdr:col>
      <xdr:colOff>1657350</xdr:colOff>
      <xdr:row>200</xdr:row>
      <xdr:rowOff>0</xdr:rowOff>
    </xdr:from>
    <xdr:ext cx="190500" cy="266700"/>
    <xdr:sp macro="" textlink="">
      <xdr:nvSpPr>
        <xdr:cNvPr id="2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72D4375-7211-4F96-9EEA-B86CE2E68766}"/>
            </a:ext>
            <a:ext uri="{147F2762-F138-4A5C-976F-8EAC2B608ADB}">
              <a16:predDERef xmlns:a16="http://schemas.microsoft.com/office/drawing/2014/main" pred="{59B2049E-D520-4A44-AC40-B1D0EB77E79F}"/>
            </a:ext>
          </a:extLst>
        </xdr:cNvPr>
        <xdr:cNvSpPr>
          <a:spLocks noChangeAspect="1" noChangeArrowheads="1"/>
        </xdr:cNvSpPr>
      </xdr:nvSpPr>
      <xdr:spPr bwMode="auto">
        <a:xfrm>
          <a:off x="7531100" y="39033450"/>
          <a:ext cx="190500" cy="266700"/>
        </a:xfrm>
        <a:prstGeom prst="rect">
          <a:avLst/>
        </a:prstGeom>
        <a:noFill/>
      </xdr:spPr>
    </xdr:sp>
    <xdr:clientData/>
  </xdr:oneCellAnchor>
  <xdr:oneCellAnchor>
    <xdr:from>
      <xdr:col>4</xdr:col>
      <xdr:colOff>1657350</xdr:colOff>
      <xdr:row>200</xdr:row>
      <xdr:rowOff>0</xdr:rowOff>
    </xdr:from>
    <xdr:ext cx="190500" cy="266700"/>
    <xdr:sp macro="" textlink="">
      <xdr:nvSpPr>
        <xdr:cNvPr id="2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11919D2-992B-4785-899B-F5FB6010A74C}"/>
            </a:ext>
            <a:ext uri="{147F2762-F138-4A5C-976F-8EAC2B608ADB}">
              <a16:predDERef xmlns:a16="http://schemas.microsoft.com/office/drawing/2014/main" pred="{6C1D528C-9703-4381-A30A-6FE9A05B2566}"/>
            </a:ext>
          </a:extLst>
        </xdr:cNvPr>
        <xdr:cNvSpPr>
          <a:spLocks noChangeAspect="1" noChangeArrowheads="1"/>
        </xdr:cNvSpPr>
      </xdr:nvSpPr>
      <xdr:spPr bwMode="auto">
        <a:xfrm>
          <a:off x="7531100" y="39033450"/>
          <a:ext cx="190500" cy="266700"/>
        </a:xfrm>
        <a:prstGeom prst="rect">
          <a:avLst/>
        </a:prstGeom>
        <a:noFill/>
      </xdr:spPr>
    </xdr:sp>
    <xdr:clientData/>
  </xdr:oneCellAnchor>
  <xdr:oneCellAnchor>
    <xdr:from>
      <xdr:col>4</xdr:col>
      <xdr:colOff>1657350</xdr:colOff>
      <xdr:row>202</xdr:row>
      <xdr:rowOff>0</xdr:rowOff>
    </xdr:from>
    <xdr:ext cx="190500" cy="266700"/>
    <xdr:sp macro="" textlink="">
      <xdr:nvSpPr>
        <xdr:cNvPr id="2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F4F18D4-EEA6-4695-BFD2-890638F2C397}"/>
            </a:ext>
            <a:ext uri="{147F2762-F138-4A5C-976F-8EAC2B608ADB}">
              <a16:predDERef xmlns:a16="http://schemas.microsoft.com/office/drawing/2014/main" pred="{5B2FF17C-05F9-49C3-BE0C-C9C66ADA7431}"/>
            </a:ext>
          </a:extLst>
        </xdr:cNvPr>
        <xdr:cNvSpPr>
          <a:spLocks noChangeAspect="1" noChangeArrowheads="1"/>
        </xdr:cNvSpPr>
      </xdr:nvSpPr>
      <xdr:spPr bwMode="auto">
        <a:xfrm>
          <a:off x="7531100" y="39401750"/>
          <a:ext cx="190500" cy="266700"/>
        </a:xfrm>
        <a:prstGeom prst="rect">
          <a:avLst/>
        </a:prstGeom>
        <a:noFill/>
      </xdr:spPr>
    </xdr:sp>
    <xdr:clientData/>
  </xdr:oneCellAnchor>
  <xdr:oneCellAnchor>
    <xdr:from>
      <xdr:col>4</xdr:col>
      <xdr:colOff>1657350</xdr:colOff>
      <xdr:row>202</xdr:row>
      <xdr:rowOff>0</xdr:rowOff>
    </xdr:from>
    <xdr:ext cx="190500" cy="266700"/>
    <xdr:sp macro="" textlink="">
      <xdr:nvSpPr>
        <xdr:cNvPr id="2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681B411-6EEB-4626-95DE-898934C85312}"/>
            </a:ext>
            <a:ext uri="{147F2762-F138-4A5C-976F-8EAC2B608ADB}">
              <a16:predDERef xmlns:a16="http://schemas.microsoft.com/office/drawing/2014/main" pred="{09C1FE0B-4F56-4284-8DF8-1256B5BD06E7}"/>
            </a:ext>
          </a:extLst>
        </xdr:cNvPr>
        <xdr:cNvSpPr>
          <a:spLocks noChangeAspect="1" noChangeArrowheads="1"/>
        </xdr:cNvSpPr>
      </xdr:nvSpPr>
      <xdr:spPr bwMode="auto">
        <a:xfrm>
          <a:off x="7531100" y="39401750"/>
          <a:ext cx="190500" cy="266700"/>
        </a:xfrm>
        <a:prstGeom prst="rect">
          <a:avLst/>
        </a:prstGeom>
        <a:noFill/>
      </xdr:spPr>
    </xdr:sp>
    <xdr:clientData/>
  </xdr:oneCellAnchor>
  <xdr:oneCellAnchor>
    <xdr:from>
      <xdr:col>4</xdr:col>
      <xdr:colOff>1657350</xdr:colOff>
      <xdr:row>204</xdr:row>
      <xdr:rowOff>0</xdr:rowOff>
    </xdr:from>
    <xdr:ext cx="190500" cy="266700"/>
    <xdr:sp macro="" textlink="">
      <xdr:nvSpPr>
        <xdr:cNvPr id="2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E55278A-513B-4271-B000-EFAA9E55F082}"/>
            </a:ext>
            <a:ext uri="{147F2762-F138-4A5C-976F-8EAC2B608ADB}">
              <a16:predDERef xmlns:a16="http://schemas.microsoft.com/office/drawing/2014/main" pred="{67845425-F373-48FC-8E74-62BDA12B7E95}"/>
            </a:ext>
          </a:extLst>
        </xdr:cNvPr>
        <xdr:cNvSpPr>
          <a:spLocks noChangeAspect="1" noChangeArrowheads="1"/>
        </xdr:cNvSpPr>
      </xdr:nvSpPr>
      <xdr:spPr bwMode="auto">
        <a:xfrm>
          <a:off x="7531100" y="39770050"/>
          <a:ext cx="190500" cy="266700"/>
        </a:xfrm>
        <a:prstGeom prst="rect">
          <a:avLst/>
        </a:prstGeom>
        <a:noFill/>
      </xdr:spPr>
    </xdr:sp>
    <xdr:clientData/>
  </xdr:oneCellAnchor>
  <xdr:oneCellAnchor>
    <xdr:from>
      <xdr:col>4</xdr:col>
      <xdr:colOff>1657350</xdr:colOff>
      <xdr:row>204</xdr:row>
      <xdr:rowOff>0</xdr:rowOff>
    </xdr:from>
    <xdr:ext cx="190500" cy="266700"/>
    <xdr:sp macro="" textlink="">
      <xdr:nvSpPr>
        <xdr:cNvPr id="2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C10CE75-10B6-4B86-83B7-A24D061A2120}"/>
            </a:ext>
            <a:ext uri="{147F2762-F138-4A5C-976F-8EAC2B608ADB}">
              <a16:predDERef xmlns:a16="http://schemas.microsoft.com/office/drawing/2014/main" pred="{6A1A0DA0-45E1-412F-8544-F8F96BDAB556}"/>
            </a:ext>
          </a:extLst>
        </xdr:cNvPr>
        <xdr:cNvSpPr>
          <a:spLocks noChangeAspect="1" noChangeArrowheads="1"/>
        </xdr:cNvSpPr>
      </xdr:nvSpPr>
      <xdr:spPr bwMode="auto">
        <a:xfrm>
          <a:off x="7531100" y="39770050"/>
          <a:ext cx="190500" cy="266700"/>
        </a:xfrm>
        <a:prstGeom prst="rect">
          <a:avLst/>
        </a:prstGeom>
        <a:noFill/>
      </xdr:spPr>
    </xdr:sp>
    <xdr:clientData/>
  </xdr:oneCellAnchor>
  <xdr:oneCellAnchor>
    <xdr:from>
      <xdr:col>4</xdr:col>
      <xdr:colOff>1657350</xdr:colOff>
      <xdr:row>206</xdr:row>
      <xdr:rowOff>0</xdr:rowOff>
    </xdr:from>
    <xdr:ext cx="190500" cy="266700"/>
    <xdr:sp macro="" textlink="">
      <xdr:nvSpPr>
        <xdr:cNvPr id="2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0F1AB0C-9C95-40D9-A33C-8B165E314FEE}"/>
            </a:ext>
            <a:ext uri="{147F2762-F138-4A5C-976F-8EAC2B608ADB}">
              <a16:predDERef xmlns:a16="http://schemas.microsoft.com/office/drawing/2014/main" pred="{7DC275E8-411F-425A-B899-72B2E2B125BA}"/>
            </a:ext>
          </a:extLst>
        </xdr:cNvPr>
        <xdr:cNvSpPr>
          <a:spLocks noChangeAspect="1" noChangeArrowheads="1"/>
        </xdr:cNvSpPr>
      </xdr:nvSpPr>
      <xdr:spPr bwMode="auto">
        <a:xfrm>
          <a:off x="7531100" y="40138350"/>
          <a:ext cx="190500" cy="266700"/>
        </a:xfrm>
        <a:prstGeom prst="rect">
          <a:avLst/>
        </a:prstGeom>
        <a:noFill/>
      </xdr:spPr>
    </xdr:sp>
    <xdr:clientData/>
  </xdr:oneCellAnchor>
  <xdr:oneCellAnchor>
    <xdr:from>
      <xdr:col>4</xdr:col>
      <xdr:colOff>1657350</xdr:colOff>
      <xdr:row>206</xdr:row>
      <xdr:rowOff>0</xdr:rowOff>
    </xdr:from>
    <xdr:ext cx="190500" cy="266700"/>
    <xdr:sp macro="" textlink="">
      <xdr:nvSpPr>
        <xdr:cNvPr id="2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3715882-72F9-46C4-A840-512E62C1CD8D}"/>
            </a:ext>
            <a:ext uri="{147F2762-F138-4A5C-976F-8EAC2B608ADB}">
              <a16:predDERef xmlns:a16="http://schemas.microsoft.com/office/drawing/2014/main" pred="{74BAFA49-8039-40B4-9FDA-5057558EC815}"/>
            </a:ext>
          </a:extLst>
        </xdr:cNvPr>
        <xdr:cNvSpPr>
          <a:spLocks noChangeAspect="1" noChangeArrowheads="1"/>
        </xdr:cNvSpPr>
      </xdr:nvSpPr>
      <xdr:spPr bwMode="auto">
        <a:xfrm>
          <a:off x="7531100" y="40138350"/>
          <a:ext cx="190500" cy="266700"/>
        </a:xfrm>
        <a:prstGeom prst="rect">
          <a:avLst/>
        </a:prstGeom>
        <a:noFill/>
      </xdr:spPr>
    </xdr:sp>
    <xdr:clientData/>
  </xdr:oneCellAnchor>
  <xdr:oneCellAnchor>
    <xdr:from>
      <xdr:col>4</xdr:col>
      <xdr:colOff>1657350</xdr:colOff>
      <xdr:row>208</xdr:row>
      <xdr:rowOff>0</xdr:rowOff>
    </xdr:from>
    <xdr:ext cx="190500" cy="266700"/>
    <xdr:sp macro="" textlink="">
      <xdr:nvSpPr>
        <xdr:cNvPr id="2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5D7E8EA-AAA2-4D94-976D-96F98605A705}"/>
            </a:ext>
            <a:ext uri="{147F2762-F138-4A5C-976F-8EAC2B608ADB}">
              <a16:predDERef xmlns:a16="http://schemas.microsoft.com/office/drawing/2014/main" pred="{0A5C482D-35D7-4C65-B0EB-290768F9568B}"/>
            </a:ext>
          </a:extLst>
        </xdr:cNvPr>
        <xdr:cNvSpPr>
          <a:spLocks noChangeAspect="1" noChangeArrowheads="1"/>
        </xdr:cNvSpPr>
      </xdr:nvSpPr>
      <xdr:spPr bwMode="auto">
        <a:xfrm>
          <a:off x="7531100" y="40506650"/>
          <a:ext cx="190500" cy="266700"/>
        </a:xfrm>
        <a:prstGeom prst="rect">
          <a:avLst/>
        </a:prstGeom>
        <a:noFill/>
      </xdr:spPr>
    </xdr:sp>
    <xdr:clientData/>
  </xdr:oneCellAnchor>
  <xdr:oneCellAnchor>
    <xdr:from>
      <xdr:col>4</xdr:col>
      <xdr:colOff>1657350</xdr:colOff>
      <xdr:row>208</xdr:row>
      <xdr:rowOff>0</xdr:rowOff>
    </xdr:from>
    <xdr:ext cx="190500" cy="266700"/>
    <xdr:sp macro="" textlink="">
      <xdr:nvSpPr>
        <xdr:cNvPr id="2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0DF9E02-A7D8-410D-B064-2BBF0A9B601F}"/>
            </a:ext>
            <a:ext uri="{147F2762-F138-4A5C-976F-8EAC2B608ADB}">
              <a16:predDERef xmlns:a16="http://schemas.microsoft.com/office/drawing/2014/main" pred="{AB9A4A09-CD59-4F25-B313-6BAFDC657DAC}"/>
            </a:ext>
          </a:extLst>
        </xdr:cNvPr>
        <xdr:cNvSpPr>
          <a:spLocks noChangeAspect="1" noChangeArrowheads="1"/>
        </xdr:cNvSpPr>
      </xdr:nvSpPr>
      <xdr:spPr bwMode="auto">
        <a:xfrm>
          <a:off x="7531100" y="40506650"/>
          <a:ext cx="190500" cy="266700"/>
        </a:xfrm>
        <a:prstGeom prst="rect">
          <a:avLst/>
        </a:prstGeom>
        <a:noFill/>
      </xdr:spPr>
    </xdr:sp>
    <xdr:clientData/>
  </xdr:oneCellAnchor>
  <xdr:oneCellAnchor>
    <xdr:from>
      <xdr:col>4</xdr:col>
      <xdr:colOff>1657350</xdr:colOff>
      <xdr:row>210</xdr:row>
      <xdr:rowOff>0</xdr:rowOff>
    </xdr:from>
    <xdr:ext cx="190500" cy="266700"/>
    <xdr:sp macro="" textlink="">
      <xdr:nvSpPr>
        <xdr:cNvPr id="2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ACAC989-973E-46F6-ADCC-A2A32544564B}"/>
            </a:ext>
            <a:ext uri="{147F2762-F138-4A5C-976F-8EAC2B608ADB}">
              <a16:predDERef xmlns:a16="http://schemas.microsoft.com/office/drawing/2014/main" pred="{CCDBEEF9-9621-4F5E-B289-06406790BD82}"/>
            </a:ext>
          </a:extLst>
        </xdr:cNvPr>
        <xdr:cNvSpPr>
          <a:spLocks noChangeAspect="1" noChangeArrowheads="1"/>
        </xdr:cNvSpPr>
      </xdr:nvSpPr>
      <xdr:spPr bwMode="auto">
        <a:xfrm>
          <a:off x="7531100" y="40874950"/>
          <a:ext cx="190500" cy="266700"/>
        </a:xfrm>
        <a:prstGeom prst="rect">
          <a:avLst/>
        </a:prstGeom>
        <a:noFill/>
      </xdr:spPr>
    </xdr:sp>
    <xdr:clientData/>
  </xdr:oneCellAnchor>
  <xdr:oneCellAnchor>
    <xdr:from>
      <xdr:col>4</xdr:col>
      <xdr:colOff>1657350</xdr:colOff>
      <xdr:row>210</xdr:row>
      <xdr:rowOff>0</xdr:rowOff>
    </xdr:from>
    <xdr:ext cx="190500" cy="266700"/>
    <xdr:sp macro="" textlink="">
      <xdr:nvSpPr>
        <xdr:cNvPr id="2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EEE490B-70CA-46D2-BB9C-A11E53178B83}"/>
            </a:ext>
            <a:ext uri="{147F2762-F138-4A5C-976F-8EAC2B608ADB}">
              <a16:predDERef xmlns:a16="http://schemas.microsoft.com/office/drawing/2014/main" pred="{2000A82A-15D6-4636-8682-BE4051FCEF83}"/>
            </a:ext>
          </a:extLst>
        </xdr:cNvPr>
        <xdr:cNvSpPr>
          <a:spLocks noChangeAspect="1" noChangeArrowheads="1"/>
        </xdr:cNvSpPr>
      </xdr:nvSpPr>
      <xdr:spPr bwMode="auto">
        <a:xfrm>
          <a:off x="7531100" y="40874950"/>
          <a:ext cx="190500" cy="266700"/>
        </a:xfrm>
        <a:prstGeom prst="rect">
          <a:avLst/>
        </a:prstGeom>
        <a:noFill/>
      </xdr:spPr>
    </xdr:sp>
    <xdr:clientData/>
  </xdr:oneCellAnchor>
  <xdr:oneCellAnchor>
    <xdr:from>
      <xdr:col>4</xdr:col>
      <xdr:colOff>1657350</xdr:colOff>
      <xdr:row>212</xdr:row>
      <xdr:rowOff>0</xdr:rowOff>
    </xdr:from>
    <xdr:ext cx="190500" cy="266700"/>
    <xdr:sp macro="" textlink="">
      <xdr:nvSpPr>
        <xdr:cNvPr id="2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D65E8A8-67ED-4B70-8F7D-83AA0B07B9CA}"/>
            </a:ext>
            <a:ext uri="{147F2762-F138-4A5C-976F-8EAC2B608ADB}">
              <a16:predDERef xmlns:a16="http://schemas.microsoft.com/office/drawing/2014/main" pred="{5FD02B72-7546-486D-BF86-B80886EAA1E0}"/>
            </a:ext>
          </a:extLst>
        </xdr:cNvPr>
        <xdr:cNvSpPr>
          <a:spLocks noChangeAspect="1" noChangeArrowheads="1"/>
        </xdr:cNvSpPr>
      </xdr:nvSpPr>
      <xdr:spPr bwMode="auto">
        <a:xfrm>
          <a:off x="7531100" y="41243250"/>
          <a:ext cx="190500" cy="266700"/>
        </a:xfrm>
        <a:prstGeom prst="rect">
          <a:avLst/>
        </a:prstGeom>
        <a:noFill/>
      </xdr:spPr>
    </xdr:sp>
    <xdr:clientData/>
  </xdr:oneCellAnchor>
  <xdr:oneCellAnchor>
    <xdr:from>
      <xdr:col>4</xdr:col>
      <xdr:colOff>1657350</xdr:colOff>
      <xdr:row>212</xdr:row>
      <xdr:rowOff>0</xdr:rowOff>
    </xdr:from>
    <xdr:ext cx="190500" cy="266700"/>
    <xdr:sp macro="" textlink="">
      <xdr:nvSpPr>
        <xdr:cNvPr id="2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A710AA7-40E8-43B2-97E9-25F299635C4A}"/>
            </a:ext>
            <a:ext uri="{147F2762-F138-4A5C-976F-8EAC2B608ADB}">
              <a16:predDERef xmlns:a16="http://schemas.microsoft.com/office/drawing/2014/main" pred="{BB825B86-EE8C-4DA7-8AE2-AE24D958C645}"/>
            </a:ext>
          </a:extLst>
        </xdr:cNvPr>
        <xdr:cNvSpPr>
          <a:spLocks noChangeAspect="1" noChangeArrowheads="1"/>
        </xdr:cNvSpPr>
      </xdr:nvSpPr>
      <xdr:spPr bwMode="auto">
        <a:xfrm>
          <a:off x="7531100" y="41243250"/>
          <a:ext cx="190500" cy="266700"/>
        </a:xfrm>
        <a:prstGeom prst="rect">
          <a:avLst/>
        </a:prstGeom>
        <a:noFill/>
      </xdr:spPr>
    </xdr:sp>
    <xdr:clientData/>
  </xdr:oneCellAnchor>
  <xdr:oneCellAnchor>
    <xdr:from>
      <xdr:col>4</xdr:col>
      <xdr:colOff>1657350</xdr:colOff>
      <xdr:row>214</xdr:row>
      <xdr:rowOff>0</xdr:rowOff>
    </xdr:from>
    <xdr:ext cx="190500" cy="266700"/>
    <xdr:sp macro="" textlink="">
      <xdr:nvSpPr>
        <xdr:cNvPr id="2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794AA3A-A676-4099-868B-3D3D4FF57A46}"/>
            </a:ext>
            <a:ext uri="{147F2762-F138-4A5C-976F-8EAC2B608ADB}">
              <a16:predDERef xmlns:a16="http://schemas.microsoft.com/office/drawing/2014/main" pred="{2F159398-A007-4356-B7C9-26CA4F5FD7DA}"/>
            </a:ext>
          </a:extLst>
        </xdr:cNvPr>
        <xdr:cNvSpPr>
          <a:spLocks noChangeAspect="1" noChangeArrowheads="1"/>
        </xdr:cNvSpPr>
      </xdr:nvSpPr>
      <xdr:spPr bwMode="auto">
        <a:xfrm>
          <a:off x="7531100" y="41611550"/>
          <a:ext cx="190500" cy="266700"/>
        </a:xfrm>
        <a:prstGeom prst="rect">
          <a:avLst/>
        </a:prstGeom>
        <a:noFill/>
      </xdr:spPr>
    </xdr:sp>
    <xdr:clientData/>
  </xdr:oneCellAnchor>
  <xdr:oneCellAnchor>
    <xdr:from>
      <xdr:col>4</xdr:col>
      <xdr:colOff>1657350</xdr:colOff>
      <xdr:row>214</xdr:row>
      <xdr:rowOff>0</xdr:rowOff>
    </xdr:from>
    <xdr:ext cx="190500" cy="266700"/>
    <xdr:sp macro="" textlink="">
      <xdr:nvSpPr>
        <xdr:cNvPr id="2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2D4443A-8657-4029-BDBA-D1114FE46788}"/>
            </a:ext>
            <a:ext uri="{147F2762-F138-4A5C-976F-8EAC2B608ADB}">
              <a16:predDERef xmlns:a16="http://schemas.microsoft.com/office/drawing/2014/main" pred="{B4B2F07E-7E6B-49F1-B7EE-075056C39B28}"/>
            </a:ext>
          </a:extLst>
        </xdr:cNvPr>
        <xdr:cNvSpPr>
          <a:spLocks noChangeAspect="1" noChangeArrowheads="1"/>
        </xdr:cNvSpPr>
      </xdr:nvSpPr>
      <xdr:spPr bwMode="auto">
        <a:xfrm>
          <a:off x="7531100" y="41611550"/>
          <a:ext cx="190500" cy="266700"/>
        </a:xfrm>
        <a:prstGeom prst="rect">
          <a:avLst/>
        </a:prstGeom>
        <a:noFill/>
      </xdr:spPr>
    </xdr:sp>
    <xdr:clientData/>
  </xdr:oneCellAnchor>
  <xdr:oneCellAnchor>
    <xdr:from>
      <xdr:col>4</xdr:col>
      <xdr:colOff>1657350</xdr:colOff>
      <xdr:row>216</xdr:row>
      <xdr:rowOff>0</xdr:rowOff>
    </xdr:from>
    <xdr:ext cx="190500" cy="266700"/>
    <xdr:sp macro="" textlink="">
      <xdr:nvSpPr>
        <xdr:cNvPr id="2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2374AE0-6A1B-46FA-AB0F-778D6F5378F2}"/>
            </a:ext>
            <a:ext uri="{147F2762-F138-4A5C-976F-8EAC2B608ADB}">
              <a16:predDERef xmlns:a16="http://schemas.microsoft.com/office/drawing/2014/main" pred="{4DF6EFB5-ABA6-4D6D-B61A-00F03C4E4D08}"/>
            </a:ext>
          </a:extLst>
        </xdr:cNvPr>
        <xdr:cNvSpPr>
          <a:spLocks noChangeAspect="1" noChangeArrowheads="1"/>
        </xdr:cNvSpPr>
      </xdr:nvSpPr>
      <xdr:spPr bwMode="auto">
        <a:xfrm>
          <a:off x="7531100" y="41979850"/>
          <a:ext cx="190500" cy="266700"/>
        </a:xfrm>
        <a:prstGeom prst="rect">
          <a:avLst/>
        </a:prstGeom>
        <a:noFill/>
      </xdr:spPr>
    </xdr:sp>
    <xdr:clientData/>
  </xdr:oneCellAnchor>
  <xdr:oneCellAnchor>
    <xdr:from>
      <xdr:col>4</xdr:col>
      <xdr:colOff>1657350</xdr:colOff>
      <xdr:row>216</xdr:row>
      <xdr:rowOff>0</xdr:rowOff>
    </xdr:from>
    <xdr:ext cx="190500" cy="266700"/>
    <xdr:sp macro="" textlink="">
      <xdr:nvSpPr>
        <xdr:cNvPr id="2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FA458FC-71B7-4FFB-8ECB-99418CDD9864}"/>
            </a:ext>
            <a:ext uri="{147F2762-F138-4A5C-976F-8EAC2B608ADB}">
              <a16:predDERef xmlns:a16="http://schemas.microsoft.com/office/drawing/2014/main" pred="{C60D0BC2-7F38-4483-82C7-C49304A6A5A2}"/>
            </a:ext>
          </a:extLst>
        </xdr:cNvPr>
        <xdr:cNvSpPr>
          <a:spLocks noChangeAspect="1" noChangeArrowheads="1"/>
        </xdr:cNvSpPr>
      </xdr:nvSpPr>
      <xdr:spPr bwMode="auto">
        <a:xfrm>
          <a:off x="7531100" y="41979850"/>
          <a:ext cx="190500" cy="266700"/>
        </a:xfrm>
        <a:prstGeom prst="rect">
          <a:avLst/>
        </a:prstGeom>
        <a:noFill/>
      </xdr:spPr>
    </xdr:sp>
    <xdr:clientData/>
  </xdr:oneCellAnchor>
  <xdr:oneCellAnchor>
    <xdr:from>
      <xdr:col>4</xdr:col>
      <xdr:colOff>1657350</xdr:colOff>
      <xdr:row>218</xdr:row>
      <xdr:rowOff>0</xdr:rowOff>
    </xdr:from>
    <xdr:ext cx="190500" cy="266700"/>
    <xdr:sp macro="" textlink="">
      <xdr:nvSpPr>
        <xdr:cNvPr id="2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F50EA3D-013E-4A98-852C-F3BDD3FAD0FF}"/>
            </a:ext>
            <a:ext uri="{147F2762-F138-4A5C-976F-8EAC2B608ADB}">
              <a16:predDERef xmlns:a16="http://schemas.microsoft.com/office/drawing/2014/main" pred="{C52C9595-584A-434B-895D-C58CDE629D0E}"/>
            </a:ext>
          </a:extLst>
        </xdr:cNvPr>
        <xdr:cNvSpPr>
          <a:spLocks noChangeAspect="1" noChangeArrowheads="1"/>
        </xdr:cNvSpPr>
      </xdr:nvSpPr>
      <xdr:spPr bwMode="auto">
        <a:xfrm>
          <a:off x="7531100" y="42640250"/>
          <a:ext cx="190500" cy="266700"/>
        </a:xfrm>
        <a:prstGeom prst="rect">
          <a:avLst/>
        </a:prstGeom>
        <a:noFill/>
      </xdr:spPr>
    </xdr:sp>
    <xdr:clientData/>
  </xdr:oneCellAnchor>
  <xdr:oneCellAnchor>
    <xdr:from>
      <xdr:col>4</xdr:col>
      <xdr:colOff>1657350</xdr:colOff>
      <xdr:row>218</xdr:row>
      <xdr:rowOff>0</xdr:rowOff>
    </xdr:from>
    <xdr:ext cx="190500" cy="266700"/>
    <xdr:sp macro="" textlink="">
      <xdr:nvSpPr>
        <xdr:cNvPr id="2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870AD7-B92E-4988-A92D-32B9C6DC9934}"/>
            </a:ext>
            <a:ext uri="{147F2762-F138-4A5C-976F-8EAC2B608ADB}">
              <a16:predDERef xmlns:a16="http://schemas.microsoft.com/office/drawing/2014/main" pred="{1163ACC5-9243-4A0F-A88A-B8DA52F2D2D6}"/>
            </a:ext>
          </a:extLst>
        </xdr:cNvPr>
        <xdr:cNvSpPr>
          <a:spLocks noChangeAspect="1" noChangeArrowheads="1"/>
        </xdr:cNvSpPr>
      </xdr:nvSpPr>
      <xdr:spPr bwMode="auto">
        <a:xfrm>
          <a:off x="7531100" y="42640250"/>
          <a:ext cx="190500" cy="266700"/>
        </a:xfrm>
        <a:prstGeom prst="rect">
          <a:avLst/>
        </a:prstGeom>
        <a:noFill/>
      </xdr:spPr>
    </xdr:sp>
    <xdr:clientData/>
  </xdr:oneCellAnchor>
  <xdr:oneCellAnchor>
    <xdr:from>
      <xdr:col>4</xdr:col>
      <xdr:colOff>1657350</xdr:colOff>
      <xdr:row>220</xdr:row>
      <xdr:rowOff>0</xdr:rowOff>
    </xdr:from>
    <xdr:ext cx="190500" cy="266700"/>
    <xdr:sp macro="" textlink="">
      <xdr:nvSpPr>
        <xdr:cNvPr id="2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11B059D-5E6A-42F0-9E48-7A9B01FEE92F}"/>
            </a:ext>
            <a:ext uri="{147F2762-F138-4A5C-976F-8EAC2B608ADB}">
              <a16:predDERef xmlns:a16="http://schemas.microsoft.com/office/drawing/2014/main" pred="{F95F137C-2D62-443A-B699-D6ED2456376E}"/>
            </a:ext>
          </a:extLst>
        </xdr:cNvPr>
        <xdr:cNvSpPr>
          <a:spLocks noChangeAspect="1" noChangeArrowheads="1"/>
        </xdr:cNvSpPr>
      </xdr:nvSpPr>
      <xdr:spPr bwMode="auto">
        <a:xfrm>
          <a:off x="7531100" y="43154600"/>
          <a:ext cx="190500" cy="266700"/>
        </a:xfrm>
        <a:prstGeom prst="rect">
          <a:avLst/>
        </a:prstGeom>
        <a:noFill/>
      </xdr:spPr>
    </xdr:sp>
    <xdr:clientData/>
  </xdr:oneCellAnchor>
  <xdr:oneCellAnchor>
    <xdr:from>
      <xdr:col>4</xdr:col>
      <xdr:colOff>1657350</xdr:colOff>
      <xdr:row>220</xdr:row>
      <xdr:rowOff>0</xdr:rowOff>
    </xdr:from>
    <xdr:ext cx="190500" cy="266700"/>
    <xdr:sp macro="" textlink="">
      <xdr:nvSpPr>
        <xdr:cNvPr id="2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DCCFB15-9073-4500-A1B3-434CDDBF74FE}"/>
            </a:ext>
            <a:ext uri="{147F2762-F138-4A5C-976F-8EAC2B608ADB}">
              <a16:predDERef xmlns:a16="http://schemas.microsoft.com/office/drawing/2014/main" pred="{F5BE6059-5988-4341-A964-FF5057FC784C}"/>
            </a:ext>
          </a:extLst>
        </xdr:cNvPr>
        <xdr:cNvSpPr>
          <a:spLocks noChangeAspect="1" noChangeArrowheads="1"/>
        </xdr:cNvSpPr>
      </xdr:nvSpPr>
      <xdr:spPr bwMode="auto">
        <a:xfrm>
          <a:off x="7531100" y="43154600"/>
          <a:ext cx="190500" cy="266700"/>
        </a:xfrm>
        <a:prstGeom prst="rect">
          <a:avLst/>
        </a:prstGeom>
        <a:noFill/>
      </xdr:spPr>
    </xdr:sp>
    <xdr:clientData/>
  </xdr:oneCellAnchor>
  <xdr:oneCellAnchor>
    <xdr:from>
      <xdr:col>4</xdr:col>
      <xdr:colOff>1657350</xdr:colOff>
      <xdr:row>222</xdr:row>
      <xdr:rowOff>0</xdr:rowOff>
    </xdr:from>
    <xdr:ext cx="190500" cy="266700"/>
    <xdr:sp macro="" textlink="">
      <xdr:nvSpPr>
        <xdr:cNvPr id="2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3C80500-D526-4D1D-8881-64542901CBE3}"/>
            </a:ext>
            <a:ext uri="{147F2762-F138-4A5C-976F-8EAC2B608ADB}">
              <a16:predDERef xmlns:a16="http://schemas.microsoft.com/office/drawing/2014/main" pred="{5B18037B-6879-4E6E-A5FD-A35B251B125E}"/>
            </a:ext>
          </a:extLst>
        </xdr:cNvPr>
        <xdr:cNvSpPr>
          <a:spLocks noChangeAspect="1" noChangeArrowheads="1"/>
        </xdr:cNvSpPr>
      </xdr:nvSpPr>
      <xdr:spPr bwMode="auto">
        <a:xfrm>
          <a:off x="7531100" y="43668950"/>
          <a:ext cx="190500" cy="266700"/>
        </a:xfrm>
        <a:prstGeom prst="rect">
          <a:avLst/>
        </a:prstGeom>
        <a:noFill/>
      </xdr:spPr>
    </xdr:sp>
    <xdr:clientData/>
  </xdr:oneCellAnchor>
  <xdr:oneCellAnchor>
    <xdr:from>
      <xdr:col>4</xdr:col>
      <xdr:colOff>1657350</xdr:colOff>
      <xdr:row>222</xdr:row>
      <xdr:rowOff>0</xdr:rowOff>
    </xdr:from>
    <xdr:ext cx="190500" cy="266700"/>
    <xdr:sp macro="" textlink="">
      <xdr:nvSpPr>
        <xdr:cNvPr id="2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948F75-7AE0-43CD-A0AF-72AC10B0E28F}"/>
            </a:ext>
            <a:ext uri="{147F2762-F138-4A5C-976F-8EAC2B608ADB}">
              <a16:predDERef xmlns:a16="http://schemas.microsoft.com/office/drawing/2014/main" pred="{2188B1BE-43D2-46D5-8B2F-61A4019BA57A}"/>
            </a:ext>
          </a:extLst>
        </xdr:cNvPr>
        <xdr:cNvSpPr>
          <a:spLocks noChangeAspect="1" noChangeArrowheads="1"/>
        </xdr:cNvSpPr>
      </xdr:nvSpPr>
      <xdr:spPr bwMode="auto">
        <a:xfrm>
          <a:off x="7531100" y="43668950"/>
          <a:ext cx="190500" cy="266700"/>
        </a:xfrm>
        <a:prstGeom prst="rect">
          <a:avLst/>
        </a:prstGeom>
        <a:noFill/>
      </xdr:spPr>
    </xdr:sp>
    <xdr:clientData/>
  </xdr:oneCellAnchor>
  <xdr:oneCellAnchor>
    <xdr:from>
      <xdr:col>4</xdr:col>
      <xdr:colOff>1657350</xdr:colOff>
      <xdr:row>224</xdr:row>
      <xdr:rowOff>0</xdr:rowOff>
    </xdr:from>
    <xdr:ext cx="190500" cy="266700"/>
    <xdr:sp macro="" textlink="">
      <xdr:nvSpPr>
        <xdr:cNvPr id="2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42FCBC6-DCBD-4225-83D0-A52CB941803A}"/>
            </a:ext>
            <a:ext uri="{147F2762-F138-4A5C-976F-8EAC2B608ADB}">
              <a16:predDERef xmlns:a16="http://schemas.microsoft.com/office/drawing/2014/main" pred="{CC4688F5-04F0-456B-B2EC-A83EEDDCF465}"/>
            </a:ext>
          </a:extLst>
        </xdr:cNvPr>
        <xdr:cNvSpPr>
          <a:spLocks noChangeAspect="1" noChangeArrowheads="1"/>
        </xdr:cNvSpPr>
      </xdr:nvSpPr>
      <xdr:spPr bwMode="auto">
        <a:xfrm>
          <a:off x="7531100" y="44037250"/>
          <a:ext cx="190500" cy="266700"/>
        </a:xfrm>
        <a:prstGeom prst="rect">
          <a:avLst/>
        </a:prstGeom>
        <a:noFill/>
      </xdr:spPr>
    </xdr:sp>
    <xdr:clientData/>
  </xdr:oneCellAnchor>
  <xdr:oneCellAnchor>
    <xdr:from>
      <xdr:col>4</xdr:col>
      <xdr:colOff>1657350</xdr:colOff>
      <xdr:row>224</xdr:row>
      <xdr:rowOff>0</xdr:rowOff>
    </xdr:from>
    <xdr:ext cx="190500" cy="266700"/>
    <xdr:sp macro="" textlink="">
      <xdr:nvSpPr>
        <xdr:cNvPr id="2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43C95A7-5BC6-4348-A2AC-77A4542D6222}"/>
            </a:ext>
            <a:ext uri="{147F2762-F138-4A5C-976F-8EAC2B608ADB}">
              <a16:predDERef xmlns:a16="http://schemas.microsoft.com/office/drawing/2014/main" pred="{62EE91AE-CD63-4336-8AB4-703A73961E8D}"/>
            </a:ext>
          </a:extLst>
        </xdr:cNvPr>
        <xdr:cNvSpPr>
          <a:spLocks noChangeAspect="1" noChangeArrowheads="1"/>
        </xdr:cNvSpPr>
      </xdr:nvSpPr>
      <xdr:spPr bwMode="auto">
        <a:xfrm>
          <a:off x="7531100" y="44037250"/>
          <a:ext cx="190500" cy="266700"/>
        </a:xfrm>
        <a:prstGeom prst="rect">
          <a:avLst/>
        </a:prstGeom>
        <a:noFill/>
      </xdr:spPr>
    </xdr:sp>
    <xdr:clientData/>
  </xdr:oneCellAnchor>
  <xdr:oneCellAnchor>
    <xdr:from>
      <xdr:col>4</xdr:col>
      <xdr:colOff>1657350</xdr:colOff>
      <xdr:row>226</xdr:row>
      <xdr:rowOff>0</xdr:rowOff>
    </xdr:from>
    <xdr:ext cx="190500" cy="266700"/>
    <xdr:sp macro="" textlink="">
      <xdr:nvSpPr>
        <xdr:cNvPr id="2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1B4E75A-2212-47B4-B80A-093EE3512574}"/>
            </a:ext>
            <a:ext uri="{147F2762-F138-4A5C-976F-8EAC2B608ADB}">
              <a16:predDERef xmlns:a16="http://schemas.microsoft.com/office/drawing/2014/main" pred="{AD208096-6C1B-43D1-866C-665CCA78EC00}"/>
            </a:ext>
          </a:extLst>
        </xdr:cNvPr>
        <xdr:cNvSpPr>
          <a:spLocks noChangeAspect="1" noChangeArrowheads="1"/>
        </xdr:cNvSpPr>
      </xdr:nvSpPr>
      <xdr:spPr bwMode="auto">
        <a:xfrm>
          <a:off x="7531100" y="44405550"/>
          <a:ext cx="190500" cy="266700"/>
        </a:xfrm>
        <a:prstGeom prst="rect">
          <a:avLst/>
        </a:prstGeom>
        <a:noFill/>
      </xdr:spPr>
    </xdr:sp>
    <xdr:clientData/>
  </xdr:oneCellAnchor>
  <xdr:oneCellAnchor>
    <xdr:from>
      <xdr:col>4</xdr:col>
      <xdr:colOff>1657350</xdr:colOff>
      <xdr:row>226</xdr:row>
      <xdr:rowOff>0</xdr:rowOff>
    </xdr:from>
    <xdr:ext cx="190500" cy="266700"/>
    <xdr:sp macro="" textlink="">
      <xdr:nvSpPr>
        <xdr:cNvPr id="2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32B3157-13F1-45C1-B57A-B5EB42743AEF}"/>
            </a:ext>
            <a:ext uri="{147F2762-F138-4A5C-976F-8EAC2B608ADB}">
              <a16:predDERef xmlns:a16="http://schemas.microsoft.com/office/drawing/2014/main" pred="{AC8E87D6-3AD2-4DC3-B684-9C47F9F43B02}"/>
            </a:ext>
          </a:extLst>
        </xdr:cNvPr>
        <xdr:cNvSpPr>
          <a:spLocks noChangeAspect="1" noChangeArrowheads="1"/>
        </xdr:cNvSpPr>
      </xdr:nvSpPr>
      <xdr:spPr bwMode="auto">
        <a:xfrm>
          <a:off x="7531100" y="44405550"/>
          <a:ext cx="190500" cy="266700"/>
        </a:xfrm>
        <a:prstGeom prst="rect">
          <a:avLst/>
        </a:prstGeom>
        <a:noFill/>
      </xdr:spPr>
    </xdr:sp>
    <xdr:clientData/>
  </xdr:oneCellAnchor>
  <xdr:oneCellAnchor>
    <xdr:from>
      <xdr:col>4</xdr:col>
      <xdr:colOff>1657350</xdr:colOff>
      <xdr:row>228</xdr:row>
      <xdr:rowOff>0</xdr:rowOff>
    </xdr:from>
    <xdr:ext cx="190500" cy="266700"/>
    <xdr:sp macro="" textlink="">
      <xdr:nvSpPr>
        <xdr:cNvPr id="2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3D542AE-0486-4C9C-873C-A657498CF438}"/>
            </a:ext>
            <a:ext uri="{147F2762-F138-4A5C-976F-8EAC2B608ADB}">
              <a16:predDERef xmlns:a16="http://schemas.microsoft.com/office/drawing/2014/main" pred="{6C632B61-2B62-4075-9528-A2CC1652A304}"/>
            </a:ext>
          </a:extLst>
        </xdr:cNvPr>
        <xdr:cNvSpPr>
          <a:spLocks noChangeAspect="1" noChangeArrowheads="1"/>
        </xdr:cNvSpPr>
      </xdr:nvSpPr>
      <xdr:spPr bwMode="auto">
        <a:xfrm>
          <a:off x="7531100" y="44773850"/>
          <a:ext cx="190500" cy="266700"/>
        </a:xfrm>
        <a:prstGeom prst="rect">
          <a:avLst/>
        </a:prstGeom>
        <a:noFill/>
      </xdr:spPr>
    </xdr:sp>
    <xdr:clientData/>
  </xdr:oneCellAnchor>
  <xdr:oneCellAnchor>
    <xdr:from>
      <xdr:col>4</xdr:col>
      <xdr:colOff>1657350</xdr:colOff>
      <xdr:row>228</xdr:row>
      <xdr:rowOff>0</xdr:rowOff>
    </xdr:from>
    <xdr:ext cx="190500" cy="266700"/>
    <xdr:sp macro="" textlink="">
      <xdr:nvSpPr>
        <xdr:cNvPr id="2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B5FEC48-C92B-48A6-A474-8B2D1B81E0D9}"/>
            </a:ext>
            <a:ext uri="{147F2762-F138-4A5C-976F-8EAC2B608ADB}">
              <a16:predDERef xmlns:a16="http://schemas.microsoft.com/office/drawing/2014/main" pred="{6F96AC8B-E45B-4FF9-A3BA-35BFD498E667}"/>
            </a:ext>
          </a:extLst>
        </xdr:cNvPr>
        <xdr:cNvSpPr>
          <a:spLocks noChangeAspect="1" noChangeArrowheads="1"/>
        </xdr:cNvSpPr>
      </xdr:nvSpPr>
      <xdr:spPr bwMode="auto">
        <a:xfrm>
          <a:off x="7531100" y="44773850"/>
          <a:ext cx="190500" cy="266700"/>
        </a:xfrm>
        <a:prstGeom prst="rect">
          <a:avLst/>
        </a:prstGeom>
        <a:noFill/>
      </xdr:spPr>
    </xdr:sp>
    <xdr:clientData/>
  </xdr:oneCellAnchor>
  <xdr:oneCellAnchor>
    <xdr:from>
      <xdr:col>4</xdr:col>
      <xdr:colOff>1657350</xdr:colOff>
      <xdr:row>230</xdr:row>
      <xdr:rowOff>0</xdr:rowOff>
    </xdr:from>
    <xdr:ext cx="190500" cy="266700"/>
    <xdr:sp macro="" textlink="">
      <xdr:nvSpPr>
        <xdr:cNvPr id="2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AAB1F3F-EDDD-445E-AD86-9244973BFD05}"/>
            </a:ext>
            <a:ext uri="{147F2762-F138-4A5C-976F-8EAC2B608ADB}">
              <a16:predDERef xmlns:a16="http://schemas.microsoft.com/office/drawing/2014/main" pred="{857033C9-A370-46AD-A9E4-44A2A5F08576}"/>
            </a:ext>
          </a:extLst>
        </xdr:cNvPr>
        <xdr:cNvSpPr>
          <a:spLocks noChangeAspect="1" noChangeArrowheads="1"/>
        </xdr:cNvSpPr>
      </xdr:nvSpPr>
      <xdr:spPr bwMode="auto">
        <a:xfrm>
          <a:off x="7531100" y="45288200"/>
          <a:ext cx="190500" cy="266700"/>
        </a:xfrm>
        <a:prstGeom prst="rect">
          <a:avLst/>
        </a:prstGeom>
        <a:noFill/>
      </xdr:spPr>
    </xdr:sp>
    <xdr:clientData/>
  </xdr:oneCellAnchor>
  <xdr:oneCellAnchor>
    <xdr:from>
      <xdr:col>4</xdr:col>
      <xdr:colOff>1657350</xdr:colOff>
      <xdr:row>230</xdr:row>
      <xdr:rowOff>0</xdr:rowOff>
    </xdr:from>
    <xdr:ext cx="190500" cy="266700"/>
    <xdr:sp macro="" textlink="">
      <xdr:nvSpPr>
        <xdr:cNvPr id="2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7B34D6-12F2-422E-8ED4-DE303D89A752}"/>
            </a:ext>
            <a:ext uri="{147F2762-F138-4A5C-976F-8EAC2B608ADB}">
              <a16:predDERef xmlns:a16="http://schemas.microsoft.com/office/drawing/2014/main" pred="{12E9FFD2-9434-4B71-8E00-6820200A7907}"/>
            </a:ext>
          </a:extLst>
        </xdr:cNvPr>
        <xdr:cNvSpPr>
          <a:spLocks noChangeAspect="1" noChangeArrowheads="1"/>
        </xdr:cNvSpPr>
      </xdr:nvSpPr>
      <xdr:spPr bwMode="auto">
        <a:xfrm>
          <a:off x="7531100" y="45288200"/>
          <a:ext cx="190500" cy="266700"/>
        </a:xfrm>
        <a:prstGeom prst="rect">
          <a:avLst/>
        </a:prstGeom>
        <a:noFill/>
      </xdr:spPr>
    </xdr:sp>
    <xdr:clientData/>
  </xdr:oneCellAnchor>
  <xdr:oneCellAnchor>
    <xdr:from>
      <xdr:col>4</xdr:col>
      <xdr:colOff>1657350</xdr:colOff>
      <xdr:row>232</xdr:row>
      <xdr:rowOff>0</xdr:rowOff>
    </xdr:from>
    <xdr:ext cx="190500" cy="266700"/>
    <xdr:sp macro="" textlink="">
      <xdr:nvSpPr>
        <xdr:cNvPr id="2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C5A75D0-DE3B-4056-903D-04A525B77FE7}"/>
            </a:ext>
            <a:ext uri="{147F2762-F138-4A5C-976F-8EAC2B608ADB}">
              <a16:predDERef xmlns:a16="http://schemas.microsoft.com/office/drawing/2014/main" pred="{2651EAE4-C0DF-49B7-9A0C-838C5A752147}"/>
            </a:ext>
          </a:extLst>
        </xdr:cNvPr>
        <xdr:cNvSpPr>
          <a:spLocks noChangeAspect="1" noChangeArrowheads="1"/>
        </xdr:cNvSpPr>
      </xdr:nvSpPr>
      <xdr:spPr bwMode="auto">
        <a:xfrm>
          <a:off x="7531100" y="45802550"/>
          <a:ext cx="190500" cy="266700"/>
        </a:xfrm>
        <a:prstGeom prst="rect">
          <a:avLst/>
        </a:prstGeom>
        <a:noFill/>
      </xdr:spPr>
    </xdr:sp>
    <xdr:clientData/>
  </xdr:oneCellAnchor>
  <xdr:oneCellAnchor>
    <xdr:from>
      <xdr:col>4</xdr:col>
      <xdr:colOff>1657350</xdr:colOff>
      <xdr:row>232</xdr:row>
      <xdr:rowOff>0</xdr:rowOff>
    </xdr:from>
    <xdr:ext cx="190500" cy="266700"/>
    <xdr:sp macro="" textlink="">
      <xdr:nvSpPr>
        <xdr:cNvPr id="2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2C744C-FEDB-48C9-9019-9FD16B51584B}"/>
            </a:ext>
            <a:ext uri="{147F2762-F138-4A5C-976F-8EAC2B608ADB}">
              <a16:predDERef xmlns:a16="http://schemas.microsoft.com/office/drawing/2014/main" pred="{099E6C11-5A47-4DE4-86B1-983097544DB3}"/>
            </a:ext>
          </a:extLst>
        </xdr:cNvPr>
        <xdr:cNvSpPr>
          <a:spLocks noChangeAspect="1" noChangeArrowheads="1"/>
        </xdr:cNvSpPr>
      </xdr:nvSpPr>
      <xdr:spPr bwMode="auto">
        <a:xfrm>
          <a:off x="7531100" y="45802550"/>
          <a:ext cx="190500" cy="266700"/>
        </a:xfrm>
        <a:prstGeom prst="rect">
          <a:avLst/>
        </a:prstGeom>
        <a:noFill/>
      </xdr:spPr>
    </xdr:sp>
    <xdr:clientData/>
  </xdr:oneCellAnchor>
  <xdr:oneCellAnchor>
    <xdr:from>
      <xdr:col>4</xdr:col>
      <xdr:colOff>1657350</xdr:colOff>
      <xdr:row>234</xdr:row>
      <xdr:rowOff>0</xdr:rowOff>
    </xdr:from>
    <xdr:ext cx="190500" cy="266700"/>
    <xdr:sp macro="" textlink="">
      <xdr:nvSpPr>
        <xdr:cNvPr id="2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1E20218-CFC2-40E9-86B6-5501537ACB17}"/>
            </a:ext>
            <a:ext uri="{147F2762-F138-4A5C-976F-8EAC2B608ADB}">
              <a16:predDERef xmlns:a16="http://schemas.microsoft.com/office/drawing/2014/main" pred="{B1520E14-606C-4A5B-B432-EBA3757D614B}"/>
            </a:ext>
          </a:extLst>
        </xdr:cNvPr>
        <xdr:cNvSpPr>
          <a:spLocks noChangeAspect="1" noChangeArrowheads="1"/>
        </xdr:cNvSpPr>
      </xdr:nvSpPr>
      <xdr:spPr bwMode="auto">
        <a:xfrm>
          <a:off x="7531100" y="46170850"/>
          <a:ext cx="190500" cy="266700"/>
        </a:xfrm>
        <a:prstGeom prst="rect">
          <a:avLst/>
        </a:prstGeom>
        <a:noFill/>
      </xdr:spPr>
    </xdr:sp>
    <xdr:clientData/>
  </xdr:oneCellAnchor>
  <xdr:oneCellAnchor>
    <xdr:from>
      <xdr:col>4</xdr:col>
      <xdr:colOff>1657350</xdr:colOff>
      <xdr:row>234</xdr:row>
      <xdr:rowOff>0</xdr:rowOff>
    </xdr:from>
    <xdr:ext cx="190500" cy="266700"/>
    <xdr:sp macro="" textlink="">
      <xdr:nvSpPr>
        <xdr:cNvPr id="2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D3ECD88-3D97-4457-A856-A6A029AF6785}"/>
            </a:ext>
            <a:ext uri="{147F2762-F138-4A5C-976F-8EAC2B608ADB}">
              <a16:predDERef xmlns:a16="http://schemas.microsoft.com/office/drawing/2014/main" pred="{E3CBBFFE-8996-44EF-BD10-61EE07C7DAB8}"/>
            </a:ext>
          </a:extLst>
        </xdr:cNvPr>
        <xdr:cNvSpPr>
          <a:spLocks noChangeAspect="1" noChangeArrowheads="1"/>
        </xdr:cNvSpPr>
      </xdr:nvSpPr>
      <xdr:spPr bwMode="auto">
        <a:xfrm>
          <a:off x="7531100" y="46170850"/>
          <a:ext cx="190500" cy="266700"/>
        </a:xfrm>
        <a:prstGeom prst="rect">
          <a:avLst/>
        </a:prstGeom>
        <a:noFill/>
      </xdr:spPr>
    </xdr:sp>
    <xdr:clientData/>
  </xdr:oneCellAnchor>
  <xdr:oneCellAnchor>
    <xdr:from>
      <xdr:col>4</xdr:col>
      <xdr:colOff>1657350</xdr:colOff>
      <xdr:row>236</xdr:row>
      <xdr:rowOff>0</xdr:rowOff>
    </xdr:from>
    <xdr:ext cx="190500" cy="266700"/>
    <xdr:sp macro="" textlink="">
      <xdr:nvSpPr>
        <xdr:cNvPr id="2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384DE0B-5EC7-4FA2-9756-0A9016E386F6}"/>
            </a:ext>
            <a:ext uri="{147F2762-F138-4A5C-976F-8EAC2B608ADB}">
              <a16:predDERef xmlns:a16="http://schemas.microsoft.com/office/drawing/2014/main" pred="{0AC31A46-A65E-410B-9371-E6A1B7F91A46}"/>
            </a:ext>
          </a:extLst>
        </xdr:cNvPr>
        <xdr:cNvSpPr>
          <a:spLocks noChangeAspect="1" noChangeArrowheads="1"/>
        </xdr:cNvSpPr>
      </xdr:nvSpPr>
      <xdr:spPr bwMode="auto">
        <a:xfrm>
          <a:off x="7531100" y="46539150"/>
          <a:ext cx="190500" cy="266700"/>
        </a:xfrm>
        <a:prstGeom prst="rect">
          <a:avLst/>
        </a:prstGeom>
        <a:noFill/>
      </xdr:spPr>
    </xdr:sp>
    <xdr:clientData/>
  </xdr:oneCellAnchor>
  <xdr:oneCellAnchor>
    <xdr:from>
      <xdr:col>4</xdr:col>
      <xdr:colOff>1657350</xdr:colOff>
      <xdr:row>236</xdr:row>
      <xdr:rowOff>0</xdr:rowOff>
    </xdr:from>
    <xdr:ext cx="190500" cy="266700"/>
    <xdr:sp macro="" textlink="">
      <xdr:nvSpPr>
        <xdr:cNvPr id="2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0E5D18F-D480-41E3-BA0B-E3F01BDBB88F}"/>
            </a:ext>
            <a:ext uri="{147F2762-F138-4A5C-976F-8EAC2B608ADB}">
              <a16:predDERef xmlns:a16="http://schemas.microsoft.com/office/drawing/2014/main" pred="{64F56F05-2F04-4230-B80A-E545A65E9768}"/>
            </a:ext>
          </a:extLst>
        </xdr:cNvPr>
        <xdr:cNvSpPr>
          <a:spLocks noChangeAspect="1" noChangeArrowheads="1"/>
        </xdr:cNvSpPr>
      </xdr:nvSpPr>
      <xdr:spPr bwMode="auto">
        <a:xfrm>
          <a:off x="7531100" y="46539150"/>
          <a:ext cx="190500" cy="266700"/>
        </a:xfrm>
        <a:prstGeom prst="rect">
          <a:avLst/>
        </a:prstGeom>
        <a:noFill/>
      </xdr:spPr>
    </xdr:sp>
    <xdr:clientData/>
  </xdr:oneCellAnchor>
  <xdr:oneCellAnchor>
    <xdr:from>
      <xdr:col>4</xdr:col>
      <xdr:colOff>1657350</xdr:colOff>
      <xdr:row>238</xdr:row>
      <xdr:rowOff>0</xdr:rowOff>
    </xdr:from>
    <xdr:ext cx="190500" cy="266700"/>
    <xdr:sp macro="" textlink="">
      <xdr:nvSpPr>
        <xdr:cNvPr id="2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A8B50D-9394-47AE-B528-DDE11D1B7012}"/>
            </a:ext>
            <a:ext uri="{147F2762-F138-4A5C-976F-8EAC2B608ADB}">
              <a16:predDERef xmlns:a16="http://schemas.microsoft.com/office/drawing/2014/main" pred="{87B8B67E-0A0C-444C-8694-B4CE8762D699}"/>
            </a:ext>
          </a:extLst>
        </xdr:cNvPr>
        <xdr:cNvSpPr>
          <a:spLocks noChangeAspect="1" noChangeArrowheads="1"/>
        </xdr:cNvSpPr>
      </xdr:nvSpPr>
      <xdr:spPr bwMode="auto">
        <a:xfrm>
          <a:off x="7531100" y="46907450"/>
          <a:ext cx="190500" cy="266700"/>
        </a:xfrm>
        <a:prstGeom prst="rect">
          <a:avLst/>
        </a:prstGeom>
        <a:noFill/>
      </xdr:spPr>
    </xdr:sp>
    <xdr:clientData/>
  </xdr:oneCellAnchor>
  <xdr:oneCellAnchor>
    <xdr:from>
      <xdr:col>4</xdr:col>
      <xdr:colOff>1657350</xdr:colOff>
      <xdr:row>238</xdr:row>
      <xdr:rowOff>0</xdr:rowOff>
    </xdr:from>
    <xdr:ext cx="190500" cy="266700"/>
    <xdr:sp macro="" textlink="">
      <xdr:nvSpPr>
        <xdr:cNvPr id="2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7F56F74-BB60-4C5F-8D80-84DB02AB4205}"/>
            </a:ext>
            <a:ext uri="{147F2762-F138-4A5C-976F-8EAC2B608ADB}">
              <a16:predDERef xmlns:a16="http://schemas.microsoft.com/office/drawing/2014/main" pred="{80EF4FE2-8DD8-4B81-8706-651741D6B6D1}"/>
            </a:ext>
          </a:extLst>
        </xdr:cNvPr>
        <xdr:cNvSpPr>
          <a:spLocks noChangeAspect="1" noChangeArrowheads="1"/>
        </xdr:cNvSpPr>
      </xdr:nvSpPr>
      <xdr:spPr bwMode="auto">
        <a:xfrm>
          <a:off x="7531100" y="46907450"/>
          <a:ext cx="190500" cy="266700"/>
        </a:xfrm>
        <a:prstGeom prst="rect">
          <a:avLst/>
        </a:prstGeom>
        <a:noFill/>
      </xdr:spPr>
    </xdr:sp>
    <xdr:clientData/>
  </xdr:oneCellAnchor>
  <xdr:oneCellAnchor>
    <xdr:from>
      <xdr:col>4</xdr:col>
      <xdr:colOff>1657350</xdr:colOff>
      <xdr:row>240</xdr:row>
      <xdr:rowOff>0</xdr:rowOff>
    </xdr:from>
    <xdr:ext cx="190500" cy="266700"/>
    <xdr:sp macro="" textlink="">
      <xdr:nvSpPr>
        <xdr:cNvPr id="2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D6084C-F2FE-4965-83FC-8FEAC8506FDD}"/>
            </a:ext>
            <a:ext uri="{147F2762-F138-4A5C-976F-8EAC2B608ADB}">
              <a16:predDERef xmlns:a16="http://schemas.microsoft.com/office/drawing/2014/main" pred="{4211C6D9-5E8B-43A9-B8E2-CEC8347EBE0B}"/>
            </a:ext>
          </a:extLst>
        </xdr:cNvPr>
        <xdr:cNvSpPr>
          <a:spLocks noChangeAspect="1" noChangeArrowheads="1"/>
        </xdr:cNvSpPr>
      </xdr:nvSpPr>
      <xdr:spPr bwMode="auto">
        <a:xfrm>
          <a:off x="7531100" y="47275750"/>
          <a:ext cx="190500" cy="266700"/>
        </a:xfrm>
        <a:prstGeom prst="rect">
          <a:avLst/>
        </a:prstGeom>
        <a:noFill/>
      </xdr:spPr>
    </xdr:sp>
    <xdr:clientData/>
  </xdr:oneCellAnchor>
  <xdr:oneCellAnchor>
    <xdr:from>
      <xdr:col>4</xdr:col>
      <xdr:colOff>1657350</xdr:colOff>
      <xdr:row>240</xdr:row>
      <xdr:rowOff>0</xdr:rowOff>
    </xdr:from>
    <xdr:ext cx="190500" cy="266700"/>
    <xdr:sp macro="" textlink="">
      <xdr:nvSpPr>
        <xdr:cNvPr id="2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D2B760F-03E7-4A31-A9FD-1FD09E07042D}"/>
            </a:ext>
            <a:ext uri="{147F2762-F138-4A5C-976F-8EAC2B608ADB}">
              <a16:predDERef xmlns:a16="http://schemas.microsoft.com/office/drawing/2014/main" pred="{C3A1FBE0-08F7-4427-AC8B-A9923ADD6CA2}"/>
            </a:ext>
          </a:extLst>
        </xdr:cNvPr>
        <xdr:cNvSpPr>
          <a:spLocks noChangeAspect="1" noChangeArrowheads="1"/>
        </xdr:cNvSpPr>
      </xdr:nvSpPr>
      <xdr:spPr bwMode="auto">
        <a:xfrm>
          <a:off x="7531100" y="47275750"/>
          <a:ext cx="190500" cy="266700"/>
        </a:xfrm>
        <a:prstGeom prst="rect">
          <a:avLst/>
        </a:prstGeom>
        <a:noFill/>
      </xdr:spPr>
    </xdr:sp>
    <xdr:clientData/>
  </xdr:oneCellAnchor>
  <xdr:oneCellAnchor>
    <xdr:from>
      <xdr:col>4</xdr:col>
      <xdr:colOff>1657350</xdr:colOff>
      <xdr:row>242</xdr:row>
      <xdr:rowOff>0</xdr:rowOff>
    </xdr:from>
    <xdr:ext cx="190500" cy="266700"/>
    <xdr:sp macro="" textlink="">
      <xdr:nvSpPr>
        <xdr:cNvPr id="2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45ED5D5-6856-48DF-9E9D-0A85C8B2DF44}"/>
            </a:ext>
            <a:ext uri="{147F2762-F138-4A5C-976F-8EAC2B608ADB}">
              <a16:predDERef xmlns:a16="http://schemas.microsoft.com/office/drawing/2014/main" pred="{8447D8F9-FAE0-492A-84FE-244608D36622}"/>
            </a:ext>
          </a:extLst>
        </xdr:cNvPr>
        <xdr:cNvSpPr>
          <a:spLocks noChangeAspect="1" noChangeArrowheads="1"/>
        </xdr:cNvSpPr>
      </xdr:nvSpPr>
      <xdr:spPr bwMode="auto">
        <a:xfrm>
          <a:off x="7531100" y="47644050"/>
          <a:ext cx="190500" cy="266700"/>
        </a:xfrm>
        <a:prstGeom prst="rect">
          <a:avLst/>
        </a:prstGeom>
        <a:noFill/>
      </xdr:spPr>
    </xdr:sp>
    <xdr:clientData/>
  </xdr:oneCellAnchor>
  <xdr:oneCellAnchor>
    <xdr:from>
      <xdr:col>4</xdr:col>
      <xdr:colOff>1657350</xdr:colOff>
      <xdr:row>242</xdr:row>
      <xdr:rowOff>0</xdr:rowOff>
    </xdr:from>
    <xdr:ext cx="190500" cy="266700"/>
    <xdr:sp macro="" textlink="">
      <xdr:nvSpPr>
        <xdr:cNvPr id="2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B459896-B878-4C2A-A0F6-C7B2A791140E}"/>
            </a:ext>
            <a:ext uri="{147F2762-F138-4A5C-976F-8EAC2B608ADB}">
              <a16:predDERef xmlns:a16="http://schemas.microsoft.com/office/drawing/2014/main" pred="{9040C3B9-24B4-4436-9431-1B7693AE1B8A}"/>
            </a:ext>
          </a:extLst>
        </xdr:cNvPr>
        <xdr:cNvSpPr>
          <a:spLocks noChangeAspect="1" noChangeArrowheads="1"/>
        </xdr:cNvSpPr>
      </xdr:nvSpPr>
      <xdr:spPr bwMode="auto">
        <a:xfrm>
          <a:off x="7531100" y="47644050"/>
          <a:ext cx="190500" cy="266700"/>
        </a:xfrm>
        <a:prstGeom prst="rect">
          <a:avLst/>
        </a:prstGeom>
        <a:noFill/>
      </xdr:spPr>
    </xdr:sp>
    <xdr:clientData/>
  </xdr:oneCellAnchor>
  <xdr:oneCellAnchor>
    <xdr:from>
      <xdr:col>4</xdr:col>
      <xdr:colOff>1657350</xdr:colOff>
      <xdr:row>244</xdr:row>
      <xdr:rowOff>0</xdr:rowOff>
    </xdr:from>
    <xdr:ext cx="190500" cy="266700"/>
    <xdr:sp macro="" textlink="">
      <xdr:nvSpPr>
        <xdr:cNvPr id="2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5A239E-7EC7-41C4-9731-7BEFFC66C5CA}"/>
            </a:ext>
            <a:ext uri="{147F2762-F138-4A5C-976F-8EAC2B608ADB}">
              <a16:predDERef xmlns:a16="http://schemas.microsoft.com/office/drawing/2014/main" pred="{724F5B36-E89D-4F48-B0CB-A46A6551E394}"/>
            </a:ext>
          </a:extLst>
        </xdr:cNvPr>
        <xdr:cNvSpPr>
          <a:spLocks noChangeAspect="1" noChangeArrowheads="1"/>
        </xdr:cNvSpPr>
      </xdr:nvSpPr>
      <xdr:spPr bwMode="auto">
        <a:xfrm>
          <a:off x="7531100" y="48012350"/>
          <a:ext cx="190500" cy="266700"/>
        </a:xfrm>
        <a:prstGeom prst="rect">
          <a:avLst/>
        </a:prstGeom>
        <a:noFill/>
      </xdr:spPr>
    </xdr:sp>
    <xdr:clientData/>
  </xdr:oneCellAnchor>
  <xdr:oneCellAnchor>
    <xdr:from>
      <xdr:col>4</xdr:col>
      <xdr:colOff>1657350</xdr:colOff>
      <xdr:row>244</xdr:row>
      <xdr:rowOff>0</xdr:rowOff>
    </xdr:from>
    <xdr:ext cx="190500" cy="266700"/>
    <xdr:sp macro="" textlink="">
      <xdr:nvSpPr>
        <xdr:cNvPr id="2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ACDF440-D272-4F07-9DCD-83E4FE0C52E3}"/>
            </a:ext>
            <a:ext uri="{147F2762-F138-4A5C-976F-8EAC2B608ADB}">
              <a16:predDERef xmlns:a16="http://schemas.microsoft.com/office/drawing/2014/main" pred="{C92A36DC-CB13-4432-98BF-26FF9D4137B6}"/>
            </a:ext>
          </a:extLst>
        </xdr:cNvPr>
        <xdr:cNvSpPr>
          <a:spLocks noChangeAspect="1" noChangeArrowheads="1"/>
        </xdr:cNvSpPr>
      </xdr:nvSpPr>
      <xdr:spPr bwMode="auto">
        <a:xfrm>
          <a:off x="7531100" y="48012350"/>
          <a:ext cx="190500" cy="266700"/>
        </a:xfrm>
        <a:prstGeom prst="rect">
          <a:avLst/>
        </a:prstGeom>
        <a:noFill/>
      </xdr:spPr>
    </xdr:sp>
    <xdr:clientData/>
  </xdr:oneCellAnchor>
  <xdr:oneCellAnchor>
    <xdr:from>
      <xdr:col>4</xdr:col>
      <xdr:colOff>1657350</xdr:colOff>
      <xdr:row>246</xdr:row>
      <xdr:rowOff>0</xdr:rowOff>
    </xdr:from>
    <xdr:ext cx="190500" cy="266700"/>
    <xdr:sp macro="" textlink="">
      <xdr:nvSpPr>
        <xdr:cNvPr id="2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A26F624-A8CB-41EB-90C3-86A9E756B48B}"/>
            </a:ext>
            <a:ext uri="{147F2762-F138-4A5C-976F-8EAC2B608ADB}">
              <a16:predDERef xmlns:a16="http://schemas.microsoft.com/office/drawing/2014/main" pred="{3B372BEC-2C15-4932-BB79-4DF22863DEDA}"/>
            </a:ext>
          </a:extLst>
        </xdr:cNvPr>
        <xdr:cNvSpPr>
          <a:spLocks noChangeAspect="1" noChangeArrowheads="1"/>
        </xdr:cNvSpPr>
      </xdr:nvSpPr>
      <xdr:spPr bwMode="auto">
        <a:xfrm>
          <a:off x="7531100" y="48380650"/>
          <a:ext cx="190500" cy="266700"/>
        </a:xfrm>
        <a:prstGeom prst="rect">
          <a:avLst/>
        </a:prstGeom>
        <a:noFill/>
      </xdr:spPr>
    </xdr:sp>
    <xdr:clientData/>
  </xdr:oneCellAnchor>
  <xdr:oneCellAnchor>
    <xdr:from>
      <xdr:col>4</xdr:col>
      <xdr:colOff>1657350</xdr:colOff>
      <xdr:row>246</xdr:row>
      <xdr:rowOff>0</xdr:rowOff>
    </xdr:from>
    <xdr:ext cx="190500" cy="266700"/>
    <xdr:sp macro="" textlink="">
      <xdr:nvSpPr>
        <xdr:cNvPr id="2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5DF20C8-1FA7-4D77-B8D9-B8A3C24C529A}"/>
            </a:ext>
            <a:ext uri="{147F2762-F138-4A5C-976F-8EAC2B608ADB}">
              <a16:predDERef xmlns:a16="http://schemas.microsoft.com/office/drawing/2014/main" pred="{D8F9840B-3988-4FC9-9182-4E38B39993D0}"/>
            </a:ext>
          </a:extLst>
        </xdr:cNvPr>
        <xdr:cNvSpPr>
          <a:spLocks noChangeAspect="1" noChangeArrowheads="1"/>
        </xdr:cNvSpPr>
      </xdr:nvSpPr>
      <xdr:spPr bwMode="auto">
        <a:xfrm>
          <a:off x="7531100" y="48380650"/>
          <a:ext cx="190500" cy="266700"/>
        </a:xfrm>
        <a:prstGeom prst="rect">
          <a:avLst/>
        </a:prstGeom>
        <a:noFill/>
      </xdr:spPr>
    </xdr:sp>
    <xdr:clientData/>
  </xdr:oneCellAnchor>
  <xdr:oneCellAnchor>
    <xdr:from>
      <xdr:col>4</xdr:col>
      <xdr:colOff>1657350</xdr:colOff>
      <xdr:row>248</xdr:row>
      <xdr:rowOff>0</xdr:rowOff>
    </xdr:from>
    <xdr:ext cx="190500" cy="266700"/>
    <xdr:sp macro="" textlink="">
      <xdr:nvSpPr>
        <xdr:cNvPr id="2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5A44E35-A0FF-488C-9EFA-ACF6085D6974}"/>
            </a:ext>
            <a:ext uri="{147F2762-F138-4A5C-976F-8EAC2B608ADB}">
              <a16:predDERef xmlns:a16="http://schemas.microsoft.com/office/drawing/2014/main" pred="{EC9C8D1C-91B6-4ADC-AE97-0770B4E0356C}"/>
            </a:ext>
          </a:extLst>
        </xdr:cNvPr>
        <xdr:cNvSpPr>
          <a:spLocks noChangeAspect="1" noChangeArrowheads="1"/>
        </xdr:cNvSpPr>
      </xdr:nvSpPr>
      <xdr:spPr bwMode="auto">
        <a:xfrm>
          <a:off x="7531100" y="48748950"/>
          <a:ext cx="190500" cy="266700"/>
        </a:xfrm>
        <a:prstGeom prst="rect">
          <a:avLst/>
        </a:prstGeom>
        <a:noFill/>
      </xdr:spPr>
    </xdr:sp>
    <xdr:clientData/>
  </xdr:oneCellAnchor>
  <xdr:oneCellAnchor>
    <xdr:from>
      <xdr:col>4</xdr:col>
      <xdr:colOff>1657350</xdr:colOff>
      <xdr:row>248</xdr:row>
      <xdr:rowOff>0</xdr:rowOff>
    </xdr:from>
    <xdr:ext cx="190500" cy="266700"/>
    <xdr:sp macro="" textlink="">
      <xdr:nvSpPr>
        <xdr:cNvPr id="2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105EB15-8571-4F10-AD2F-491DCA0ADEF2}"/>
            </a:ext>
            <a:ext uri="{147F2762-F138-4A5C-976F-8EAC2B608ADB}">
              <a16:predDERef xmlns:a16="http://schemas.microsoft.com/office/drawing/2014/main" pred="{8ECC039A-C329-4D80-A592-3C13D13C6A6B}"/>
            </a:ext>
          </a:extLst>
        </xdr:cNvPr>
        <xdr:cNvSpPr>
          <a:spLocks noChangeAspect="1" noChangeArrowheads="1"/>
        </xdr:cNvSpPr>
      </xdr:nvSpPr>
      <xdr:spPr bwMode="auto">
        <a:xfrm>
          <a:off x="7531100" y="48748950"/>
          <a:ext cx="190500" cy="266700"/>
        </a:xfrm>
        <a:prstGeom prst="rect">
          <a:avLst/>
        </a:prstGeom>
        <a:noFill/>
      </xdr:spPr>
    </xdr:sp>
    <xdr:clientData/>
  </xdr:oneCellAnchor>
  <xdr:oneCellAnchor>
    <xdr:from>
      <xdr:col>4</xdr:col>
      <xdr:colOff>1657350</xdr:colOff>
      <xdr:row>250</xdr:row>
      <xdr:rowOff>0</xdr:rowOff>
    </xdr:from>
    <xdr:ext cx="190500" cy="266700"/>
    <xdr:sp macro="" textlink="">
      <xdr:nvSpPr>
        <xdr:cNvPr id="2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F843F18-4027-402D-971F-501A3509CED1}"/>
            </a:ext>
            <a:ext uri="{147F2762-F138-4A5C-976F-8EAC2B608ADB}">
              <a16:predDERef xmlns:a16="http://schemas.microsoft.com/office/drawing/2014/main" pred="{4095F753-BA7E-418F-806D-239D83F8749E}"/>
            </a:ext>
          </a:extLst>
        </xdr:cNvPr>
        <xdr:cNvSpPr>
          <a:spLocks noChangeAspect="1" noChangeArrowheads="1"/>
        </xdr:cNvSpPr>
      </xdr:nvSpPr>
      <xdr:spPr bwMode="auto">
        <a:xfrm>
          <a:off x="7531100" y="49117250"/>
          <a:ext cx="190500" cy="266700"/>
        </a:xfrm>
        <a:prstGeom prst="rect">
          <a:avLst/>
        </a:prstGeom>
        <a:noFill/>
      </xdr:spPr>
    </xdr:sp>
    <xdr:clientData/>
  </xdr:oneCellAnchor>
  <xdr:oneCellAnchor>
    <xdr:from>
      <xdr:col>4</xdr:col>
      <xdr:colOff>1657350</xdr:colOff>
      <xdr:row>250</xdr:row>
      <xdr:rowOff>0</xdr:rowOff>
    </xdr:from>
    <xdr:ext cx="190500" cy="266700"/>
    <xdr:sp macro="" textlink="">
      <xdr:nvSpPr>
        <xdr:cNvPr id="2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13DAD97-9040-458C-8AD3-DC2932DB400D}"/>
            </a:ext>
            <a:ext uri="{147F2762-F138-4A5C-976F-8EAC2B608ADB}">
              <a16:predDERef xmlns:a16="http://schemas.microsoft.com/office/drawing/2014/main" pred="{21613353-C9E8-4EE0-AB48-A164AF1E2884}"/>
            </a:ext>
          </a:extLst>
        </xdr:cNvPr>
        <xdr:cNvSpPr>
          <a:spLocks noChangeAspect="1" noChangeArrowheads="1"/>
        </xdr:cNvSpPr>
      </xdr:nvSpPr>
      <xdr:spPr bwMode="auto">
        <a:xfrm>
          <a:off x="7531100" y="49117250"/>
          <a:ext cx="190500" cy="266700"/>
        </a:xfrm>
        <a:prstGeom prst="rect">
          <a:avLst/>
        </a:prstGeom>
        <a:noFill/>
      </xdr:spPr>
    </xdr:sp>
    <xdr:clientData/>
  </xdr:oneCellAnchor>
  <xdr:oneCellAnchor>
    <xdr:from>
      <xdr:col>4</xdr:col>
      <xdr:colOff>1657350</xdr:colOff>
      <xdr:row>252</xdr:row>
      <xdr:rowOff>0</xdr:rowOff>
    </xdr:from>
    <xdr:ext cx="190500" cy="266700"/>
    <xdr:sp macro="" textlink="">
      <xdr:nvSpPr>
        <xdr:cNvPr id="2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72CE8D9-6393-4D30-8235-CD6427B1B292}"/>
            </a:ext>
            <a:ext uri="{147F2762-F138-4A5C-976F-8EAC2B608ADB}">
              <a16:predDERef xmlns:a16="http://schemas.microsoft.com/office/drawing/2014/main" pred="{F3F04B95-B272-490A-AFE6-7CB2385409B8}"/>
            </a:ext>
          </a:extLst>
        </xdr:cNvPr>
        <xdr:cNvSpPr>
          <a:spLocks noChangeAspect="1" noChangeArrowheads="1"/>
        </xdr:cNvSpPr>
      </xdr:nvSpPr>
      <xdr:spPr bwMode="auto">
        <a:xfrm>
          <a:off x="7531100" y="49485550"/>
          <a:ext cx="190500" cy="266700"/>
        </a:xfrm>
        <a:prstGeom prst="rect">
          <a:avLst/>
        </a:prstGeom>
        <a:noFill/>
      </xdr:spPr>
    </xdr:sp>
    <xdr:clientData/>
  </xdr:oneCellAnchor>
  <xdr:oneCellAnchor>
    <xdr:from>
      <xdr:col>4</xdr:col>
      <xdr:colOff>1657350</xdr:colOff>
      <xdr:row>252</xdr:row>
      <xdr:rowOff>0</xdr:rowOff>
    </xdr:from>
    <xdr:ext cx="190500" cy="266700"/>
    <xdr:sp macro="" textlink="">
      <xdr:nvSpPr>
        <xdr:cNvPr id="2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BA5A259-7D4E-41CE-9318-F4CB97683719}"/>
            </a:ext>
            <a:ext uri="{147F2762-F138-4A5C-976F-8EAC2B608ADB}">
              <a16:predDERef xmlns:a16="http://schemas.microsoft.com/office/drawing/2014/main" pred="{4A21CF3D-293B-4174-AAFC-6FBF8259DD5F}"/>
            </a:ext>
          </a:extLst>
        </xdr:cNvPr>
        <xdr:cNvSpPr>
          <a:spLocks noChangeAspect="1" noChangeArrowheads="1"/>
        </xdr:cNvSpPr>
      </xdr:nvSpPr>
      <xdr:spPr bwMode="auto">
        <a:xfrm>
          <a:off x="7531100" y="49485550"/>
          <a:ext cx="190500" cy="266700"/>
        </a:xfrm>
        <a:prstGeom prst="rect">
          <a:avLst/>
        </a:prstGeom>
        <a:noFill/>
      </xdr:spPr>
    </xdr:sp>
    <xdr:clientData/>
  </xdr:oneCellAnchor>
  <xdr:oneCellAnchor>
    <xdr:from>
      <xdr:col>4</xdr:col>
      <xdr:colOff>1657350</xdr:colOff>
      <xdr:row>254</xdr:row>
      <xdr:rowOff>0</xdr:rowOff>
    </xdr:from>
    <xdr:ext cx="190500" cy="266700"/>
    <xdr:sp macro="" textlink="">
      <xdr:nvSpPr>
        <xdr:cNvPr id="2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550B4AA-8B8A-46C9-93F1-9050514D2EFF}"/>
            </a:ext>
            <a:ext uri="{147F2762-F138-4A5C-976F-8EAC2B608ADB}">
              <a16:predDERef xmlns:a16="http://schemas.microsoft.com/office/drawing/2014/main" pred="{33128933-E759-404E-B726-8D9E19714035}"/>
            </a:ext>
          </a:extLst>
        </xdr:cNvPr>
        <xdr:cNvSpPr>
          <a:spLocks noChangeAspect="1" noChangeArrowheads="1"/>
        </xdr:cNvSpPr>
      </xdr:nvSpPr>
      <xdr:spPr bwMode="auto">
        <a:xfrm>
          <a:off x="7531100" y="49853850"/>
          <a:ext cx="190500" cy="266700"/>
        </a:xfrm>
        <a:prstGeom prst="rect">
          <a:avLst/>
        </a:prstGeom>
        <a:noFill/>
      </xdr:spPr>
    </xdr:sp>
    <xdr:clientData/>
  </xdr:oneCellAnchor>
  <xdr:oneCellAnchor>
    <xdr:from>
      <xdr:col>4</xdr:col>
      <xdr:colOff>1657350</xdr:colOff>
      <xdr:row>254</xdr:row>
      <xdr:rowOff>0</xdr:rowOff>
    </xdr:from>
    <xdr:ext cx="190500" cy="266700"/>
    <xdr:sp macro="" textlink="">
      <xdr:nvSpPr>
        <xdr:cNvPr id="2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7AED0B-2024-4A70-BFF2-87812A1BAADA}"/>
            </a:ext>
            <a:ext uri="{147F2762-F138-4A5C-976F-8EAC2B608ADB}">
              <a16:predDERef xmlns:a16="http://schemas.microsoft.com/office/drawing/2014/main" pred="{6E2D4F74-EADE-4912-B013-05F72D9608DF}"/>
            </a:ext>
          </a:extLst>
        </xdr:cNvPr>
        <xdr:cNvSpPr>
          <a:spLocks noChangeAspect="1" noChangeArrowheads="1"/>
        </xdr:cNvSpPr>
      </xdr:nvSpPr>
      <xdr:spPr bwMode="auto">
        <a:xfrm>
          <a:off x="7531100" y="49853850"/>
          <a:ext cx="190500" cy="266700"/>
        </a:xfrm>
        <a:prstGeom prst="rect">
          <a:avLst/>
        </a:prstGeom>
        <a:noFill/>
      </xdr:spPr>
    </xdr:sp>
    <xdr:clientData/>
  </xdr:oneCellAnchor>
  <xdr:oneCellAnchor>
    <xdr:from>
      <xdr:col>4</xdr:col>
      <xdr:colOff>1657350</xdr:colOff>
      <xdr:row>256</xdr:row>
      <xdr:rowOff>0</xdr:rowOff>
    </xdr:from>
    <xdr:ext cx="190500" cy="266700"/>
    <xdr:sp macro="" textlink="">
      <xdr:nvSpPr>
        <xdr:cNvPr id="2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532E310-427D-4A24-9BF8-B97E0DA55A4E}"/>
            </a:ext>
            <a:ext uri="{147F2762-F138-4A5C-976F-8EAC2B608ADB}">
              <a16:predDERef xmlns:a16="http://schemas.microsoft.com/office/drawing/2014/main" pred="{AD9D6AA5-957F-4990-9A88-C71C4EB55B5A}"/>
            </a:ext>
          </a:extLst>
        </xdr:cNvPr>
        <xdr:cNvSpPr>
          <a:spLocks noChangeAspect="1" noChangeArrowheads="1"/>
        </xdr:cNvSpPr>
      </xdr:nvSpPr>
      <xdr:spPr bwMode="auto">
        <a:xfrm>
          <a:off x="7531100" y="50222150"/>
          <a:ext cx="190500" cy="266700"/>
        </a:xfrm>
        <a:prstGeom prst="rect">
          <a:avLst/>
        </a:prstGeom>
        <a:noFill/>
      </xdr:spPr>
    </xdr:sp>
    <xdr:clientData/>
  </xdr:oneCellAnchor>
  <xdr:oneCellAnchor>
    <xdr:from>
      <xdr:col>4</xdr:col>
      <xdr:colOff>1657350</xdr:colOff>
      <xdr:row>256</xdr:row>
      <xdr:rowOff>0</xdr:rowOff>
    </xdr:from>
    <xdr:ext cx="190500" cy="266700"/>
    <xdr:sp macro="" textlink="">
      <xdr:nvSpPr>
        <xdr:cNvPr id="2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CC42898-6762-4697-B108-110186B646E3}"/>
            </a:ext>
            <a:ext uri="{147F2762-F138-4A5C-976F-8EAC2B608ADB}">
              <a16:predDERef xmlns:a16="http://schemas.microsoft.com/office/drawing/2014/main" pred="{5E171B54-5DBA-40BF-BF90-F5E7EA089B6D}"/>
            </a:ext>
          </a:extLst>
        </xdr:cNvPr>
        <xdr:cNvSpPr>
          <a:spLocks noChangeAspect="1" noChangeArrowheads="1"/>
        </xdr:cNvSpPr>
      </xdr:nvSpPr>
      <xdr:spPr bwMode="auto">
        <a:xfrm>
          <a:off x="7531100" y="50222150"/>
          <a:ext cx="190500" cy="266700"/>
        </a:xfrm>
        <a:prstGeom prst="rect">
          <a:avLst/>
        </a:prstGeom>
        <a:noFill/>
      </xdr:spPr>
    </xdr:sp>
    <xdr:clientData/>
  </xdr:oneCellAnchor>
  <xdr:oneCellAnchor>
    <xdr:from>
      <xdr:col>4</xdr:col>
      <xdr:colOff>1657350</xdr:colOff>
      <xdr:row>258</xdr:row>
      <xdr:rowOff>0</xdr:rowOff>
    </xdr:from>
    <xdr:ext cx="190500" cy="266700"/>
    <xdr:sp macro="" textlink="">
      <xdr:nvSpPr>
        <xdr:cNvPr id="2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CC2A63-CA2B-45A8-AFAF-A99E5F458BE9}"/>
            </a:ext>
            <a:ext uri="{147F2762-F138-4A5C-976F-8EAC2B608ADB}">
              <a16:predDERef xmlns:a16="http://schemas.microsoft.com/office/drawing/2014/main" pred="{B513BE4D-84EB-4374-8820-60999802FFBC}"/>
            </a:ext>
          </a:extLst>
        </xdr:cNvPr>
        <xdr:cNvSpPr>
          <a:spLocks noChangeAspect="1" noChangeArrowheads="1"/>
        </xdr:cNvSpPr>
      </xdr:nvSpPr>
      <xdr:spPr bwMode="auto">
        <a:xfrm>
          <a:off x="7531100" y="50590450"/>
          <a:ext cx="190500" cy="266700"/>
        </a:xfrm>
        <a:prstGeom prst="rect">
          <a:avLst/>
        </a:prstGeom>
        <a:noFill/>
      </xdr:spPr>
    </xdr:sp>
    <xdr:clientData/>
  </xdr:oneCellAnchor>
  <xdr:oneCellAnchor>
    <xdr:from>
      <xdr:col>4</xdr:col>
      <xdr:colOff>1657350</xdr:colOff>
      <xdr:row>258</xdr:row>
      <xdr:rowOff>0</xdr:rowOff>
    </xdr:from>
    <xdr:ext cx="190500" cy="266700"/>
    <xdr:sp macro="" textlink="">
      <xdr:nvSpPr>
        <xdr:cNvPr id="2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04AAFA7-9B97-4E5E-A87C-410524FE2473}"/>
            </a:ext>
            <a:ext uri="{147F2762-F138-4A5C-976F-8EAC2B608ADB}">
              <a16:predDERef xmlns:a16="http://schemas.microsoft.com/office/drawing/2014/main" pred="{907E4B80-9AAE-401C-B4AA-31D5025923F6}"/>
            </a:ext>
          </a:extLst>
        </xdr:cNvPr>
        <xdr:cNvSpPr>
          <a:spLocks noChangeAspect="1" noChangeArrowheads="1"/>
        </xdr:cNvSpPr>
      </xdr:nvSpPr>
      <xdr:spPr bwMode="auto">
        <a:xfrm>
          <a:off x="7531100" y="50590450"/>
          <a:ext cx="190500" cy="266700"/>
        </a:xfrm>
        <a:prstGeom prst="rect">
          <a:avLst/>
        </a:prstGeom>
        <a:noFill/>
      </xdr:spPr>
    </xdr:sp>
    <xdr:clientData/>
  </xdr:oneCellAnchor>
  <xdr:oneCellAnchor>
    <xdr:from>
      <xdr:col>4</xdr:col>
      <xdr:colOff>1657350</xdr:colOff>
      <xdr:row>260</xdr:row>
      <xdr:rowOff>0</xdr:rowOff>
    </xdr:from>
    <xdr:ext cx="190500" cy="266700"/>
    <xdr:sp macro="" textlink="">
      <xdr:nvSpPr>
        <xdr:cNvPr id="2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B6F253-12C8-4229-9C55-C266CEEE0859}"/>
            </a:ext>
            <a:ext uri="{147F2762-F138-4A5C-976F-8EAC2B608ADB}">
              <a16:predDERef xmlns:a16="http://schemas.microsoft.com/office/drawing/2014/main" pred="{C7B68440-ECF9-45E9-9D1A-BDB650263124}"/>
            </a:ext>
          </a:extLst>
        </xdr:cNvPr>
        <xdr:cNvSpPr>
          <a:spLocks noChangeAspect="1" noChangeArrowheads="1"/>
        </xdr:cNvSpPr>
      </xdr:nvSpPr>
      <xdr:spPr bwMode="auto">
        <a:xfrm>
          <a:off x="7531100" y="50958750"/>
          <a:ext cx="190500" cy="266700"/>
        </a:xfrm>
        <a:prstGeom prst="rect">
          <a:avLst/>
        </a:prstGeom>
        <a:noFill/>
      </xdr:spPr>
    </xdr:sp>
    <xdr:clientData/>
  </xdr:oneCellAnchor>
  <xdr:oneCellAnchor>
    <xdr:from>
      <xdr:col>4</xdr:col>
      <xdr:colOff>1657350</xdr:colOff>
      <xdr:row>260</xdr:row>
      <xdr:rowOff>0</xdr:rowOff>
    </xdr:from>
    <xdr:ext cx="190500" cy="266700"/>
    <xdr:sp macro="" textlink="">
      <xdr:nvSpPr>
        <xdr:cNvPr id="2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A40767C-370A-47CF-9D6C-1AE34111F70C}"/>
            </a:ext>
            <a:ext uri="{147F2762-F138-4A5C-976F-8EAC2B608ADB}">
              <a16:predDERef xmlns:a16="http://schemas.microsoft.com/office/drawing/2014/main" pred="{E7AE9F71-D5A7-425C-A7EC-9E9C72C4E9C3}"/>
            </a:ext>
          </a:extLst>
        </xdr:cNvPr>
        <xdr:cNvSpPr>
          <a:spLocks noChangeAspect="1" noChangeArrowheads="1"/>
        </xdr:cNvSpPr>
      </xdr:nvSpPr>
      <xdr:spPr bwMode="auto">
        <a:xfrm>
          <a:off x="7531100" y="50958750"/>
          <a:ext cx="190500" cy="266700"/>
        </a:xfrm>
        <a:prstGeom prst="rect">
          <a:avLst/>
        </a:prstGeom>
        <a:noFill/>
      </xdr:spPr>
    </xdr:sp>
    <xdr:clientData/>
  </xdr:oneCellAnchor>
  <xdr:oneCellAnchor>
    <xdr:from>
      <xdr:col>4</xdr:col>
      <xdr:colOff>1657350</xdr:colOff>
      <xdr:row>262</xdr:row>
      <xdr:rowOff>0</xdr:rowOff>
    </xdr:from>
    <xdr:ext cx="190500" cy="266700"/>
    <xdr:sp macro="" textlink="">
      <xdr:nvSpPr>
        <xdr:cNvPr id="2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1880C40-4971-4D7E-8A5B-A25994C84100}"/>
            </a:ext>
            <a:ext uri="{147F2762-F138-4A5C-976F-8EAC2B608ADB}">
              <a16:predDERef xmlns:a16="http://schemas.microsoft.com/office/drawing/2014/main" pred="{5EDB8A2C-FFF5-4744-A12F-B769E59E1DA7}"/>
            </a:ext>
          </a:extLst>
        </xdr:cNvPr>
        <xdr:cNvSpPr>
          <a:spLocks noChangeAspect="1" noChangeArrowheads="1"/>
        </xdr:cNvSpPr>
      </xdr:nvSpPr>
      <xdr:spPr bwMode="auto">
        <a:xfrm>
          <a:off x="7531100" y="51327050"/>
          <a:ext cx="190500" cy="266700"/>
        </a:xfrm>
        <a:prstGeom prst="rect">
          <a:avLst/>
        </a:prstGeom>
        <a:noFill/>
      </xdr:spPr>
    </xdr:sp>
    <xdr:clientData/>
  </xdr:oneCellAnchor>
  <xdr:oneCellAnchor>
    <xdr:from>
      <xdr:col>4</xdr:col>
      <xdr:colOff>1657350</xdr:colOff>
      <xdr:row>262</xdr:row>
      <xdr:rowOff>0</xdr:rowOff>
    </xdr:from>
    <xdr:ext cx="190500" cy="266700"/>
    <xdr:sp macro="" textlink="">
      <xdr:nvSpPr>
        <xdr:cNvPr id="2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4037658-680E-4021-A25E-F590D5283A4F}"/>
            </a:ext>
            <a:ext uri="{147F2762-F138-4A5C-976F-8EAC2B608ADB}">
              <a16:predDERef xmlns:a16="http://schemas.microsoft.com/office/drawing/2014/main" pred="{CD74D4DB-CA22-4D76-B3F4-1EF91C117446}"/>
            </a:ext>
          </a:extLst>
        </xdr:cNvPr>
        <xdr:cNvSpPr>
          <a:spLocks noChangeAspect="1" noChangeArrowheads="1"/>
        </xdr:cNvSpPr>
      </xdr:nvSpPr>
      <xdr:spPr bwMode="auto">
        <a:xfrm>
          <a:off x="7531100" y="51327050"/>
          <a:ext cx="190500" cy="266700"/>
        </a:xfrm>
        <a:prstGeom prst="rect">
          <a:avLst/>
        </a:prstGeom>
        <a:noFill/>
      </xdr:spPr>
    </xdr:sp>
    <xdr:clientData/>
  </xdr:oneCellAnchor>
  <xdr:oneCellAnchor>
    <xdr:from>
      <xdr:col>4</xdr:col>
      <xdr:colOff>1657350</xdr:colOff>
      <xdr:row>264</xdr:row>
      <xdr:rowOff>0</xdr:rowOff>
    </xdr:from>
    <xdr:ext cx="190500" cy="266700"/>
    <xdr:sp macro="" textlink="">
      <xdr:nvSpPr>
        <xdr:cNvPr id="2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A7F6640-3475-4243-B69A-B6C0E486ABA3}"/>
            </a:ext>
            <a:ext uri="{147F2762-F138-4A5C-976F-8EAC2B608ADB}">
              <a16:predDERef xmlns:a16="http://schemas.microsoft.com/office/drawing/2014/main" pred="{B7FBC1C1-FD08-4678-8B4E-ADDB3533916B}"/>
            </a:ext>
          </a:extLst>
        </xdr:cNvPr>
        <xdr:cNvSpPr>
          <a:spLocks noChangeAspect="1" noChangeArrowheads="1"/>
        </xdr:cNvSpPr>
      </xdr:nvSpPr>
      <xdr:spPr bwMode="auto">
        <a:xfrm>
          <a:off x="7531100" y="51841400"/>
          <a:ext cx="190500" cy="266700"/>
        </a:xfrm>
        <a:prstGeom prst="rect">
          <a:avLst/>
        </a:prstGeom>
        <a:noFill/>
      </xdr:spPr>
    </xdr:sp>
    <xdr:clientData/>
  </xdr:oneCellAnchor>
  <xdr:oneCellAnchor>
    <xdr:from>
      <xdr:col>4</xdr:col>
      <xdr:colOff>1657350</xdr:colOff>
      <xdr:row>264</xdr:row>
      <xdr:rowOff>0</xdr:rowOff>
    </xdr:from>
    <xdr:ext cx="190500" cy="266700"/>
    <xdr:sp macro="" textlink="">
      <xdr:nvSpPr>
        <xdr:cNvPr id="2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AB25B77-4290-4C18-BA83-2843FBE24030}"/>
            </a:ext>
            <a:ext uri="{147F2762-F138-4A5C-976F-8EAC2B608ADB}">
              <a16:predDERef xmlns:a16="http://schemas.microsoft.com/office/drawing/2014/main" pred="{A19FD3F8-2D00-4163-BBEF-C17FFF098FC8}"/>
            </a:ext>
          </a:extLst>
        </xdr:cNvPr>
        <xdr:cNvSpPr>
          <a:spLocks noChangeAspect="1" noChangeArrowheads="1"/>
        </xdr:cNvSpPr>
      </xdr:nvSpPr>
      <xdr:spPr bwMode="auto">
        <a:xfrm>
          <a:off x="7531100" y="51841400"/>
          <a:ext cx="190500" cy="266700"/>
        </a:xfrm>
        <a:prstGeom prst="rect">
          <a:avLst/>
        </a:prstGeom>
        <a:noFill/>
      </xdr:spPr>
    </xdr:sp>
    <xdr:clientData/>
  </xdr:oneCellAnchor>
  <xdr:oneCellAnchor>
    <xdr:from>
      <xdr:col>4</xdr:col>
      <xdr:colOff>1657350</xdr:colOff>
      <xdr:row>266</xdr:row>
      <xdr:rowOff>0</xdr:rowOff>
    </xdr:from>
    <xdr:ext cx="190500" cy="266700"/>
    <xdr:sp macro="" textlink="">
      <xdr:nvSpPr>
        <xdr:cNvPr id="2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B343153-007C-49ED-B72B-2620CFD38239}"/>
            </a:ext>
            <a:ext uri="{147F2762-F138-4A5C-976F-8EAC2B608ADB}">
              <a16:predDERef xmlns:a16="http://schemas.microsoft.com/office/drawing/2014/main" pred="{CB97FC17-DB13-419D-A11F-573BAB8BA566}"/>
            </a:ext>
          </a:extLst>
        </xdr:cNvPr>
        <xdr:cNvSpPr>
          <a:spLocks noChangeAspect="1" noChangeArrowheads="1"/>
        </xdr:cNvSpPr>
      </xdr:nvSpPr>
      <xdr:spPr bwMode="auto">
        <a:xfrm>
          <a:off x="7531100" y="52209700"/>
          <a:ext cx="190500" cy="266700"/>
        </a:xfrm>
        <a:prstGeom prst="rect">
          <a:avLst/>
        </a:prstGeom>
        <a:noFill/>
      </xdr:spPr>
    </xdr:sp>
    <xdr:clientData/>
  </xdr:oneCellAnchor>
  <xdr:oneCellAnchor>
    <xdr:from>
      <xdr:col>4</xdr:col>
      <xdr:colOff>1657350</xdr:colOff>
      <xdr:row>266</xdr:row>
      <xdr:rowOff>0</xdr:rowOff>
    </xdr:from>
    <xdr:ext cx="190500" cy="266700"/>
    <xdr:sp macro="" textlink="">
      <xdr:nvSpPr>
        <xdr:cNvPr id="2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2493458-2C49-4853-B891-9C5292552DDB}"/>
            </a:ext>
            <a:ext uri="{147F2762-F138-4A5C-976F-8EAC2B608ADB}">
              <a16:predDERef xmlns:a16="http://schemas.microsoft.com/office/drawing/2014/main" pred="{7B93FE08-D9FC-41B4-9084-6BA4E5199F32}"/>
            </a:ext>
          </a:extLst>
        </xdr:cNvPr>
        <xdr:cNvSpPr>
          <a:spLocks noChangeAspect="1" noChangeArrowheads="1"/>
        </xdr:cNvSpPr>
      </xdr:nvSpPr>
      <xdr:spPr bwMode="auto">
        <a:xfrm>
          <a:off x="7531100" y="52209700"/>
          <a:ext cx="190500" cy="266700"/>
        </a:xfrm>
        <a:prstGeom prst="rect">
          <a:avLst/>
        </a:prstGeom>
        <a:noFill/>
      </xdr:spPr>
    </xdr:sp>
    <xdr:clientData/>
  </xdr:oneCellAnchor>
  <xdr:oneCellAnchor>
    <xdr:from>
      <xdr:col>4</xdr:col>
      <xdr:colOff>1657350</xdr:colOff>
      <xdr:row>268</xdr:row>
      <xdr:rowOff>0</xdr:rowOff>
    </xdr:from>
    <xdr:ext cx="190500" cy="266700"/>
    <xdr:sp macro="" textlink="">
      <xdr:nvSpPr>
        <xdr:cNvPr id="2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B98EDC5-E7AD-48C7-8D38-335DA07F9C80}"/>
            </a:ext>
            <a:ext uri="{147F2762-F138-4A5C-976F-8EAC2B608ADB}">
              <a16:predDERef xmlns:a16="http://schemas.microsoft.com/office/drawing/2014/main" pred="{6AAD86C2-6484-4515-B78C-25EB4647FBC2}"/>
            </a:ext>
          </a:extLst>
        </xdr:cNvPr>
        <xdr:cNvSpPr>
          <a:spLocks noChangeAspect="1" noChangeArrowheads="1"/>
        </xdr:cNvSpPr>
      </xdr:nvSpPr>
      <xdr:spPr bwMode="auto">
        <a:xfrm>
          <a:off x="7531100" y="52578000"/>
          <a:ext cx="190500" cy="266700"/>
        </a:xfrm>
        <a:prstGeom prst="rect">
          <a:avLst/>
        </a:prstGeom>
        <a:noFill/>
      </xdr:spPr>
    </xdr:sp>
    <xdr:clientData/>
  </xdr:oneCellAnchor>
  <xdr:oneCellAnchor>
    <xdr:from>
      <xdr:col>4</xdr:col>
      <xdr:colOff>1657350</xdr:colOff>
      <xdr:row>268</xdr:row>
      <xdr:rowOff>0</xdr:rowOff>
    </xdr:from>
    <xdr:ext cx="190500" cy="266700"/>
    <xdr:sp macro="" textlink="">
      <xdr:nvSpPr>
        <xdr:cNvPr id="2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FAACE7B-AD0F-40B3-9590-4CE0B7CB2790}"/>
            </a:ext>
            <a:ext uri="{147F2762-F138-4A5C-976F-8EAC2B608ADB}">
              <a16:predDERef xmlns:a16="http://schemas.microsoft.com/office/drawing/2014/main" pred="{92A36038-82E0-4AB8-8295-AB1412B191DA}"/>
            </a:ext>
          </a:extLst>
        </xdr:cNvPr>
        <xdr:cNvSpPr>
          <a:spLocks noChangeAspect="1" noChangeArrowheads="1"/>
        </xdr:cNvSpPr>
      </xdr:nvSpPr>
      <xdr:spPr bwMode="auto">
        <a:xfrm>
          <a:off x="7531100" y="52578000"/>
          <a:ext cx="190500" cy="266700"/>
        </a:xfrm>
        <a:prstGeom prst="rect">
          <a:avLst/>
        </a:prstGeom>
        <a:noFill/>
      </xdr:spPr>
    </xdr:sp>
    <xdr:clientData/>
  </xdr:oneCellAnchor>
  <xdr:oneCellAnchor>
    <xdr:from>
      <xdr:col>4</xdr:col>
      <xdr:colOff>1657350</xdr:colOff>
      <xdr:row>270</xdr:row>
      <xdr:rowOff>0</xdr:rowOff>
    </xdr:from>
    <xdr:ext cx="190500" cy="266700"/>
    <xdr:sp macro="" textlink="">
      <xdr:nvSpPr>
        <xdr:cNvPr id="2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C13E044-70B3-4E5C-8273-0E0AB983FF03}"/>
            </a:ext>
            <a:ext uri="{147F2762-F138-4A5C-976F-8EAC2B608ADB}">
              <a16:predDERef xmlns:a16="http://schemas.microsoft.com/office/drawing/2014/main" pred="{488D55F7-C882-424F-88E4-79AC9976F4E1}"/>
            </a:ext>
          </a:extLst>
        </xdr:cNvPr>
        <xdr:cNvSpPr>
          <a:spLocks noChangeAspect="1" noChangeArrowheads="1"/>
        </xdr:cNvSpPr>
      </xdr:nvSpPr>
      <xdr:spPr bwMode="auto">
        <a:xfrm>
          <a:off x="7531100" y="52946300"/>
          <a:ext cx="190500" cy="266700"/>
        </a:xfrm>
        <a:prstGeom prst="rect">
          <a:avLst/>
        </a:prstGeom>
        <a:noFill/>
      </xdr:spPr>
    </xdr:sp>
    <xdr:clientData/>
  </xdr:oneCellAnchor>
  <xdr:oneCellAnchor>
    <xdr:from>
      <xdr:col>4</xdr:col>
      <xdr:colOff>1657350</xdr:colOff>
      <xdr:row>270</xdr:row>
      <xdr:rowOff>0</xdr:rowOff>
    </xdr:from>
    <xdr:ext cx="190500" cy="266700"/>
    <xdr:sp macro="" textlink="">
      <xdr:nvSpPr>
        <xdr:cNvPr id="2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449F45-5E48-4149-86D5-B15E975729F4}"/>
            </a:ext>
            <a:ext uri="{147F2762-F138-4A5C-976F-8EAC2B608ADB}">
              <a16:predDERef xmlns:a16="http://schemas.microsoft.com/office/drawing/2014/main" pred="{CF91EB8F-414B-4C43-8DA7-5E3417A3D381}"/>
            </a:ext>
          </a:extLst>
        </xdr:cNvPr>
        <xdr:cNvSpPr>
          <a:spLocks noChangeAspect="1" noChangeArrowheads="1"/>
        </xdr:cNvSpPr>
      </xdr:nvSpPr>
      <xdr:spPr bwMode="auto">
        <a:xfrm>
          <a:off x="7531100" y="52946300"/>
          <a:ext cx="190500" cy="266700"/>
        </a:xfrm>
        <a:prstGeom prst="rect">
          <a:avLst/>
        </a:prstGeom>
        <a:noFill/>
      </xdr:spPr>
    </xdr:sp>
    <xdr:clientData/>
  </xdr:oneCellAnchor>
  <xdr:oneCellAnchor>
    <xdr:from>
      <xdr:col>4</xdr:col>
      <xdr:colOff>1657350</xdr:colOff>
      <xdr:row>272</xdr:row>
      <xdr:rowOff>0</xdr:rowOff>
    </xdr:from>
    <xdr:ext cx="190500" cy="266700"/>
    <xdr:sp macro="" textlink="">
      <xdr:nvSpPr>
        <xdr:cNvPr id="2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807BE8C-A017-403B-A5EE-F6DA79BABF4B}"/>
            </a:ext>
            <a:ext uri="{147F2762-F138-4A5C-976F-8EAC2B608ADB}">
              <a16:predDERef xmlns:a16="http://schemas.microsoft.com/office/drawing/2014/main" pred="{3F25B390-4BDC-40A7-AFAB-1B4CD74B6BC0}"/>
            </a:ext>
          </a:extLst>
        </xdr:cNvPr>
        <xdr:cNvSpPr>
          <a:spLocks noChangeAspect="1" noChangeArrowheads="1"/>
        </xdr:cNvSpPr>
      </xdr:nvSpPr>
      <xdr:spPr bwMode="auto">
        <a:xfrm>
          <a:off x="7531100" y="53314600"/>
          <a:ext cx="190500" cy="266700"/>
        </a:xfrm>
        <a:prstGeom prst="rect">
          <a:avLst/>
        </a:prstGeom>
        <a:noFill/>
      </xdr:spPr>
    </xdr:sp>
    <xdr:clientData/>
  </xdr:oneCellAnchor>
  <xdr:oneCellAnchor>
    <xdr:from>
      <xdr:col>4</xdr:col>
      <xdr:colOff>1657350</xdr:colOff>
      <xdr:row>272</xdr:row>
      <xdr:rowOff>0</xdr:rowOff>
    </xdr:from>
    <xdr:ext cx="190500" cy="266700"/>
    <xdr:sp macro="" textlink="">
      <xdr:nvSpPr>
        <xdr:cNvPr id="2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220B684-9E77-4BF3-BC0B-96EB09F389D8}"/>
            </a:ext>
            <a:ext uri="{147F2762-F138-4A5C-976F-8EAC2B608ADB}">
              <a16:predDERef xmlns:a16="http://schemas.microsoft.com/office/drawing/2014/main" pred="{EA58464C-E80D-4D72-BA2E-43BDBFBA6678}"/>
            </a:ext>
          </a:extLst>
        </xdr:cNvPr>
        <xdr:cNvSpPr>
          <a:spLocks noChangeAspect="1" noChangeArrowheads="1"/>
        </xdr:cNvSpPr>
      </xdr:nvSpPr>
      <xdr:spPr bwMode="auto">
        <a:xfrm>
          <a:off x="7531100" y="53314600"/>
          <a:ext cx="190500" cy="266700"/>
        </a:xfrm>
        <a:prstGeom prst="rect">
          <a:avLst/>
        </a:prstGeom>
        <a:noFill/>
      </xdr:spPr>
    </xdr:sp>
    <xdr:clientData/>
  </xdr:oneCellAnchor>
  <xdr:oneCellAnchor>
    <xdr:from>
      <xdr:col>4</xdr:col>
      <xdr:colOff>1657350</xdr:colOff>
      <xdr:row>274</xdr:row>
      <xdr:rowOff>0</xdr:rowOff>
    </xdr:from>
    <xdr:ext cx="190500" cy="266700"/>
    <xdr:sp macro="" textlink="">
      <xdr:nvSpPr>
        <xdr:cNvPr id="2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E95E3AA-B134-4979-8AE1-67AED1849A3F}"/>
            </a:ext>
            <a:ext uri="{147F2762-F138-4A5C-976F-8EAC2B608ADB}">
              <a16:predDERef xmlns:a16="http://schemas.microsoft.com/office/drawing/2014/main" pred="{5C269811-6E97-4606-A766-100251800117}"/>
            </a:ext>
          </a:extLst>
        </xdr:cNvPr>
        <xdr:cNvSpPr>
          <a:spLocks noChangeAspect="1" noChangeArrowheads="1"/>
        </xdr:cNvSpPr>
      </xdr:nvSpPr>
      <xdr:spPr bwMode="auto">
        <a:xfrm>
          <a:off x="7531100" y="53682900"/>
          <a:ext cx="190500" cy="266700"/>
        </a:xfrm>
        <a:prstGeom prst="rect">
          <a:avLst/>
        </a:prstGeom>
        <a:noFill/>
      </xdr:spPr>
    </xdr:sp>
    <xdr:clientData/>
  </xdr:oneCellAnchor>
  <xdr:oneCellAnchor>
    <xdr:from>
      <xdr:col>4</xdr:col>
      <xdr:colOff>1657350</xdr:colOff>
      <xdr:row>274</xdr:row>
      <xdr:rowOff>0</xdr:rowOff>
    </xdr:from>
    <xdr:ext cx="190500" cy="266700"/>
    <xdr:sp macro="" textlink="">
      <xdr:nvSpPr>
        <xdr:cNvPr id="2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2434528-7979-4EC4-B4AC-39CD0F3B62BD}"/>
            </a:ext>
            <a:ext uri="{147F2762-F138-4A5C-976F-8EAC2B608ADB}">
              <a16:predDERef xmlns:a16="http://schemas.microsoft.com/office/drawing/2014/main" pred="{572BC477-D177-466F-9C3F-BDB8D124B2B1}"/>
            </a:ext>
          </a:extLst>
        </xdr:cNvPr>
        <xdr:cNvSpPr>
          <a:spLocks noChangeAspect="1" noChangeArrowheads="1"/>
        </xdr:cNvSpPr>
      </xdr:nvSpPr>
      <xdr:spPr bwMode="auto">
        <a:xfrm>
          <a:off x="7531100" y="53682900"/>
          <a:ext cx="190500" cy="266700"/>
        </a:xfrm>
        <a:prstGeom prst="rect">
          <a:avLst/>
        </a:prstGeom>
        <a:noFill/>
      </xdr:spPr>
    </xdr:sp>
    <xdr:clientData/>
  </xdr:oneCellAnchor>
  <xdr:oneCellAnchor>
    <xdr:from>
      <xdr:col>4</xdr:col>
      <xdr:colOff>1657350</xdr:colOff>
      <xdr:row>276</xdr:row>
      <xdr:rowOff>0</xdr:rowOff>
    </xdr:from>
    <xdr:ext cx="190500" cy="266700"/>
    <xdr:sp macro="" textlink="">
      <xdr:nvSpPr>
        <xdr:cNvPr id="2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7FE1FC8-0FAB-4D13-8E08-7697CDA4E74F}"/>
            </a:ext>
            <a:ext uri="{147F2762-F138-4A5C-976F-8EAC2B608ADB}">
              <a16:predDERef xmlns:a16="http://schemas.microsoft.com/office/drawing/2014/main" pred="{D7753C8C-DD35-4390-B58B-7B9A3049F645}"/>
            </a:ext>
          </a:extLst>
        </xdr:cNvPr>
        <xdr:cNvSpPr>
          <a:spLocks noChangeAspect="1" noChangeArrowheads="1"/>
        </xdr:cNvSpPr>
      </xdr:nvSpPr>
      <xdr:spPr bwMode="auto">
        <a:xfrm>
          <a:off x="7531100" y="54051200"/>
          <a:ext cx="190500" cy="266700"/>
        </a:xfrm>
        <a:prstGeom prst="rect">
          <a:avLst/>
        </a:prstGeom>
        <a:noFill/>
      </xdr:spPr>
    </xdr:sp>
    <xdr:clientData/>
  </xdr:oneCellAnchor>
  <xdr:oneCellAnchor>
    <xdr:from>
      <xdr:col>4</xdr:col>
      <xdr:colOff>1657350</xdr:colOff>
      <xdr:row>276</xdr:row>
      <xdr:rowOff>0</xdr:rowOff>
    </xdr:from>
    <xdr:ext cx="190500" cy="266700"/>
    <xdr:sp macro="" textlink="">
      <xdr:nvSpPr>
        <xdr:cNvPr id="2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6377F7-D596-4233-9035-E7329063E04D}"/>
            </a:ext>
            <a:ext uri="{147F2762-F138-4A5C-976F-8EAC2B608ADB}">
              <a16:predDERef xmlns:a16="http://schemas.microsoft.com/office/drawing/2014/main" pred="{BDBE4D4A-D829-4CFA-B8AC-49FA503044A6}"/>
            </a:ext>
          </a:extLst>
        </xdr:cNvPr>
        <xdr:cNvSpPr>
          <a:spLocks noChangeAspect="1" noChangeArrowheads="1"/>
        </xdr:cNvSpPr>
      </xdr:nvSpPr>
      <xdr:spPr bwMode="auto">
        <a:xfrm>
          <a:off x="7531100" y="54051200"/>
          <a:ext cx="190500" cy="266700"/>
        </a:xfrm>
        <a:prstGeom prst="rect">
          <a:avLst/>
        </a:prstGeom>
        <a:noFill/>
      </xdr:spPr>
    </xdr:sp>
    <xdr:clientData/>
  </xdr:oneCellAnchor>
  <xdr:oneCellAnchor>
    <xdr:from>
      <xdr:col>4</xdr:col>
      <xdr:colOff>1657350</xdr:colOff>
      <xdr:row>278</xdr:row>
      <xdr:rowOff>0</xdr:rowOff>
    </xdr:from>
    <xdr:ext cx="190500" cy="266700"/>
    <xdr:sp macro="" textlink="">
      <xdr:nvSpPr>
        <xdr:cNvPr id="2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544F761-E630-41EE-8D9B-A94345F00556}"/>
            </a:ext>
            <a:ext uri="{147F2762-F138-4A5C-976F-8EAC2B608ADB}">
              <a16:predDERef xmlns:a16="http://schemas.microsoft.com/office/drawing/2014/main" pred="{8B38383E-E32E-4A32-AC14-CB5A094BC990}"/>
            </a:ext>
          </a:extLst>
        </xdr:cNvPr>
        <xdr:cNvSpPr>
          <a:spLocks noChangeAspect="1" noChangeArrowheads="1"/>
        </xdr:cNvSpPr>
      </xdr:nvSpPr>
      <xdr:spPr bwMode="auto">
        <a:xfrm>
          <a:off x="7531100" y="54419500"/>
          <a:ext cx="190500" cy="266700"/>
        </a:xfrm>
        <a:prstGeom prst="rect">
          <a:avLst/>
        </a:prstGeom>
        <a:noFill/>
      </xdr:spPr>
    </xdr:sp>
    <xdr:clientData/>
  </xdr:oneCellAnchor>
  <xdr:oneCellAnchor>
    <xdr:from>
      <xdr:col>4</xdr:col>
      <xdr:colOff>1657350</xdr:colOff>
      <xdr:row>278</xdr:row>
      <xdr:rowOff>0</xdr:rowOff>
    </xdr:from>
    <xdr:ext cx="190500" cy="266700"/>
    <xdr:sp macro="" textlink="">
      <xdr:nvSpPr>
        <xdr:cNvPr id="2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01148A7-B7C2-4EFE-97A0-55137E3B5424}"/>
            </a:ext>
            <a:ext uri="{147F2762-F138-4A5C-976F-8EAC2B608ADB}">
              <a16:predDERef xmlns:a16="http://schemas.microsoft.com/office/drawing/2014/main" pred="{A9E507C7-298F-4DFC-94DA-69A3DFB1332A}"/>
            </a:ext>
          </a:extLst>
        </xdr:cNvPr>
        <xdr:cNvSpPr>
          <a:spLocks noChangeAspect="1" noChangeArrowheads="1"/>
        </xdr:cNvSpPr>
      </xdr:nvSpPr>
      <xdr:spPr bwMode="auto">
        <a:xfrm>
          <a:off x="7531100" y="54419500"/>
          <a:ext cx="190500" cy="266700"/>
        </a:xfrm>
        <a:prstGeom prst="rect">
          <a:avLst/>
        </a:prstGeom>
        <a:noFill/>
      </xdr:spPr>
    </xdr:sp>
    <xdr:clientData/>
  </xdr:oneCellAnchor>
  <xdr:oneCellAnchor>
    <xdr:from>
      <xdr:col>4</xdr:col>
      <xdr:colOff>1657350</xdr:colOff>
      <xdr:row>280</xdr:row>
      <xdr:rowOff>0</xdr:rowOff>
    </xdr:from>
    <xdr:ext cx="190500" cy="266700"/>
    <xdr:sp macro="" textlink="">
      <xdr:nvSpPr>
        <xdr:cNvPr id="2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5D0697-F8CA-4977-B868-D066272E22D5}"/>
            </a:ext>
            <a:ext uri="{147F2762-F138-4A5C-976F-8EAC2B608ADB}">
              <a16:predDERef xmlns:a16="http://schemas.microsoft.com/office/drawing/2014/main" pred="{A9DEA69A-C5A9-474B-BE36-1B56F4D5D9EC}"/>
            </a:ext>
          </a:extLst>
        </xdr:cNvPr>
        <xdr:cNvSpPr>
          <a:spLocks noChangeAspect="1" noChangeArrowheads="1"/>
        </xdr:cNvSpPr>
      </xdr:nvSpPr>
      <xdr:spPr bwMode="auto">
        <a:xfrm>
          <a:off x="7531100" y="54787800"/>
          <a:ext cx="190500" cy="266700"/>
        </a:xfrm>
        <a:prstGeom prst="rect">
          <a:avLst/>
        </a:prstGeom>
        <a:noFill/>
      </xdr:spPr>
    </xdr:sp>
    <xdr:clientData/>
  </xdr:oneCellAnchor>
  <xdr:oneCellAnchor>
    <xdr:from>
      <xdr:col>4</xdr:col>
      <xdr:colOff>1657350</xdr:colOff>
      <xdr:row>280</xdr:row>
      <xdr:rowOff>0</xdr:rowOff>
    </xdr:from>
    <xdr:ext cx="190500" cy="266700"/>
    <xdr:sp macro="" textlink="">
      <xdr:nvSpPr>
        <xdr:cNvPr id="2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A05BA44-8E6E-44A1-8584-F201F3B8300D}"/>
            </a:ext>
            <a:ext uri="{147F2762-F138-4A5C-976F-8EAC2B608ADB}">
              <a16:predDERef xmlns:a16="http://schemas.microsoft.com/office/drawing/2014/main" pred="{9F5C9946-7153-4755-8A50-BF1DC41C8AC1}"/>
            </a:ext>
          </a:extLst>
        </xdr:cNvPr>
        <xdr:cNvSpPr>
          <a:spLocks noChangeAspect="1" noChangeArrowheads="1"/>
        </xdr:cNvSpPr>
      </xdr:nvSpPr>
      <xdr:spPr bwMode="auto">
        <a:xfrm>
          <a:off x="7531100" y="54787800"/>
          <a:ext cx="190500" cy="266700"/>
        </a:xfrm>
        <a:prstGeom prst="rect">
          <a:avLst/>
        </a:prstGeom>
        <a:noFill/>
      </xdr:spPr>
    </xdr:sp>
    <xdr:clientData/>
  </xdr:oneCellAnchor>
  <xdr:oneCellAnchor>
    <xdr:from>
      <xdr:col>4</xdr:col>
      <xdr:colOff>1657350</xdr:colOff>
      <xdr:row>282</xdr:row>
      <xdr:rowOff>0</xdr:rowOff>
    </xdr:from>
    <xdr:ext cx="190500" cy="266700"/>
    <xdr:sp macro="" textlink="">
      <xdr:nvSpPr>
        <xdr:cNvPr id="2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9C3CD46-FA38-46D4-8C66-374B6C2DEE3D}"/>
            </a:ext>
            <a:ext uri="{147F2762-F138-4A5C-976F-8EAC2B608ADB}">
              <a16:predDERef xmlns:a16="http://schemas.microsoft.com/office/drawing/2014/main" pred="{BCCF256D-0EDB-4173-AB47-F78BEECF37D5}"/>
            </a:ext>
          </a:extLst>
        </xdr:cNvPr>
        <xdr:cNvSpPr>
          <a:spLocks noChangeAspect="1" noChangeArrowheads="1"/>
        </xdr:cNvSpPr>
      </xdr:nvSpPr>
      <xdr:spPr bwMode="auto">
        <a:xfrm>
          <a:off x="7531100" y="55156100"/>
          <a:ext cx="190500" cy="266700"/>
        </a:xfrm>
        <a:prstGeom prst="rect">
          <a:avLst/>
        </a:prstGeom>
        <a:noFill/>
      </xdr:spPr>
    </xdr:sp>
    <xdr:clientData/>
  </xdr:oneCellAnchor>
  <xdr:oneCellAnchor>
    <xdr:from>
      <xdr:col>4</xdr:col>
      <xdr:colOff>1657350</xdr:colOff>
      <xdr:row>282</xdr:row>
      <xdr:rowOff>0</xdr:rowOff>
    </xdr:from>
    <xdr:ext cx="190500" cy="266700"/>
    <xdr:sp macro="" textlink="">
      <xdr:nvSpPr>
        <xdr:cNvPr id="2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9EFB644-AA74-4C49-9ECD-9D180E3EF1BA}"/>
            </a:ext>
            <a:ext uri="{147F2762-F138-4A5C-976F-8EAC2B608ADB}">
              <a16:predDERef xmlns:a16="http://schemas.microsoft.com/office/drawing/2014/main" pred="{0B2CA30A-AA39-45F6-937F-77DCFDF98B3A}"/>
            </a:ext>
          </a:extLst>
        </xdr:cNvPr>
        <xdr:cNvSpPr>
          <a:spLocks noChangeAspect="1" noChangeArrowheads="1"/>
        </xdr:cNvSpPr>
      </xdr:nvSpPr>
      <xdr:spPr bwMode="auto">
        <a:xfrm>
          <a:off x="7531100" y="55156100"/>
          <a:ext cx="190500" cy="266700"/>
        </a:xfrm>
        <a:prstGeom prst="rect">
          <a:avLst/>
        </a:prstGeom>
        <a:noFill/>
      </xdr:spPr>
    </xdr:sp>
    <xdr:clientData/>
  </xdr:oneCellAnchor>
  <xdr:oneCellAnchor>
    <xdr:from>
      <xdr:col>4</xdr:col>
      <xdr:colOff>1657350</xdr:colOff>
      <xdr:row>284</xdr:row>
      <xdr:rowOff>0</xdr:rowOff>
    </xdr:from>
    <xdr:ext cx="190500" cy="266700"/>
    <xdr:sp macro="" textlink="">
      <xdr:nvSpPr>
        <xdr:cNvPr id="2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E92F326-271F-4EE2-BD52-844737AD6F6A}"/>
            </a:ext>
            <a:ext uri="{147F2762-F138-4A5C-976F-8EAC2B608ADB}">
              <a16:predDERef xmlns:a16="http://schemas.microsoft.com/office/drawing/2014/main" pred="{C01CDBAB-C7C8-4FE0-83F6-836B7C929DC1}"/>
            </a:ext>
          </a:extLst>
        </xdr:cNvPr>
        <xdr:cNvSpPr>
          <a:spLocks noChangeAspect="1" noChangeArrowheads="1"/>
        </xdr:cNvSpPr>
      </xdr:nvSpPr>
      <xdr:spPr bwMode="auto">
        <a:xfrm>
          <a:off x="7531100" y="55524400"/>
          <a:ext cx="190500" cy="266700"/>
        </a:xfrm>
        <a:prstGeom prst="rect">
          <a:avLst/>
        </a:prstGeom>
        <a:noFill/>
      </xdr:spPr>
    </xdr:sp>
    <xdr:clientData/>
  </xdr:oneCellAnchor>
  <xdr:oneCellAnchor>
    <xdr:from>
      <xdr:col>4</xdr:col>
      <xdr:colOff>1657350</xdr:colOff>
      <xdr:row>284</xdr:row>
      <xdr:rowOff>0</xdr:rowOff>
    </xdr:from>
    <xdr:ext cx="190500" cy="266700"/>
    <xdr:sp macro="" textlink="">
      <xdr:nvSpPr>
        <xdr:cNvPr id="2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24E2B28-869F-442A-AE41-27602579D9A2}"/>
            </a:ext>
            <a:ext uri="{147F2762-F138-4A5C-976F-8EAC2B608ADB}">
              <a16:predDERef xmlns:a16="http://schemas.microsoft.com/office/drawing/2014/main" pred="{CC444DC1-5A31-403E-8BE9-5567CFAE70C9}"/>
            </a:ext>
          </a:extLst>
        </xdr:cNvPr>
        <xdr:cNvSpPr>
          <a:spLocks noChangeAspect="1" noChangeArrowheads="1"/>
        </xdr:cNvSpPr>
      </xdr:nvSpPr>
      <xdr:spPr bwMode="auto">
        <a:xfrm>
          <a:off x="7531100" y="55524400"/>
          <a:ext cx="190500" cy="266700"/>
        </a:xfrm>
        <a:prstGeom prst="rect">
          <a:avLst/>
        </a:prstGeom>
        <a:noFill/>
      </xdr:spPr>
    </xdr:sp>
    <xdr:clientData/>
  </xdr:oneCellAnchor>
  <xdr:oneCellAnchor>
    <xdr:from>
      <xdr:col>4</xdr:col>
      <xdr:colOff>1657350</xdr:colOff>
      <xdr:row>286</xdr:row>
      <xdr:rowOff>0</xdr:rowOff>
    </xdr:from>
    <xdr:ext cx="190500" cy="266700"/>
    <xdr:sp macro="" textlink="">
      <xdr:nvSpPr>
        <xdr:cNvPr id="2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5B13E4A-1A96-4C81-B348-961E4A717BF3}"/>
            </a:ext>
            <a:ext uri="{147F2762-F138-4A5C-976F-8EAC2B608ADB}">
              <a16:predDERef xmlns:a16="http://schemas.microsoft.com/office/drawing/2014/main" pred="{51977174-D62A-4E2D-BE16-EEFCEAC3E19A}"/>
            </a:ext>
          </a:extLst>
        </xdr:cNvPr>
        <xdr:cNvSpPr>
          <a:spLocks noChangeAspect="1" noChangeArrowheads="1"/>
        </xdr:cNvSpPr>
      </xdr:nvSpPr>
      <xdr:spPr bwMode="auto">
        <a:xfrm>
          <a:off x="7531100" y="55892700"/>
          <a:ext cx="190500" cy="266700"/>
        </a:xfrm>
        <a:prstGeom prst="rect">
          <a:avLst/>
        </a:prstGeom>
        <a:noFill/>
      </xdr:spPr>
    </xdr:sp>
    <xdr:clientData/>
  </xdr:oneCellAnchor>
  <xdr:oneCellAnchor>
    <xdr:from>
      <xdr:col>4</xdr:col>
      <xdr:colOff>1657350</xdr:colOff>
      <xdr:row>286</xdr:row>
      <xdr:rowOff>0</xdr:rowOff>
    </xdr:from>
    <xdr:ext cx="190500" cy="266700"/>
    <xdr:sp macro="" textlink="">
      <xdr:nvSpPr>
        <xdr:cNvPr id="2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0B8B23D-667A-4C74-8A99-BEEA0D96D09C}"/>
            </a:ext>
            <a:ext uri="{147F2762-F138-4A5C-976F-8EAC2B608ADB}">
              <a16:predDERef xmlns:a16="http://schemas.microsoft.com/office/drawing/2014/main" pred="{AC44414A-1EC4-4D2D-9253-7D478AB04074}"/>
            </a:ext>
          </a:extLst>
        </xdr:cNvPr>
        <xdr:cNvSpPr>
          <a:spLocks noChangeAspect="1" noChangeArrowheads="1"/>
        </xdr:cNvSpPr>
      </xdr:nvSpPr>
      <xdr:spPr bwMode="auto">
        <a:xfrm>
          <a:off x="7531100" y="55892700"/>
          <a:ext cx="190500" cy="266700"/>
        </a:xfrm>
        <a:prstGeom prst="rect">
          <a:avLst/>
        </a:prstGeom>
        <a:noFill/>
      </xdr:spPr>
    </xdr:sp>
    <xdr:clientData/>
  </xdr:oneCellAnchor>
  <xdr:oneCellAnchor>
    <xdr:from>
      <xdr:col>4</xdr:col>
      <xdr:colOff>1657350</xdr:colOff>
      <xdr:row>288</xdr:row>
      <xdr:rowOff>0</xdr:rowOff>
    </xdr:from>
    <xdr:ext cx="190500" cy="266700"/>
    <xdr:sp macro="" textlink="">
      <xdr:nvSpPr>
        <xdr:cNvPr id="2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14E2DE-C4D5-4D50-9C56-BFBBEA5508BA}"/>
            </a:ext>
            <a:ext uri="{147F2762-F138-4A5C-976F-8EAC2B608ADB}">
              <a16:predDERef xmlns:a16="http://schemas.microsoft.com/office/drawing/2014/main" pred="{EF9AE4AE-F8F0-450C-B18B-90B2EEFE1A5E}"/>
            </a:ext>
          </a:extLst>
        </xdr:cNvPr>
        <xdr:cNvSpPr>
          <a:spLocks noChangeAspect="1" noChangeArrowheads="1"/>
        </xdr:cNvSpPr>
      </xdr:nvSpPr>
      <xdr:spPr bwMode="auto">
        <a:xfrm>
          <a:off x="7531100" y="56261000"/>
          <a:ext cx="190500" cy="266700"/>
        </a:xfrm>
        <a:prstGeom prst="rect">
          <a:avLst/>
        </a:prstGeom>
        <a:noFill/>
      </xdr:spPr>
    </xdr:sp>
    <xdr:clientData/>
  </xdr:oneCellAnchor>
  <xdr:oneCellAnchor>
    <xdr:from>
      <xdr:col>4</xdr:col>
      <xdr:colOff>1657350</xdr:colOff>
      <xdr:row>288</xdr:row>
      <xdr:rowOff>0</xdr:rowOff>
    </xdr:from>
    <xdr:ext cx="190500" cy="266700"/>
    <xdr:sp macro="" textlink="">
      <xdr:nvSpPr>
        <xdr:cNvPr id="2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8E150B5-676D-49EE-8E44-8245ED3BFD21}"/>
            </a:ext>
            <a:ext uri="{147F2762-F138-4A5C-976F-8EAC2B608ADB}">
              <a16:predDERef xmlns:a16="http://schemas.microsoft.com/office/drawing/2014/main" pred="{4E52ADE0-4F73-44B7-9D42-FA7A926BDAB8}"/>
            </a:ext>
          </a:extLst>
        </xdr:cNvPr>
        <xdr:cNvSpPr>
          <a:spLocks noChangeAspect="1" noChangeArrowheads="1"/>
        </xdr:cNvSpPr>
      </xdr:nvSpPr>
      <xdr:spPr bwMode="auto">
        <a:xfrm>
          <a:off x="7531100" y="56261000"/>
          <a:ext cx="190500" cy="266700"/>
        </a:xfrm>
        <a:prstGeom prst="rect">
          <a:avLst/>
        </a:prstGeom>
        <a:noFill/>
      </xdr:spPr>
    </xdr:sp>
    <xdr:clientData/>
  </xdr:oneCellAnchor>
  <xdr:oneCellAnchor>
    <xdr:from>
      <xdr:col>4</xdr:col>
      <xdr:colOff>1657350</xdr:colOff>
      <xdr:row>290</xdr:row>
      <xdr:rowOff>0</xdr:rowOff>
    </xdr:from>
    <xdr:ext cx="190500" cy="266700"/>
    <xdr:sp macro="" textlink="">
      <xdr:nvSpPr>
        <xdr:cNvPr id="2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E6E38D5-6FD5-4F92-BE2D-A22A4E007329}"/>
            </a:ext>
            <a:ext uri="{147F2762-F138-4A5C-976F-8EAC2B608ADB}">
              <a16:predDERef xmlns:a16="http://schemas.microsoft.com/office/drawing/2014/main" pred="{5FADA57B-710C-49CE-AC4A-B20C7EAB375F}"/>
            </a:ext>
          </a:extLst>
        </xdr:cNvPr>
        <xdr:cNvSpPr>
          <a:spLocks noChangeAspect="1" noChangeArrowheads="1"/>
        </xdr:cNvSpPr>
      </xdr:nvSpPr>
      <xdr:spPr bwMode="auto">
        <a:xfrm>
          <a:off x="7531100" y="56629300"/>
          <a:ext cx="190500" cy="266700"/>
        </a:xfrm>
        <a:prstGeom prst="rect">
          <a:avLst/>
        </a:prstGeom>
        <a:noFill/>
      </xdr:spPr>
    </xdr:sp>
    <xdr:clientData/>
  </xdr:oneCellAnchor>
  <xdr:oneCellAnchor>
    <xdr:from>
      <xdr:col>4</xdr:col>
      <xdr:colOff>1657350</xdr:colOff>
      <xdr:row>290</xdr:row>
      <xdr:rowOff>0</xdr:rowOff>
    </xdr:from>
    <xdr:ext cx="190500" cy="266700"/>
    <xdr:sp macro="" textlink="">
      <xdr:nvSpPr>
        <xdr:cNvPr id="2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D426D28-696E-4DA2-9969-641D0B968D4C}"/>
            </a:ext>
            <a:ext uri="{147F2762-F138-4A5C-976F-8EAC2B608ADB}">
              <a16:predDERef xmlns:a16="http://schemas.microsoft.com/office/drawing/2014/main" pred="{2C6C58E3-8952-415F-A0EB-5E157449238D}"/>
            </a:ext>
          </a:extLst>
        </xdr:cNvPr>
        <xdr:cNvSpPr>
          <a:spLocks noChangeAspect="1" noChangeArrowheads="1"/>
        </xdr:cNvSpPr>
      </xdr:nvSpPr>
      <xdr:spPr bwMode="auto">
        <a:xfrm>
          <a:off x="7531100" y="56629300"/>
          <a:ext cx="190500" cy="266700"/>
        </a:xfrm>
        <a:prstGeom prst="rect">
          <a:avLst/>
        </a:prstGeom>
        <a:noFill/>
      </xdr:spPr>
    </xdr:sp>
    <xdr:clientData/>
  </xdr:oneCellAnchor>
  <xdr:oneCellAnchor>
    <xdr:from>
      <xdr:col>4</xdr:col>
      <xdr:colOff>1657350</xdr:colOff>
      <xdr:row>292</xdr:row>
      <xdr:rowOff>0</xdr:rowOff>
    </xdr:from>
    <xdr:ext cx="190500" cy="266700"/>
    <xdr:sp macro="" textlink="">
      <xdr:nvSpPr>
        <xdr:cNvPr id="2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1D865F0-DD5D-4042-8E94-CC7D0A3EC8F4}"/>
            </a:ext>
            <a:ext uri="{147F2762-F138-4A5C-976F-8EAC2B608ADB}">
              <a16:predDERef xmlns:a16="http://schemas.microsoft.com/office/drawing/2014/main" pred="{2EFE212E-8294-488C-A2BB-B94F7698F049}"/>
            </a:ext>
          </a:extLst>
        </xdr:cNvPr>
        <xdr:cNvSpPr>
          <a:spLocks noChangeAspect="1" noChangeArrowheads="1"/>
        </xdr:cNvSpPr>
      </xdr:nvSpPr>
      <xdr:spPr bwMode="auto">
        <a:xfrm>
          <a:off x="7531100" y="56997600"/>
          <a:ext cx="190500" cy="266700"/>
        </a:xfrm>
        <a:prstGeom prst="rect">
          <a:avLst/>
        </a:prstGeom>
        <a:noFill/>
      </xdr:spPr>
    </xdr:sp>
    <xdr:clientData/>
  </xdr:oneCellAnchor>
  <xdr:oneCellAnchor>
    <xdr:from>
      <xdr:col>4</xdr:col>
      <xdr:colOff>1657350</xdr:colOff>
      <xdr:row>292</xdr:row>
      <xdr:rowOff>0</xdr:rowOff>
    </xdr:from>
    <xdr:ext cx="190500" cy="266700"/>
    <xdr:sp macro="" textlink="">
      <xdr:nvSpPr>
        <xdr:cNvPr id="2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BC446A0-CBAB-44BF-AB64-14B0DB5DF888}"/>
            </a:ext>
            <a:ext uri="{147F2762-F138-4A5C-976F-8EAC2B608ADB}">
              <a16:predDERef xmlns:a16="http://schemas.microsoft.com/office/drawing/2014/main" pred="{108DEB18-5B12-4CC5-ACA3-9939023C9DB3}"/>
            </a:ext>
          </a:extLst>
        </xdr:cNvPr>
        <xdr:cNvSpPr>
          <a:spLocks noChangeAspect="1" noChangeArrowheads="1"/>
        </xdr:cNvSpPr>
      </xdr:nvSpPr>
      <xdr:spPr bwMode="auto">
        <a:xfrm>
          <a:off x="7531100" y="56997600"/>
          <a:ext cx="190500" cy="266700"/>
        </a:xfrm>
        <a:prstGeom prst="rect">
          <a:avLst/>
        </a:prstGeom>
        <a:noFill/>
      </xdr:spPr>
    </xdr:sp>
    <xdr:clientData/>
  </xdr:oneCellAnchor>
  <xdr:oneCellAnchor>
    <xdr:from>
      <xdr:col>4</xdr:col>
      <xdr:colOff>1657350</xdr:colOff>
      <xdr:row>294</xdr:row>
      <xdr:rowOff>0</xdr:rowOff>
    </xdr:from>
    <xdr:ext cx="190500" cy="266700"/>
    <xdr:sp macro="" textlink="">
      <xdr:nvSpPr>
        <xdr:cNvPr id="2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AAC985A-5895-4F34-B0C1-F5A5D0A25253}"/>
            </a:ext>
            <a:ext uri="{147F2762-F138-4A5C-976F-8EAC2B608ADB}">
              <a16:predDERef xmlns:a16="http://schemas.microsoft.com/office/drawing/2014/main" pred="{A7B8D3D5-5284-485A-B13A-9DCD4A81D08D}"/>
            </a:ext>
          </a:extLst>
        </xdr:cNvPr>
        <xdr:cNvSpPr>
          <a:spLocks noChangeAspect="1" noChangeArrowheads="1"/>
        </xdr:cNvSpPr>
      </xdr:nvSpPr>
      <xdr:spPr bwMode="auto">
        <a:xfrm>
          <a:off x="7531100" y="57365900"/>
          <a:ext cx="190500" cy="266700"/>
        </a:xfrm>
        <a:prstGeom prst="rect">
          <a:avLst/>
        </a:prstGeom>
        <a:noFill/>
      </xdr:spPr>
    </xdr:sp>
    <xdr:clientData/>
  </xdr:oneCellAnchor>
  <xdr:oneCellAnchor>
    <xdr:from>
      <xdr:col>4</xdr:col>
      <xdr:colOff>1657350</xdr:colOff>
      <xdr:row>294</xdr:row>
      <xdr:rowOff>0</xdr:rowOff>
    </xdr:from>
    <xdr:ext cx="190500" cy="266700"/>
    <xdr:sp macro="" textlink="">
      <xdr:nvSpPr>
        <xdr:cNvPr id="2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F37412F-D656-490E-9630-D7DD5B0BDD04}"/>
            </a:ext>
            <a:ext uri="{147F2762-F138-4A5C-976F-8EAC2B608ADB}">
              <a16:predDERef xmlns:a16="http://schemas.microsoft.com/office/drawing/2014/main" pred="{E05136BD-D416-47C1-A82A-F4541B508149}"/>
            </a:ext>
          </a:extLst>
        </xdr:cNvPr>
        <xdr:cNvSpPr>
          <a:spLocks noChangeAspect="1" noChangeArrowheads="1"/>
        </xdr:cNvSpPr>
      </xdr:nvSpPr>
      <xdr:spPr bwMode="auto">
        <a:xfrm>
          <a:off x="7531100" y="57365900"/>
          <a:ext cx="190500" cy="266700"/>
        </a:xfrm>
        <a:prstGeom prst="rect">
          <a:avLst/>
        </a:prstGeom>
        <a:noFill/>
      </xdr:spPr>
    </xdr:sp>
    <xdr:clientData/>
  </xdr:oneCellAnchor>
  <xdr:oneCellAnchor>
    <xdr:from>
      <xdr:col>4</xdr:col>
      <xdr:colOff>1657350</xdr:colOff>
      <xdr:row>296</xdr:row>
      <xdr:rowOff>0</xdr:rowOff>
    </xdr:from>
    <xdr:ext cx="190500" cy="266700"/>
    <xdr:sp macro="" textlink="">
      <xdr:nvSpPr>
        <xdr:cNvPr id="2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34692A9-38B6-421D-B15A-C91CD48B226B}"/>
            </a:ext>
            <a:ext uri="{147F2762-F138-4A5C-976F-8EAC2B608ADB}">
              <a16:predDERef xmlns:a16="http://schemas.microsoft.com/office/drawing/2014/main" pred="{2551AE83-FEA1-43F4-A291-FD4B153E2B57}"/>
            </a:ext>
          </a:extLst>
        </xdr:cNvPr>
        <xdr:cNvSpPr>
          <a:spLocks noChangeAspect="1" noChangeArrowheads="1"/>
        </xdr:cNvSpPr>
      </xdr:nvSpPr>
      <xdr:spPr bwMode="auto">
        <a:xfrm>
          <a:off x="7531100" y="57734200"/>
          <a:ext cx="190500" cy="266700"/>
        </a:xfrm>
        <a:prstGeom prst="rect">
          <a:avLst/>
        </a:prstGeom>
        <a:noFill/>
      </xdr:spPr>
    </xdr:sp>
    <xdr:clientData/>
  </xdr:oneCellAnchor>
  <xdr:oneCellAnchor>
    <xdr:from>
      <xdr:col>4</xdr:col>
      <xdr:colOff>1657350</xdr:colOff>
      <xdr:row>296</xdr:row>
      <xdr:rowOff>0</xdr:rowOff>
    </xdr:from>
    <xdr:ext cx="190500" cy="266700"/>
    <xdr:sp macro="" textlink="">
      <xdr:nvSpPr>
        <xdr:cNvPr id="2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5A323B6-DADD-4806-A6D4-60781A920ABE}"/>
            </a:ext>
            <a:ext uri="{147F2762-F138-4A5C-976F-8EAC2B608ADB}">
              <a16:predDERef xmlns:a16="http://schemas.microsoft.com/office/drawing/2014/main" pred="{CE5ABBC6-22DC-4AA3-8178-3008BC0163C4}"/>
            </a:ext>
          </a:extLst>
        </xdr:cNvPr>
        <xdr:cNvSpPr>
          <a:spLocks noChangeAspect="1" noChangeArrowheads="1"/>
        </xdr:cNvSpPr>
      </xdr:nvSpPr>
      <xdr:spPr bwMode="auto">
        <a:xfrm>
          <a:off x="7531100" y="57734200"/>
          <a:ext cx="190500" cy="266700"/>
        </a:xfrm>
        <a:prstGeom prst="rect">
          <a:avLst/>
        </a:prstGeom>
        <a:noFill/>
      </xdr:spPr>
    </xdr:sp>
    <xdr:clientData/>
  </xdr:oneCellAnchor>
  <xdr:oneCellAnchor>
    <xdr:from>
      <xdr:col>4</xdr:col>
      <xdr:colOff>1657350</xdr:colOff>
      <xdr:row>298</xdr:row>
      <xdr:rowOff>0</xdr:rowOff>
    </xdr:from>
    <xdr:ext cx="190500" cy="266700"/>
    <xdr:sp macro="" textlink="">
      <xdr:nvSpPr>
        <xdr:cNvPr id="3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06EF40-B093-4B0A-BBAE-F457B507F2F7}"/>
            </a:ext>
            <a:ext uri="{147F2762-F138-4A5C-976F-8EAC2B608ADB}">
              <a16:predDERef xmlns:a16="http://schemas.microsoft.com/office/drawing/2014/main" pred="{AA508EE4-BD27-4FDC-AC44-D4BF28843B4D}"/>
            </a:ext>
          </a:extLst>
        </xdr:cNvPr>
        <xdr:cNvSpPr>
          <a:spLocks noChangeAspect="1" noChangeArrowheads="1"/>
        </xdr:cNvSpPr>
      </xdr:nvSpPr>
      <xdr:spPr bwMode="auto">
        <a:xfrm>
          <a:off x="7531100" y="58102500"/>
          <a:ext cx="190500" cy="266700"/>
        </a:xfrm>
        <a:prstGeom prst="rect">
          <a:avLst/>
        </a:prstGeom>
        <a:noFill/>
      </xdr:spPr>
    </xdr:sp>
    <xdr:clientData/>
  </xdr:oneCellAnchor>
  <xdr:oneCellAnchor>
    <xdr:from>
      <xdr:col>4</xdr:col>
      <xdr:colOff>1657350</xdr:colOff>
      <xdr:row>298</xdr:row>
      <xdr:rowOff>0</xdr:rowOff>
    </xdr:from>
    <xdr:ext cx="190500" cy="266700"/>
    <xdr:sp macro="" textlink="">
      <xdr:nvSpPr>
        <xdr:cNvPr id="3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A977C95-9616-411B-A2BB-62452F8FFD6D}"/>
            </a:ext>
            <a:ext uri="{147F2762-F138-4A5C-976F-8EAC2B608ADB}">
              <a16:predDERef xmlns:a16="http://schemas.microsoft.com/office/drawing/2014/main" pred="{F988A909-2664-4851-9308-53F831CBC9D7}"/>
            </a:ext>
          </a:extLst>
        </xdr:cNvPr>
        <xdr:cNvSpPr>
          <a:spLocks noChangeAspect="1" noChangeArrowheads="1"/>
        </xdr:cNvSpPr>
      </xdr:nvSpPr>
      <xdr:spPr bwMode="auto">
        <a:xfrm>
          <a:off x="7531100" y="58102500"/>
          <a:ext cx="190500" cy="266700"/>
        </a:xfrm>
        <a:prstGeom prst="rect">
          <a:avLst/>
        </a:prstGeom>
        <a:noFill/>
      </xdr:spPr>
    </xdr:sp>
    <xdr:clientData/>
  </xdr:oneCellAnchor>
  <xdr:oneCellAnchor>
    <xdr:from>
      <xdr:col>4</xdr:col>
      <xdr:colOff>1657350</xdr:colOff>
      <xdr:row>300</xdr:row>
      <xdr:rowOff>0</xdr:rowOff>
    </xdr:from>
    <xdr:ext cx="190500" cy="266700"/>
    <xdr:sp macro="" textlink="">
      <xdr:nvSpPr>
        <xdr:cNvPr id="3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531C61D-DEB7-40D0-A765-356E4E41BF8C}"/>
            </a:ext>
            <a:ext uri="{147F2762-F138-4A5C-976F-8EAC2B608ADB}">
              <a16:predDERef xmlns:a16="http://schemas.microsoft.com/office/drawing/2014/main" pred="{953E3F5E-1D00-40CB-973F-28E014ACE22A}"/>
            </a:ext>
          </a:extLst>
        </xdr:cNvPr>
        <xdr:cNvSpPr>
          <a:spLocks noChangeAspect="1" noChangeArrowheads="1"/>
        </xdr:cNvSpPr>
      </xdr:nvSpPr>
      <xdr:spPr bwMode="auto">
        <a:xfrm>
          <a:off x="7531100" y="58470800"/>
          <a:ext cx="190500" cy="266700"/>
        </a:xfrm>
        <a:prstGeom prst="rect">
          <a:avLst/>
        </a:prstGeom>
        <a:noFill/>
      </xdr:spPr>
    </xdr:sp>
    <xdr:clientData/>
  </xdr:oneCellAnchor>
  <xdr:oneCellAnchor>
    <xdr:from>
      <xdr:col>4</xdr:col>
      <xdr:colOff>1657350</xdr:colOff>
      <xdr:row>300</xdr:row>
      <xdr:rowOff>0</xdr:rowOff>
    </xdr:from>
    <xdr:ext cx="190500" cy="266700"/>
    <xdr:sp macro="" textlink="">
      <xdr:nvSpPr>
        <xdr:cNvPr id="3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07A896-E85D-4528-A2F7-4F2C865B741F}"/>
            </a:ext>
            <a:ext uri="{147F2762-F138-4A5C-976F-8EAC2B608ADB}">
              <a16:predDERef xmlns:a16="http://schemas.microsoft.com/office/drawing/2014/main" pred="{C7C2E3EA-5269-4AC2-B8FD-9F19CCBA8A68}"/>
            </a:ext>
          </a:extLst>
        </xdr:cNvPr>
        <xdr:cNvSpPr>
          <a:spLocks noChangeAspect="1" noChangeArrowheads="1"/>
        </xdr:cNvSpPr>
      </xdr:nvSpPr>
      <xdr:spPr bwMode="auto">
        <a:xfrm>
          <a:off x="7531100" y="58470800"/>
          <a:ext cx="190500" cy="266700"/>
        </a:xfrm>
        <a:prstGeom prst="rect">
          <a:avLst/>
        </a:prstGeom>
        <a:noFill/>
      </xdr:spPr>
    </xdr:sp>
    <xdr:clientData/>
  </xdr:oneCellAnchor>
  <xdr:oneCellAnchor>
    <xdr:from>
      <xdr:col>4</xdr:col>
      <xdr:colOff>1657350</xdr:colOff>
      <xdr:row>302</xdr:row>
      <xdr:rowOff>0</xdr:rowOff>
    </xdr:from>
    <xdr:ext cx="190500" cy="266700"/>
    <xdr:sp macro="" textlink="">
      <xdr:nvSpPr>
        <xdr:cNvPr id="3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249B13-1119-4C43-9C2E-11B122519414}"/>
            </a:ext>
            <a:ext uri="{147F2762-F138-4A5C-976F-8EAC2B608ADB}">
              <a16:predDERef xmlns:a16="http://schemas.microsoft.com/office/drawing/2014/main" pred="{689E1F37-83D9-4AA4-AF3D-40EB835E3C03}"/>
            </a:ext>
          </a:extLst>
        </xdr:cNvPr>
        <xdr:cNvSpPr>
          <a:spLocks noChangeAspect="1" noChangeArrowheads="1"/>
        </xdr:cNvSpPr>
      </xdr:nvSpPr>
      <xdr:spPr bwMode="auto">
        <a:xfrm>
          <a:off x="7531100" y="58839100"/>
          <a:ext cx="190500" cy="266700"/>
        </a:xfrm>
        <a:prstGeom prst="rect">
          <a:avLst/>
        </a:prstGeom>
        <a:noFill/>
      </xdr:spPr>
    </xdr:sp>
    <xdr:clientData/>
  </xdr:oneCellAnchor>
  <xdr:oneCellAnchor>
    <xdr:from>
      <xdr:col>4</xdr:col>
      <xdr:colOff>1657350</xdr:colOff>
      <xdr:row>302</xdr:row>
      <xdr:rowOff>0</xdr:rowOff>
    </xdr:from>
    <xdr:ext cx="190500" cy="266700"/>
    <xdr:sp macro="" textlink="">
      <xdr:nvSpPr>
        <xdr:cNvPr id="3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2EE8E74-8BBE-4CB6-B632-619EEB0AD5E6}"/>
            </a:ext>
            <a:ext uri="{147F2762-F138-4A5C-976F-8EAC2B608ADB}">
              <a16:predDERef xmlns:a16="http://schemas.microsoft.com/office/drawing/2014/main" pred="{000F68E0-F134-427E-9EB3-B1E1F8D0823D}"/>
            </a:ext>
          </a:extLst>
        </xdr:cNvPr>
        <xdr:cNvSpPr>
          <a:spLocks noChangeAspect="1" noChangeArrowheads="1"/>
        </xdr:cNvSpPr>
      </xdr:nvSpPr>
      <xdr:spPr bwMode="auto">
        <a:xfrm>
          <a:off x="7531100" y="58839100"/>
          <a:ext cx="190500" cy="266700"/>
        </a:xfrm>
        <a:prstGeom prst="rect">
          <a:avLst/>
        </a:prstGeom>
        <a:noFill/>
      </xdr:spPr>
    </xdr:sp>
    <xdr:clientData/>
  </xdr:oneCellAnchor>
  <xdr:oneCellAnchor>
    <xdr:from>
      <xdr:col>4</xdr:col>
      <xdr:colOff>1657350</xdr:colOff>
      <xdr:row>304</xdr:row>
      <xdr:rowOff>0</xdr:rowOff>
    </xdr:from>
    <xdr:ext cx="190500" cy="266700"/>
    <xdr:sp macro="" textlink="">
      <xdr:nvSpPr>
        <xdr:cNvPr id="3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8AF0A0F-1883-4B67-8EE7-D00BEDE23274}"/>
            </a:ext>
            <a:ext uri="{147F2762-F138-4A5C-976F-8EAC2B608ADB}">
              <a16:predDERef xmlns:a16="http://schemas.microsoft.com/office/drawing/2014/main" pred="{5E4C17CE-7DDC-4547-9464-EBD2218CCC01}"/>
            </a:ext>
          </a:extLst>
        </xdr:cNvPr>
        <xdr:cNvSpPr>
          <a:spLocks noChangeAspect="1" noChangeArrowheads="1"/>
        </xdr:cNvSpPr>
      </xdr:nvSpPr>
      <xdr:spPr bwMode="auto">
        <a:xfrm>
          <a:off x="7531100" y="59207400"/>
          <a:ext cx="190500" cy="266700"/>
        </a:xfrm>
        <a:prstGeom prst="rect">
          <a:avLst/>
        </a:prstGeom>
        <a:noFill/>
      </xdr:spPr>
    </xdr:sp>
    <xdr:clientData/>
  </xdr:oneCellAnchor>
  <xdr:oneCellAnchor>
    <xdr:from>
      <xdr:col>4</xdr:col>
      <xdr:colOff>1657350</xdr:colOff>
      <xdr:row>304</xdr:row>
      <xdr:rowOff>0</xdr:rowOff>
    </xdr:from>
    <xdr:ext cx="190500" cy="266700"/>
    <xdr:sp macro="" textlink="">
      <xdr:nvSpPr>
        <xdr:cNvPr id="3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D60B2EB-8E39-43C9-ABB8-5C46F75DE45D}"/>
            </a:ext>
            <a:ext uri="{147F2762-F138-4A5C-976F-8EAC2B608ADB}">
              <a16:predDERef xmlns:a16="http://schemas.microsoft.com/office/drawing/2014/main" pred="{28C61B91-DFCA-417E-AFE3-5A832F50B04C}"/>
            </a:ext>
          </a:extLst>
        </xdr:cNvPr>
        <xdr:cNvSpPr>
          <a:spLocks noChangeAspect="1" noChangeArrowheads="1"/>
        </xdr:cNvSpPr>
      </xdr:nvSpPr>
      <xdr:spPr bwMode="auto">
        <a:xfrm>
          <a:off x="7531100" y="59207400"/>
          <a:ext cx="190500" cy="266700"/>
        </a:xfrm>
        <a:prstGeom prst="rect">
          <a:avLst/>
        </a:prstGeom>
        <a:noFill/>
      </xdr:spPr>
    </xdr:sp>
    <xdr:clientData/>
  </xdr:oneCellAnchor>
  <xdr:oneCellAnchor>
    <xdr:from>
      <xdr:col>4</xdr:col>
      <xdr:colOff>1657350</xdr:colOff>
      <xdr:row>306</xdr:row>
      <xdr:rowOff>0</xdr:rowOff>
    </xdr:from>
    <xdr:ext cx="190500" cy="266700"/>
    <xdr:sp macro="" textlink="">
      <xdr:nvSpPr>
        <xdr:cNvPr id="3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C30C122-62BC-4DC8-ACCE-B455034EFA56}"/>
            </a:ext>
            <a:ext uri="{147F2762-F138-4A5C-976F-8EAC2B608ADB}">
              <a16:predDERef xmlns:a16="http://schemas.microsoft.com/office/drawing/2014/main" pred="{0EC44D8C-6E0A-44C2-A5E3-7FBAA0A3B817}"/>
            </a:ext>
          </a:extLst>
        </xdr:cNvPr>
        <xdr:cNvSpPr>
          <a:spLocks noChangeAspect="1" noChangeArrowheads="1"/>
        </xdr:cNvSpPr>
      </xdr:nvSpPr>
      <xdr:spPr bwMode="auto">
        <a:xfrm>
          <a:off x="7531100" y="59575700"/>
          <a:ext cx="190500" cy="266700"/>
        </a:xfrm>
        <a:prstGeom prst="rect">
          <a:avLst/>
        </a:prstGeom>
        <a:noFill/>
      </xdr:spPr>
    </xdr:sp>
    <xdr:clientData/>
  </xdr:oneCellAnchor>
  <xdr:oneCellAnchor>
    <xdr:from>
      <xdr:col>4</xdr:col>
      <xdr:colOff>1657350</xdr:colOff>
      <xdr:row>306</xdr:row>
      <xdr:rowOff>0</xdr:rowOff>
    </xdr:from>
    <xdr:ext cx="190500" cy="266700"/>
    <xdr:sp macro="" textlink="">
      <xdr:nvSpPr>
        <xdr:cNvPr id="3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1FCD100-A22A-4B9A-8037-3D5C54C3B617}"/>
            </a:ext>
            <a:ext uri="{147F2762-F138-4A5C-976F-8EAC2B608ADB}">
              <a16:predDERef xmlns:a16="http://schemas.microsoft.com/office/drawing/2014/main" pred="{86B39CDD-12CA-4E9F-B388-E8870308C7AF}"/>
            </a:ext>
          </a:extLst>
        </xdr:cNvPr>
        <xdr:cNvSpPr>
          <a:spLocks noChangeAspect="1" noChangeArrowheads="1"/>
        </xdr:cNvSpPr>
      </xdr:nvSpPr>
      <xdr:spPr bwMode="auto">
        <a:xfrm>
          <a:off x="7531100" y="59575700"/>
          <a:ext cx="190500" cy="266700"/>
        </a:xfrm>
        <a:prstGeom prst="rect">
          <a:avLst/>
        </a:prstGeom>
        <a:noFill/>
      </xdr:spPr>
    </xdr:sp>
    <xdr:clientData/>
  </xdr:oneCellAnchor>
  <xdr:oneCellAnchor>
    <xdr:from>
      <xdr:col>4</xdr:col>
      <xdr:colOff>1657350</xdr:colOff>
      <xdr:row>308</xdr:row>
      <xdr:rowOff>0</xdr:rowOff>
    </xdr:from>
    <xdr:ext cx="190500" cy="266700"/>
    <xdr:sp macro="" textlink="">
      <xdr:nvSpPr>
        <xdr:cNvPr id="3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737214B-0BA4-47E2-8116-A7112E8D6D3F}"/>
            </a:ext>
            <a:ext uri="{147F2762-F138-4A5C-976F-8EAC2B608ADB}">
              <a16:predDERef xmlns:a16="http://schemas.microsoft.com/office/drawing/2014/main" pred="{8761E3F3-BC4B-4246-B780-8A9DA63A5C16}"/>
            </a:ext>
          </a:extLst>
        </xdr:cNvPr>
        <xdr:cNvSpPr>
          <a:spLocks noChangeAspect="1" noChangeArrowheads="1"/>
        </xdr:cNvSpPr>
      </xdr:nvSpPr>
      <xdr:spPr bwMode="auto">
        <a:xfrm>
          <a:off x="7531100" y="59944000"/>
          <a:ext cx="190500" cy="266700"/>
        </a:xfrm>
        <a:prstGeom prst="rect">
          <a:avLst/>
        </a:prstGeom>
        <a:noFill/>
      </xdr:spPr>
    </xdr:sp>
    <xdr:clientData/>
  </xdr:oneCellAnchor>
  <xdr:oneCellAnchor>
    <xdr:from>
      <xdr:col>4</xdr:col>
      <xdr:colOff>1657350</xdr:colOff>
      <xdr:row>308</xdr:row>
      <xdr:rowOff>0</xdr:rowOff>
    </xdr:from>
    <xdr:ext cx="190500" cy="266700"/>
    <xdr:sp macro="" textlink="">
      <xdr:nvSpPr>
        <xdr:cNvPr id="3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E732BC4-72C1-4186-805C-A33D1A4F21D3}"/>
            </a:ext>
            <a:ext uri="{147F2762-F138-4A5C-976F-8EAC2B608ADB}">
              <a16:predDERef xmlns:a16="http://schemas.microsoft.com/office/drawing/2014/main" pred="{FFAC8B99-AC1E-41F6-B9D5-A8912B6175AF}"/>
            </a:ext>
          </a:extLst>
        </xdr:cNvPr>
        <xdr:cNvSpPr>
          <a:spLocks noChangeAspect="1" noChangeArrowheads="1"/>
        </xdr:cNvSpPr>
      </xdr:nvSpPr>
      <xdr:spPr bwMode="auto">
        <a:xfrm>
          <a:off x="7531100" y="59944000"/>
          <a:ext cx="190500" cy="266700"/>
        </a:xfrm>
        <a:prstGeom prst="rect">
          <a:avLst/>
        </a:prstGeom>
        <a:noFill/>
      </xdr:spPr>
    </xdr:sp>
    <xdr:clientData/>
  </xdr:oneCellAnchor>
  <xdr:oneCellAnchor>
    <xdr:from>
      <xdr:col>4</xdr:col>
      <xdr:colOff>1657350</xdr:colOff>
      <xdr:row>310</xdr:row>
      <xdr:rowOff>0</xdr:rowOff>
    </xdr:from>
    <xdr:ext cx="190500" cy="266700"/>
    <xdr:sp macro="" textlink="">
      <xdr:nvSpPr>
        <xdr:cNvPr id="3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6F8E138-9CAA-49C0-A99F-387722DDE345}"/>
            </a:ext>
            <a:ext uri="{147F2762-F138-4A5C-976F-8EAC2B608ADB}">
              <a16:predDERef xmlns:a16="http://schemas.microsoft.com/office/drawing/2014/main" pred="{6E84D377-7190-434E-A250-D6D20FB6BFD5}"/>
            </a:ext>
          </a:extLst>
        </xdr:cNvPr>
        <xdr:cNvSpPr>
          <a:spLocks noChangeAspect="1" noChangeArrowheads="1"/>
        </xdr:cNvSpPr>
      </xdr:nvSpPr>
      <xdr:spPr bwMode="auto">
        <a:xfrm>
          <a:off x="7531100" y="60312300"/>
          <a:ext cx="190500" cy="266700"/>
        </a:xfrm>
        <a:prstGeom prst="rect">
          <a:avLst/>
        </a:prstGeom>
        <a:noFill/>
      </xdr:spPr>
    </xdr:sp>
    <xdr:clientData/>
  </xdr:oneCellAnchor>
  <xdr:oneCellAnchor>
    <xdr:from>
      <xdr:col>4</xdr:col>
      <xdr:colOff>1657350</xdr:colOff>
      <xdr:row>310</xdr:row>
      <xdr:rowOff>0</xdr:rowOff>
    </xdr:from>
    <xdr:ext cx="190500" cy="266700"/>
    <xdr:sp macro="" textlink="">
      <xdr:nvSpPr>
        <xdr:cNvPr id="3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2CB725E-0365-4158-AB23-AD63441E736A}"/>
            </a:ext>
            <a:ext uri="{147F2762-F138-4A5C-976F-8EAC2B608ADB}">
              <a16:predDERef xmlns:a16="http://schemas.microsoft.com/office/drawing/2014/main" pred="{5B1FD214-5092-478B-826C-F9F29EA9BCFD}"/>
            </a:ext>
          </a:extLst>
        </xdr:cNvPr>
        <xdr:cNvSpPr>
          <a:spLocks noChangeAspect="1" noChangeArrowheads="1"/>
        </xdr:cNvSpPr>
      </xdr:nvSpPr>
      <xdr:spPr bwMode="auto">
        <a:xfrm>
          <a:off x="7531100" y="60312300"/>
          <a:ext cx="190500" cy="266700"/>
        </a:xfrm>
        <a:prstGeom prst="rect">
          <a:avLst/>
        </a:prstGeom>
        <a:noFill/>
      </xdr:spPr>
    </xdr:sp>
    <xdr:clientData/>
  </xdr:oneCellAnchor>
  <xdr:oneCellAnchor>
    <xdr:from>
      <xdr:col>4</xdr:col>
      <xdr:colOff>1657350</xdr:colOff>
      <xdr:row>312</xdr:row>
      <xdr:rowOff>0</xdr:rowOff>
    </xdr:from>
    <xdr:ext cx="190500" cy="266700"/>
    <xdr:sp macro="" textlink="">
      <xdr:nvSpPr>
        <xdr:cNvPr id="3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ED1A2D6-C0C4-4003-AA7D-52CBFC184B25}"/>
            </a:ext>
            <a:ext uri="{147F2762-F138-4A5C-976F-8EAC2B608ADB}">
              <a16:predDERef xmlns:a16="http://schemas.microsoft.com/office/drawing/2014/main" pred="{40192F1D-F63B-4B8A-BB96-D2147BAC40C0}"/>
            </a:ext>
          </a:extLst>
        </xdr:cNvPr>
        <xdr:cNvSpPr>
          <a:spLocks noChangeAspect="1" noChangeArrowheads="1"/>
        </xdr:cNvSpPr>
      </xdr:nvSpPr>
      <xdr:spPr bwMode="auto">
        <a:xfrm>
          <a:off x="7531100" y="60680600"/>
          <a:ext cx="190500" cy="266700"/>
        </a:xfrm>
        <a:prstGeom prst="rect">
          <a:avLst/>
        </a:prstGeom>
        <a:noFill/>
      </xdr:spPr>
    </xdr:sp>
    <xdr:clientData/>
  </xdr:oneCellAnchor>
  <xdr:oneCellAnchor>
    <xdr:from>
      <xdr:col>4</xdr:col>
      <xdr:colOff>1657350</xdr:colOff>
      <xdr:row>312</xdr:row>
      <xdr:rowOff>0</xdr:rowOff>
    </xdr:from>
    <xdr:ext cx="190500" cy="266700"/>
    <xdr:sp macro="" textlink="">
      <xdr:nvSpPr>
        <xdr:cNvPr id="3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0D7438A-E015-493A-A47C-B18131E85DF0}"/>
            </a:ext>
            <a:ext uri="{147F2762-F138-4A5C-976F-8EAC2B608ADB}">
              <a16:predDERef xmlns:a16="http://schemas.microsoft.com/office/drawing/2014/main" pred="{7DAF806F-FCE5-482D-A669-229ADBFE1862}"/>
            </a:ext>
          </a:extLst>
        </xdr:cNvPr>
        <xdr:cNvSpPr>
          <a:spLocks noChangeAspect="1" noChangeArrowheads="1"/>
        </xdr:cNvSpPr>
      </xdr:nvSpPr>
      <xdr:spPr bwMode="auto">
        <a:xfrm>
          <a:off x="7531100" y="60680600"/>
          <a:ext cx="190500" cy="266700"/>
        </a:xfrm>
        <a:prstGeom prst="rect">
          <a:avLst/>
        </a:prstGeom>
        <a:noFill/>
      </xdr:spPr>
    </xdr:sp>
    <xdr:clientData/>
  </xdr:oneCellAnchor>
  <xdr:oneCellAnchor>
    <xdr:from>
      <xdr:col>4</xdr:col>
      <xdr:colOff>1657350</xdr:colOff>
      <xdr:row>314</xdr:row>
      <xdr:rowOff>0</xdr:rowOff>
    </xdr:from>
    <xdr:ext cx="190500" cy="266700"/>
    <xdr:sp macro="" textlink="">
      <xdr:nvSpPr>
        <xdr:cNvPr id="3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92016B6-3ED1-4EF7-AEC4-2B2017EB8089}"/>
            </a:ext>
            <a:ext uri="{147F2762-F138-4A5C-976F-8EAC2B608ADB}">
              <a16:predDERef xmlns:a16="http://schemas.microsoft.com/office/drawing/2014/main" pred="{3D740B0E-A59A-4161-8E12-AE886D9428CB}"/>
            </a:ext>
          </a:extLst>
        </xdr:cNvPr>
        <xdr:cNvSpPr>
          <a:spLocks noChangeAspect="1" noChangeArrowheads="1"/>
        </xdr:cNvSpPr>
      </xdr:nvSpPr>
      <xdr:spPr bwMode="auto">
        <a:xfrm>
          <a:off x="7531100" y="61048900"/>
          <a:ext cx="190500" cy="266700"/>
        </a:xfrm>
        <a:prstGeom prst="rect">
          <a:avLst/>
        </a:prstGeom>
        <a:noFill/>
      </xdr:spPr>
    </xdr:sp>
    <xdr:clientData/>
  </xdr:oneCellAnchor>
  <xdr:oneCellAnchor>
    <xdr:from>
      <xdr:col>4</xdr:col>
      <xdr:colOff>1657350</xdr:colOff>
      <xdr:row>314</xdr:row>
      <xdr:rowOff>0</xdr:rowOff>
    </xdr:from>
    <xdr:ext cx="190500" cy="266700"/>
    <xdr:sp macro="" textlink="">
      <xdr:nvSpPr>
        <xdr:cNvPr id="3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A1F1C14-3204-4D35-B7FF-B40EE738F3A5}"/>
            </a:ext>
            <a:ext uri="{147F2762-F138-4A5C-976F-8EAC2B608ADB}">
              <a16:predDERef xmlns:a16="http://schemas.microsoft.com/office/drawing/2014/main" pred="{3062DE28-F7C2-4973-94E5-234D8DFB1C34}"/>
            </a:ext>
          </a:extLst>
        </xdr:cNvPr>
        <xdr:cNvSpPr>
          <a:spLocks noChangeAspect="1" noChangeArrowheads="1"/>
        </xdr:cNvSpPr>
      </xdr:nvSpPr>
      <xdr:spPr bwMode="auto">
        <a:xfrm>
          <a:off x="7531100" y="61048900"/>
          <a:ext cx="190500" cy="266700"/>
        </a:xfrm>
        <a:prstGeom prst="rect">
          <a:avLst/>
        </a:prstGeom>
        <a:noFill/>
      </xdr:spPr>
    </xdr:sp>
    <xdr:clientData/>
  </xdr:oneCellAnchor>
  <xdr:oneCellAnchor>
    <xdr:from>
      <xdr:col>4</xdr:col>
      <xdr:colOff>1657350</xdr:colOff>
      <xdr:row>316</xdr:row>
      <xdr:rowOff>0</xdr:rowOff>
    </xdr:from>
    <xdr:ext cx="190500" cy="266700"/>
    <xdr:sp macro="" textlink="">
      <xdr:nvSpPr>
        <xdr:cNvPr id="3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50B45BF-53EA-47D6-B52E-1E170C2AC0CB}"/>
            </a:ext>
            <a:ext uri="{147F2762-F138-4A5C-976F-8EAC2B608ADB}">
              <a16:predDERef xmlns:a16="http://schemas.microsoft.com/office/drawing/2014/main" pred="{1F5C39CA-4385-4273-BC0B-5E59D7D311B5}"/>
            </a:ext>
          </a:extLst>
        </xdr:cNvPr>
        <xdr:cNvSpPr>
          <a:spLocks noChangeAspect="1" noChangeArrowheads="1"/>
        </xdr:cNvSpPr>
      </xdr:nvSpPr>
      <xdr:spPr bwMode="auto">
        <a:xfrm>
          <a:off x="7531100" y="61417200"/>
          <a:ext cx="190500" cy="266700"/>
        </a:xfrm>
        <a:prstGeom prst="rect">
          <a:avLst/>
        </a:prstGeom>
        <a:noFill/>
      </xdr:spPr>
    </xdr:sp>
    <xdr:clientData/>
  </xdr:oneCellAnchor>
  <xdr:oneCellAnchor>
    <xdr:from>
      <xdr:col>4</xdr:col>
      <xdr:colOff>1657350</xdr:colOff>
      <xdr:row>316</xdr:row>
      <xdr:rowOff>0</xdr:rowOff>
    </xdr:from>
    <xdr:ext cx="190500" cy="266700"/>
    <xdr:sp macro="" textlink="">
      <xdr:nvSpPr>
        <xdr:cNvPr id="3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3BFC95A-2A9F-488C-A3C1-A92561CCB259}"/>
            </a:ext>
            <a:ext uri="{147F2762-F138-4A5C-976F-8EAC2B608ADB}">
              <a16:predDERef xmlns:a16="http://schemas.microsoft.com/office/drawing/2014/main" pred="{71D056E4-9DDA-4206-97CD-C6733F5E73C5}"/>
            </a:ext>
          </a:extLst>
        </xdr:cNvPr>
        <xdr:cNvSpPr>
          <a:spLocks noChangeAspect="1" noChangeArrowheads="1"/>
        </xdr:cNvSpPr>
      </xdr:nvSpPr>
      <xdr:spPr bwMode="auto">
        <a:xfrm>
          <a:off x="7531100" y="61417200"/>
          <a:ext cx="190500" cy="266700"/>
        </a:xfrm>
        <a:prstGeom prst="rect">
          <a:avLst/>
        </a:prstGeom>
        <a:noFill/>
      </xdr:spPr>
    </xdr:sp>
    <xdr:clientData/>
  </xdr:oneCellAnchor>
  <xdr:oneCellAnchor>
    <xdr:from>
      <xdr:col>4</xdr:col>
      <xdr:colOff>1657350</xdr:colOff>
      <xdr:row>318</xdr:row>
      <xdr:rowOff>0</xdr:rowOff>
    </xdr:from>
    <xdr:ext cx="190500" cy="266700"/>
    <xdr:sp macro="" textlink="">
      <xdr:nvSpPr>
        <xdr:cNvPr id="3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CFD7175-5CA9-43E9-B659-790569153AAA}"/>
            </a:ext>
            <a:ext uri="{147F2762-F138-4A5C-976F-8EAC2B608ADB}">
              <a16:predDERef xmlns:a16="http://schemas.microsoft.com/office/drawing/2014/main" pred="{53B467A5-7487-4041-9D4B-846C540313DF}"/>
            </a:ext>
          </a:extLst>
        </xdr:cNvPr>
        <xdr:cNvSpPr>
          <a:spLocks noChangeAspect="1" noChangeArrowheads="1"/>
        </xdr:cNvSpPr>
      </xdr:nvSpPr>
      <xdr:spPr bwMode="auto">
        <a:xfrm>
          <a:off x="7531100" y="61785500"/>
          <a:ext cx="190500" cy="266700"/>
        </a:xfrm>
        <a:prstGeom prst="rect">
          <a:avLst/>
        </a:prstGeom>
        <a:noFill/>
      </xdr:spPr>
    </xdr:sp>
    <xdr:clientData/>
  </xdr:oneCellAnchor>
  <xdr:oneCellAnchor>
    <xdr:from>
      <xdr:col>4</xdr:col>
      <xdr:colOff>1657350</xdr:colOff>
      <xdr:row>318</xdr:row>
      <xdr:rowOff>0</xdr:rowOff>
    </xdr:from>
    <xdr:ext cx="190500" cy="266700"/>
    <xdr:sp macro="" textlink="">
      <xdr:nvSpPr>
        <xdr:cNvPr id="3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5F27D1-1247-454F-98AA-5D1E11EC8153}"/>
            </a:ext>
            <a:ext uri="{147F2762-F138-4A5C-976F-8EAC2B608ADB}">
              <a16:predDERef xmlns:a16="http://schemas.microsoft.com/office/drawing/2014/main" pred="{D15FA943-8B3B-43CA-9330-781A3AABEDC7}"/>
            </a:ext>
          </a:extLst>
        </xdr:cNvPr>
        <xdr:cNvSpPr>
          <a:spLocks noChangeAspect="1" noChangeArrowheads="1"/>
        </xdr:cNvSpPr>
      </xdr:nvSpPr>
      <xdr:spPr bwMode="auto">
        <a:xfrm>
          <a:off x="7531100" y="61785500"/>
          <a:ext cx="190500" cy="266700"/>
        </a:xfrm>
        <a:prstGeom prst="rect">
          <a:avLst/>
        </a:prstGeom>
        <a:noFill/>
      </xdr:spPr>
    </xdr:sp>
    <xdr:clientData/>
  </xdr:oneCellAnchor>
  <xdr:oneCellAnchor>
    <xdr:from>
      <xdr:col>4</xdr:col>
      <xdr:colOff>1657350</xdr:colOff>
      <xdr:row>320</xdr:row>
      <xdr:rowOff>0</xdr:rowOff>
    </xdr:from>
    <xdr:ext cx="190500" cy="266700"/>
    <xdr:sp macro="" textlink="">
      <xdr:nvSpPr>
        <xdr:cNvPr id="3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CD4DB5-F980-44C2-9A08-AA1A5139C45A}"/>
            </a:ext>
            <a:ext uri="{147F2762-F138-4A5C-976F-8EAC2B608ADB}">
              <a16:predDERef xmlns:a16="http://schemas.microsoft.com/office/drawing/2014/main" pred="{3CFB1F8F-3727-41AC-80E0-9499584FF7D3}"/>
            </a:ext>
          </a:extLst>
        </xdr:cNvPr>
        <xdr:cNvSpPr>
          <a:spLocks noChangeAspect="1" noChangeArrowheads="1"/>
        </xdr:cNvSpPr>
      </xdr:nvSpPr>
      <xdr:spPr bwMode="auto">
        <a:xfrm>
          <a:off x="7531100" y="62153800"/>
          <a:ext cx="190500" cy="266700"/>
        </a:xfrm>
        <a:prstGeom prst="rect">
          <a:avLst/>
        </a:prstGeom>
        <a:noFill/>
      </xdr:spPr>
    </xdr:sp>
    <xdr:clientData/>
  </xdr:oneCellAnchor>
  <xdr:oneCellAnchor>
    <xdr:from>
      <xdr:col>4</xdr:col>
      <xdr:colOff>1657350</xdr:colOff>
      <xdr:row>320</xdr:row>
      <xdr:rowOff>0</xdr:rowOff>
    </xdr:from>
    <xdr:ext cx="190500" cy="266700"/>
    <xdr:sp macro="" textlink="">
      <xdr:nvSpPr>
        <xdr:cNvPr id="3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28E336F-DA7B-4484-94CC-1646DA38DD70}"/>
            </a:ext>
            <a:ext uri="{147F2762-F138-4A5C-976F-8EAC2B608ADB}">
              <a16:predDERef xmlns:a16="http://schemas.microsoft.com/office/drawing/2014/main" pred="{7E86298B-D081-40FF-A471-8C03658840F6}"/>
            </a:ext>
          </a:extLst>
        </xdr:cNvPr>
        <xdr:cNvSpPr>
          <a:spLocks noChangeAspect="1" noChangeArrowheads="1"/>
        </xdr:cNvSpPr>
      </xdr:nvSpPr>
      <xdr:spPr bwMode="auto">
        <a:xfrm>
          <a:off x="7531100" y="62153800"/>
          <a:ext cx="190500" cy="266700"/>
        </a:xfrm>
        <a:prstGeom prst="rect">
          <a:avLst/>
        </a:prstGeom>
        <a:noFill/>
      </xdr:spPr>
    </xdr:sp>
    <xdr:clientData/>
  </xdr:oneCellAnchor>
  <xdr:oneCellAnchor>
    <xdr:from>
      <xdr:col>4</xdr:col>
      <xdr:colOff>1657350</xdr:colOff>
      <xdr:row>322</xdr:row>
      <xdr:rowOff>0</xdr:rowOff>
    </xdr:from>
    <xdr:ext cx="190500" cy="266700"/>
    <xdr:sp macro="" textlink="">
      <xdr:nvSpPr>
        <xdr:cNvPr id="3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83D7B45-6EFD-426E-9B38-4620118132B3}"/>
            </a:ext>
            <a:ext uri="{147F2762-F138-4A5C-976F-8EAC2B608ADB}">
              <a16:predDERef xmlns:a16="http://schemas.microsoft.com/office/drawing/2014/main" pred="{43B56D29-C1E4-4464-95C0-0D4B8A51C590}"/>
            </a:ext>
          </a:extLst>
        </xdr:cNvPr>
        <xdr:cNvSpPr>
          <a:spLocks noChangeAspect="1" noChangeArrowheads="1"/>
        </xdr:cNvSpPr>
      </xdr:nvSpPr>
      <xdr:spPr bwMode="auto">
        <a:xfrm>
          <a:off x="7531100" y="62522100"/>
          <a:ext cx="190500" cy="266700"/>
        </a:xfrm>
        <a:prstGeom prst="rect">
          <a:avLst/>
        </a:prstGeom>
        <a:noFill/>
      </xdr:spPr>
    </xdr:sp>
    <xdr:clientData/>
  </xdr:oneCellAnchor>
  <xdr:oneCellAnchor>
    <xdr:from>
      <xdr:col>4</xdr:col>
      <xdr:colOff>1657350</xdr:colOff>
      <xdr:row>322</xdr:row>
      <xdr:rowOff>0</xdr:rowOff>
    </xdr:from>
    <xdr:ext cx="190500" cy="266700"/>
    <xdr:sp macro="" textlink="">
      <xdr:nvSpPr>
        <xdr:cNvPr id="3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96C388-DE04-4C88-BE1D-DE42711584C6}"/>
            </a:ext>
            <a:ext uri="{147F2762-F138-4A5C-976F-8EAC2B608ADB}">
              <a16:predDERef xmlns:a16="http://schemas.microsoft.com/office/drawing/2014/main" pred="{02D5389F-3E89-49A6-A344-1BF20528B446}"/>
            </a:ext>
          </a:extLst>
        </xdr:cNvPr>
        <xdr:cNvSpPr>
          <a:spLocks noChangeAspect="1" noChangeArrowheads="1"/>
        </xdr:cNvSpPr>
      </xdr:nvSpPr>
      <xdr:spPr bwMode="auto">
        <a:xfrm>
          <a:off x="7531100" y="62522100"/>
          <a:ext cx="190500" cy="266700"/>
        </a:xfrm>
        <a:prstGeom prst="rect">
          <a:avLst/>
        </a:prstGeom>
        <a:noFill/>
      </xdr:spPr>
    </xdr:sp>
    <xdr:clientData/>
  </xdr:oneCellAnchor>
  <xdr:oneCellAnchor>
    <xdr:from>
      <xdr:col>4</xdr:col>
      <xdr:colOff>1657350</xdr:colOff>
      <xdr:row>324</xdr:row>
      <xdr:rowOff>0</xdr:rowOff>
    </xdr:from>
    <xdr:ext cx="190500" cy="266700"/>
    <xdr:sp macro="" textlink="">
      <xdr:nvSpPr>
        <xdr:cNvPr id="3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0ADEF7D-6AB1-4E4E-83C7-FD1CB0BA213D}"/>
            </a:ext>
            <a:ext uri="{147F2762-F138-4A5C-976F-8EAC2B608ADB}">
              <a16:predDERef xmlns:a16="http://schemas.microsoft.com/office/drawing/2014/main" pred="{E288A042-A6FD-4D74-BFE4-1C204FD33321}"/>
            </a:ext>
          </a:extLst>
        </xdr:cNvPr>
        <xdr:cNvSpPr>
          <a:spLocks noChangeAspect="1" noChangeArrowheads="1"/>
        </xdr:cNvSpPr>
      </xdr:nvSpPr>
      <xdr:spPr bwMode="auto">
        <a:xfrm>
          <a:off x="7531100" y="62890400"/>
          <a:ext cx="190500" cy="266700"/>
        </a:xfrm>
        <a:prstGeom prst="rect">
          <a:avLst/>
        </a:prstGeom>
        <a:noFill/>
      </xdr:spPr>
    </xdr:sp>
    <xdr:clientData/>
  </xdr:oneCellAnchor>
  <xdr:oneCellAnchor>
    <xdr:from>
      <xdr:col>4</xdr:col>
      <xdr:colOff>1657350</xdr:colOff>
      <xdr:row>324</xdr:row>
      <xdr:rowOff>0</xdr:rowOff>
    </xdr:from>
    <xdr:ext cx="190500" cy="266700"/>
    <xdr:sp macro="" textlink="">
      <xdr:nvSpPr>
        <xdr:cNvPr id="3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E7F2262-45DA-487F-B484-83FAF4346742}"/>
            </a:ext>
            <a:ext uri="{147F2762-F138-4A5C-976F-8EAC2B608ADB}">
              <a16:predDERef xmlns:a16="http://schemas.microsoft.com/office/drawing/2014/main" pred="{5B3105B9-396D-4E29-99FE-6E0B6F635F62}"/>
            </a:ext>
          </a:extLst>
        </xdr:cNvPr>
        <xdr:cNvSpPr>
          <a:spLocks noChangeAspect="1" noChangeArrowheads="1"/>
        </xdr:cNvSpPr>
      </xdr:nvSpPr>
      <xdr:spPr bwMode="auto">
        <a:xfrm>
          <a:off x="7531100" y="62890400"/>
          <a:ext cx="190500" cy="266700"/>
        </a:xfrm>
        <a:prstGeom prst="rect">
          <a:avLst/>
        </a:prstGeom>
        <a:noFill/>
      </xdr:spPr>
    </xdr:sp>
    <xdr:clientData/>
  </xdr:oneCellAnchor>
  <xdr:oneCellAnchor>
    <xdr:from>
      <xdr:col>4</xdr:col>
      <xdr:colOff>1657350</xdr:colOff>
      <xdr:row>326</xdr:row>
      <xdr:rowOff>0</xdr:rowOff>
    </xdr:from>
    <xdr:ext cx="190500" cy="266700"/>
    <xdr:sp macro="" textlink="">
      <xdr:nvSpPr>
        <xdr:cNvPr id="3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AF28726-A70D-4475-AFB0-364992C2DFE6}"/>
            </a:ext>
            <a:ext uri="{147F2762-F138-4A5C-976F-8EAC2B608ADB}">
              <a16:predDERef xmlns:a16="http://schemas.microsoft.com/office/drawing/2014/main" pred="{AA30E63D-E260-406E-96BA-AA5B8030184C}"/>
            </a:ext>
          </a:extLst>
        </xdr:cNvPr>
        <xdr:cNvSpPr>
          <a:spLocks noChangeAspect="1" noChangeArrowheads="1"/>
        </xdr:cNvSpPr>
      </xdr:nvSpPr>
      <xdr:spPr bwMode="auto">
        <a:xfrm>
          <a:off x="7531100" y="63258700"/>
          <a:ext cx="190500" cy="266700"/>
        </a:xfrm>
        <a:prstGeom prst="rect">
          <a:avLst/>
        </a:prstGeom>
        <a:noFill/>
      </xdr:spPr>
    </xdr:sp>
    <xdr:clientData/>
  </xdr:oneCellAnchor>
  <xdr:oneCellAnchor>
    <xdr:from>
      <xdr:col>4</xdr:col>
      <xdr:colOff>1657350</xdr:colOff>
      <xdr:row>326</xdr:row>
      <xdr:rowOff>0</xdr:rowOff>
    </xdr:from>
    <xdr:ext cx="190500" cy="266700"/>
    <xdr:sp macro="" textlink="">
      <xdr:nvSpPr>
        <xdr:cNvPr id="3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C48032-0ED8-4D06-8A46-3E3DC7C33E97}"/>
            </a:ext>
            <a:ext uri="{147F2762-F138-4A5C-976F-8EAC2B608ADB}">
              <a16:predDERef xmlns:a16="http://schemas.microsoft.com/office/drawing/2014/main" pred="{617D08D9-E63E-495E-AC0F-8D0773C5312E}"/>
            </a:ext>
          </a:extLst>
        </xdr:cNvPr>
        <xdr:cNvSpPr>
          <a:spLocks noChangeAspect="1" noChangeArrowheads="1"/>
        </xdr:cNvSpPr>
      </xdr:nvSpPr>
      <xdr:spPr bwMode="auto">
        <a:xfrm>
          <a:off x="7531100" y="63258700"/>
          <a:ext cx="190500" cy="266700"/>
        </a:xfrm>
        <a:prstGeom prst="rect">
          <a:avLst/>
        </a:prstGeom>
        <a:noFill/>
      </xdr:spPr>
    </xdr:sp>
    <xdr:clientData/>
  </xdr:oneCellAnchor>
  <xdr:oneCellAnchor>
    <xdr:from>
      <xdr:col>4</xdr:col>
      <xdr:colOff>1657350</xdr:colOff>
      <xdr:row>328</xdr:row>
      <xdr:rowOff>0</xdr:rowOff>
    </xdr:from>
    <xdr:ext cx="190500" cy="266700"/>
    <xdr:sp macro="" textlink="">
      <xdr:nvSpPr>
        <xdr:cNvPr id="3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D63E9FE-9A20-4C7A-8301-45DD1C8E04FA}"/>
            </a:ext>
            <a:ext uri="{147F2762-F138-4A5C-976F-8EAC2B608ADB}">
              <a16:predDERef xmlns:a16="http://schemas.microsoft.com/office/drawing/2014/main" pred="{7E358B58-7440-48E1-8D8C-4D13CDA53E96}"/>
            </a:ext>
          </a:extLst>
        </xdr:cNvPr>
        <xdr:cNvSpPr>
          <a:spLocks noChangeAspect="1" noChangeArrowheads="1"/>
        </xdr:cNvSpPr>
      </xdr:nvSpPr>
      <xdr:spPr bwMode="auto">
        <a:xfrm>
          <a:off x="7531100" y="63627000"/>
          <a:ext cx="190500" cy="266700"/>
        </a:xfrm>
        <a:prstGeom prst="rect">
          <a:avLst/>
        </a:prstGeom>
        <a:noFill/>
      </xdr:spPr>
    </xdr:sp>
    <xdr:clientData/>
  </xdr:oneCellAnchor>
  <xdr:oneCellAnchor>
    <xdr:from>
      <xdr:col>4</xdr:col>
      <xdr:colOff>1657350</xdr:colOff>
      <xdr:row>328</xdr:row>
      <xdr:rowOff>0</xdr:rowOff>
    </xdr:from>
    <xdr:ext cx="190500" cy="266700"/>
    <xdr:sp macro="" textlink="">
      <xdr:nvSpPr>
        <xdr:cNvPr id="3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8B5EE36-60BD-42DA-B643-B573DA8C64B3}"/>
            </a:ext>
            <a:ext uri="{147F2762-F138-4A5C-976F-8EAC2B608ADB}">
              <a16:predDERef xmlns:a16="http://schemas.microsoft.com/office/drawing/2014/main" pred="{F3FA445A-8614-43BB-AAB0-A9E7355F2383}"/>
            </a:ext>
          </a:extLst>
        </xdr:cNvPr>
        <xdr:cNvSpPr>
          <a:spLocks noChangeAspect="1" noChangeArrowheads="1"/>
        </xdr:cNvSpPr>
      </xdr:nvSpPr>
      <xdr:spPr bwMode="auto">
        <a:xfrm>
          <a:off x="7531100" y="63627000"/>
          <a:ext cx="190500" cy="266700"/>
        </a:xfrm>
        <a:prstGeom prst="rect">
          <a:avLst/>
        </a:prstGeom>
        <a:noFill/>
      </xdr:spPr>
    </xdr:sp>
    <xdr:clientData/>
  </xdr:oneCellAnchor>
  <xdr:oneCellAnchor>
    <xdr:from>
      <xdr:col>4</xdr:col>
      <xdr:colOff>1657350</xdr:colOff>
      <xdr:row>330</xdr:row>
      <xdr:rowOff>0</xdr:rowOff>
    </xdr:from>
    <xdr:ext cx="190500" cy="266700"/>
    <xdr:sp macro="" textlink="">
      <xdr:nvSpPr>
        <xdr:cNvPr id="3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100021-9131-423F-9A34-F0A2D1E94DF8}"/>
            </a:ext>
            <a:ext uri="{147F2762-F138-4A5C-976F-8EAC2B608ADB}">
              <a16:predDERef xmlns:a16="http://schemas.microsoft.com/office/drawing/2014/main" pred="{49A910A4-3388-4FA7-8B4F-0CCADDC50A24}"/>
            </a:ext>
          </a:extLst>
        </xdr:cNvPr>
        <xdr:cNvSpPr>
          <a:spLocks noChangeAspect="1" noChangeArrowheads="1"/>
        </xdr:cNvSpPr>
      </xdr:nvSpPr>
      <xdr:spPr bwMode="auto">
        <a:xfrm>
          <a:off x="7531100" y="63995300"/>
          <a:ext cx="190500" cy="266700"/>
        </a:xfrm>
        <a:prstGeom prst="rect">
          <a:avLst/>
        </a:prstGeom>
        <a:noFill/>
      </xdr:spPr>
    </xdr:sp>
    <xdr:clientData/>
  </xdr:oneCellAnchor>
  <xdr:oneCellAnchor>
    <xdr:from>
      <xdr:col>4</xdr:col>
      <xdr:colOff>1657350</xdr:colOff>
      <xdr:row>330</xdr:row>
      <xdr:rowOff>0</xdr:rowOff>
    </xdr:from>
    <xdr:ext cx="190500" cy="266700"/>
    <xdr:sp macro="" textlink="">
      <xdr:nvSpPr>
        <xdr:cNvPr id="3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B18A424-1BA5-4A58-8EC5-2C4D6736BD86}"/>
            </a:ext>
            <a:ext uri="{147F2762-F138-4A5C-976F-8EAC2B608ADB}">
              <a16:predDERef xmlns:a16="http://schemas.microsoft.com/office/drawing/2014/main" pred="{E64109A3-CC1F-44F2-AB20-0083C8A776C1}"/>
            </a:ext>
          </a:extLst>
        </xdr:cNvPr>
        <xdr:cNvSpPr>
          <a:spLocks noChangeAspect="1" noChangeArrowheads="1"/>
        </xdr:cNvSpPr>
      </xdr:nvSpPr>
      <xdr:spPr bwMode="auto">
        <a:xfrm>
          <a:off x="7531100" y="63995300"/>
          <a:ext cx="190500" cy="266700"/>
        </a:xfrm>
        <a:prstGeom prst="rect">
          <a:avLst/>
        </a:prstGeom>
        <a:noFill/>
      </xdr:spPr>
    </xdr:sp>
    <xdr:clientData/>
  </xdr:oneCellAnchor>
  <xdr:oneCellAnchor>
    <xdr:from>
      <xdr:col>4</xdr:col>
      <xdr:colOff>1657350</xdr:colOff>
      <xdr:row>332</xdr:row>
      <xdr:rowOff>0</xdr:rowOff>
    </xdr:from>
    <xdr:ext cx="190500" cy="266700"/>
    <xdr:sp macro="" textlink="">
      <xdr:nvSpPr>
        <xdr:cNvPr id="3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EE80D2E-ABE7-4B18-8093-5AB7905C801E}"/>
            </a:ext>
            <a:ext uri="{147F2762-F138-4A5C-976F-8EAC2B608ADB}">
              <a16:predDERef xmlns:a16="http://schemas.microsoft.com/office/drawing/2014/main" pred="{E67C8712-C94B-437F-953A-023EE3F5BED9}"/>
            </a:ext>
          </a:extLst>
        </xdr:cNvPr>
        <xdr:cNvSpPr>
          <a:spLocks noChangeAspect="1" noChangeArrowheads="1"/>
        </xdr:cNvSpPr>
      </xdr:nvSpPr>
      <xdr:spPr bwMode="auto">
        <a:xfrm>
          <a:off x="7531100" y="64363600"/>
          <a:ext cx="190500" cy="266700"/>
        </a:xfrm>
        <a:prstGeom prst="rect">
          <a:avLst/>
        </a:prstGeom>
        <a:noFill/>
      </xdr:spPr>
    </xdr:sp>
    <xdr:clientData/>
  </xdr:oneCellAnchor>
  <xdr:oneCellAnchor>
    <xdr:from>
      <xdr:col>4</xdr:col>
      <xdr:colOff>1657350</xdr:colOff>
      <xdr:row>332</xdr:row>
      <xdr:rowOff>0</xdr:rowOff>
    </xdr:from>
    <xdr:ext cx="190500" cy="266700"/>
    <xdr:sp macro="" textlink="">
      <xdr:nvSpPr>
        <xdr:cNvPr id="3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94C7B17-FA5E-4B04-9EA9-C22F508256FF}"/>
            </a:ext>
            <a:ext uri="{147F2762-F138-4A5C-976F-8EAC2B608ADB}">
              <a16:predDERef xmlns:a16="http://schemas.microsoft.com/office/drawing/2014/main" pred="{6F154BCB-7A03-4EEA-BBCD-1F8C6BF358FE}"/>
            </a:ext>
          </a:extLst>
        </xdr:cNvPr>
        <xdr:cNvSpPr>
          <a:spLocks noChangeAspect="1" noChangeArrowheads="1"/>
        </xdr:cNvSpPr>
      </xdr:nvSpPr>
      <xdr:spPr bwMode="auto">
        <a:xfrm>
          <a:off x="7531100" y="64363600"/>
          <a:ext cx="190500" cy="266700"/>
        </a:xfrm>
        <a:prstGeom prst="rect">
          <a:avLst/>
        </a:prstGeom>
        <a:noFill/>
      </xdr:spPr>
    </xdr:sp>
    <xdr:clientData/>
  </xdr:oneCellAnchor>
  <xdr:oneCellAnchor>
    <xdr:from>
      <xdr:col>4</xdr:col>
      <xdr:colOff>1657350</xdr:colOff>
      <xdr:row>334</xdr:row>
      <xdr:rowOff>0</xdr:rowOff>
    </xdr:from>
    <xdr:ext cx="190500" cy="266700"/>
    <xdr:sp macro="" textlink="">
      <xdr:nvSpPr>
        <xdr:cNvPr id="3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5F870A3-8288-44BF-8F16-A2E3516E47F9}"/>
            </a:ext>
            <a:ext uri="{147F2762-F138-4A5C-976F-8EAC2B608ADB}">
              <a16:predDERef xmlns:a16="http://schemas.microsoft.com/office/drawing/2014/main" pred="{900F7657-A405-429B-BD09-D3A97306544A}"/>
            </a:ext>
          </a:extLst>
        </xdr:cNvPr>
        <xdr:cNvSpPr>
          <a:spLocks noChangeAspect="1" noChangeArrowheads="1"/>
        </xdr:cNvSpPr>
      </xdr:nvSpPr>
      <xdr:spPr bwMode="auto">
        <a:xfrm>
          <a:off x="7531100" y="64731900"/>
          <a:ext cx="190500" cy="266700"/>
        </a:xfrm>
        <a:prstGeom prst="rect">
          <a:avLst/>
        </a:prstGeom>
        <a:noFill/>
      </xdr:spPr>
    </xdr:sp>
    <xdr:clientData/>
  </xdr:oneCellAnchor>
  <xdr:oneCellAnchor>
    <xdr:from>
      <xdr:col>4</xdr:col>
      <xdr:colOff>1657350</xdr:colOff>
      <xdr:row>334</xdr:row>
      <xdr:rowOff>0</xdr:rowOff>
    </xdr:from>
    <xdr:ext cx="190500" cy="266700"/>
    <xdr:sp macro="" textlink="">
      <xdr:nvSpPr>
        <xdr:cNvPr id="3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E602422-BCBE-4CBA-9CAE-1BAE2D6EF8D9}"/>
            </a:ext>
            <a:ext uri="{147F2762-F138-4A5C-976F-8EAC2B608ADB}">
              <a16:predDERef xmlns:a16="http://schemas.microsoft.com/office/drawing/2014/main" pred="{2FB305DE-AAB0-44EA-B962-F695EF832A45}"/>
            </a:ext>
          </a:extLst>
        </xdr:cNvPr>
        <xdr:cNvSpPr>
          <a:spLocks noChangeAspect="1" noChangeArrowheads="1"/>
        </xdr:cNvSpPr>
      </xdr:nvSpPr>
      <xdr:spPr bwMode="auto">
        <a:xfrm>
          <a:off x="7531100" y="64731900"/>
          <a:ext cx="190500" cy="266700"/>
        </a:xfrm>
        <a:prstGeom prst="rect">
          <a:avLst/>
        </a:prstGeom>
        <a:noFill/>
      </xdr:spPr>
    </xdr:sp>
    <xdr:clientData/>
  </xdr:oneCellAnchor>
  <xdr:oneCellAnchor>
    <xdr:from>
      <xdr:col>4</xdr:col>
      <xdr:colOff>1657350</xdr:colOff>
      <xdr:row>336</xdr:row>
      <xdr:rowOff>0</xdr:rowOff>
    </xdr:from>
    <xdr:ext cx="190500" cy="266700"/>
    <xdr:sp macro="" textlink="">
      <xdr:nvSpPr>
        <xdr:cNvPr id="3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C334689-780D-4B36-9098-3E28888C15C2}"/>
            </a:ext>
            <a:ext uri="{147F2762-F138-4A5C-976F-8EAC2B608ADB}">
              <a16:predDERef xmlns:a16="http://schemas.microsoft.com/office/drawing/2014/main" pred="{9C7DD6BA-243F-4999-8CD5-3AE347E22BFB}"/>
            </a:ext>
          </a:extLst>
        </xdr:cNvPr>
        <xdr:cNvSpPr>
          <a:spLocks noChangeAspect="1" noChangeArrowheads="1"/>
        </xdr:cNvSpPr>
      </xdr:nvSpPr>
      <xdr:spPr bwMode="auto">
        <a:xfrm>
          <a:off x="7531100" y="65100200"/>
          <a:ext cx="190500" cy="266700"/>
        </a:xfrm>
        <a:prstGeom prst="rect">
          <a:avLst/>
        </a:prstGeom>
        <a:noFill/>
      </xdr:spPr>
    </xdr:sp>
    <xdr:clientData/>
  </xdr:oneCellAnchor>
  <xdr:oneCellAnchor>
    <xdr:from>
      <xdr:col>4</xdr:col>
      <xdr:colOff>1657350</xdr:colOff>
      <xdr:row>336</xdr:row>
      <xdr:rowOff>0</xdr:rowOff>
    </xdr:from>
    <xdr:ext cx="190500" cy="266700"/>
    <xdr:sp macro="" textlink="">
      <xdr:nvSpPr>
        <xdr:cNvPr id="3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148661C-066F-4DD7-A700-6CAA3ADC3E7B}"/>
            </a:ext>
            <a:ext uri="{147F2762-F138-4A5C-976F-8EAC2B608ADB}">
              <a16:predDERef xmlns:a16="http://schemas.microsoft.com/office/drawing/2014/main" pred="{404E93BF-D585-4032-95E8-2EEA3DA62F4B}"/>
            </a:ext>
          </a:extLst>
        </xdr:cNvPr>
        <xdr:cNvSpPr>
          <a:spLocks noChangeAspect="1" noChangeArrowheads="1"/>
        </xdr:cNvSpPr>
      </xdr:nvSpPr>
      <xdr:spPr bwMode="auto">
        <a:xfrm>
          <a:off x="7531100" y="65100200"/>
          <a:ext cx="190500" cy="266700"/>
        </a:xfrm>
        <a:prstGeom prst="rect">
          <a:avLst/>
        </a:prstGeom>
        <a:noFill/>
      </xdr:spPr>
    </xdr:sp>
    <xdr:clientData/>
  </xdr:oneCellAnchor>
  <xdr:oneCellAnchor>
    <xdr:from>
      <xdr:col>4</xdr:col>
      <xdr:colOff>1657350</xdr:colOff>
      <xdr:row>338</xdr:row>
      <xdr:rowOff>0</xdr:rowOff>
    </xdr:from>
    <xdr:ext cx="190500" cy="266700"/>
    <xdr:sp macro="" textlink="">
      <xdr:nvSpPr>
        <xdr:cNvPr id="3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397D91D-F519-402B-B6EE-3CA582FB7F77}"/>
            </a:ext>
            <a:ext uri="{147F2762-F138-4A5C-976F-8EAC2B608ADB}">
              <a16:predDERef xmlns:a16="http://schemas.microsoft.com/office/drawing/2014/main" pred="{E7692533-18A6-4B6A-8E88-AEA8C9A39DEC}"/>
            </a:ext>
          </a:extLst>
        </xdr:cNvPr>
        <xdr:cNvSpPr>
          <a:spLocks noChangeAspect="1" noChangeArrowheads="1"/>
        </xdr:cNvSpPr>
      </xdr:nvSpPr>
      <xdr:spPr bwMode="auto">
        <a:xfrm>
          <a:off x="7531100" y="65468500"/>
          <a:ext cx="190500" cy="266700"/>
        </a:xfrm>
        <a:prstGeom prst="rect">
          <a:avLst/>
        </a:prstGeom>
        <a:noFill/>
      </xdr:spPr>
    </xdr:sp>
    <xdr:clientData/>
  </xdr:oneCellAnchor>
  <xdr:oneCellAnchor>
    <xdr:from>
      <xdr:col>4</xdr:col>
      <xdr:colOff>1657350</xdr:colOff>
      <xdr:row>338</xdr:row>
      <xdr:rowOff>0</xdr:rowOff>
    </xdr:from>
    <xdr:ext cx="190500" cy="266700"/>
    <xdr:sp macro="" textlink="">
      <xdr:nvSpPr>
        <xdr:cNvPr id="3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8836CB6-E2E2-4338-9F8E-2FB6C895BA77}"/>
            </a:ext>
            <a:ext uri="{147F2762-F138-4A5C-976F-8EAC2B608ADB}">
              <a16:predDERef xmlns:a16="http://schemas.microsoft.com/office/drawing/2014/main" pred="{2F88D3A3-C115-47AE-A91C-BEDF602188A5}"/>
            </a:ext>
          </a:extLst>
        </xdr:cNvPr>
        <xdr:cNvSpPr>
          <a:spLocks noChangeAspect="1" noChangeArrowheads="1"/>
        </xdr:cNvSpPr>
      </xdr:nvSpPr>
      <xdr:spPr bwMode="auto">
        <a:xfrm>
          <a:off x="7531100" y="65468500"/>
          <a:ext cx="190500" cy="266700"/>
        </a:xfrm>
        <a:prstGeom prst="rect">
          <a:avLst/>
        </a:prstGeom>
        <a:noFill/>
      </xdr:spPr>
    </xdr:sp>
    <xdr:clientData/>
  </xdr:oneCellAnchor>
  <xdr:oneCellAnchor>
    <xdr:from>
      <xdr:col>4</xdr:col>
      <xdr:colOff>1657350</xdr:colOff>
      <xdr:row>340</xdr:row>
      <xdr:rowOff>0</xdr:rowOff>
    </xdr:from>
    <xdr:ext cx="190500" cy="266700"/>
    <xdr:sp macro="" textlink="">
      <xdr:nvSpPr>
        <xdr:cNvPr id="3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6B8180D-E15E-443A-897E-470B2D175DDD}"/>
            </a:ext>
            <a:ext uri="{147F2762-F138-4A5C-976F-8EAC2B608ADB}">
              <a16:predDERef xmlns:a16="http://schemas.microsoft.com/office/drawing/2014/main" pred="{178875F0-3732-42C3-BD12-EBF18CE7DCF1}"/>
            </a:ext>
          </a:extLst>
        </xdr:cNvPr>
        <xdr:cNvSpPr>
          <a:spLocks noChangeAspect="1" noChangeArrowheads="1"/>
        </xdr:cNvSpPr>
      </xdr:nvSpPr>
      <xdr:spPr bwMode="auto">
        <a:xfrm>
          <a:off x="7531100" y="65836800"/>
          <a:ext cx="190500" cy="266700"/>
        </a:xfrm>
        <a:prstGeom prst="rect">
          <a:avLst/>
        </a:prstGeom>
        <a:noFill/>
      </xdr:spPr>
    </xdr:sp>
    <xdr:clientData/>
  </xdr:oneCellAnchor>
  <xdr:oneCellAnchor>
    <xdr:from>
      <xdr:col>4</xdr:col>
      <xdr:colOff>1657350</xdr:colOff>
      <xdr:row>340</xdr:row>
      <xdr:rowOff>0</xdr:rowOff>
    </xdr:from>
    <xdr:ext cx="190500" cy="266700"/>
    <xdr:sp macro="" textlink="">
      <xdr:nvSpPr>
        <xdr:cNvPr id="3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7237D54-37D0-4AB0-9A8D-D4D25687DC47}"/>
            </a:ext>
            <a:ext uri="{147F2762-F138-4A5C-976F-8EAC2B608ADB}">
              <a16:predDERef xmlns:a16="http://schemas.microsoft.com/office/drawing/2014/main" pred="{7C6BF419-04F5-4719-9394-805D5CC76D3F}"/>
            </a:ext>
          </a:extLst>
        </xdr:cNvPr>
        <xdr:cNvSpPr>
          <a:spLocks noChangeAspect="1" noChangeArrowheads="1"/>
        </xdr:cNvSpPr>
      </xdr:nvSpPr>
      <xdr:spPr bwMode="auto">
        <a:xfrm>
          <a:off x="7531100" y="65836800"/>
          <a:ext cx="190500" cy="266700"/>
        </a:xfrm>
        <a:prstGeom prst="rect">
          <a:avLst/>
        </a:prstGeom>
        <a:noFill/>
      </xdr:spPr>
    </xdr:sp>
    <xdr:clientData/>
  </xdr:oneCellAnchor>
  <xdr:oneCellAnchor>
    <xdr:from>
      <xdr:col>4</xdr:col>
      <xdr:colOff>1657350</xdr:colOff>
      <xdr:row>342</xdr:row>
      <xdr:rowOff>0</xdr:rowOff>
    </xdr:from>
    <xdr:ext cx="190500" cy="266700"/>
    <xdr:sp macro="" textlink="">
      <xdr:nvSpPr>
        <xdr:cNvPr id="3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8E727AF-5337-4A50-8268-AAB5710ECBC1}"/>
            </a:ext>
            <a:ext uri="{147F2762-F138-4A5C-976F-8EAC2B608ADB}">
              <a16:predDERef xmlns:a16="http://schemas.microsoft.com/office/drawing/2014/main" pred="{837C38B2-E0B9-4CF9-A27B-99971244CFBD}"/>
            </a:ext>
          </a:extLst>
        </xdr:cNvPr>
        <xdr:cNvSpPr>
          <a:spLocks noChangeAspect="1" noChangeArrowheads="1"/>
        </xdr:cNvSpPr>
      </xdr:nvSpPr>
      <xdr:spPr bwMode="auto">
        <a:xfrm>
          <a:off x="7531100" y="66205100"/>
          <a:ext cx="190500" cy="266700"/>
        </a:xfrm>
        <a:prstGeom prst="rect">
          <a:avLst/>
        </a:prstGeom>
        <a:noFill/>
      </xdr:spPr>
    </xdr:sp>
    <xdr:clientData/>
  </xdr:oneCellAnchor>
  <xdr:oneCellAnchor>
    <xdr:from>
      <xdr:col>4</xdr:col>
      <xdr:colOff>1657350</xdr:colOff>
      <xdr:row>342</xdr:row>
      <xdr:rowOff>0</xdr:rowOff>
    </xdr:from>
    <xdr:ext cx="190500" cy="266700"/>
    <xdr:sp macro="" textlink="">
      <xdr:nvSpPr>
        <xdr:cNvPr id="3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07EA95B-27D6-4AF3-BB19-17EA05EC13E7}"/>
            </a:ext>
            <a:ext uri="{147F2762-F138-4A5C-976F-8EAC2B608ADB}">
              <a16:predDERef xmlns:a16="http://schemas.microsoft.com/office/drawing/2014/main" pred="{470B27C3-7A4F-4A41-A952-CC5693AFFD74}"/>
            </a:ext>
          </a:extLst>
        </xdr:cNvPr>
        <xdr:cNvSpPr>
          <a:spLocks noChangeAspect="1" noChangeArrowheads="1"/>
        </xdr:cNvSpPr>
      </xdr:nvSpPr>
      <xdr:spPr bwMode="auto">
        <a:xfrm>
          <a:off x="7531100" y="66205100"/>
          <a:ext cx="190500" cy="266700"/>
        </a:xfrm>
        <a:prstGeom prst="rect">
          <a:avLst/>
        </a:prstGeom>
        <a:noFill/>
      </xdr:spPr>
    </xdr:sp>
    <xdr:clientData/>
  </xdr:oneCellAnchor>
  <xdr:oneCellAnchor>
    <xdr:from>
      <xdr:col>4</xdr:col>
      <xdr:colOff>1657350</xdr:colOff>
      <xdr:row>344</xdr:row>
      <xdr:rowOff>0</xdr:rowOff>
    </xdr:from>
    <xdr:ext cx="190500" cy="266700"/>
    <xdr:sp macro="" textlink="">
      <xdr:nvSpPr>
        <xdr:cNvPr id="3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E783361-C19A-47B0-B663-E7460F0F36B2}"/>
            </a:ext>
            <a:ext uri="{147F2762-F138-4A5C-976F-8EAC2B608ADB}">
              <a16:predDERef xmlns:a16="http://schemas.microsoft.com/office/drawing/2014/main" pred="{B8F9B290-2197-4366-8FED-9723B0ACC6BD}"/>
            </a:ext>
          </a:extLst>
        </xdr:cNvPr>
        <xdr:cNvSpPr>
          <a:spLocks noChangeAspect="1" noChangeArrowheads="1"/>
        </xdr:cNvSpPr>
      </xdr:nvSpPr>
      <xdr:spPr bwMode="auto">
        <a:xfrm>
          <a:off x="7531100" y="66573400"/>
          <a:ext cx="190500" cy="266700"/>
        </a:xfrm>
        <a:prstGeom prst="rect">
          <a:avLst/>
        </a:prstGeom>
        <a:noFill/>
      </xdr:spPr>
    </xdr:sp>
    <xdr:clientData/>
  </xdr:oneCellAnchor>
  <xdr:oneCellAnchor>
    <xdr:from>
      <xdr:col>4</xdr:col>
      <xdr:colOff>1657350</xdr:colOff>
      <xdr:row>344</xdr:row>
      <xdr:rowOff>0</xdr:rowOff>
    </xdr:from>
    <xdr:ext cx="190500" cy="266700"/>
    <xdr:sp macro="" textlink="">
      <xdr:nvSpPr>
        <xdr:cNvPr id="3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A962C9E-C2AB-4687-953E-7C4B83D73734}"/>
            </a:ext>
            <a:ext uri="{147F2762-F138-4A5C-976F-8EAC2B608ADB}">
              <a16:predDERef xmlns:a16="http://schemas.microsoft.com/office/drawing/2014/main" pred="{7A3A3BF7-C9AB-462D-A639-DEB3E346223E}"/>
            </a:ext>
          </a:extLst>
        </xdr:cNvPr>
        <xdr:cNvSpPr>
          <a:spLocks noChangeAspect="1" noChangeArrowheads="1"/>
        </xdr:cNvSpPr>
      </xdr:nvSpPr>
      <xdr:spPr bwMode="auto">
        <a:xfrm>
          <a:off x="7531100" y="66573400"/>
          <a:ext cx="190500" cy="266700"/>
        </a:xfrm>
        <a:prstGeom prst="rect">
          <a:avLst/>
        </a:prstGeom>
        <a:noFill/>
      </xdr:spPr>
    </xdr:sp>
    <xdr:clientData/>
  </xdr:oneCellAnchor>
  <xdr:oneCellAnchor>
    <xdr:from>
      <xdr:col>4</xdr:col>
      <xdr:colOff>1657350</xdr:colOff>
      <xdr:row>346</xdr:row>
      <xdr:rowOff>0</xdr:rowOff>
    </xdr:from>
    <xdr:ext cx="190500" cy="266700"/>
    <xdr:sp macro="" textlink="">
      <xdr:nvSpPr>
        <xdr:cNvPr id="3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0671C12-08E7-46A7-8A30-FB8723ACC6C1}"/>
            </a:ext>
            <a:ext uri="{147F2762-F138-4A5C-976F-8EAC2B608ADB}">
              <a16:predDERef xmlns:a16="http://schemas.microsoft.com/office/drawing/2014/main" pred="{3BF2A4B9-5BCF-42D6-A4B5-03C1F219C6B1}"/>
            </a:ext>
          </a:extLst>
        </xdr:cNvPr>
        <xdr:cNvSpPr>
          <a:spLocks noChangeAspect="1" noChangeArrowheads="1"/>
        </xdr:cNvSpPr>
      </xdr:nvSpPr>
      <xdr:spPr bwMode="auto">
        <a:xfrm>
          <a:off x="7531100" y="66941700"/>
          <a:ext cx="190500" cy="266700"/>
        </a:xfrm>
        <a:prstGeom prst="rect">
          <a:avLst/>
        </a:prstGeom>
        <a:noFill/>
      </xdr:spPr>
    </xdr:sp>
    <xdr:clientData/>
  </xdr:oneCellAnchor>
  <xdr:oneCellAnchor>
    <xdr:from>
      <xdr:col>4</xdr:col>
      <xdr:colOff>1657350</xdr:colOff>
      <xdr:row>346</xdr:row>
      <xdr:rowOff>0</xdr:rowOff>
    </xdr:from>
    <xdr:ext cx="190500" cy="266700"/>
    <xdr:sp macro="" textlink="">
      <xdr:nvSpPr>
        <xdr:cNvPr id="3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42FE24B-8A7C-476F-A038-5B620195C3E3}"/>
            </a:ext>
            <a:ext uri="{147F2762-F138-4A5C-976F-8EAC2B608ADB}">
              <a16:predDERef xmlns:a16="http://schemas.microsoft.com/office/drawing/2014/main" pred="{465A5557-3234-4F40-B414-69BD83167D3C}"/>
            </a:ext>
          </a:extLst>
        </xdr:cNvPr>
        <xdr:cNvSpPr>
          <a:spLocks noChangeAspect="1" noChangeArrowheads="1"/>
        </xdr:cNvSpPr>
      </xdr:nvSpPr>
      <xdr:spPr bwMode="auto">
        <a:xfrm>
          <a:off x="7531100" y="66941700"/>
          <a:ext cx="190500" cy="266700"/>
        </a:xfrm>
        <a:prstGeom prst="rect">
          <a:avLst/>
        </a:prstGeom>
        <a:noFill/>
      </xdr:spPr>
    </xdr:sp>
    <xdr:clientData/>
  </xdr:oneCellAnchor>
  <xdr:oneCellAnchor>
    <xdr:from>
      <xdr:col>4</xdr:col>
      <xdr:colOff>1657350</xdr:colOff>
      <xdr:row>348</xdr:row>
      <xdr:rowOff>0</xdr:rowOff>
    </xdr:from>
    <xdr:ext cx="190500" cy="266700"/>
    <xdr:sp macro="" textlink="">
      <xdr:nvSpPr>
        <xdr:cNvPr id="3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81E6B42-AFFC-4E1C-AD4B-4BC71ABC033B}"/>
            </a:ext>
            <a:ext uri="{147F2762-F138-4A5C-976F-8EAC2B608ADB}">
              <a16:predDERef xmlns:a16="http://schemas.microsoft.com/office/drawing/2014/main" pred="{6053FA78-B180-4BAF-93AE-C919D6BB9206}"/>
            </a:ext>
          </a:extLst>
        </xdr:cNvPr>
        <xdr:cNvSpPr>
          <a:spLocks noChangeAspect="1" noChangeArrowheads="1"/>
        </xdr:cNvSpPr>
      </xdr:nvSpPr>
      <xdr:spPr bwMode="auto">
        <a:xfrm>
          <a:off x="7531100" y="67310000"/>
          <a:ext cx="190500" cy="266700"/>
        </a:xfrm>
        <a:prstGeom prst="rect">
          <a:avLst/>
        </a:prstGeom>
        <a:noFill/>
      </xdr:spPr>
    </xdr:sp>
    <xdr:clientData/>
  </xdr:oneCellAnchor>
  <xdr:oneCellAnchor>
    <xdr:from>
      <xdr:col>4</xdr:col>
      <xdr:colOff>1657350</xdr:colOff>
      <xdr:row>348</xdr:row>
      <xdr:rowOff>0</xdr:rowOff>
    </xdr:from>
    <xdr:ext cx="190500" cy="266700"/>
    <xdr:sp macro="" textlink="">
      <xdr:nvSpPr>
        <xdr:cNvPr id="3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EC3331C-5C6B-4FBA-9989-941DE8C350BB}"/>
            </a:ext>
            <a:ext uri="{147F2762-F138-4A5C-976F-8EAC2B608ADB}">
              <a16:predDERef xmlns:a16="http://schemas.microsoft.com/office/drawing/2014/main" pred="{1326CDA7-04BB-407D-BA7E-62C843BAE47E}"/>
            </a:ext>
          </a:extLst>
        </xdr:cNvPr>
        <xdr:cNvSpPr>
          <a:spLocks noChangeAspect="1" noChangeArrowheads="1"/>
        </xdr:cNvSpPr>
      </xdr:nvSpPr>
      <xdr:spPr bwMode="auto">
        <a:xfrm>
          <a:off x="7531100" y="67310000"/>
          <a:ext cx="190500" cy="266700"/>
        </a:xfrm>
        <a:prstGeom prst="rect">
          <a:avLst/>
        </a:prstGeom>
        <a:noFill/>
      </xdr:spPr>
    </xdr:sp>
    <xdr:clientData/>
  </xdr:oneCellAnchor>
  <xdr:oneCellAnchor>
    <xdr:from>
      <xdr:col>4</xdr:col>
      <xdr:colOff>1657350</xdr:colOff>
      <xdr:row>350</xdr:row>
      <xdr:rowOff>0</xdr:rowOff>
    </xdr:from>
    <xdr:ext cx="190500" cy="266700"/>
    <xdr:sp macro="" textlink="">
      <xdr:nvSpPr>
        <xdr:cNvPr id="3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19E50F7-01D6-4050-AD9C-D3FDDDD70CC3}"/>
            </a:ext>
            <a:ext uri="{147F2762-F138-4A5C-976F-8EAC2B608ADB}">
              <a16:predDERef xmlns:a16="http://schemas.microsoft.com/office/drawing/2014/main" pred="{139D4F09-A04D-42B3-A3FB-C8ED24D319EE}"/>
            </a:ext>
          </a:extLst>
        </xdr:cNvPr>
        <xdr:cNvSpPr>
          <a:spLocks noChangeAspect="1" noChangeArrowheads="1"/>
        </xdr:cNvSpPr>
      </xdr:nvSpPr>
      <xdr:spPr bwMode="auto">
        <a:xfrm>
          <a:off x="7531100" y="67678300"/>
          <a:ext cx="190500" cy="266700"/>
        </a:xfrm>
        <a:prstGeom prst="rect">
          <a:avLst/>
        </a:prstGeom>
        <a:noFill/>
      </xdr:spPr>
    </xdr:sp>
    <xdr:clientData/>
  </xdr:oneCellAnchor>
  <xdr:oneCellAnchor>
    <xdr:from>
      <xdr:col>4</xdr:col>
      <xdr:colOff>1657350</xdr:colOff>
      <xdr:row>350</xdr:row>
      <xdr:rowOff>0</xdr:rowOff>
    </xdr:from>
    <xdr:ext cx="190500" cy="266700"/>
    <xdr:sp macro="" textlink="">
      <xdr:nvSpPr>
        <xdr:cNvPr id="3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3508AF6-EF92-45BC-8A24-2CE3A5026D9C}"/>
            </a:ext>
            <a:ext uri="{147F2762-F138-4A5C-976F-8EAC2B608ADB}">
              <a16:predDERef xmlns:a16="http://schemas.microsoft.com/office/drawing/2014/main" pred="{FB3E55AC-86A7-4F76-A100-B62086CA2784}"/>
            </a:ext>
          </a:extLst>
        </xdr:cNvPr>
        <xdr:cNvSpPr>
          <a:spLocks noChangeAspect="1" noChangeArrowheads="1"/>
        </xdr:cNvSpPr>
      </xdr:nvSpPr>
      <xdr:spPr bwMode="auto">
        <a:xfrm>
          <a:off x="7531100" y="67678300"/>
          <a:ext cx="190500" cy="266700"/>
        </a:xfrm>
        <a:prstGeom prst="rect">
          <a:avLst/>
        </a:prstGeom>
        <a:noFill/>
      </xdr:spPr>
    </xdr:sp>
    <xdr:clientData/>
  </xdr:oneCellAnchor>
  <xdr:oneCellAnchor>
    <xdr:from>
      <xdr:col>4</xdr:col>
      <xdr:colOff>1657350</xdr:colOff>
      <xdr:row>352</xdr:row>
      <xdr:rowOff>0</xdr:rowOff>
    </xdr:from>
    <xdr:ext cx="190500" cy="266700"/>
    <xdr:sp macro="" textlink="">
      <xdr:nvSpPr>
        <xdr:cNvPr id="3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27FF6B8-D425-4731-9AC3-099C415B1098}"/>
            </a:ext>
            <a:ext uri="{147F2762-F138-4A5C-976F-8EAC2B608ADB}">
              <a16:predDERef xmlns:a16="http://schemas.microsoft.com/office/drawing/2014/main" pred="{8EF3F679-629E-4011-955F-3061C510B6A3}"/>
            </a:ext>
          </a:extLst>
        </xdr:cNvPr>
        <xdr:cNvSpPr>
          <a:spLocks noChangeAspect="1" noChangeArrowheads="1"/>
        </xdr:cNvSpPr>
      </xdr:nvSpPr>
      <xdr:spPr bwMode="auto">
        <a:xfrm>
          <a:off x="7531100" y="68046600"/>
          <a:ext cx="190500" cy="266700"/>
        </a:xfrm>
        <a:prstGeom prst="rect">
          <a:avLst/>
        </a:prstGeom>
        <a:noFill/>
      </xdr:spPr>
    </xdr:sp>
    <xdr:clientData/>
  </xdr:oneCellAnchor>
  <xdr:oneCellAnchor>
    <xdr:from>
      <xdr:col>4</xdr:col>
      <xdr:colOff>1657350</xdr:colOff>
      <xdr:row>352</xdr:row>
      <xdr:rowOff>0</xdr:rowOff>
    </xdr:from>
    <xdr:ext cx="190500" cy="266700"/>
    <xdr:sp macro="" textlink="">
      <xdr:nvSpPr>
        <xdr:cNvPr id="3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930DF6D-5C47-4A29-8852-6E730F882F1F}"/>
            </a:ext>
            <a:ext uri="{147F2762-F138-4A5C-976F-8EAC2B608ADB}">
              <a16:predDERef xmlns:a16="http://schemas.microsoft.com/office/drawing/2014/main" pred="{2C054F36-34E1-4FC7-BC80-7FA5EB0BC89E}"/>
            </a:ext>
          </a:extLst>
        </xdr:cNvPr>
        <xdr:cNvSpPr>
          <a:spLocks noChangeAspect="1" noChangeArrowheads="1"/>
        </xdr:cNvSpPr>
      </xdr:nvSpPr>
      <xdr:spPr bwMode="auto">
        <a:xfrm>
          <a:off x="7531100" y="68046600"/>
          <a:ext cx="190500" cy="266700"/>
        </a:xfrm>
        <a:prstGeom prst="rect">
          <a:avLst/>
        </a:prstGeom>
        <a:noFill/>
      </xdr:spPr>
    </xdr:sp>
    <xdr:clientData/>
  </xdr:oneCellAnchor>
  <xdr:oneCellAnchor>
    <xdr:from>
      <xdr:col>4</xdr:col>
      <xdr:colOff>1657350</xdr:colOff>
      <xdr:row>354</xdr:row>
      <xdr:rowOff>0</xdr:rowOff>
    </xdr:from>
    <xdr:ext cx="190500" cy="266700"/>
    <xdr:sp macro="" textlink="">
      <xdr:nvSpPr>
        <xdr:cNvPr id="3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0FEF339-2813-49A9-8B69-27C6E5C479D2}"/>
            </a:ext>
            <a:ext uri="{147F2762-F138-4A5C-976F-8EAC2B608ADB}">
              <a16:predDERef xmlns:a16="http://schemas.microsoft.com/office/drawing/2014/main" pred="{375FB02E-A290-4FE4-B33D-F1B5ECC08A6D}"/>
            </a:ext>
          </a:extLst>
        </xdr:cNvPr>
        <xdr:cNvSpPr>
          <a:spLocks noChangeAspect="1" noChangeArrowheads="1"/>
        </xdr:cNvSpPr>
      </xdr:nvSpPr>
      <xdr:spPr bwMode="auto">
        <a:xfrm>
          <a:off x="7531100" y="68414900"/>
          <a:ext cx="190500" cy="266700"/>
        </a:xfrm>
        <a:prstGeom prst="rect">
          <a:avLst/>
        </a:prstGeom>
        <a:noFill/>
      </xdr:spPr>
    </xdr:sp>
    <xdr:clientData/>
  </xdr:oneCellAnchor>
  <xdr:oneCellAnchor>
    <xdr:from>
      <xdr:col>4</xdr:col>
      <xdr:colOff>1657350</xdr:colOff>
      <xdr:row>354</xdr:row>
      <xdr:rowOff>0</xdr:rowOff>
    </xdr:from>
    <xdr:ext cx="190500" cy="266700"/>
    <xdr:sp macro="" textlink="">
      <xdr:nvSpPr>
        <xdr:cNvPr id="3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15BACC2-1A3D-43B1-AF1B-5A9503F1B828}"/>
            </a:ext>
            <a:ext uri="{147F2762-F138-4A5C-976F-8EAC2B608ADB}">
              <a16:predDERef xmlns:a16="http://schemas.microsoft.com/office/drawing/2014/main" pred="{43CC841D-9B54-4D47-BBD1-FB697E2A7EE8}"/>
            </a:ext>
          </a:extLst>
        </xdr:cNvPr>
        <xdr:cNvSpPr>
          <a:spLocks noChangeAspect="1" noChangeArrowheads="1"/>
        </xdr:cNvSpPr>
      </xdr:nvSpPr>
      <xdr:spPr bwMode="auto">
        <a:xfrm>
          <a:off x="7531100" y="68414900"/>
          <a:ext cx="190500" cy="266700"/>
        </a:xfrm>
        <a:prstGeom prst="rect">
          <a:avLst/>
        </a:prstGeom>
        <a:noFill/>
      </xdr:spPr>
    </xdr:sp>
    <xdr:clientData/>
  </xdr:oneCellAnchor>
  <xdr:oneCellAnchor>
    <xdr:from>
      <xdr:col>4</xdr:col>
      <xdr:colOff>1657350</xdr:colOff>
      <xdr:row>356</xdr:row>
      <xdr:rowOff>0</xdr:rowOff>
    </xdr:from>
    <xdr:ext cx="190500" cy="266700"/>
    <xdr:sp macro="" textlink="">
      <xdr:nvSpPr>
        <xdr:cNvPr id="3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E89A028-C49A-4ED3-AD7D-327301B2A92C}"/>
            </a:ext>
            <a:ext uri="{147F2762-F138-4A5C-976F-8EAC2B608ADB}">
              <a16:predDERef xmlns:a16="http://schemas.microsoft.com/office/drawing/2014/main" pred="{3DB72FB8-5DDE-41A5-80E0-F4B427D54471}"/>
            </a:ext>
          </a:extLst>
        </xdr:cNvPr>
        <xdr:cNvSpPr>
          <a:spLocks noChangeAspect="1" noChangeArrowheads="1"/>
        </xdr:cNvSpPr>
      </xdr:nvSpPr>
      <xdr:spPr bwMode="auto">
        <a:xfrm>
          <a:off x="7531100" y="68783200"/>
          <a:ext cx="190500" cy="266700"/>
        </a:xfrm>
        <a:prstGeom prst="rect">
          <a:avLst/>
        </a:prstGeom>
        <a:noFill/>
      </xdr:spPr>
    </xdr:sp>
    <xdr:clientData/>
  </xdr:oneCellAnchor>
  <xdr:oneCellAnchor>
    <xdr:from>
      <xdr:col>4</xdr:col>
      <xdr:colOff>1657350</xdr:colOff>
      <xdr:row>356</xdr:row>
      <xdr:rowOff>0</xdr:rowOff>
    </xdr:from>
    <xdr:ext cx="190500" cy="266700"/>
    <xdr:sp macro="" textlink="">
      <xdr:nvSpPr>
        <xdr:cNvPr id="3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5C6A5D5-DF65-499E-AC45-EE7375BED756}"/>
            </a:ext>
            <a:ext uri="{147F2762-F138-4A5C-976F-8EAC2B608ADB}">
              <a16:predDERef xmlns:a16="http://schemas.microsoft.com/office/drawing/2014/main" pred="{54626FBE-4FBE-48DB-82D9-04AD3CEA7D87}"/>
            </a:ext>
          </a:extLst>
        </xdr:cNvPr>
        <xdr:cNvSpPr>
          <a:spLocks noChangeAspect="1" noChangeArrowheads="1"/>
        </xdr:cNvSpPr>
      </xdr:nvSpPr>
      <xdr:spPr bwMode="auto">
        <a:xfrm>
          <a:off x="7531100" y="68783200"/>
          <a:ext cx="190500" cy="266700"/>
        </a:xfrm>
        <a:prstGeom prst="rect">
          <a:avLst/>
        </a:prstGeom>
        <a:noFill/>
      </xdr:spPr>
    </xdr:sp>
    <xdr:clientData/>
  </xdr:oneCellAnchor>
  <xdr:oneCellAnchor>
    <xdr:from>
      <xdr:col>4</xdr:col>
      <xdr:colOff>1657350</xdr:colOff>
      <xdr:row>358</xdr:row>
      <xdr:rowOff>0</xdr:rowOff>
    </xdr:from>
    <xdr:ext cx="190500" cy="266700"/>
    <xdr:sp macro="" textlink="">
      <xdr:nvSpPr>
        <xdr:cNvPr id="3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F03EBFA-C994-483D-A508-5FB78E48E0F0}"/>
            </a:ext>
            <a:ext uri="{147F2762-F138-4A5C-976F-8EAC2B608ADB}">
              <a16:predDERef xmlns:a16="http://schemas.microsoft.com/office/drawing/2014/main" pred="{8D2533B0-1111-46C2-B7F7-2A47842FC88C}"/>
            </a:ext>
          </a:extLst>
        </xdr:cNvPr>
        <xdr:cNvSpPr>
          <a:spLocks noChangeAspect="1" noChangeArrowheads="1"/>
        </xdr:cNvSpPr>
      </xdr:nvSpPr>
      <xdr:spPr bwMode="auto">
        <a:xfrm>
          <a:off x="7531100" y="69151500"/>
          <a:ext cx="190500" cy="266700"/>
        </a:xfrm>
        <a:prstGeom prst="rect">
          <a:avLst/>
        </a:prstGeom>
        <a:noFill/>
      </xdr:spPr>
    </xdr:sp>
    <xdr:clientData/>
  </xdr:oneCellAnchor>
  <xdr:oneCellAnchor>
    <xdr:from>
      <xdr:col>4</xdr:col>
      <xdr:colOff>1657350</xdr:colOff>
      <xdr:row>358</xdr:row>
      <xdr:rowOff>0</xdr:rowOff>
    </xdr:from>
    <xdr:ext cx="190500" cy="266700"/>
    <xdr:sp macro="" textlink="">
      <xdr:nvSpPr>
        <xdr:cNvPr id="3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7A597AD-61A1-41CE-B5E0-C8928650C70B}"/>
            </a:ext>
            <a:ext uri="{147F2762-F138-4A5C-976F-8EAC2B608ADB}">
              <a16:predDERef xmlns:a16="http://schemas.microsoft.com/office/drawing/2014/main" pred="{36D7E3A5-5272-49B0-94F3-7FBCBDC139B1}"/>
            </a:ext>
          </a:extLst>
        </xdr:cNvPr>
        <xdr:cNvSpPr>
          <a:spLocks noChangeAspect="1" noChangeArrowheads="1"/>
        </xdr:cNvSpPr>
      </xdr:nvSpPr>
      <xdr:spPr bwMode="auto">
        <a:xfrm>
          <a:off x="7531100" y="69151500"/>
          <a:ext cx="190500" cy="266700"/>
        </a:xfrm>
        <a:prstGeom prst="rect">
          <a:avLst/>
        </a:prstGeom>
        <a:noFill/>
      </xdr:spPr>
    </xdr:sp>
    <xdr:clientData/>
  </xdr:oneCellAnchor>
  <xdr:oneCellAnchor>
    <xdr:from>
      <xdr:col>4</xdr:col>
      <xdr:colOff>1657350</xdr:colOff>
      <xdr:row>360</xdr:row>
      <xdr:rowOff>0</xdr:rowOff>
    </xdr:from>
    <xdr:ext cx="190500" cy="266700"/>
    <xdr:sp macro="" textlink="">
      <xdr:nvSpPr>
        <xdr:cNvPr id="3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C4ABB5C-10BF-4C9D-A9F1-61D1D98CE862}"/>
            </a:ext>
            <a:ext uri="{147F2762-F138-4A5C-976F-8EAC2B608ADB}">
              <a16:predDERef xmlns:a16="http://schemas.microsoft.com/office/drawing/2014/main" pred="{959BD18B-F5EC-4A6D-891B-50C16B4B257A}"/>
            </a:ext>
          </a:extLst>
        </xdr:cNvPr>
        <xdr:cNvSpPr>
          <a:spLocks noChangeAspect="1" noChangeArrowheads="1"/>
        </xdr:cNvSpPr>
      </xdr:nvSpPr>
      <xdr:spPr bwMode="auto">
        <a:xfrm>
          <a:off x="7531100" y="69519800"/>
          <a:ext cx="190500" cy="266700"/>
        </a:xfrm>
        <a:prstGeom prst="rect">
          <a:avLst/>
        </a:prstGeom>
        <a:noFill/>
      </xdr:spPr>
    </xdr:sp>
    <xdr:clientData/>
  </xdr:oneCellAnchor>
  <xdr:oneCellAnchor>
    <xdr:from>
      <xdr:col>4</xdr:col>
      <xdr:colOff>1657350</xdr:colOff>
      <xdr:row>360</xdr:row>
      <xdr:rowOff>0</xdr:rowOff>
    </xdr:from>
    <xdr:ext cx="190500" cy="266700"/>
    <xdr:sp macro="" textlink="">
      <xdr:nvSpPr>
        <xdr:cNvPr id="3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65D44FA-526C-4672-A3F8-9813CE64D52A}"/>
            </a:ext>
            <a:ext uri="{147F2762-F138-4A5C-976F-8EAC2B608ADB}">
              <a16:predDERef xmlns:a16="http://schemas.microsoft.com/office/drawing/2014/main" pred="{85DF5C47-7658-42F7-989D-9903B5A35114}"/>
            </a:ext>
          </a:extLst>
        </xdr:cNvPr>
        <xdr:cNvSpPr>
          <a:spLocks noChangeAspect="1" noChangeArrowheads="1"/>
        </xdr:cNvSpPr>
      </xdr:nvSpPr>
      <xdr:spPr bwMode="auto">
        <a:xfrm>
          <a:off x="7531100" y="69519800"/>
          <a:ext cx="190500" cy="266700"/>
        </a:xfrm>
        <a:prstGeom prst="rect">
          <a:avLst/>
        </a:prstGeom>
        <a:noFill/>
      </xdr:spPr>
    </xdr:sp>
    <xdr:clientData/>
  </xdr:oneCellAnchor>
  <xdr:oneCellAnchor>
    <xdr:from>
      <xdr:col>4</xdr:col>
      <xdr:colOff>1657350</xdr:colOff>
      <xdr:row>362</xdr:row>
      <xdr:rowOff>0</xdr:rowOff>
    </xdr:from>
    <xdr:ext cx="190500" cy="266700"/>
    <xdr:sp macro="" textlink="">
      <xdr:nvSpPr>
        <xdr:cNvPr id="3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E249FD4-18FC-417F-A777-CB363118DA1C}"/>
            </a:ext>
            <a:ext uri="{147F2762-F138-4A5C-976F-8EAC2B608ADB}">
              <a16:predDERef xmlns:a16="http://schemas.microsoft.com/office/drawing/2014/main" pred="{FBCB4F53-3AA4-4C0F-88B9-15B11BEE1F56}"/>
            </a:ext>
          </a:extLst>
        </xdr:cNvPr>
        <xdr:cNvSpPr>
          <a:spLocks noChangeAspect="1" noChangeArrowheads="1"/>
        </xdr:cNvSpPr>
      </xdr:nvSpPr>
      <xdr:spPr bwMode="auto">
        <a:xfrm>
          <a:off x="7531100" y="69888100"/>
          <a:ext cx="190500" cy="266700"/>
        </a:xfrm>
        <a:prstGeom prst="rect">
          <a:avLst/>
        </a:prstGeom>
        <a:noFill/>
      </xdr:spPr>
    </xdr:sp>
    <xdr:clientData/>
  </xdr:oneCellAnchor>
  <xdr:oneCellAnchor>
    <xdr:from>
      <xdr:col>4</xdr:col>
      <xdr:colOff>1657350</xdr:colOff>
      <xdr:row>362</xdr:row>
      <xdr:rowOff>0</xdr:rowOff>
    </xdr:from>
    <xdr:ext cx="190500" cy="266700"/>
    <xdr:sp macro="" textlink="">
      <xdr:nvSpPr>
        <xdr:cNvPr id="3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0EB5C9B-A14D-4388-91E2-C25DA0C13780}"/>
            </a:ext>
            <a:ext uri="{147F2762-F138-4A5C-976F-8EAC2B608ADB}">
              <a16:predDERef xmlns:a16="http://schemas.microsoft.com/office/drawing/2014/main" pred="{EA11548A-EC74-4DA4-A676-C7A264DD6BF6}"/>
            </a:ext>
          </a:extLst>
        </xdr:cNvPr>
        <xdr:cNvSpPr>
          <a:spLocks noChangeAspect="1" noChangeArrowheads="1"/>
        </xdr:cNvSpPr>
      </xdr:nvSpPr>
      <xdr:spPr bwMode="auto">
        <a:xfrm>
          <a:off x="7531100" y="69888100"/>
          <a:ext cx="190500" cy="266700"/>
        </a:xfrm>
        <a:prstGeom prst="rect">
          <a:avLst/>
        </a:prstGeom>
        <a:noFill/>
      </xdr:spPr>
    </xdr:sp>
    <xdr:clientData/>
  </xdr:oneCellAnchor>
  <xdr:oneCellAnchor>
    <xdr:from>
      <xdr:col>4</xdr:col>
      <xdr:colOff>1657350</xdr:colOff>
      <xdr:row>364</xdr:row>
      <xdr:rowOff>0</xdr:rowOff>
    </xdr:from>
    <xdr:ext cx="190500" cy="266700"/>
    <xdr:sp macro="" textlink="">
      <xdr:nvSpPr>
        <xdr:cNvPr id="3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B893FED-5E43-4F3A-9FDF-B90A2983D751}"/>
            </a:ext>
            <a:ext uri="{147F2762-F138-4A5C-976F-8EAC2B608ADB}">
              <a16:predDERef xmlns:a16="http://schemas.microsoft.com/office/drawing/2014/main" pred="{8EB1A32F-4113-4CAF-9266-42E5AEE26F50}"/>
            </a:ext>
          </a:extLst>
        </xdr:cNvPr>
        <xdr:cNvSpPr>
          <a:spLocks noChangeAspect="1" noChangeArrowheads="1"/>
        </xdr:cNvSpPr>
      </xdr:nvSpPr>
      <xdr:spPr bwMode="auto">
        <a:xfrm>
          <a:off x="7531100" y="70256400"/>
          <a:ext cx="190500" cy="266700"/>
        </a:xfrm>
        <a:prstGeom prst="rect">
          <a:avLst/>
        </a:prstGeom>
        <a:noFill/>
      </xdr:spPr>
    </xdr:sp>
    <xdr:clientData/>
  </xdr:oneCellAnchor>
  <xdr:oneCellAnchor>
    <xdr:from>
      <xdr:col>4</xdr:col>
      <xdr:colOff>1657350</xdr:colOff>
      <xdr:row>364</xdr:row>
      <xdr:rowOff>0</xdr:rowOff>
    </xdr:from>
    <xdr:ext cx="190500" cy="266700"/>
    <xdr:sp macro="" textlink="">
      <xdr:nvSpPr>
        <xdr:cNvPr id="3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61927C1-E466-4BA5-BE03-936B166C5056}"/>
            </a:ext>
            <a:ext uri="{147F2762-F138-4A5C-976F-8EAC2B608ADB}">
              <a16:predDERef xmlns:a16="http://schemas.microsoft.com/office/drawing/2014/main" pred="{85F84824-B65C-4A99-9836-FF4D4AD8F052}"/>
            </a:ext>
          </a:extLst>
        </xdr:cNvPr>
        <xdr:cNvSpPr>
          <a:spLocks noChangeAspect="1" noChangeArrowheads="1"/>
        </xdr:cNvSpPr>
      </xdr:nvSpPr>
      <xdr:spPr bwMode="auto">
        <a:xfrm>
          <a:off x="7531100" y="70256400"/>
          <a:ext cx="190500" cy="266700"/>
        </a:xfrm>
        <a:prstGeom prst="rect">
          <a:avLst/>
        </a:prstGeom>
        <a:noFill/>
      </xdr:spPr>
    </xdr:sp>
    <xdr:clientData/>
  </xdr:oneCellAnchor>
  <xdr:oneCellAnchor>
    <xdr:from>
      <xdr:col>4</xdr:col>
      <xdr:colOff>1657350</xdr:colOff>
      <xdr:row>366</xdr:row>
      <xdr:rowOff>0</xdr:rowOff>
    </xdr:from>
    <xdr:ext cx="190500" cy="266700"/>
    <xdr:sp macro="" textlink="">
      <xdr:nvSpPr>
        <xdr:cNvPr id="3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7B786D8-BE81-4537-8CEE-1DF49252B2A3}"/>
            </a:ext>
            <a:ext uri="{147F2762-F138-4A5C-976F-8EAC2B608ADB}">
              <a16:predDERef xmlns:a16="http://schemas.microsoft.com/office/drawing/2014/main" pred="{C56D29DA-A270-408D-A0E4-9A491B29D537}"/>
            </a:ext>
          </a:extLst>
        </xdr:cNvPr>
        <xdr:cNvSpPr>
          <a:spLocks noChangeAspect="1" noChangeArrowheads="1"/>
        </xdr:cNvSpPr>
      </xdr:nvSpPr>
      <xdr:spPr bwMode="auto">
        <a:xfrm>
          <a:off x="7531100" y="70624700"/>
          <a:ext cx="190500" cy="266700"/>
        </a:xfrm>
        <a:prstGeom prst="rect">
          <a:avLst/>
        </a:prstGeom>
        <a:noFill/>
      </xdr:spPr>
    </xdr:sp>
    <xdr:clientData/>
  </xdr:oneCellAnchor>
  <xdr:oneCellAnchor>
    <xdr:from>
      <xdr:col>4</xdr:col>
      <xdr:colOff>1657350</xdr:colOff>
      <xdr:row>366</xdr:row>
      <xdr:rowOff>0</xdr:rowOff>
    </xdr:from>
    <xdr:ext cx="190500" cy="266700"/>
    <xdr:sp macro="" textlink="">
      <xdr:nvSpPr>
        <xdr:cNvPr id="3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9C57664-BC89-4273-96AE-DE55B2C90BCF}"/>
            </a:ext>
            <a:ext uri="{147F2762-F138-4A5C-976F-8EAC2B608ADB}">
              <a16:predDERef xmlns:a16="http://schemas.microsoft.com/office/drawing/2014/main" pred="{06ABBB87-226D-4796-802A-17E17296054B}"/>
            </a:ext>
          </a:extLst>
        </xdr:cNvPr>
        <xdr:cNvSpPr>
          <a:spLocks noChangeAspect="1" noChangeArrowheads="1"/>
        </xdr:cNvSpPr>
      </xdr:nvSpPr>
      <xdr:spPr bwMode="auto">
        <a:xfrm>
          <a:off x="7531100" y="70624700"/>
          <a:ext cx="190500" cy="266700"/>
        </a:xfrm>
        <a:prstGeom prst="rect">
          <a:avLst/>
        </a:prstGeom>
        <a:noFill/>
      </xdr:spPr>
    </xdr:sp>
    <xdr:clientData/>
  </xdr:oneCellAnchor>
  <xdr:oneCellAnchor>
    <xdr:from>
      <xdr:col>4</xdr:col>
      <xdr:colOff>1657350</xdr:colOff>
      <xdr:row>368</xdr:row>
      <xdr:rowOff>0</xdr:rowOff>
    </xdr:from>
    <xdr:ext cx="190500" cy="266700"/>
    <xdr:sp macro="" textlink="">
      <xdr:nvSpPr>
        <xdr:cNvPr id="3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9FD87D1-F588-46D3-9CD0-44AA3CF0EEA2}"/>
            </a:ext>
            <a:ext uri="{147F2762-F138-4A5C-976F-8EAC2B608ADB}">
              <a16:predDERef xmlns:a16="http://schemas.microsoft.com/office/drawing/2014/main" pred="{CE988982-1C06-4E6E-9033-782AC3FE2693}"/>
            </a:ext>
          </a:extLst>
        </xdr:cNvPr>
        <xdr:cNvSpPr>
          <a:spLocks noChangeAspect="1" noChangeArrowheads="1"/>
        </xdr:cNvSpPr>
      </xdr:nvSpPr>
      <xdr:spPr bwMode="auto">
        <a:xfrm>
          <a:off x="7531100" y="70993000"/>
          <a:ext cx="190500" cy="266700"/>
        </a:xfrm>
        <a:prstGeom prst="rect">
          <a:avLst/>
        </a:prstGeom>
        <a:noFill/>
      </xdr:spPr>
    </xdr:sp>
    <xdr:clientData/>
  </xdr:oneCellAnchor>
  <xdr:oneCellAnchor>
    <xdr:from>
      <xdr:col>4</xdr:col>
      <xdr:colOff>1657350</xdr:colOff>
      <xdr:row>368</xdr:row>
      <xdr:rowOff>0</xdr:rowOff>
    </xdr:from>
    <xdr:ext cx="190500" cy="266700"/>
    <xdr:sp macro="" textlink="">
      <xdr:nvSpPr>
        <xdr:cNvPr id="3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AE66A9C-EDC9-4B99-82C1-D6C302E4F71F}"/>
            </a:ext>
            <a:ext uri="{147F2762-F138-4A5C-976F-8EAC2B608ADB}">
              <a16:predDERef xmlns:a16="http://schemas.microsoft.com/office/drawing/2014/main" pred="{46E7A283-02E3-4F71-A86C-7A4D581352C4}"/>
            </a:ext>
          </a:extLst>
        </xdr:cNvPr>
        <xdr:cNvSpPr>
          <a:spLocks noChangeAspect="1" noChangeArrowheads="1"/>
        </xdr:cNvSpPr>
      </xdr:nvSpPr>
      <xdr:spPr bwMode="auto">
        <a:xfrm>
          <a:off x="7531100" y="70993000"/>
          <a:ext cx="190500" cy="266700"/>
        </a:xfrm>
        <a:prstGeom prst="rect">
          <a:avLst/>
        </a:prstGeom>
        <a:noFill/>
      </xdr:spPr>
    </xdr:sp>
    <xdr:clientData/>
  </xdr:oneCellAnchor>
  <xdr:oneCellAnchor>
    <xdr:from>
      <xdr:col>4</xdr:col>
      <xdr:colOff>1657350</xdr:colOff>
      <xdr:row>370</xdr:row>
      <xdr:rowOff>0</xdr:rowOff>
    </xdr:from>
    <xdr:ext cx="190500" cy="266700"/>
    <xdr:sp macro="" textlink="">
      <xdr:nvSpPr>
        <xdr:cNvPr id="3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7EB72B4-E8EC-4EDF-9C07-9D1F12D76020}"/>
            </a:ext>
            <a:ext uri="{147F2762-F138-4A5C-976F-8EAC2B608ADB}">
              <a16:predDERef xmlns:a16="http://schemas.microsoft.com/office/drawing/2014/main" pred="{CB534D23-4801-4950-8688-019942DB1E24}"/>
            </a:ext>
          </a:extLst>
        </xdr:cNvPr>
        <xdr:cNvSpPr>
          <a:spLocks noChangeAspect="1" noChangeArrowheads="1"/>
        </xdr:cNvSpPr>
      </xdr:nvSpPr>
      <xdr:spPr bwMode="auto">
        <a:xfrm>
          <a:off x="7531100" y="71361300"/>
          <a:ext cx="190500" cy="266700"/>
        </a:xfrm>
        <a:prstGeom prst="rect">
          <a:avLst/>
        </a:prstGeom>
        <a:noFill/>
      </xdr:spPr>
    </xdr:sp>
    <xdr:clientData/>
  </xdr:oneCellAnchor>
  <xdr:oneCellAnchor>
    <xdr:from>
      <xdr:col>4</xdr:col>
      <xdr:colOff>1657350</xdr:colOff>
      <xdr:row>370</xdr:row>
      <xdr:rowOff>0</xdr:rowOff>
    </xdr:from>
    <xdr:ext cx="190500" cy="266700"/>
    <xdr:sp macro="" textlink="">
      <xdr:nvSpPr>
        <xdr:cNvPr id="3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80A61E6-74C4-4715-B8C0-3C587CDE3BEA}"/>
            </a:ext>
            <a:ext uri="{147F2762-F138-4A5C-976F-8EAC2B608ADB}">
              <a16:predDERef xmlns:a16="http://schemas.microsoft.com/office/drawing/2014/main" pred="{E29F01B2-E4C5-4FF0-B363-49C79D65C81A}"/>
            </a:ext>
          </a:extLst>
        </xdr:cNvPr>
        <xdr:cNvSpPr>
          <a:spLocks noChangeAspect="1" noChangeArrowheads="1"/>
        </xdr:cNvSpPr>
      </xdr:nvSpPr>
      <xdr:spPr bwMode="auto">
        <a:xfrm>
          <a:off x="7531100" y="71361300"/>
          <a:ext cx="190500" cy="266700"/>
        </a:xfrm>
        <a:prstGeom prst="rect">
          <a:avLst/>
        </a:prstGeom>
        <a:noFill/>
      </xdr:spPr>
    </xdr:sp>
    <xdr:clientData/>
  </xdr:oneCellAnchor>
  <xdr:oneCellAnchor>
    <xdr:from>
      <xdr:col>4</xdr:col>
      <xdr:colOff>1657350</xdr:colOff>
      <xdr:row>372</xdr:row>
      <xdr:rowOff>0</xdr:rowOff>
    </xdr:from>
    <xdr:ext cx="190500" cy="266700"/>
    <xdr:sp macro="" textlink="">
      <xdr:nvSpPr>
        <xdr:cNvPr id="3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8FAE942-AD29-487E-8767-7A915152E8BB}"/>
            </a:ext>
            <a:ext uri="{147F2762-F138-4A5C-976F-8EAC2B608ADB}">
              <a16:predDERef xmlns:a16="http://schemas.microsoft.com/office/drawing/2014/main" pred="{277C298B-BB25-4977-BBF5-79C862F03EDA}"/>
            </a:ext>
          </a:extLst>
        </xdr:cNvPr>
        <xdr:cNvSpPr>
          <a:spLocks noChangeAspect="1" noChangeArrowheads="1"/>
        </xdr:cNvSpPr>
      </xdr:nvSpPr>
      <xdr:spPr bwMode="auto">
        <a:xfrm>
          <a:off x="7531100" y="71729600"/>
          <a:ext cx="190500" cy="266700"/>
        </a:xfrm>
        <a:prstGeom prst="rect">
          <a:avLst/>
        </a:prstGeom>
        <a:noFill/>
      </xdr:spPr>
    </xdr:sp>
    <xdr:clientData/>
  </xdr:oneCellAnchor>
  <xdr:oneCellAnchor>
    <xdr:from>
      <xdr:col>4</xdr:col>
      <xdr:colOff>1657350</xdr:colOff>
      <xdr:row>372</xdr:row>
      <xdr:rowOff>0</xdr:rowOff>
    </xdr:from>
    <xdr:ext cx="190500" cy="266700"/>
    <xdr:sp macro="" textlink="">
      <xdr:nvSpPr>
        <xdr:cNvPr id="3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000C60-5400-4362-9E35-6981ACDADE8D}"/>
            </a:ext>
            <a:ext uri="{147F2762-F138-4A5C-976F-8EAC2B608ADB}">
              <a16:predDERef xmlns:a16="http://schemas.microsoft.com/office/drawing/2014/main" pred="{C88C7352-4F4F-4948-AAB5-B6955D60468D}"/>
            </a:ext>
          </a:extLst>
        </xdr:cNvPr>
        <xdr:cNvSpPr>
          <a:spLocks noChangeAspect="1" noChangeArrowheads="1"/>
        </xdr:cNvSpPr>
      </xdr:nvSpPr>
      <xdr:spPr bwMode="auto">
        <a:xfrm>
          <a:off x="7531100" y="71729600"/>
          <a:ext cx="190500" cy="266700"/>
        </a:xfrm>
        <a:prstGeom prst="rect">
          <a:avLst/>
        </a:prstGeom>
        <a:noFill/>
      </xdr:spPr>
    </xdr:sp>
    <xdr:clientData/>
  </xdr:oneCellAnchor>
  <xdr:oneCellAnchor>
    <xdr:from>
      <xdr:col>4</xdr:col>
      <xdr:colOff>1657350</xdr:colOff>
      <xdr:row>374</xdr:row>
      <xdr:rowOff>0</xdr:rowOff>
    </xdr:from>
    <xdr:ext cx="190500" cy="266700"/>
    <xdr:sp macro="" textlink="">
      <xdr:nvSpPr>
        <xdr:cNvPr id="3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78C3B19-E92E-4854-AF1A-09D41EC5AB61}"/>
            </a:ext>
            <a:ext uri="{147F2762-F138-4A5C-976F-8EAC2B608ADB}">
              <a16:predDERef xmlns:a16="http://schemas.microsoft.com/office/drawing/2014/main" pred="{393FFCC9-1D13-42AD-8FA7-CFCFD8702D26}"/>
            </a:ext>
          </a:extLst>
        </xdr:cNvPr>
        <xdr:cNvSpPr>
          <a:spLocks noChangeAspect="1" noChangeArrowheads="1"/>
        </xdr:cNvSpPr>
      </xdr:nvSpPr>
      <xdr:spPr bwMode="auto">
        <a:xfrm>
          <a:off x="7531100" y="72097900"/>
          <a:ext cx="190500" cy="266700"/>
        </a:xfrm>
        <a:prstGeom prst="rect">
          <a:avLst/>
        </a:prstGeom>
        <a:noFill/>
      </xdr:spPr>
    </xdr:sp>
    <xdr:clientData/>
  </xdr:oneCellAnchor>
  <xdr:oneCellAnchor>
    <xdr:from>
      <xdr:col>4</xdr:col>
      <xdr:colOff>1657350</xdr:colOff>
      <xdr:row>374</xdr:row>
      <xdr:rowOff>0</xdr:rowOff>
    </xdr:from>
    <xdr:ext cx="190500" cy="266700"/>
    <xdr:sp macro="" textlink="">
      <xdr:nvSpPr>
        <xdr:cNvPr id="3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D7F263C-4293-49AE-ADEB-A1C9E5B96EB3}"/>
            </a:ext>
            <a:ext uri="{147F2762-F138-4A5C-976F-8EAC2B608ADB}">
              <a16:predDERef xmlns:a16="http://schemas.microsoft.com/office/drawing/2014/main" pred="{FBABDF7A-8C7D-4456-8B09-6C258FAF5A98}"/>
            </a:ext>
          </a:extLst>
        </xdr:cNvPr>
        <xdr:cNvSpPr>
          <a:spLocks noChangeAspect="1" noChangeArrowheads="1"/>
        </xdr:cNvSpPr>
      </xdr:nvSpPr>
      <xdr:spPr bwMode="auto">
        <a:xfrm>
          <a:off x="7531100" y="72097900"/>
          <a:ext cx="190500" cy="266700"/>
        </a:xfrm>
        <a:prstGeom prst="rect">
          <a:avLst/>
        </a:prstGeom>
        <a:noFill/>
      </xdr:spPr>
    </xdr:sp>
    <xdr:clientData/>
  </xdr:oneCellAnchor>
  <xdr:oneCellAnchor>
    <xdr:from>
      <xdr:col>4</xdr:col>
      <xdr:colOff>1657350</xdr:colOff>
      <xdr:row>376</xdr:row>
      <xdr:rowOff>0</xdr:rowOff>
    </xdr:from>
    <xdr:ext cx="190500" cy="266700"/>
    <xdr:sp macro="" textlink="">
      <xdr:nvSpPr>
        <xdr:cNvPr id="3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C50EB1F-9743-455D-BC01-D0C3A5030ACB}"/>
            </a:ext>
            <a:ext uri="{147F2762-F138-4A5C-976F-8EAC2B608ADB}">
              <a16:predDERef xmlns:a16="http://schemas.microsoft.com/office/drawing/2014/main" pred="{F4272376-9E33-43CB-A4FD-55C6B0B04A8A}"/>
            </a:ext>
          </a:extLst>
        </xdr:cNvPr>
        <xdr:cNvSpPr>
          <a:spLocks noChangeAspect="1" noChangeArrowheads="1"/>
        </xdr:cNvSpPr>
      </xdr:nvSpPr>
      <xdr:spPr bwMode="auto">
        <a:xfrm>
          <a:off x="7531100" y="72612250"/>
          <a:ext cx="190500" cy="266700"/>
        </a:xfrm>
        <a:prstGeom prst="rect">
          <a:avLst/>
        </a:prstGeom>
        <a:noFill/>
      </xdr:spPr>
    </xdr:sp>
    <xdr:clientData/>
  </xdr:oneCellAnchor>
  <xdr:oneCellAnchor>
    <xdr:from>
      <xdr:col>4</xdr:col>
      <xdr:colOff>1657350</xdr:colOff>
      <xdr:row>376</xdr:row>
      <xdr:rowOff>0</xdr:rowOff>
    </xdr:from>
    <xdr:ext cx="190500" cy="266700"/>
    <xdr:sp macro="" textlink="">
      <xdr:nvSpPr>
        <xdr:cNvPr id="3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C483F04-C473-462F-BAA4-CC0D36001C1D}"/>
            </a:ext>
            <a:ext uri="{147F2762-F138-4A5C-976F-8EAC2B608ADB}">
              <a16:predDERef xmlns:a16="http://schemas.microsoft.com/office/drawing/2014/main" pred="{F55B6F73-2ABF-4158-9091-7FC681094D1C}"/>
            </a:ext>
          </a:extLst>
        </xdr:cNvPr>
        <xdr:cNvSpPr>
          <a:spLocks noChangeAspect="1" noChangeArrowheads="1"/>
        </xdr:cNvSpPr>
      </xdr:nvSpPr>
      <xdr:spPr bwMode="auto">
        <a:xfrm>
          <a:off x="7531100" y="72612250"/>
          <a:ext cx="190500" cy="266700"/>
        </a:xfrm>
        <a:prstGeom prst="rect">
          <a:avLst/>
        </a:prstGeom>
        <a:noFill/>
      </xdr:spPr>
    </xdr:sp>
    <xdr:clientData/>
  </xdr:oneCellAnchor>
  <xdr:oneCellAnchor>
    <xdr:from>
      <xdr:col>4</xdr:col>
      <xdr:colOff>1657350</xdr:colOff>
      <xdr:row>378</xdr:row>
      <xdr:rowOff>0</xdr:rowOff>
    </xdr:from>
    <xdr:ext cx="190500" cy="266700"/>
    <xdr:sp macro="" textlink="">
      <xdr:nvSpPr>
        <xdr:cNvPr id="3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CF0AA55-DD23-49C5-8F7C-8B230768970E}"/>
            </a:ext>
            <a:ext uri="{147F2762-F138-4A5C-976F-8EAC2B608ADB}">
              <a16:predDERef xmlns:a16="http://schemas.microsoft.com/office/drawing/2014/main" pred="{C66B83CC-1492-4731-8214-E9F9CBF1A0F4}"/>
            </a:ext>
          </a:extLst>
        </xdr:cNvPr>
        <xdr:cNvSpPr>
          <a:spLocks noChangeAspect="1" noChangeArrowheads="1"/>
        </xdr:cNvSpPr>
      </xdr:nvSpPr>
      <xdr:spPr bwMode="auto">
        <a:xfrm>
          <a:off x="7531100" y="72980550"/>
          <a:ext cx="190500" cy="266700"/>
        </a:xfrm>
        <a:prstGeom prst="rect">
          <a:avLst/>
        </a:prstGeom>
        <a:noFill/>
      </xdr:spPr>
    </xdr:sp>
    <xdr:clientData/>
  </xdr:oneCellAnchor>
  <xdr:oneCellAnchor>
    <xdr:from>
      <xdr:col>4</xdr:col>
      <xdr:colOff>1657350</xdr:colOff>
      <xdr:row>378</xdr:row>
      <xdr:rowOff>0</xdr:rowOff>
    </xdr:from>
    <xdr:ext cx="190500" cy="266700"/>
    <xdr:sp macro="" textlink="">
      <xdr:nvSpPr>
        <xdr:cNvPr id="3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45E6239-A052-4C34-9680-A3EF68C3BCA9}"/>
            </a:ext>
            <a:ext uri="{147F2762-F138-4A5C-976F-8EAC2B608ADB}">
              <a16:predDERef xmlns:a16="http://schemas.microsoft.com/office/drawing/2014/main" pred="{5FE99804-0CFF-4E6B-A28F-CEE6C5522022}"/>
            </a:ext>
          </a:extLst>
        </xdr:cNvPr>
        <xdr:cNvSpPr>
          <a:spLocks noChangeAspect="1" noChangeArrowheads="1"/>
        </xdr:cNvSpPr>
      </xdr:nvSpPr>
      <xdr:spPr bwMode="auto">
        <a:xfrm>
          <a:off x="7531100" y="72980550"/>
          <a:ext cx="190500" cy="266700"/>
        </a:xfrm>
        <a:prstGeom prst="rect">
          <a:avLst/>
        </a:prstGeom>
        <a:noFill/>
      </xdr:spPr>
    </xdr:sp>
    <xdr:clientData/>
  </xdr:oneCellAnchor>
  <xdr:oneCellAnchor>
    <xdr:from>
      <xdr:col>4</xdr:col>
      <xdr:colOff>1657350</xdr:colOff>
      <xdr:row>380</xdr:row>
      <xdr:rowOff>0</xdr:rowOff>
    </xdr:from>
    <xdr:ext cx="190500" cy="266700"/>
    <xdr:sp macro="" textlink="">
      <xdr:nvSpPr>
        <xdr:cNvPr id="3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6282610-9F6D-432E-A857-FD352BB6539E}"/>
            </a:ext>
            <a:ext uri="{147F2762-F138-4A5C-976F-8EAC2B608ADB}">
              <a16:predDERef xmlns:a16="http://schemas.microsoft.com/office/drawing/2014/main" pred="{0B34311C-9D1D-4D57-BB25-8AEC2594E35A}"/>
            </a:ext>
          </a:extLst>
        </xdr:cNvPr>
        <xdr:cNvSpPr>
          <a:spLocks noChangeAspect="1" noChangeArrowheads="1"/>
        </xdr:cNvSpPr>
      </xdr:nvSpPr>
      <xdr:spPr bwMode="auto">
        <a:xfrm>
          <a:off x="7531100" y="73348850"/>
          <a:ext cx="190500" cy="266700"/>
        </a:xfrm>
        <a:prstGeom prst="rect">
          <a:avLst/>
        </a:prstGeom>
        <a:noFill/>
      </xdr:spPr>
    </xdr:sp>
    <xdr:clientData/>
  </xdr:oneCellAnchor>
  <xdr:oneCellAnchor>
    <xdr:from>
      <xdr:col>4</xdr:col>
      <xdr:colOff>1657350</xdr:colOff>
      <xdr:row>380</xdr:row>
      <xdr:rowOff>0</xdr:rowOff>
    </xdr:from>
    <xdr:ext cx="190500" cy="266700"/>
    <xdr:sp macro="" textlink="">
      <xdr:nvSpPr>
        <xdr:cNvPr id="3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E8EBD7F-0592-403B-905E-0F88820B65C2}"/>
            </a:ext>
            <a:ext uri="{147F2762-F138-4A5C-976F-8EAC2B608ADB}">
              <a16:predDERef xmlns:a16="http://schemas.microsoft.com/office/drawing/2014/main" pred="{22A7483E-5F4D-416A-B64D-DB5183F9127A}"/>
            </a:ext>
          </a:extLst>
        </xdr:cNvPr>
        <xdr:cNvSpPr>
          <a:spLocks noChangeAspect="1" noChangeArrowheads="1"/>
        </xdr:cNvSpPr>
      </xdr:nvSpPr>
      <xdr:spPr bwMode="auto">
        <a:xfrm>
          <a:off x="7531100" y="73348850"/>
          <a:ext cx="190500" cy="266700"/>
        </a:xfrm>
        <a:prstGeom prst="rect">
          <a:avLst/>
        </a:prstGeom>
        <a:noFill/>
      </xdr:spPr>
    </xdr:sp>
    <xdr:clientData/>
  </xdr:oneCellAnchor>
  <xdr:oneCellAnchor>
    <xdr:from>
      <xdr:col>4</xdr:col>
      <xdr:colOff>1657350</xdr:colOff>
      <xdr:row>382</xdr:row>
      <xdr:rowOff>0</xdr:rowOff>
    </xdr:from>
    <xdr:ext cx="190500" cy="266700"/>
    <xdr:sp macro="" textlink="">
      <xdr:nvSpPr>
        <xdr:cNvPr id="3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5B1350C-6C97-4B03-8F2E-92F20683A517}"/>
            </a:ext>
            <a:ext uri="{147F2762-F138-4A5C-976F-8EAC2B608ADB}">
              <a16:predDERef xmlns:a16="http://schemas.microsoft.com/office/drawing/2014/main" pred="{29192479-BDE9-440F-93C8-1AC0177773EF}"/>
            </a:ext>
          </a:extLst>
        </xdr:cNvPr>
        <xdr:cNvSpPr>
          <a:spLocks noChangeAspect="1" noChangeArrowheads="1"/>
        </xdr:cNvSpPr>
      </xdr:nvSpPr>
      <xdr:spPr bwMode="auto">
        <a:xfrm>
          <a:off x="7531100" y="73717150"/>
          <a:ext cx="190500" cy="266700"/>
        </a:xfrm>
        <a:prstGeom prst="rect">
          <a:avLst/>
        </a:prstGeom>
        <a:noFill/>
      </xdr:spPr>
    </xdr:sp>
    <xdr:clientData/>
  </xdr:oneCellAnchor>
  <xdr:oneCellAnchor>
    <xdr:from>
      <xdr:col>4</xdr:col>
      <xdr:colOff>1657350</xdr:colOff>
      <xdr:row>382</xdr:row>
      <xdr:rowOff>0</xdr:rowOff>
    </xdr:from>
    <xdr:ext cx="190500" cy="266700"/>
    <xdr:sp macro="" textlink="">
      <xdr:nvSpPr>
        <xdr:cNvPr id="3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CD26ABD-E349-49DC-A7AB-C743BBD8D4E5}"/>
            </a:ext>
            <a:ext uri="{147F2762-F138-4A5C-976F-8EAC2B608ADB}">
              <a16:predDERef xmlns:a16="http://schemas.microsoft.com/office/drawing/2014/main" pred="{1FC40938-5905-45BB-B9B5-D2264F95DCD0}"/>
            </a:ext>
          </a:extLst>
        </xdr:cNvPr>
        <xdr:cNvSpPr>
          <a:spLocks noChangeAspect="1" noChangeArrowheads="1"/>
        </xdr:cNvSpPr>
      </xdr:nvSpPr>
      <xdr:spPr bwMode="auto">
        <a:xfrm>
          <a:off x="7531100" y="73717150"/>
          <a:ext cx="190500" cy="266700"/>
        </a:xfrm>
        <a:prstGeom prst="rect">
          <a:avLst/>
        </a:prstGeom>
        <a:noFill/>
      </xdr:spPr>
    </xdr:sp>
    <xdr:clientData/>
  </xdr:oneCellAnchor>
  <xdr:oneCellAnchor>
    <xdr:from>
      <xdr:col>4</xdr:col>
      <xdr:colOff>1657350</xdr:colOff>
      <xdr:row>384</xdr:row>
      <xdr:rowOff>0</xdr:rowOff>
    </xdr:from>
    <xdr:ext cx="190500" cy="266700"/>
    <xdr:sp macro="" textlink="">
      <xdr:nvSpPr>
        <xdr:cNvPr id="3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7184C09-01FF-45F7-AD48-C43A1165AF35}"/>
            </a:ext>
            <a:ext uri="{147F2762-F138-4A5C-976F-8EAC2B608ADB}">
              <a16:predDERef xmlns:a16="http://schemas.microsoft.com/office/drawing/2014/main" pred="{62080BE1-6CD9-47A3-8A42-16E33472B00D}"/>
            </a:ext>
          </a:extLst>
        </xdr:cNvPr>
        <xdr:cNvSpPr>
          <a:spLocks noChangeAspect="1" noChangeArrowheads="1"/>
        </xdr:cNvSpPr>
      </xdr:nvSpPr>
      <xdr:spPr bwMode="auto">
        <a:xfrm>
          <a:off x="7531100" y="74085450"/>
          <a:ext cx="190500" cy="266700"/>
        </a:xfrm>
        <a:prstGeom prst="rect">
          <a:avLst/>
        </a:prstGeom>
        <a:noFill/>
      </xdr:spPr>
    </xdr:sp>
    <xdr:clientData/>
  </xdr:oneCellAnchor>
  <xdr:oneCellAnchor>
    <xdr:from>
      <xdr:col>4</xdr:col>
      <xdr:colOff>1657350</xdr:colOff>
      <xdr:row>384</xdr:row>
      <xdr:rowOff>0</xdr:rowOff>
    </xdr:from>
    <xdr:ext cx="190500" cy="266700"/>
    <xdr:sp macro="" textlink="">
      <xdr:nvSpPr>
        <xdr:cNvPr id="3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1011E41-5B89-4B2C-A778-13F2EC785C04}"/>
            </a:ext>
            <a:ext uri="{147F2762-F138-4A5C-976F-8EAC2B608ADB}">
              <a16:predDERef xmlns:a16="http://schemas.microsoft.com/office/drawing/2014/main" pred="{81489469-5750-4727-8698-6EAA67BBF652}"/>
            </a:ext>
          </a:extLst>
        </xdr:cNvPr>
        <xdr:cNvSpPr>
          <a:spLocks noChangeAspect="1" noChangeArrowheads="1"/>
        </xdr:cNvSpPr>
      </xdr:nvSpPr>
      <xdr:spPr bwMode="auto">
        <a:xfrm>
          <a:off x="7531100" y="74085450"/>
          <a:ext cx="190500" cy="266700"/>
        </a:xfrm>
        <a:prstGeom prst="rect">
          <a:avLst/>
        </a:prstGeom>
        <a:noFill/>
      </xdr:spPr>
    </xdr:sp>
    <xdr:clientData/>
  </xdr:oneCellAnchor>
  <xdr:oneCellAnchor>
    <xdr:from>
      <xdr:col>4</xdr:col>
      <xdr:colOff>1657350</xdr:colOff>
      <xdr:row>386</xdr:row>
      <xdr:rowOff>0</xdr:rowOff>
    </xdr:from>
    <xdr:ext cx="190500" cy="266700"/>
    <xdr:sp macro="" textlink="">
      <xdr:nvSpPr>
        <xdr:cNvPr id="3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B1FAC2C-7295-42DB-8EFD-E11DBB839F9C}"/>
            </a:ext>
            <a:ext uri="{147F2762-F138-4A5C-976F-8EAC2B608ADB}">
              <a16:predDERef xmlns:a16="http://schemas.microsoft.com/office/drawing/2014/main" pred="{7355DDCA-5A9C-4EC4-9FAC-7DCC96D0B840}"/>
            </a:ext>
          </a:extLst>
        </xdr:cNvPr>
        <xdr:cNvSpPr>
          <a:spLocks noChangeAspect="1" noChangeArrowheads="1"/>
        </xdr:cNvSpPr>
      </xdr:nvSpPr>
      <xdr:spPr bwMode="auto">
        <a:xfrm>
          <a:off x="7531100" y="74453750"/>
          <a:ext cx="190500" cy="266700"/>
        </a:xfrm>
        <a:prstGeom prst="rect">
          <a:avLst/>
        </a:prstGeom>
        <a:noFill/>
      </xdr:spPr>
    </xdr:sp>
    <xdr:clientData/>
  </xdr:oneCellAnchor>
  <xdr:oneCellAnchor>
    <xdr:from>
      <xdr:col>4</xdr:col>
      <xdr:colOff>1657350</xdr:colOff>
      <xdr:row>386</xdr:row>
      <xdr:rowOff>0</xdr:rowOff>
    </xdr:from>
    <xdr:ext cx="190500" cy="266700"/>
    <xdr:sp macro="" textlink="">
      <xdr:nvSpPr>
        <xdr:cNvPr id="3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D02253F-75A2-499B-8ED2-9AC18E759BEE}"/>
            </a:ext>
            <a:ext uri="{147F2762-F138-4A5C-976F-8EAC2B608ADB}">
              <a16:predDERef xmlns:a16="http://schemas.microsoft.com/office/drawing/2014/main" pred="{83B74F10-C3C3-4DCF-9861-FA036A22CF10}"/>
            </a:ext>
          </a:extLst>
        </xdr:cNvPr>
        <xdr:cNvSpPr>
          <a:spLocks noChangeAspect="1" noChangeArrowheads="1"/>
        </xdr:cNvSpPr>
      </xdr:nvSpPr>
      <xdr:spPr bwMode="auto">
        <a:xfrm>
          <a:off x="7531100" y="74453750"/>
          <a:ext cx="190500" cy="266700"/>
        </a:xfrm>
        <a:prstGeom prst="rect">
          <a:avLst/>
        </a:prstGeom>
        <a:noFill/>
      </xdr:spPr>
    </xdr:sp>
    <xdr:clientData/>
  </xdr:oneCellAnchor>
  <xdr:oneCellAnchor>
    <xdr:from>
      <xdr:col>4</xdr:col>
      <xdr:colOff>1657350</xdr:colOff>
      <xdr:row>388</xdr:row>
      <xdr:rowOff>0</xdr:rowOff>
    </xdr:from>
    <xdr:ext cx="190500" cy="266700"/>
    <xdr:sp macro="" textlink="">
      <xdr:nvSpPr>
        <xdr:cNvPr id="3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C49A418-817D-47D0-9A95-F757AB4C55C5}"/>
            </a:ext>
            <a:ext uri="{147F2762-F138-4A5C-976F-8EAC2B608ADB}">
              <a16:predDERef xmlns:a16="http://schemas.microsoft.com/office/drawing/2014/main" pred="{69E400CA-00CB-4CC0-B667-8621146A62B7}"/>
            </a:ext>
          </a:extLst>
        </xdr:cNvPr>
        <xdr:cNvSpPr>
          <a:spLocks noChangeAspect="1" noChangeArrowheads="1"/>
        </xdr:cNvSpPr>
      </xdr:nvSpPr>
      <xdr:spPr bwMode="auto">
        <a:xfrm>
          <a:off x="7531100" y="74822050"/>
          <a:ext cx="190500" cy="266700"/>
        </a:xfrm>
        <a:prstGeom prst="rect">
          <a:avLst/>
        </a:prstGeom>
        <a:noFill/>
      </xdr:spPr>
    </xdr:sp>
    <xdr:clientData/>
  </xdr:oneCellAnchor>
  <xdr:oneCellAnchor>
    <xdr:from>
      <xdr:col>4</xdr:col>
      <xdr:colOff>1657350</xdr:colOff>
      <xdr:row>388</xdr:row>
      <xdr:rowOff>0</xdr:rowOff>
    </xdr:from>
    <xdr:ext cx="190500" cy="266700"/>
    <xdr:sp macro="" textlink="">
      <xdr:nvSpPr>
        <xdr:cNvPr id="3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27774D-CAD4-43DF-87D1-10285B0481E8}"/>
            </a:ext>
            <a:ext uri="{147F2762-F138-4A5C-976F-8EAC2B608ADB}">
              <a16:predDERef xmlns:a16="http://schemas.microsoft.com/office/drawing/2014/main" pred="{D94DA0B4-CDFF-4391-832D-426BDB158150}"/>
            </a:ext>
          </a:extLst>
        </xdr:cNvPr>
        <xdr:cNvSpPr>
          <a:spLocks noChangeAspect="1" noChangeArrowheads="1"/>
        </xdr:cNvSpPr>
      </xdr:nvSpPr>
      <xdr:spPr bwMode="auto">
        <a:xfrm>
          <a:off x="7531100" y="74822050"/>
          <a:ext cx="190500" cy="266700"/>
        </a:xfrm>
        <a:prstGeom prst="rect">
          <a:avLst/>
        </a:prstGeom>
        <a:noFill/>
      </xdr:spPr>
    </xdr:sp>
    <xdr:clientData/>
  </xdr:oneCellAnchor>
  <xdr:oneCellAnchor>
    <xdr:from>
      <xdr:col>4</xdr:col>
      <xdr:colOff>1657350</xdr:colOff>
      <xdr:row>390</xdr:row>
      <xdr:rowOff>0</xdr:rowOff>
    </xdr:from>
    <xdr:ext cx="190500" cy="266700"/>
    <xdr:sp macro="" textlink="">
      <xdr:nvSpPr>
        <xdr:cNvPr id="3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566A3EA-23AF-4DB9-987D-7F2244483AE9}"/>
            </a:ext>
            <a:ext uri="{147F2762-F138-4A5C-976F-8EAC2B608ADB}">
              <a16:predDERef xmlns:a16="http://schemas.microsoft.com/office/drawing/2014/main" pred="{73BFCB74-4F60-469D-A384-DBB0E6CB8736}"/>
            </a:ext>
          </a:extLst>
        </xdr:cNvPr>
        <xdr:cNvSpPr>
          <a:spLocks noChangeAspect="1" noChangeArrowheads="1"/>
        </xdr:cNvSpPr>
      </xdr:nvSpPr>
      <xdr:spPr bwMode="auto">
        <a:xfrm>
          <a:off x="7531100" y="75190350"/>
          <a:ext cx="190500" cy="266700"/>
        </a:xfrm>
        <a:prstGeom prst="rect">
          <a:avLst/>
        </a:prstGeom>
        <a:noFill/>
      </xdr:spPr>
    </xdr:sp>
    <xdr:clientData/>
  </xdr:oneCellAnchor>
  <xdr:oneCellAnchor>
    <xdr:from>
      <xdr:col>4</xdr:col>
      <xdr:colOff>1657350</xdr:colOff>
      <xdr:row>390</xdr:row>
      <xdr:rowOff>0</xdr:rowOff>
    </xdr:from>
    <xdr:ext cx="190500" cy="266700"/>
    <xdr:sp macro="" textlink="">
      <xdr:nvSpPr>
        <xdr:cNvPr id="3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4CA80DF-23CA-49F7-9E28-3DD72328B33E}"/>
            </a:ext>
            <a:ext uri="{147F2762-F138-4A5C-976F-8EAC2B608ADB}">
              <a16:predDERef xmlns:a16="http://schemas.microsoft.com/office/drawing/2014/main" pred="{D93DF660-D50B-4B4D-BE52-87A2EAFE03A8}"/>
            </a:ext>
          </a:extLst>
        </xdr:cNvPr>
        <xdr:cNvSpPr>
          <a:spLocks noChangeAspect="1" noChangeArrowheads="1"/>
        </xdr:cNvSpPr>
      </xdr:nvSpPr>
      <xdr:spPr bwMode="auto">
        <a:xfrm>
          <a:off x="7531100" y="75190350"/>
          <a:ext cx="190500" cy="266700"/>
        </a:xfrm>
        <a:prstGeom prst="rect">
          <a:avLst/>
        </a:prstGeom>
        <a:noFill/>
      </xdr:spPr>
    </xdr:sp>
    <xdr:clientData/>
  </xdr:oneCellAnchor>
  <xdr:oneCellAnchor>
    <xdr:from>
      <xdr:col>4</xdr:col>
      <xdr:colOff>1657350</xdr:colOff>
      <xdr:row>392</xdr:row>
      <xdr:rowOff>0</xdr:rowOff>
    </xdr:from>
    <xdr:ext cx="190500" cy="266700"/>
    <xdr:sp macro="" textlink="">
      <xdr:nvSpPr>
        <xdr:cNvPr id="3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EA8344D-57BB-4225-B8E3-0F08A872BDFF}"/>
            </a:ext>
            <a:ext uri="{147F2762-F138-4A5C-976F-8EAC2B608ADB}">
              <a16:predDERef xmlns:a16="http://schemas.microsoft.com/office/drawing/2014/main" pred="{34B74E7E-206D-464D-B86D-B3C397300C1B}"/>
            </a:ext>
          </a:extLst>
        </xdr:cNvPr>
        <xdr:cNvSpPr>
          <a:spLocks noChangeAspect="1" noChangeArrowheads="1"/>
        </xdr:cNvSpPr>
      </xdr:nvSpPr>
      <xdr:spPr bwMode="auto">
        <a:xfrm>
          <a:off x="7531100" y="75558650"/>
          <a:ext cx="190500" cy="266700"/>
        </a:xfrm>
        <a:prstGeom prst="rect">
          <a:avLst/>
        </a:prstGeom>
        <a:noFill/>
      </xdr:spPr>
    </xdr:sp>
    <xdr:clientData/>
  </xdr:oneCellAnchor>
  <xdr:oneCellAnchor>
    <xdr:from>
      <xdr:col>4</xdr:col>
      <xdr:colOff>1657350</xdr:colOff>
      <xdr:row>392</xdr:row>
      <xdr:rowOff>0</xdr:rowOff>
    </xdr:from>
    <xdr:ext cx="190500" cy="266700"/>
    <xdr:sp macro="" textlink="">
      <xdr:nvSpPr>
        <xdr:cNvPr id="3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0F5D9C6-3FC7-47FC-9775-65A8D571D4AE}"/>
            </a:ext>
            <a:ext uri="{147F2762-F138-4A5C-976F-8EAC2B608ADB}">
              <a16:predDERef xmlns:a16="http://schemas.microsoft.com/office/drawing/2014/main" pred="{A71CE5CD-6B20-4C71-B3AA-E73F22350706}"/>
            </a:ext>
          </a:extLst>
        </xdr:cNvPr>
        <xdr:cNvSpPr>
          <a:spLocks noChangeAspect="1" noChangeArrowheads="1"/>
        </xdr:cNvSpPr>
      </xdr:nvSpPr>
      <xdr:spPr bwMode="auto">
        <a:xfrm>
          <a:off x="7531100" y="75558650"/>
          <a:ext cx="190500" cy="266700"/>
        </a:xfrm>
        <a:prstGeom prst="rect">
          <a:avLst/>
        </a:prstGeom>
        <a:noFill/>
      </xdr:spPr>
    </xdr:sp>
    <xdr:clientData/>
  </xdr:oneCellAnchor>
  <xdr:oneCellAnchor>
    <xdr:from>
      <xdr:col>4</xdr:col>
      <xdr:colOff>1657350</xdr:colOff>
      <xdr:row>394</xdr:row>
      <xdr:rowOff>0</xdr:rowOff>
    </xdr:from>
    <xdr:ext cx="190500" cy="266700"/>
    <xdr:sp macro="" textlink="">
      <xdr:nvSpPr>
        <xdr:cNvPr id="3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7EB6D9C-A483-4068-AAD5-45C28A7477F7}"/>
            </a:ext>
            <a:ext uri="{147F2762-F138-4A5C-976F-8EAC2B608ADB}">
              <a16:predDERef xmlns:a16="http://schemas.microsoft.com/office/drawing/2014/main" pred="{58D9DD50-85F8-473C-BC98-0E1179235839}"/>
            </a:ext>
          </a:extLst>
        </xdr:cNvPr>
        <xdr:cNvSpPr>
          <a:spLocks noChangeAspect="1" noChangeArrowheads="1"/>
        </xdr:cNvSpPr>
      </xdr:nvSpPr>
      <xdr:spPr bwMode="auto">
        <a:xfrm>
          <a:off x="7531100" y="75926950"/>
          <a:ext cx="190500" cy="266700"/>
        </a:xfrm>
        <a:prstGeom prst="rect">
          <a:avLst/>
        </a:prstGeom>
        <a:noFill/>
      </xdr:spPr>
    </xdr:sp>
    <xdr:clientData/>
  </xdr:oneCellAnchor>
  <xdr:oneCellAnchor>
    <xdr:from>
      <xdr:col>4</xdr:col>
      <xdr:colOff>1657350</xdr:colOff>
      <xdr:row>394</xdr:row>
      <xdr:rowOff>0</xdr:rowOff>
    </xdr:from>
    <xdr:ext cx="190500" cy="266700"/>
    <xdr:sp macro="" textlink="">
      <xdr:nvSpPr>
        <xdr:cNvPr id="3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8D4425A-AEBA-42DE-B03F-7E820F1A7AC8}"/>
            </a:ext>
            <a:ext uri="{147F2762-F138-4A5C-976F-8EAC2B608ADB}">
              <a16:predDERef xmlns:a16="http://schemas.microsoft.com/office/drawing/2014/main" pred="{DFE1B9C0-4132-4670-8D28-CF248AAD10EA}"/>
            </a:ext>
          </a:extLst>
        </xdr:cNvPr>
        <xdr:cNvSpPr>
          <a:spLocks noChangeAspect="1" noChangeArrowheads="1"/>
        </xdr:cNvSpPr>
      </xdr:nvSpPr>
      <xdr:spPr bwMode="auto">
        <a:xfrm>
          <a:off x="7531100" y="75926950"/>
          <a:ext cx="190500" cy="266700"/>
        </a:xfrm>
        <a:prstGeom prst="rect">
          <a:avLst/>
        </a:prstGeom>
        <a:noFill/>
      </xdr:spPr>
    </xdr:sp>
    <xdr:clientData/>
  </xdr:oneCellAnchor>
  <xdr:oneCellAnchor>
    <xdr:from>
      <xdr:col>4</xdr:col>
      <xdr:colOff>1657350</xdr:colOff>
      <xdr:row>396</xdr:row>
      <xdr:rowOff>0</xdr:rowOff>
    </xdr:from>
    <xdr:ext cx="190500" cy="266700"/>
    <xdr:sp macro="" textlink="">
      <xdr:nvSpPr>
        <xdr:cNvPr id="3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4E2707A-1B5D-4CE8-AA3E-5547122B64D2}"/>
            </a:ext>
            <a:ext uri="{147F2762-F138-4A5C-976F-8EAC2B608ADB}">
              <a16:predDERef xmlns:a16="http://schemas.microsoft.com/office/drawing/2014/main" pred="{94A9A59B-4055-4FF8-9DCD-EAD1B25DC662}"/>
            </a:ext>
          </a:extLst>
        </xdr:cNvPr>
        <xdr:cNvSpPr>
          <a:spLocks noChangeAspect="1" noChangeArrowheads="1"/>
        </xdr:cNvSpPr>
      </xdr:nvSpPr>
      <xdr:spPr bwMode="auto">
        <a:xfrm>
          <a:off x="7531100" y="76295250"/>
          <a:ext cx="190500" cy="266700"/>
        </a:xfrm>
        <a:prstGeom prst="rect">
          <a:avLst/>
        </a:prstGeom>
        <a:noFill/>
      </xdr:spPr>
    </xdr:sp>
    <xdr:clientData/>
  </xdr:oneCellAnchor>
  <xdr:oneCellAnchor>
    <xdr:from>
      <xdr:col>4</xdr:col>
      <xdr:colOff>1657350</xdr:colOff>
      <xdr:row>396</xdr:row>
      <xdr:rowOff>0</xdr:rowOff>
    </xdr:from>
    <xdr:ext cx="190500" cy="266700"/>
    <xdr:sp macro="" textlink="">
      <xdr:nvSpPr>
        <xdr:cNvPr id="3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05DF4EC-B24F-454C-80B2-1D36BB1BBF7C}"/>
            </a:ext>
            <a:ext uri="{147F2762-F138-4A5C-976F-8EAC2B608ADB}">
              <a16:predDERef xmlns:a16="http://schemas.microsoft.com/office/drawing/2014/main" pred="{C7BF8D79-3E33-446A-99C6-903DF1FC556B}"/>
            </a:ext>
          </a:extLst>
        </xdr:cNvPr>
        <xdr:cNvSpPr>
          <a:spLocks noChangeAspect="1" noChangeArrowheads="1"/>
        </xdr:cNvSpPr>
      </xdr:nvSpPr>
      <xdr:spPr bwMode="auto">
        <a:xfrm>
          <a:off x="7531100" y="76295250"/>
          <a:ext cx="190500" cy="266700"/>
        </a:xfrm>
        <a:prstGeom prst="rect">
          <a:avLst/>
        </a:prstGeom>
        <a:noFill/>
      </xdr:spPr>
    </xdr:sp>
    <xdr:clientData/>
  </xdr:oneCellAnchor>
  <xdr:oneCellAnchor>
    <xdr:from>
      <xdr:col>4</xdr:col>
      <xdr:colOff>1657350</xdr:colOff>
      <xdr:row>398</xdr:row>
      <xdr:rowOff>0</xdr:rowOff>
    </xdr:from>
    <xdr:ext cx="190500" cy="266700"/>
    <xdr:sp macro="" textlink="">
      <xdr:nvSpPr>
        <xdr:cNvPr id="4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1542B42-DAC8-4CE5-9BB9-D8B839FDE1D9}"/>
            </a:ext>
            <a:ext uri="{147F2762-F138-4A5C-976F-8EAC2B608ADB}">
              <a16:predDERef xmlns:a16="http://schemas.microsoft.com/office/drawing/2014/main" pred="{B86F22E4-D8A2-40C1-AF7D-DE5AC105817F}"/>
            </a:ext>
          </a:extLst>
        </xdr:cNvPr>
        <xdr:cNvSpPr>
          <a:spLocks noChangeAspect="1" noChangeArrowheads="1"/>
        </xdr:cNvSpPr>
      </xdr:nvSpPr>
      <xdr:spPr bwMode="auto">
        <a:xfrm>
          <a:off x="7531100" y="76663550"/>
          <a:ext cx="190500" cy="266700"/>
        </a:xfrm>
        <a:prstGeom prst="rect">
          <a:avLst/>
        </a:prstGeom>
        <a:noFill/>
      </xdr:spPr>
    </xdr:sp>
    <xdr:clientData/>
  </xdr:oneCellAnchor>
  <xdr:oneCellAnchor>
    <xdr:from>
      <xdr:col>4</xdr:col>
      <xdr:colOff>1657350</xdr:colOff>
      <xdr:row>398</xdr:row>
      <xdr:rowOff>0</xdr:rowOff>
    </xdr:from>
    <xdr:ext cx="190500" cy="266700"/>
    <xdr:sp macro="" textlink="">
      <xdr:nvSpPr>
        <xdr:cNvPr id="4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86E671E-4599-47B4-953A-A4105F6082C5}"/>
            </a:ext>
            <a:ext uri="{147F2762-F138-4A5C-976F-8EAC2B608ADB}">
              <a16:predDERef xmlns:a16="http://schemas.microsoft.com/office/drawing/2014/main" pred="{50E08ED8-0ECC-4F37-BFDE-7F14A0DC2A55}"/>
            </a:ext>
          </a:extLst>
        </xdr:cNvPr>
        <xdr:cNvSpPr>
          <a:spLocks noChangeAspect="1" noChangeArrowheads="1"/>
        </xdr:cNvSpPr>
      </xdr:nvSpPr>
      <xdr:spPr bwMode="auto">
        <a:xfrm>
          <a:off x="7531100" y="76663550"/>
          <a:ext cx="190500" cy="266700"/>
        </a:xfrm>
        <a:prstGeom prst="rect">
          <a:avLst/>
        </a:prstGeom>
        <a:noFill/>
      </xdr:spPr>
    </xdr:sp>
    <xdr:clientData/>
  </xdr:oneCellAnchor>
  <xdr:oneCellAnchor>
    <xdr:from>
      <xdr:col>4</xdr:col>
      <xdr:colOff>1657350</xdr:colOff>
      <xdr:row>400</xdr:row>
      <xdr:rowOff>0</xdr:rowOff>
    </xdr:from>
    <xdr:ext cx="190500" cy="266700"/>
    <xdr:sp macro="" textlink="">
      <xdr:nvSpPr>
        <xdr:cNvPr id="4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BB044D0-E3A0-4BBF-841A-803CFCF7236C}"/>
            </a:ext>
            <a:ext uri="{147F2762-F138-4A5C-976F-8EAC2B608ADB}">
              <a16:predDERef xmlns:a16="http://schemas.microsoft.com/office/drawing/2014/main" pred="{6CE6E352-2521-4D34-99DC-8E1DD5577B0D}"/>
            </a:ext>
          </a:extLst>
        </xdr:cNvPr>
        <xdr:cNvSpPr>
          <a:spLocks noChangeAspect="1" noChangeArrowheads="1"/>
        </xdr:cNvSpPr>
      </xdr:nvSpPr>
      <xdr:spPr bwMode="auto">
        <a:xfrm>
          <a:off x="7531100" y="77031850"/>
          <a:ext cx="190500" cy="266700"/>
        </a:xfrm>
        <a:prstGeom prst="rect">
          <a:avLst/>
        </a:prstGeom>
        <a:noFill/>
      </xdr:spPr>
    </xdr:sp>
    <xdr:clientData/>
  </xdr:oneCellAnchor>
  <xdr:oneCellAnchor>
    <xdr:from>
      <xdr:col>4</xdr:col>
      <xdr:colOff>1657350</xdr:colOff>
      <xdr:row>400</xdr:row>
      <xdr:rowOff>0</xdr:rowOff>
    </xdr:from>
    <xdr:ext cx="190500" cy="266700"/>
    <xdr:sp macro="" textlink="">
      <xdr:nvSpPr>
        <xdr:cNvPr id="4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E9B6A82-719F-4E67-8C26-DA09112399B9}"/>
            </a:ext>
            <a:ext uri="{147F2762-F138-4A5C-976F-8EAC2B608ADB}">
              <a16:predDERef xmlns:a16="http://schemas.microsoft.com/office/drawing/2014/main" pred="{7CF1871B-C278-4778-AEA7-439FAD0E613E}"/>
            </a:ext>
          </a:extLst>
        </xdr:cNvPr>
        <xdr:cNvSpPr>
          <a:spLocks noChangeAspect="1" noChangeArrowheads="1"/>
        </xdr:cNvSpPr>
      </xdr:nvSpPr>
      <xdr:spPr bwMode="auto">
        <a:xfrm>
          <a:off x="7531100" y="77031850"/>
          <a:ext cx="190500" cy="266700"/>
        </a:xfrm>
        <a:prstGeom prst="rect">
          <a:avLst/>
        </a:prstGeom>
        <a:noFill/>
      </xdr:spPr>
    </xdr:sp>
    <xdr:clientData/>
  </xdr:oneCellAnchor>
  <xdr:oneCellAnchor>
    <xdr:from>
      <xdr:col>4</xdr:col>
      <xdr:colOff>1657350</xdr:colOff>
      <xdr:row>402</xdr:row>
      <xdr:rowOff>0</xdr:rowOff>
    </xdr:from>
    <xdr:ext cx="190500" cy="266700"/>
    <xdr:sp macro="" textlink="">
      <xdr:nvSpPr>
        <xdr:cNvPr id="4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1758810-BB6D-483E-97A5-626259454AD5}"/>
            </a:ext>
            <a:ext uri="{147F2762-F138-4A5C-976F-8EAC2B608ADB}">
              <a16:predDERef xmlns:a16="http://schemas.microsoft.com/office/drawing/2014/main" pred="{D87A5F32-AB52-43AD-A34B-1675BE82CB15}"/>
            </a:ext>
          </a:extLst>
        </xdr:cNvPr>
        <xdr:cNvSpPr>
          <a:spLocks noChangeAspect="1" noChangeArrowheads="1"/>
        </xdr:cNvSpPr>
      </xdr:nvSpPr>
      <xdr:spPr bwMode="auto">
        <a:xfrm>
          <a:off x="7531100" y="77400150"/>
          <a:ext cx="190500" cy="266700"/>
        </a:xfrm>
        <a:prstGeom prst="rect">
          <a:avLst/>
        </a:prstGeom>
        <a:noFill/>
      </xdr:spPr>
    </xdr:sp>
    <xdr:clientData/>
  </xdr:oneCellAnchor>
  <xdr:oneCellAnchor>
    <xdr:from>
      <xdr:col>4</xdr:col>
      <xdr:colOff>1657350</xdr:colOff>
      <xdr:row>402</xdr:row>
      <xdr:rowOff>0</xdr:rowOff>
    </xdr:from>
    <xdr:ext cx="190500" cy="266700"/>
    <xdr:sp macro="" textlink="">
      <xdr:nvSpPr>
        <xdr:cNvPr id="4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F448857-B0A7-41AD-A8B9-2D5EA6F948D8}"/>
            </a:ext>
            <a:ext uri="{147F2762-F138-4A5C-976F-8EAC2B608ADB}">
              <a16:predDERef xmlns:a16="http://schemas.microsoft.com/office/drawing/2014/main" pred="{0A16DD8B-9FC0-491E-8E14-4767CBA1EDC0}"/>
            </a:ext>
          </a:extLst>
        </xdr:cNvPr>
        <xdr:cNvSpPr>
          <a:spLocks noChangeAspect="1" noChangeArrowheads="1"/>
        </xdr:cNvSpPr>
      </xdr:nvSpPr>
      <xdr:spPr bwMode="auto">
        <a:xfrm>
          <a:off x="7531100" y="77400150"/>
          <a:ext cx="190500" cy="266700"/>
        </a:xfrm>
        <a:prstGeom prst="rect">
          <a:avLst/>
        </a:prstGeom>
        <a:noFill/>
      </xdr:spPr>
    </xdr:sp>
    <xdr:clientData/>
  </xdr:oneCellAnchor>
  <xdr:oneCellAnchor>
    <xdr:from>
      <xdr:col>4</xdr:col>
      <xdr:colOff>1657350</xdr:colOff>
      <xdr:row>404</xdr:row>
      <xdr:rowOff>0</xdr:rowOff>
    </xdr:from>
    <xdr:ext cx="190500" cy="266700"/>
    <xdr:sp macro="" textlink="">
      <xdr:nvSpPr>
        <xdr:cNvPr id="4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4D5D8E3-44A3-49FD-8EFD-463D3E25294B}"/>
            </a:ext>
            <a:ext uri="{147F2762-F138-4A5C-976F-8EAC2B608ADB}">
              <a16:predDERef xmlns:a16="http://schemas.microsoft.com/office/drawing/2014/main" pred="{BFC8A269-2CB1-463C-B198-8746A6932A2D}"/>
            </a:ext>
          </a:extLst>
        </xdr:cNvPr>
        <xdr:cNvSpPr>
          <a:spLocks noChangeAspect="1" noChangeArrowheads="1"/>
        </xdr:cNvSpPr>
      </xdr:nvSpPr>
      <xdr:spPr bwMode="auto">
        <a:xfrm>
          <a:off x="7531100" y="77768450"/>
          <a:ext cx="190500" cy="266700"/>
        </a:xfrm>
        <a:prstGeom prst="rect">
          <a:avLst/>
        </a:prstGeom>
        <a:noFill/>
      </xdr:spPr>
    </xdr:sp>
    <xdr:clientData/>
  </xdr:oneCellAnchor>
  <xdr:oneCellAnchor>
    <xdr:from>
      <xdr:col>4</xdr:col>
      <xdr:colOff>1657350</xdr:colOff>
      <xdr:row>404</xdr:row>
      <xdr:rowOff>0</xdr:rowOff>
    </xdr:from>
    <xdr:ext cx="190500" cy="266700"/>
    <xdr:sp macro="" textlink="">
      <xdr:nvSpPr>
        <xdr:cNvPr id="4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74A5A57-29A9-4909-AB6A-83257B0D6B78}"/>
            </a:ext>
            <a:ext uri="{147F2762-F138-4A5C-976F-8EAC2B608ADB}">
              <a16:predDERef xmlns:a16="http://schemas.microsoft.com/office/drawing/2014/main" pred="{53CF3F8E-A083-4732-92BB-7392CE93739D}"/>
            </a:ext>
          </a:extLst>
        </xdr:cNvPr>
        <xdr:cNvSpPr>
          <a:spLocks noChangeAspect="1" noChangeArrowheads="1"/>
        </xdr:cNvSpPr>
      </xdr:nvSpPr>
      <xdr:spPr bwMode="auto">
        <a:xfrm>
          <a:off x="7531100" y="77768450"/>
          <a:ext cx="190500" cy="266700"/>
        </a:xfrm>
        <a:prstGeom prst="rect">
          <a:avLst/>
        </a:prstGeom>
        <a:noFill/>
      </xdr:spPr>
    </xdr:sp>
    <xdr:clientData/>
  </xdr:oneCellAnchor>
  <xdr:oneCellAnchor>
    <xdr:from>
      <xdr:col>4</xdr:col>
      <xdr:colOff>1657350</xdr:colOff>
      <xdr:row>406</xdr:row>
      <xdr:rowOff>0</xdr:rowOff>
    </xdr:from>
    <xdr:ext cx="190500" cy="266700"/>
    <xdr:sp macro="" textlink="">
      <xdr:nvSpPr>
        <xdr:cNvPr id="4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CA70CC9-C98C-4819-88F9-58D2C76198D6}"/>
            </a:ext>
            <a:ext uri="{147F2762-F138-4A5C-976F-8EAC2B608ADB}">
              <a16:predDERef xmlns:a16="http://schemas.microsoft.com/office/drawing/2014/main" pred="{C5C48BC3-67B7-404D-867F-90762870A9D9}"/>
            </a:ext>
          </a:extLst>
        </xdr:cNvPr>
        <xdr:cNvSpPr>
          <a:spLocks noChangeAspect="1" noChangeArrowheads="1"/>
        </xdr:cNvSpPr>
      </xdr:nvSpPr>
      <xdr:spPr bwMode="auto">
        <a:xfrm>
          <a:off x="7531100" y="78136750"/>
          <a:ext cx="190500" cy="266700"/>
        </a:xfrm>
        <a:prstGeom prst="rect">
          <a:avLst/>
        </a:prstGeom>
        <a:noFill/>
      </xdr:spPr>
    </xdr:sp>
    <xdr:clientData/>
  </xdr:oneCellAnchor>
  <xdr:oneCellAnchor>
    <xdr:from>
      <xdr:col>4</xdr:col>
      <xdr:colOff>1657350</xdr:colOff>
      <xdr:row>406</xdr:row>
      <xdr:rowOff>0</xdr:rowOff>
    </xdr:from>
    <xdr:ext cx="190500" cy="266700"/>
    <xdr:sp macro="" textlink="">
      <xdr:nvSpPr>
        <xdr:cNvPr id="4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A602A69-911F-47CD-AC14-0BD1041E9AEF}"/>
            </a:ext>
            <a:ext uri="{147F2762-F138-4A5C-976F-8EAC2B608ADB}">
              <a16:predDERef xmlns:a16="http://schemas.microsoft.com/office/drawing/2014/main" pred="{14793E42-C8A1-4039-BDF6-1ED47862CF30}"/>
            </a:ext>
          </a:extLst>
        </xdr:cNvPr>
        <xdr:cNvSpPr>
          <a:spLocks noChangeAspect="1" noChangeArrowheads="1"/>
        </xdr:cNvSpPr>
      </xdr:nvSpPr>
      <xdr:spPr bwMode="auto">
        <a:xfrm>
          <a:off x="7531100" y="78136750"/>
          <a:ext cx="190500" cy="266700"/>
        </a:xfrm>
        <a:prstGeom prst="rect">
          <a:avLst/>
        </a:prstGeom>
        <a:noFill/>
      </xdr:spPr>
    </xdr:sp>
    <xdr:clientData/>
  </xdr:oneCellAnchor>
  <xdr:oneCellAnchor>
    <xdr:from>
      <xdr:col>4</xdr:col>
      <xdr:colOff>1657350</xdr:colOff>
      <xdr:row>408</xdr:row>
      <xdr:rowOff>0</xdr:rowOff>
    </xdr:from>
    <xdr:ext cx="190500" cy="266700"/>
    <xdr:sp macro="" textlink="">
      <xdr:nvSpPr>
        <xdr:cNvPr id="4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A0EE425-4B9E-435A-B240-DA76300F9853}"/>
            </a:ext>
            <a:ext uri="{147F2762-F138-4A5C-976F-8EAC2B608ADB}">
              <a16:predDERef xmlns:a16="http://schemas.microsoft.com/office/drawing/2014/main" pred="{64BE9100-A28E-4654-9A54-6C0BE9C3712A}"/>
            </a:ext>
          </a:extLst>
        </xdr:cNvPr>
        <xdr:cNvSpPr>
          <a:spLocks noChangeAspect="1" noChangeArrowheads="1"/>
        </xdr:cNvSpPr>
      </xdr:nvSpPr>
      <xdr:spPr bwMode="auto">
        <a:xfrm>
          <a:off x="7531100" y="78505050"/>
          <a:ext cx="190500" cy="266700"/>
        </a:xfrm>
        <a:prstGeom prst="rect">
          <a:avLst/>
        </a:prstGeom>
        <a:noFill/>
      </xdr:spPr>
    </xdr:sp>
    <xdr:clientData/>
  </xdr:oneCellAnchor>
  <xdr:oneCellAnchor>
    <xdr:from>
      <xdr:col>4</xdr:col>
      <xdr:colOff>1657350</xdr:colOff>
      <xdr:row>408</xdr:row>
      <xdr:rowOff>0</xdr:rowOff>
    </xdr:from>
    <xdr:ext cx="190500" cy="266700"/>
    <xdr:sp macro="" textlink="">
      <xdr:nvSpPr>
        <xdr:cNvPr id="4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1EEDFDB-65B0-4FF3-935B-8075A932D324}"/>
            </a:ext>
            <a:ext uri="{147F2762-F138-4A5C-976F-8EAC2B608ADB}">
              <a16:predDERef xmlns:a16="http://schemas.microsoft.com/office/drawing/2014/main" pred="{38ACFCB3-87D6-464B-B001-0A845882F2B7}"/>
            </a:ext>
          </a:extLst>
        </xdr:cNvPr>
        <xdr:cNvSpPr>
          <a:spLocks noChangeAspect="1" noChangeArrowheads="1"/>
        </xdr:cNvSpPr>
      </xdr:nvSpPr>
      <xdr:spPr bwMode="auto">
        <a:xfrm>
          <a:off x="7531100" y="78505050"/>
          <a:ext cx="190500" cy="266700"/>
        </a:xfrm>
        <a:prstGeom prst="rect">
          <a:avLst/>
        </a:prstGeom>
        <a:noFill/>
      </xdr:spPr>
    </xdr:sp>
    <xdr:clientData/>
  </xdr:oneCellAnchor>
  <xdr:oneCellAnchor>
    <xdr:from>
      <xdr:col>4</xdr:col>
      <xdr:colOff>1657350</xdr:colOff>
      <xdr:row>410</xdr:row>
      <xdr:rowOff>0</xdr:rowOff>
    </xdr:from>
    <xdr:ext cx="190500" cy="266700"/>
    <xdr:sp macro="" textlink="">
      <xdr:nvSpPr>
        <xdr:cNvPr id="4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8A8D0F9-7ADE-4649-844F-ACBCDFE3071A}"/>
            </a:ext>
            <a:ext uri="{147F2762-F138-4A5C-976F-8EAC2B608ADB}">
              <a16:predDERef xmlns:a16="http://schemas.microsoft.com/office/drawing/2014/main" pred="{6F3369A7-9659-4A8E-B36C-D4BA0440B5A1}"/>
            </a:ext>
          </a:extLst>
        </xdr:cNvPr>
        <xdr:cNvSpPr>
          <a:spLocks noChangeAspect="1" noChangeArrowheads="1"/>
        </xdr:cNvSpPr>
      </xdr:nvSpPr>
      <xdr:spPr bwMode="auto">
        <a:xfrm>
          <a:off x="7531100" y="78873350"/>
          <a:ext cx="190500" cy="266700"/>
        </a:xfrm>
        <a:prstGeom prst="rect">
          <a:avLst/>
        </a:prstGeom>
        <a:noFill/>
      </xdr:spPr>
    </xdr:sp>
    <xdr:clientData/>
  </xdr:oneCellAnchor>
  <xdr:oneCellAnchor>
    <xdr:from>
      <xdr:col>4</xdr:col>
      <xdr:colOff>1657350</xdr:colOff>
      <xdr:row>410</xdr:row>
      <xdr:rowOff>0</xdr:rowOff>
    </xdr:from>
    <xdr:ext cx="190500" cy="266700"/>
    <xdr:sp macro="" textlink="">
      <xdr:nvSpPr>
        <xdr:cNvPr id="4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C8EEE90-6A85-476D-89B3-03BFE180DABC}"/>
            </a:ext>
            <a:ext uri="{147F2762-F138-4A5C-976F-8EAC2B608ADB}">
              <a16:predDERef xmlns:a16="http://schemas.microsoft.com/office/drawing/2014/main" pred="{82ED512B-636D-4149-B06C-77A160EAE214}"/>
            </a:ext>
          </a:extLst>
        </xdr:cNvPr>
        <xdr:cNvSpPr>
          <a:spLocks noChangeAspect="1" noChangeArrowheads="1"/>
        </xdr:cNvSpPr>
      </xdr:nvSpPr>
      <xdr:spPr bwMode="auto">
        <a:xfrm>
          <a:off x="7531100" y="78873350"/>
          <a:ext cx="190500" cy="266700"/>
        </a:xfrm>
        <a:prstGeom prst="rect">
          <a:avLst/>
        </a:prstGeom>
        <a:noFill/>
      </xdr:spPr>
    </xdr:sp>
    <xdr:clientData/>
  </xdr:oneCellAnchor>
  <xdr:oneCellAnchor>
    <xdr:from>
      <xdr:col>4</xdr:col>
      <xdr:colOff>1657350</xdr:colOff>
      <xdr:row>412</xdr:row>
      <xdr:rowOff>0</xdr:rowOff>
    </xdr:from>
    <xdr:ext cx="190500" cy="266700"/>
    <xdr:sp macro="" textlink="">
      <xdr:nvSpPr>
        <xdr:cNvPr id="4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84E3DD3-4717-4D3E-BE89-1A44F7D98E4E}"/>
            </a:ext>
            <a:ext uri="{147F2762-F138-4A5C-976F-8EAC2B608ADB}">
              <a16:predDERef xmlns:a16="http://schemas.microsoft.com/office/drawing/2014/main" pred="{A1769A10-2DFB-4FA0-AED4-B8646A9B7E3B}"/>
            </a:ext>
          </a:extLst>
        </xdr:cNvPr>
        <xdr:cNvSpPr>
          <a:spLocks noChangeAspect="1" noChangeArrowheads="1"/>
        </xdr:cNvSpPr>
      </xdr:nvSpPr>
      <xdr:spPr bwMode="auto">
        <a:xfrm>
          <a:off x="7531100" y="79241650"/>
          <a:ext cx="190500" cy="266700"/>
        </a:xfrm>
        <a:prstGeom prst="rect">
          <a:avLst/>
        </a:prstGeom>
        <a:noFill/>
      </xdr:spPr>
    </xdr:sp>
    <xdr:clientData/>
  </xdr:oneCellAnchor>
  <xdr:oneCellAnchor>
    <xdr:from>
      <xdr:col>4</xdr:col>
      <xdr:colOff>1657350</xdr:colOff>
      <xdr:row>412</xdr:row>
      <xdr:rowOff>0</xdr:rowOff>
    </xdr:from>
    <xdr:ext cx="190500" cy="266700"/>
    <xdr:sp macro="" textlink="">
      <xdr:nvSpPr>
        <xdr:cNvPr id="4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5A1EB3A-9A87-4071-82AC-5DBA16970EC1}"/>
            </a:ext>
            <a:ext uri="{147F2762-F138-4A5C-976F-8EAC2B608ADB}">
              <a16:predDERef xmlns:a16="http://schemas.microsoft.com/office/drawing/2014/main" pred="{AD7A7178-1DD1-4577-81EC-BDF7C89F3744}"/>
            </a:ext>
          </a:extLst>
        </xdr:cNvPr>
        <xdr:cNvSpPr>
          <a:spLocks noChangeAspect="1" noChangeArrowheads="1"/>
        </xdr:cNvSpPr>
      </xdr:nvSpPr>
      <xdr:spPr bwMode="auto">
        <a:xfrm>
          <a:off x="7531100" y="79241650"/>
          <a:ext cx="190500" cy="266700"/>
        </a:xfrm>
        <a:prstGeom prst="rect">
          <a:avLst/>
        </a:prstGeom>
        <a:noFill/>
      </xdr:spPr>
    </xdr:sp>
    <xdr:clientData/>
  </xdr:oneCellAnchor>
  <xdr:oneCellAnchor>
    <xdr:from>
      <xdr:col>4</xdr:col>
      <xdr:colOff>1657350</xdr:colOff>
      <xdr:row>414</xdr:row>
      <xdr:rowOff>0</xdr:rowOff>
    </xdr:from>
    <xdr:ext cx="190500" cy="266700"/>
    <xdr:sp macro="" textlink="">
      <xdr:nvSpPr>
        <xdr:cNvPr id="4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01D0B39-7CF8-4447-A9EF-798A7A9A5517}"/>
            </a:ext>
            <a:ext uri="{147F2762-F138-4A5C-976F-8EAC2B608ADB}">
              <a16:predDERef xmlns:a16="http://schemas.microsoft.com/office/drawing/2014/main" pred="{F4A5DEF0-B5F7-452B-AA04-F4320E14380D}"/>
            </a:ext>
          </a:extLst>
        </xdr:cNvPr>
        <xdr:cNvSpPr>
          <a:spLocks noChangeAspect="1" noChangeArrowheads="1"/>
        </xdr:cNvSpPr>
      </xdr:nvSpPr>
      <xdr:spPr bwMode="auto">
        <a:xfrm>
          <a:off x="7531100" y="79609950"/>
          <a:ext cx="190500" cy="266700"/>
        </a:xfrm>
        <a:prstGeom prst="rect">
          <a:avLst/>
        </a:prstGeom>
        <a:noFill/>
      </xdr:spPr>
    </xdr:sp>
    <xdr:clientData/>
  </xdr:oneCellAnchor>
  <xdr:oneCellAnchor>
    <xdr:from>
      <xdr:col>4</xdr:col>
      <xdr:colOff>1657350</xdr:colOff>
      <xdr:row>414</xdr:row>
      <xdr:rowOff>0</xdr:rowOff>
    </xdr:from>
    <xdr:ext cx="190500" cy="266700"/>
    <xdr:sp macro="" textlink="">
      <xdr:nvSpPr>
        <xdr:cNvPr id="4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4C41483-4BF5-42AD-9E28-B4DF96005461}"/>
            </a:ext>
            <a:ext uri="{147F2762-F138-4A5C-976F-8EAC2B608ADB}">
              <a16:predDERef xmlns:a16="http://schemas.microsoft.com/office/drawing/2014/main" pred="{4B77480D-6394-4057-A23E-02E7192905B4}"/>
            </a:ext>
          </a:extLst>
        </xdr:cNvPr>
        <xdr:cNvSpPr>
          <a:spLocks noChangeAspect="1" noChangeArrowheads="1"/>
        </xdr:cNvSpPr>
      </xdr:nvSpPr>
      <xdr:spPr bwMode="auto">
        <a:xfrm>
          <a:off x="7531100" y="79609950"/>
          <a:ext cx="190500" cy="266700"/>
        </a:xfrm>
        <a:prstGeom prst="rect">
          <a:avLst/>
        </a:prstGeom>
        <a:noFill/>
      </xdr:spPr>
    </xdr:sp>
    <xdr:clientData/>
  </xdr:oneCellAnchor>
  <xdr:oneCellAnchor>
    <xdr:from>
      <xdr:col>4</xdr:col>
      <xdr:colOff>1657350</xdr:colOff>
      <xdr:row>416</xdr:row>
      <xdr:rowOff>0</xdr:rowOff>
    </xdr:from>
    <xdr:ext cx="190500" cy="266700"/>
    <xdr:sp macro="" textlink="">
      <xdr:nvSpPr>
        <xdr:cNvPr id="4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5C9B3D4-B503-4739-9268-E7AD780B6093}"/>
            </a:ext>
            <a:ext uri="{147F2762-F138-4A5C-976F-8EAC2B608ADB}">
              <a16:predDERef xmlns:a16="http://schemas.microsoft.com/office/drawing/2014/main" pred="{8908A4DB-6D44-4B4B-A7D7-8A0114F39493}"/>
            </a:ext>
          </a:extLst>
        </xdr:cNvPr>
        <xdr:cNvSpPr>
          <a:spLocks noChangeAspect="1" noChangeArrowheads="1"/>
        </xdr:cNvSpPr>
      </xdr:nvSpPr>
      <xdr:spPr bwMode="auto">
        <a:xfrm>
          <a:off x="7531100" y="79978250"/>
          <a:ext cx="190500" cy="266700"/>
        </a:xfrm>
        <a:prstGeom prst="rect">
          <a:avLst/>
        </a:prstGeom>
        <a:noFill/>
      </xdr:spPr>
    </xdr:sp>
    <xdr:clientData/>
  </xdr:oneCellAnchor>
  <xdr:oneCellAnchor>
    <xdr:from>
      <xdr:col>4</xdr:col>
      <xdr:colOff>1657350</xdr:colOff>
      <xdr:row>416</xdr:row>
      <xdr:rowOff>0</xdr:rowOff>
    </xdr:from>
    <xdr:ext cx="190500" cy="266700"/>
    <xdr:sp macro="" textlink="">
      <xdr:nvSpPr>
        <xdr:cNvPr id="4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166725E-12B3-4196-9EA9-D8A7AFFA027F}"/>
            </a:ext>
            <a:ext uri="{147F2762-F138-4A5C-976F-8EAC2B608ADB}">
              <a16:predDERef xmlns:a16="http://schemas.microsoft.com/office/drawing/2014/main" pred="{2860C946-E3F8-4B4C-BAF6-DE4211C2CBB8}"/>
            </a:ext>
          </a:extLst>
        </xdr:cNvPr>
        <xdr:cNvSpPr>
          <a:spLocks noChangeAspect="1" noChangeArrowheads="1"/>
        </xdr:cNvSpPr>
      </xdr:nvSpPr>
      <xdr:spPr bwMode="auto">
        <a:xfrm>
          <a:off x="7531100" y="79978250"/>
          <a:ext cx="190500" cy="266700"/>
        </a:xfrm>
        <a:prstGeom prst="rect">
          <a:avLst/>
        </a:prstGeom>
        <a:noFill/>
      </xdr:spPr>
    </xdr:sp>
    <xdr:clientData/>
  </xdr:oneCellAnchor>
  <xdr:oneCellAnchor>
    <xdr:from>
      <xdr:col>4</xdr:col>
      <xdr:colOff>1657350</xdr:colOff>
      <xdr:row>418</xdr:row>
      <xdr:rowOff>0</xdr:rowOff>
    </xdr:from>
    <xdr:ext cx="190500" cy="266700"/>
    <xdr:sp macro="" textlink="">
      <xdr:nvSpPr>
        <xdr:cNvPr id="4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B14613A-DB07-4D9C-A828-6FD1F14E0074}"/>
            </a:ext>
            <a:ext uri="{147F2762-F138-4A5C-976F-8EAC2B608ADB}">
              <a16:predDERef xmlns:a16="http://schemas.microsoft.com/office/drawing/2014/main" pred="{CC7FB047-71E5-428F-85CB-F8471B7D2ED5}"/>
            </a:ext>
          </a:extLst>
        </xdr:cNvPr>
        <xdr:cNvSpPr>
          <a:spLocks noChangeAspect="1" noChangeArrowheads="1"/>
        </xdr:cNvSpPr>
      </xdr:nvSpPr>
      <xdr:spPr bwMode="auto">
        <a:xfrm>
          <a:off x="7531100" y="80346550"/>
          <a:ext cx="190500" cy="266700"/>
        </a:xfrm>
        <a:prstGeom prst="rect">
          <a:avLst/>
        </a:prstGeom>
        <a:noFill/>
      </xdr:spPr>
    </xdr:sp>
    <xdr:clientData/>
  </xdr:oneCellAnchor>
  <xdr:oneCellAnchor>
    <xdr:from>
      <xdr:col>4</xdr:col>
      <xdr:colOff>1657350</xdr:colOff>
      <xdr:row>418</xdr:row>
      <xdr:rowOff>0</xdr:rowOff>
    </xdr:from>
    <xdr:ext cx="190500" cy="266700"/>
    <xdr:sp macro="" textlink="">
      <xdr:nvSpPr>
        <xdr:cNvPr id="4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25483A8-5F0F-420D-95A1-294657BD69D3}"/>
            </a:ext>
            <a:ext uri="{147F2762-F138-4A5C-976F-8EAC2B608ADB}">
              <a16:predDERef xmlns:a16="http://schemas.microsoft.com/office/drawing/2014/main" pred="{DA158062-5BBA-4FF5-B85C-DB7C19628B88}"/>
            </a:ext>
          </a:extLst>
        </xdr:cNvPr>
        <xdr:cNvSpPr>
          <a:spLocks noChangeAspect="1" noChangeArrowheads="1"/>
        </xdr:cNvSpPr>
      </xdr:nvSpPr>
      <xdr:spPr bwMode="auto">
        <a:xfrm>
          <a:off x="7531100" y="80346550"/>
          <a:ext cx="190500" cy="266700"/>
        </a:xfrm>
        <a:prstGeom prst="rect">
          <a:avLst/>
        </a:prstGeom>
        <a:noFill/>
      </xdr:spPr>
    </xdr:sp>
    <xdr:clientData/>
  </xdr:oneCellAnchor>
  <xdr:oneCellAnchor>
    <xdr:from>
      <xdr:col>4</xdr:col>
      <xdr:colOff>1657350</xdr:colOff>
      <xdr:row>420</xdr:row>
      <xdr:rowOff>0</xdr:rowOff>
    </xdr:from>
    <xdr:ext cx="190500" cy="266700"/>
    <xdr:sp macro="" textlink="">
      <xdr:nvSpPr>
        <xdr:cNvPr id="4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63DD159-5D09-4951-8F03-6229C8C2750E}"/>
            </a:ext>
            <a:ext uri="{147F2762-F138-4A5C-976F-8EAC2B608ADB}">
              <a16:predDERef xmlns:a16="http://schemas.microsoft.com/office/drawing/2014/main" pred="{B605F357-EA6B-45B9-A100-0D6E83A7870B}"/>
            </a:ext>
          </a:extLst>
        </xdr:cNvPr>
        <xdr:cNvSpPr>
          <a:spLocks noChangeAspect="1" noChangeArrowheads="1"/>
        </xdr:cNvSpPr>
      </xdr:nvSpPr>
      <xdr:spPr bwMode="auto">
        <a:xfrm>
          <a:off x="7531100" y="80714850"/>
          <a:ext cx="190500" cy="266700"/>
        </a:xfrm>
        <a:prstGeom prst="rect">
          <a:avLst/>
        </a:prstGeom>
        <a:noFill/>
      </xdr:spPr>
    </xdr:sp>
    <xdr:clientData/>
  </xdr:oneCellAnchor>
  <xdr:oneCellAnchor>
    <xdr:from>
      <xdr:col>4</xdr:col>
      <xdr:colOff>1657350</xdr:colOff>
      <xdr:row>420</xdr:row>
      <xdr:rowOff>0</xdr:rowOff>
    </xdr:from>
    <xdr:ext cx="190500" cy="266700"/>
    <xdr:sp macro="" textlink="">
      <xdr:nvSpPr>
        <xdr:cNvPr id="4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92DF397-E7AE-48B8-BEC7-5DC7F3E4101F}"/>
            </a:ext>
            <a:ext uri="{147F2762-F138-4A5C-976F-8EAC2B608ADB}">
              <a16:predDERef xmlns:a16="http://schemas.microsoft.com/office/drawing/2014/main" pred="{F8551F1E-3EC6-434F-80C3-3A8020FE49D8}"/>
            </a:ext>
          </a:extLst>
        </xdr:cNvPr>
        <xdr:cNvSpPr>
          <a:spLocks noChangeAspect="1" noChangeArrowheads="1"/>
        </xdr:cNvSpPr>
      </xdr:nvSpPr>
      <xdr:spPr bwMode="auto">
        <a:xfrm>
          <a:off x="7531100" y="80714850"/>
          <a:ext cx="190500" cy="266700"/>
        </a:xfrm>
        <a:prstGeom prst="rect">
          <a:avLst/>
        </a:prstGeom>
        <a:noFill/>
      </xdr:spPr>
    </xdr:sp>
    <xdr:clientData/>
  </xdr:oneCellAnchor>
  <xdr:oneCellAnchor>
    <xdr:from>
      <xdr:col>4</xdr:col>
      <xdr:colOff>1657350</xdr:colOff>
      <xdr:row>422</xdr:row>
      <xdr:rowOff>0</xdr:rowOff>
    </xdr:from>
    <xdr:ext cx="190500" cy="266700"/>
    <xdr:sp macro="" textlink="">
      <xdr:nvSpPr>
        <xdr:cNvPr id="4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C6D0D49-68DE-4328-ABD6-41F0BB5A6944}"/>
            </a:ext>
            <a:ext uri="{147F2762-F138-4A5C-976F-8EAC2B608ADB}">
              <a16:predDERef xmlns:a16="http://schemas.microsoft.com/office/drawing/2014/main" pred="{D7F6D660-9E5E-44AA-A580-6EE69BC5DE04}"/>
            </a:ext>
          </a:extLst>
        </xdr:cNvPr>
        <xdr:cNvSpPr>
          <a:spLocks noChangeAspect="1" noChangeArrowheads="1"/>
        </xdr:cNvSpPr>
      </xdr:nvSpPr>
      <xdr:spPr bwMode="auto">
        <a:xfrm>
          <a:off x="7531100" y="81083150"/>
          <a:ext cx="190500" cy="266700"/>
        </a:xfrm>
        <a:prstGeom prst="rect">
          <a:avLst/>
        </a:prstGeom>
        <a:noFill/>
      </xdr:spPr>
    </xdr:sp>
    <xdr:clientData/>
  </xdr:oneCellAnchor>
  <xdr:oneCellAnchor>
    <xdr:from>
      <xdr:col>4</xdr:col>
      <xdr:colOff>1657350</xdr:colOff>
      <xdr:row>422</xdr:row>
      <xdr:rowOff>0</xdr:rowOff>
    </xdr:from>
    <xdr:ext cx="190500" cy="266700"/>
    <xdr:sp macro="" textlink="">
      <xdr:nvSpPr>
        <xdr:cNvPr id="4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BEA95D-29C9-408F-9DCD-0F2D6EACF2E8}"/>
            </a:ext>
            <a:ext uri="{147F2762-F138-4A5C-976F-8EAC2B608ADB}">
              <a16:predDERef xmlns:a16="http://schemas.microsoft.com/office/drawing/2014/main" pred="{377F729E-AECD-4B21-8E3B-F60AC873E014}"/>
            </a:ext>
          </a:extLst>
        </xdr:cNvPr>
        <xdr:cNvSpPr>
          <a:spLocks noChangeAspect="1" noChangeArrowheads="1"/>
        </xdr:cNvSpPr>
      </xdr:nvSpPr>
      <xdr:spPr bwMode="auto">
        <a:xfrm>
          <a:off x="7531100" y="81083150"/>
          <a:ext cx="190500" cy="266700"/>
        </a:xfrm>
        <a:prstGeom prst="rect">
          <a:avLst/>
        </a:prstGeom>
        <a:noFill/>
      </xdr:spPr>
    </xdr:sp>
    <xdr:clientData/>
  </xdr:oneCellAnchor>
  <xdr:oneCellAnchor>
    <xdr:from>
      <xdr:col>4</xdr:col>
      <xdr:colOff>1657350</xdr:colOff>
      <xdr:row>424</xdr:row>
      <xdr:rowOff>0</xdr:rowOff>
    </xdr:from>
    <xdr:ext cx="190500" cy="266700"/>
    <xdr:sp macro="" textlink="">
      <xdr:nvSpPr>
        <xdr:cNvPr id="4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8C15172-AA8A-4A59-94DA-88600B8D6AF7}"/>
            </a:ext>
            <a:ext uri="{147F2762-F138-4A5C-976F-8EAC2B608ADB}">
              <a16:predDERef xmlns:a16="http://schemas.microsoft.com/office/drawing/2014/main" pred="{CF08097F-6229-495B-A9B9-A5224DAF5C21}"/>
            </a:ext>
          </a:extLst>
        </xdr:cNvPr>
        <xdr:cNvSpPr>
          <a:spLocks noChangeAspect="1" noChangeArrowheads="1"/>
        </xdr:cNvSpPr>
      </xdr:nvSpPr>
      <xdr:spPr bwMode="auto">
        <a:xfrm>
          <a:off x="7531100" y="81597500"/>
          <a:ext cx="190500" cy="266700"/>
        </a:xfrm>
        <a:prstGeom prst="rect">
          <a:avLst/>
        </a:prstGeom>
        <a:noFill/>
      </xdr:spPr>
    </xdr:sp>
    <xdr:clientData/>
  </xdr:oneCellAnchor>
  <xdr:oneCellAnchor>
    <xdr:from>
      <xdr:col>4</xdr:col>
      <xdr:colOff>1657350</xdr:colOff>
      <xdr:row>424</xdr:row>
      <xdr:rowOff>0</xdr:rowOff>
    </xdr:from>
    <xdr:ext cx="190500" cy="266700"/>
    <xdr:sp macro="" textlink="">
      <xdr:nvSpPr>
        <xdr:cNvPr id="4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E7F5B9A-BA8C-4F62-8BAA-A88A4368F2B1}"/>
            </a:ext>
            <a:ext uri="{147F2762-F138-4A5C-976F-8EAC2B608ADB}">
              <a16:predDERef xmlns:a16="http://schemas.microsoft.com/office/drawing/2014/main" pred="{0A7BBC98-28E6-445B-82E5-D325148C917E}"/>
            </a:ext>
          </a:extLst>
        </xdr:cNvPr>
        <xdr:cNvSpPr>
          <a:spLocks noChangeAspect="1" noChangeArrowheads="1"/>
        </xdr:cNvSpPr>
      </xdr:nvSpPr>
      <xdr:spPr bwMode="auto">
        <a:xfrm>
          <a:off x="7531100" y="81597500"/>
          <a:ext cx="190500" cy="266700"/>
        </a:xfrm>
        <a:prstGeom prst="rect">
          <a:avLst/>
        </a:prstGeom>
        <a:noFill/>
      </xdr:spPr>
    </xdr:sp>
    <xdr:clientData/>
  </xdr:oneCellAnchor>
  <xdr:oneCellAnchor>
    <xdr:from>
      <xdr:col>4</xdr:col>
      <xdr:colOff>1657350</xdr:colOff>
      <xdr:row>426</xdr:row>
      <xdr:rowOff>0</xdr:rowOff>
    </xdr:from>
    <xdr:ext cx="190500" cy="266700"/>
    <xdr:sp macro="" textlink="">
      <xdr:nvSpPr>
        <xdr:cNvPr id="4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4340042-C1AF-441A-8046-D5405E73881A}"/>
            </a:ext>
            <a:ext uri="{147F2762-F138-4A5C-976F-8EAC2B608ADB}">
              <a16:predDERef xmlns:a16="http://schemas.microsoft.com/office/drawing/2014/main" pred="{FF57C8AB-0F87-488A-A8B7-C1A2C909C124}"/>
            </a:ext>
          </a:extLst>
        </xdr:cNvPr>
        <xdr:cNvSpPr>
          <a:spLocks noChangeAspect="1" noChangeArrowheads="1"/>
        </xdr:cNvSpPr>
      </xdr:nvSpPr>
      <xdr:spPr bwMode="auto">
        <a:xfrm>
          <a:off x="7531100" y="82257900"/>
          <a:ext cx="190500" cy="266700"/>
        </a:xfrm>
        <a:prstGeom prst="rect">
          <a:avLst/>
        </a:prstGeom>
        <a:noFill/>
      </xdr:spPr>
    </xdr:sp>
    <xdr:clientData/>
  </xdr:oneCellAnchor>
  <xdr:oneCellAnchor>
    <xdr:from>
      <xdr:col>4</xdr:col>
      <xdr:colOff>1657350</xdr:colOff>
      <xdr:row>426</xdr:row>
      <xdr:rowOff>0</xdr:rowOff>
    </xdr:from>
    <xdr:ext cx="190500" cy="266700"/>
    <xdr:sp macro="" textlink="">
      <xdr:nvSpPr>
        <xdr:cNvPr id="4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B0F3782-7F14-4332-86C1-4143FF642FC9}"/>
            </a:ext>
            <a:ext uri="{147F2762-F138-4A5C-976F-8EAC2B608ADB}">
              <a16:predDERef xmlns:a16="http://schemas.microsoft.com/office/drawing/2014/main" pred="{EBEE8F97-3696-4FEA-805A-5AA3CDB638DA}"/>
            </a:ext>
          </a:extLst>
        </xdr:cNvPr>
        <xdr:cNvSpPr>
          <a:spLocks noChangeAspect="1" noChangeArrowheads="1"/>
        </xdr:cNvSpPr>
      </xdr:nvSpPr>
      <xdr:spPr bwMode="auto">
        <a:xfrm>
          <a:off x="7531100" y="82257900"/>
          <a:ext cx="190500" cy="266700"/>
        </a:xfrm>
        <a:prstGeom prst="rect">
          <a:avLst/>
        </a:prstGeom>
        <a:noFill/>
      </xdr:spPr>
    </xdr:sp>
    <xdr:clientData/>
  </xdr:oneCellAnchor>
  <xdr:oneCellAnchor>
    <xdr:from>
      <xdr:col>4</xdr:col>
      <xdr:colOff>1657350</xdr:colOff>
      <xdr:row>428</xdr:row>
      <xdr:rowOff>0</xdr:rowOff>
    </xdr:from>
    <xdr:ext cx="190500" cy="266700"/>
    <xdr:sp macro="" textlink="">
      <xdr:nvSpPr>
        <xdr:cNvPr id="4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B3C3EE7-3DE8-49C4-B10F-A92A7B45D9CC}"/>
            </a:ext>
            <a:ext uri="{147F2762-F138-4A5C-976F-8EAC2B608ADB}">
              <a16:predDERef xmlns:a16="http://schemas.microsoft.com/office/drawing/2014/main" pred="{2A858DE5-2669-46C0-A8B2-E00CEF3D2F58}"/>
            </a:ext>
          </a:extLst>
        </xdr:cNvPr>
        <xdr:cNvSpPr>
          <a:spLocks noChangeAspect="1" noChangeArrowheads="1"/>
        </xdr:cNvSpPr>
      </xdr:nvSpPr>
      <xdr:spPr bwMode="auto">
        <a:xfrm>
          <a:off x="7531100" y="82626200"/>
          <a:ext cx="190500" cy="266700"/>
        </a:xfrm>
        <a:prstGeom prst="rect">
          <a:avLst/>
        </a:prstGeom>
        <a:noFill/>
      </xdr:spPr>
    </xdr:sp>
    <xdr:clientData/>
  </xdr:oneCellAnchor>
  <xdr:oneCellAnchor>
    <xdr:from>
      <xdr:col>4</xdr:col>
      <xdr:colOff>1657350</xdr:colOff>
      <xdr:row>428</xdr:row>
      <xdr:rowOff>0</xdr:rowOff>
    </xdr:from>
    <xdr:ext cx="190500" cy="266700"/>
    <xdr:sp macro="" textlink="">
      <xdr:nvSpPr>
        <xdr:cNvPr id="4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40338C9-1CD1-4DEA-B313-07F91D5C2063}"/>
            </a:ext>
            <a:ext uri="{147F2762-F138-4A5C-976F-8EAC2B608ADB}">
              <a16:predDERef xmlns:a16="http://schemas.microsoft.com/office/drawing/2014/main" pred="{B861498F-0C15-4540-B79B-B0F0F70F8669}"/>
            </a:ext>
          </a:extLst>
        </xdr:cNvPr>
        <xdr:cNvSpPr>
          <a:spLocks noChangeAspect="1" noChangeArrowheads="1"/>
        </xdr:cNvSpPr>
      </xdr:nvSpPr>
      <xdr:spPr bwMode="auto">
        <a:xfrm>
          <a:off x="7531100" y="82626200"/>
          <a:ext cx="190500" cy="266700"/>
        </a:xfrm>
        <a:prstGeom prst="rect">
          <a:avLst/>
        </a:prstGeom>
        <a:noFill/>
      </xdr:spPr>
    </xdr:sp>
    <xdr:clientData/>
  </xdr:oneCellAnchor>
  <xdr:oneCellAnchor>
    <xdr:from>
      <xdr:col>4</xdr:col>
      <xdr:colOff>1657350</xdr:colOff>
      <xdr:row>430</xdr:row>
      <xdr:rowOff>0</xdr:rowOff>
    </xdr:from>
    <xdr:ext cx="190500" cy="266700"/>
    <xdr:sp macro="" textlink="">
      <xdr:nvSpPr>
        <xdr:cNvPr id="4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D5AC836-44FE-4DF4-9DCE-84BAFB5A73D1}"/>
            </a:ext>
            <a:ext uri="{147F2762-F138-4A5C-976F-8EAC2B608ADB}">
              <a16:predDERef xmlns:a16="http://schemas.microsoft.com/office/drawing/2014/main" pred="{D7432891-339B-4843-979B-39D33E49DEA0}"/>
            </a:ext>
          </a:extLst>
        </xdr:cNvPr>
        <xdr:cNvSpPr>
          <a:spLocks noChangeAspect="1" noChangeArrowheads="1"/>
        </xdr:cNvSpPr>
      </xdr:nvSpPr>
      <xdr:spPr bwMode="auto">
        <a:xfrm>
          <a:off x="7531100" y="82994500"/>
          <a:ext cx="190500" cy="266700"/>
        </a:xfrm>
        <a:prstGeom prst="rect">
          <a:avLst/>
        </a:prstGeom>
        <a:noFill/>
      </xdr:spPr>
    </xdr:sp>
    <xdr:clientData/>
  </xdr:oneCellAnchor>
  <xdr:oneCellAnchor>
    <xdr:from>
      <xdr:col>4</xdr:col>
      <xdr:colOff>1657350</xdr:colOff>
      <xdr:row>430</xdr:row>
      <xdr:rowOff>0</xdr:rowOff>
    </xdr:from>
    <xdr:ext cx="190500" cy="266700"/>
    <xdr:sp macro="" textlink="">
      <xdr:nvSpPr>
        <xdr:cNvPr id="4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6800402-2B7D-4E3F-9E65-A2E0AA98B21C}"/>
            </a:ext>
            <a:ext uri="{147F2762-F138-4A5C-976F-8EAC2B608ADB}">
              <a16:predDERef xmlns:a16="http://schemas.microsoft.com/office/drawing/2014/main" pred="{479A6EB4-A03D-4621-BCFE-1540F31D6DFC}"/>
            </a:ext>
          </a:extLst>
        </xdr:cNvPr>
        <xdr:cNvSpPr>
          <a:spLocks noChangeAspect="1" noChangeArrowheads="1"/>
        </xdr:cNvSpPr>
      </xdr:nvSpPr>
      <xdr:spPr bwMode="auto">
        <a:xfrm>
          <a:off x="7531100" y="82994500"/>
          <a:ext cx="190500" cy="266700"/>
        </a:xfrm>
        <a:prstGeom prst="rect">
          <a:avLst/>
        </a:prstGeom>
        <a:noFill/>
      </xdr:spPr>
    </xdr:sp>
    <xdr:clientData/>
  </xdr:oneCellAnchor>
  <xdr:oneCellAnchor>
    <xdr:from>
      <xdr:col>4</xdr:col>
      <xdr:colOff>1657350</xdr:colOff>
      <xdr:row>432</xdr:row>
      <xdr:rowOff>0</xdr:rowOff>
    </xdr:from>
    <xdr:ext cx="190500" cy="266700"/>
    <xdr:sp macro="" textlink="">
      <xdr:nvSpPr>
        <xdr:cNvPr id="4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B5F68D5-5E5A-4FE0-802A-B4CE47EB2A3F}"/>
            </a:ext>
            <a:ext uri="{147F2762-F138-4A5C-976F-8EAC2B608ADB}">
              <a16:predDERef xmlns:a16="http://schemas.microsoft.com/office/drawing/2014/main" pred="{FC80CFBC-1D15-40BA-87B2-9D60A753873D}"/>
            </a:ext>
          </a:extLst>
        </xdr:cNvPr>
        <xdr:cNvSpPr>
          <a:spLocks noChangeAspect="1" noChangeArrowheads="1"/>
        </xdr:cNvSpPr>
      </xdr:nvSpPr>
      <xdr:spPr bwMode="auto">
        <a:xfrm>
          <a:off x="7531100" y="83362800"/>
          <a:ext cx="190500" cy="266700"/>
        </a:xfrm>
        <a:prstGeom prst="rect">
          <a:avLst/>
        </a:prstGeom>
        <a:noFill/>
      </xdr:spPr>
    </xdr:sp>
    <xdr:clientData/>
  </xdr:oneCellAnchor>
  <xdr:oneCellAnchor>
    <xdr:from>
      <xdr:col>4</xdr:col>
      <xdr:colOff>1657350</xdr:colOff>
      <xdr:row>432</xdr:row>
      <xdr:rowOff>0</xdr:rowOff>
    </xdr:from>
    <xdr:ext cx="190500" cy="266700"/>
    <xdr:sp macro="" textlink="">
      <xdr:nvSpPr>
        <xdr:cNvPr id="4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BC1D179-EA57-45F8-A212-D5FEDCD6CA38}"/>
            </a:ext>
            <a:ext uri="{147F2762-F138-4A5C-976F-8EAC2B608ADB}">
              <a16:predDERef xmlns:a16="http://schemas.microsoft.com/office/drawing/2014/main" pred="{BB1BE443-3EE6-4626-8315-3011D2F385B5}"/>
            </a:ext>
          </a:extLst>
        </xdr:cNvPr>
        <xdr:cNvSpPr>
          <a:spLocks noChangeAspect="1" noChangeArrowheads="1"/>
        </xdr:cNvSpPr>
      </xdr:nvSpPr>
      <xdr:spPr bwMode="auto">
        <a:xfrm>
          <a:off x="7531100" y="83362800"/>
          <a:ext cx="190500" cy="266700"/>
        </a:xfrm>
        <a:prstGeom prst="rect">
          <a:avLst/>
        </a:prstGeom>
        <a:noFill/>
      </xdr:spPr>
    </xdr:sp>
    <xdr:clientData/>
  </xdr:oneCellAnchor>
  <xdr:oneCellAnchor>
    <xdr:from>
      <xdr:col>4</xdr:col>
      <xdr:colOff>1657350</xdr:colOff>
      <xdr:row>434</xdr:row>
      <xdr:rowOff>0</xdr:rowOff>
    </xdr:from>
    <xdr:ext cx="190500" cy="266700"/>
    <xdr:sp macro="" textlink="">
      <xdr:nvSpPr>
        <xdr:cNvPr id="4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DD6AE8-8D7E-48EB-BE6B-3D8C9E797C9C}"/>
            </a:ext>
            <a:ext uri="{147F2762-F138-4A5C-976F-8EAC2B608ADB}">
              <a16:predDERef xmlns:a16="http://schemas.microsoft.com/office/drawing/2014/main" pred="{1054FFD5-C8AE-464D-9C8D-3B8DA6CD3CE2}"/>
            </a:ext>
          </a:extLst>
        </xdr:cNvPr>
        <xdr:cNvSpPr>
          <a:spLocks noChangeAspect="1" noChangeArrowheads="1"/>
        </xdr:cNvSpPr>
      </xdr:nvSpPr>
      <xdr:spPr bwMode="auto">
        <a:xfrm>
          <a:off x="7531100" y="84042250"/>
          <a:ext cx="190500" cy="266700"/>
        </a:xfrm>
        <a:prstGeom prst="rect">
          <a:avLst/>
        </a:prstGeom>
        <a:noFill/>
      </xdr:spPr>
    </xdr:sp>
    <xdr:clientData/>
  </xdr:oneCellAnchor>
  <xdr:oneCellAnchor>
    <xdr:from>
      <xdr:col>4</xdr:col>
      <xdr:colOff>1657350</xdr:colOff>
      <xdr:row>434</xdr:row>
      <xdr:rowOff>0</xdr:rowOff>
    </xdr:from>
    <xdr:ext cx="190500" cy="266700"/>
    <xdr:sp macro="" textlink="">
      <xdr:nvSpPr>
        <xdr:cNvPr id="4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23A9B01-CE45-425F-A29A-7151801BB136}"/>
            </a:ext>
            <a:ext uri="{147F2762-F138-4A5C-976F-8EAC2B608ADB}">
              <a16:predDERef xmlns:a16="http://schemas.microsoft.com/office/drawing/2014/main" pred="{387B63A6-44BD-4186-97BE-45EA2F79DBE6}"/>
            </a:ext>
          </a:extLst>
        </xdr:cNvPr>
        <xdr:cNvSpPr>
          <a:spLocks noChangeAspect="1" noChangeArrowheads="1"/>
        </xdr:cNvSpPr>
      </xdr:nvSpPr>
      <xdr:spPr bwMode="auto">
        <a:xfrm>
          <a:off x="7531100" y="84042250"/>
          <a:ext cx="190500" cy="266700"/>
        </a:xfrm>
        <a:prstGeom prst="rect">
          <a:avLst/>
        </a:prstGeom>
        <a:noFill/>
      </xdr:spPr>
    </xdr:sp>
    <xdr:clientData/>
  </xdr:oneCellAnchor>
  <xdr:oneCellAnchor>
    <xdr:from>
      <xdr:col>4</xdr:col>
      <xdr:colOff>1657350</xdr:colOff>
      <xdr:row>436</xdr:row>
      <xdr:rowOff>0</xdr:rowOff>
    </xdr:from>
    <xdr:ext cx="190500" cy="266700"/>
    <xdr:sp macro="" textlink="">
      <xdr:nvSpPr>
        <xdr:cNvPr id="4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C6F53F6-F207-41C5-96F8-90B94F935BC9}"/>
            </a:ext>
            <a:ext uri="{147F2762-F138-4A5C-976F-8EAC2B608ADB}">
              <a16:predDERef xmlns:a16="http://schemas.microsoft.com/office/drawing/2014/main" pred="{BCA1A2A0-2083-45FB-B87D-47DC9D07D08B}"/>
            </a:ext>
          </a:extLst>
        </xdr:cNvPr>
        <xdr:cNvSpPr>
          <a:spLocks noChangeAspect="1" noChangeArrowheads="1"/>
        </xdr:cNvSpPr>
      </xdr:nvSpPr>
      <xdr:spPr bwMode="auto">
        <a:xfrm>
          <a:off x="7531100" y="84410550"/>
          <a:ext cx="190500" cy="266700"/>
        </a:xfrm>
        <a:prstGeom prst="rect">
          <a:avLst/>
        </a:prstGeom>
        <a:noFill/>
      </xdr:spPr>
    </xdr:sp>
    <xdr:clientData/>
  </xdr:oneCellAnchor>
  <xdr:oneCellAnchor>
    <xdr:from>
      <xdr:col>4</xdr:col>
      <xdr:colOff>1657350</xdr:colOff>
      <xdr:row>436</xdr:row>
      <xdr:rowOff>0</xdr:rowOff>
    </xdr:from>
    <xdr:ext cx="190500" cy="266700"/>
    <xdr:sp macro="" textlink="">
      <xdr:nvSpPr>
        <xdr:cNvPr id="4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55F0114-2B0B-43FA-92D1-64E7A717E7A5}"/>
            </a:ext>
            <a:ext uri="{147F2762-F138-4A5C-976F-8EAC2B608ADB}">
              <a16:predDERef xmlns:a16="http://schemas.microsoft.com/office/drawing/2014/main" pred="{601473F5-AB89-480F-B512-7EFF5E40D5D8}"/>
            </a:ext>
          </a:extLst>
        </xdr:cNvPr>
        <xdr:cNvSpPr>
          <a:spLocks noChangeAspect="1" noChangeArrowheads="1"/>
        </xdr:cNvSpPr>
      </xdr:nvSpPr>
      <xdr:spPr bwMode="auto">
        <a:xfrm>
          <a:off x="7531100" y="84410550"/>
          <a:ext cx="190500" cy="266700"/>
        </a:xfrm>
        <a:prstGeom prst="rect">
          <a:avLst/>
        </a:prstGeom>
        <a:noFill/>
      </xdr:spPr>
    </xdr:sp>
    <xdr:clientData/>
  </xdr:oneCellAnchor>
  <xdr:oneCellAnchor>
    <xdr:from>
      <xdr:col>4</xdr:col>
      <xdr:colOff>1657350</xdr:colOff>
      <xdr:row>438</xdr:row>
      <xdr:rowOff>0</xdr:rowOff>
    </xdr:from>
    <xdr:ext cx="190500" cy="266700"/>
    <xdr:sp macro="" textlink="">
      <xdr:nvSpPr>
        <xdr:cNvPr id="4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1BA076D-A67B-484E-B2B4-BA414F238C46}"/>
            </a:ext>
            <a:ext uri="{147F2762-F138-4A5C-976F-8EAC2B608ADB}">
              <a16:predDERef xmlns:a16="http://schemas.microsoft.com/office/drawing/2014/main" pred="{DF6EFB2E-94D4-422B-8873-332BA4B20DA8}"/>
            </a:ext>
          </a:extLst>
        </xdr:cNvPr>
        <xdr:cNvSpPr>
          <a:spLocks noChangeAspect="1" noChangeArrowheads="1"/>
        </xdr:cNvSpPr>
      </xdr:nvSpPr>
      <xdr:spPr bwMode="auto">
        <a:xfrm>
          <a:off x="7531100" y="84778850"/>
          <a:ext cx="190500" cy="266700"/>
        </a:xfrm>
        <a:prstGeom prst="rect">
          <a:avLst/>
        </a:prstGeom>
        <a:noFill/>
      </xdr:spPr>
    </xdr:sp>
    <xdr:clientData/>
  </xdr:oneCellAnchor>
  <xdr:oneCellAnchor>
    <xdr:from>
      <xdr:col>4</xdr:col>
      <xdr:colOff>1657350</xdr:colOff>
      <xdr:row>438</xdr:row>
      <xdr:rowOff>0</xdr:rowOff>
    </xdr:from>
    <xdr:ext cx="190500" cy="266700"/>
    <xdr:sp macro="" textlink="">
      <xdr:nvSpPr>
        <xdr:cNvPr id="4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307A4C-2157-474B-A988-01726B4D629A}"/>
            </a:ext>
            <a:ext uri="{147F2762-F138-4A5C-976F-8EAC2B608ADB}">
              <a16:predDERef xmlns:a16="http://schemas.microsoft.com/office/drawing/2014/main" pred="{E744C794-D9D6-4886-8AB6-84EE0747D2BD}"/>
            </a:ext>
          </a:extLst>
        </xdr:cNvPr>
        <xdr:cNvSpPr>
          <a:spLocks noChangeAspect="1" noChangeArrowheads="1"/>
        </xdr:cNvSpPr>
      </xdr:nvSpPr>
      <xdr:spPr bwMode="auto">
        <a:xfrm>
          <a:off x="7531100" y="84778850"/>
          <a:ext cx="190500" cy="266700"/>
        </a:xfrm>
        <a:prstGeom prst="rect">
          <a:avLst/>
        </a:prstGeom>
        <a:noFill/>
      </xdr:spPr>
    </xdr:sp>
    <xdr:clientData/>
  </xdr:oneCellAnchor>
  <xdr:oneCellAnchor>
    <xdr:from>
      <xdr:col>4</xdr:col>
      <xdr:colOff>1657350</xdr:colOff>
      <xdr:row>440</xdr:row>
      <xdr:rowOff>0</xdr:rowOff>
    </xdr:from>
    <xdr:ext cx="190500" cy="266700"/>
    <xdr:sp macro="" textlink="">
      <xdr:nvSpPr>
        <xdr:cNvPr id="4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56C8A65-CD7D-449E-89FF-B6EC21CFA995}"/>
            </a:ext>
            <a:ext uri="{147F2762-F138-4A5C-976F-8EAC2B608ADB}">
              <a16:predDERef xmlns:a16="http://schemas.microsoft.com/office/drawing/2014/main" pred="{DC08B889-C17E-4A7F-9771-417CBA965875}"/>
            </a:ext>
          </a:extLst>
        </xdr:cNvPr>
        <xdr:cNvSpPr>
          <a:spLocks noChangeAspect="1" noChangeArrowheads="1"/>
        </xdr:cNvSpPr>
      </xdr:nvSpPr>
      <xdr:spPr bwMode="auto">
        <a:xfrm>
          <a:off x="7531100" y="85147150"/>
          <a:ext cx="190500" cy="266700"/>
        </a:xfrm>
        <a:prstGeom prst="rect">
          <a:avLst/>
        </a:prstGeom>
        <a:noFill/>
      </xdr:spPr>
    </xdr:sp>
    <xdr:clientData/>
  </xdr:oneCellAnchor>
  <xdr:oneCellAnchor>
    <xdr:from>
      <xdr:col>4</xdr:col>
      <xdr:colOff>1657350</xdr:colOff>
      <xdr:row>440</xdr:row>
      <xdr:rowOff>0</xdr:rowOff>
    </xdr:from>
    <xdr:ext cx="190500" cy="266700"/>
    <xdr:sp macro="" textlink="">
      <xdr:nvSpPr>
        <xdr:cNvPr id="4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235D153-E3F2-45B3-B5C4-F152A9C71258}"/>
            </a:ext>
            <a:ext uri="{147F2762-F138-4A5C-976F-8EAC2B608ADB}">
              <a16:predDERef xmlns:a16="http://schemas.microsoft.com/office/drawing/2014/main" pred="{A9B16DE6-00D7-427E-AE35-E661D599DBAD}"/>
            </a:ext>
          </a:extLst>
        </xdr:cNvPr>
        <xdr:cNvSpPr>
          <a:spLocks noChangeAspect="1" noChangeArrowheads="1"/>
        </xdr:cNvSpPr>
      </xdr:nvSpPr>
      <xdr:spPr bwMode="auto">
        <a:xfrm>
          <a:off x="7531100" y="85147150"/>
          <a:ext cx="190500" cy="266700"/>
        </a:xfrm>
        <a:prstGeom prst="rect">
          <a:avLst/>
        </a:prstGeom>
        <a:noFill/>
      </xdr:spPr>
    </xdr:sp>
    <xdr:clientData/>
  </xdr:oneCellAnchor>
  <xdr:oneCellAnchor>
    <xdr:from>
      <xdr:col>4</xdr:col>
      <xdr:colOff>1657350</xdr:colOff>
      <xdr:row>442</xdr:row>
      <xdr:rowOff>0</xdr:rowOff>
    </xdr:from>
    <xdr:ext cx="190500" cy="266700"/>
    <xdr:sp macro="" textlink="">
      <xdr:nvSpPr>
        <xdr:cNvPr id="4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E5A37A1-1373-498E-B06E-98DA9CFE97B6}"/>
            </a:ext>
            <a:ext uri="{147F2762-F138-4A5C-976F-8EAC2B608ADB}">
              <a16:predDERef xmlns:a16="http://schemas.microsoft.com/office/drawing/2014/main" pred="{05C4BE40-C909-453A-95F2-1473850FFE28}"/>
            </a:ext>
          </a:extLst>
        </xdr:cNvPr>
        <xdr:cNvSpPr>
          <a:spLocks noChangeAspect="1" noChangeArrowheads="1"/>
        </xdr:cNvSpPr>
      </xdr:nvSpPr>
      <xdr:spPr bwMode="auto">
        <a:xfrm>
          <a:off x="7531100" y="85515450"/>
          <a:ext cx="190500" cy="266700"/>
        </a:xfrm>
        <a:prstGeom prst="rect">
          <a:avLst/>
        </a:prstGeom>
        <a:noFill/>
      </xdr:spPr>
    </xdr:sp>
    <xdr:clientData/>
  </xdr:oneCellAnchor>
  <xdr:oneCellAnchor>
    <xdr:from>
      <xdr:col>4</xdr:col>
      <xdr:colOff>1657350</xdr:colOff>
      <xdr:row>442</xdr:row>
      <xdr:rowOff>0</xdr:rowOff>
    </xdr:from>
    <xdr:ext cx="190500" cy="266700"/>
    <xdr:sp macro="" textlink="">
      <xdr:nvSpPr>
        <xdr:cNvPr id="4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D1F003F-D0C7-4D1E-9533-35ECEF306932}"/>
            </a:ext>
            <a:ext uri="{147F2762-F138-4A5C-976F-8EAC2B608ADB}">
              <a16:predDERef xmlns:a16="http://schemas.microsoft.com/office/drawing/2014/main" pred="{4BD78B64-364D-4C01-9FD2-932111A26E6A}"/>
            </a:ext>
          </a:extLst>
        </xdr:cNvPr>
        <xdr:cNvSpPr>
          <a:spLocks noChangeAspect="1" noChangeArrowheads="1"/>
        </xdr:cNvSpPr>
      </xdr:nvSpPr>
      <xdr:spPr bwMode="auto">
        <a:xfrm>
          <a:off x="7531100" y="85515450"/>
          <a:ext cx="190500" cy="266700"/>
        </a:xfrm>
        <a:prstGeom prst="rect">
          <a:avLst/>
        </a:prstGeom>
        <a:noFill/>
      </xdr:spPr>
    </xdr:sp>
    <xdr:clientData/>
  </xdr:oneCellAnchor>
  <xdr:oneCellAnchor>
    <xdr:from>
      <xdr:col>4</xdr:col>
      <xdr:colOff>1657350</xdr:colOff>
      <xdr:row>444</xdr:row>
      <xdr:rowOff>0</xdr:rowOff>
    </xdr:from>
    <xdr:ext cx="190500" cy="266700"/>
    <xdr:sp macro="" textlink="">
      <xdr:nvSpPr>
        <xdr:cNvPr id="4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2937A2-74F0-457A-87C2-3021FFF969FA}"/>
            </a:ext>
            <a:ext uri="{147F2762-F138-4A5C-976F-8EAC2B608ADB}">
              <a16:predDERef xmlns:a16="http://schemas.microsoft.com/office/drawing/2014/main" pred="{C28F1EA6-15E4-430D-9216-2D7DCEBE7253}"/>
            </a:ext>
          </a:extLst>
        </xdr:cNvPr>
        <xdr:cNvSpPr>
          <a:spLocks noChangeAspect="1" noChangeArrowheads="1"/>
        </xdr:cNvSpPr>
      </xdr:nvSpPr>
      <xdr:spPr bwMode="auto">
        <a:xfrm>
          <a:off x="7531100" y="85883750"/>
          <a:ext cx="190500" cy="266700"/>
        </a:xfrm>
        <a:prstGeom prst="rect">
          <a:avLst/>
        </a:prstGeom>
        <a:noFill/>
      </xdr:spPr>
    </xdr:sp>
    <xdr:clientData/>
  </xdr:oneCellAnchor>
  <xdr:oneCellAnchor>
    <xdr:from>
      <xdr:col>4</xdr:col>
      <xdr:colOff>1657350</xdr:colOff>
      <xdr:row>444</xdr:row>
      <xdr:rowOff>0</xdr:rowOff>
    </xdr:from>
    <xdr:ext cx="190500" cy="266700"/>
    <xdr:sp macro="" textlink="">
      <xdr:nvSpPr>
        <xdr:cNvPr id="4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B6384E-B74C-4195-9041-A2AE87562C35}"/>
            </a:ext>
            <a:ext uri="{147F2762-F138-4A5C-976F-8EAC2B608ADB}">
              <a16:predDERef xmlns:a16="http://schemas.microsoft.com/office/drawing/2014/main" pred="{6EE9D6CB-321E-49A1-8808-AC0974A1C031}"/>
            </a:ext>
          </a:extLst>
        </xdr:cNvPr>
        <xdr:cNvSpPr>
          <a:spLocks noChangeAspect="1" noChangeArrowheads="1"/>
        </xdr:cNvSpPr>
      </xdr:nvSpPr>
      <xdr:spPr bwMode="auto">
        <a:xfrm>
          <a:off x="7531100" y="85883750"/>
          <a:ext cx="190500" cy="266700"/>
        </a:xfrm>
        <a:prstGeom prst="rect">
          <a:avLst/>
        </a:prstGeom>
        <a:noFill/>
      </xdr:spPr>
    </xdr:sp>
    <xdr:clientData/>
  </xdr:oneCellAnchor>
  <xdr:oneCellAnchor>
    <xdr:from>
      <xdr:col>4</xdr:col>
      <xdr:colOff>1657350</xdr:colOff>
      <xdr:row>446</xdr:row>
      <xdr:rowOff>0</xdr:rowOff>
    </xdr:from>
    <xdr:ext cx="190500" cy="266700"/>
    <xdr:sp macro="" textlink="">
      <xdr:nvSpPr>
        <xdr:cNvPr id="4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CF1CA5F-C3E1-4CCD-AD8E-D78D26342A93}"/>
            </a:ext>
            <a:ext uri="{147F2762-F138-4A5C-976F-8EAC2B608ADB}">
              <a16:predDERef xmlns:a16="http://schemas.microsoft.com/office/drawing/2014/main" pred="{BA8968BE-D269-4034-BDF6-6C6A2D2697C7}"/>
            </a:ext>
          </a:extLst>
        </xdr:cNvPr>
        <xdr:cNvSpPr>
          <a:spLocks noChangeAspect="1" noChangeArrowheads="1"/>
        </xdr:cNvSpPr>
      </xdr:nvSpPr>
      <xdr:spPr bwMode="auto">
        <a:xfrm>
          <a:off x="7531100" y="86252050"/>
          <a:ext cx="190500" cy="266700"/>
        </a:xfrm>
        <a:prstGeom prst="rect">
          <a:avLst/>
        </a:prstGeom>
        <a:noFill/>
      </xdr:spPr>
    </xdr:sp>
    <xdr:clientData/>
  </xdr:oneCellAnchor>
  <xdr:oneCellAnchor>
    <xdr:from>
      <xdr:col>4</xdr:col>
      <xdr:colOff>1657350</xdr:colOff>
      <xdr:row>446</xdr:row>
      <xdr:rowOff>0</xdr:rowOff>
    </xdr:from>
    <xdr:ext cx="190500" cy="266700"/>
    <xdr:sp macro="" textlink="">
      <xdr:nvSpPr>
        <xdr:cNvPr id="4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560B8F6-FC1D-49D3-B9B0-7912AC5DD5BB}"/>
            </a:ext>
            <a:ext uri="{147F2762-F138-4A5C-976F-8EAC2B608ADB}">
              <a16:predDERef xmlns:a16="http://schemas.microsoft.com/office/drawing/2014/main" pred="{481E5ED4-CD9D-4582-8C5F-351018F1E884}"/>
            </a:ext>
          </a:extLst>
        </xdr:cNvPr>
        <xdr:cNvSpPr>
          <a:spLocks noChangeAspect="1" noChangeArrowheads="1"/>
        </xdr:cNvSpPr>
      </xdr:nvSpPr>
      <xdr:spPr bwMode="auto">
        <a:xfrm>
          <a:off x="7531100" y="86252050"/>
          <a:ext cx="190500" cy="266700"/>
        </a:xfrm>
        <a:prstGeom prst="rect">
          <a:avLst/>
        </a:prstGeom>
        <a:noFill/>
      </xdr:spPr>
    </xdr:sp>
    <xdr:clientData/>
  </xdr:oneCellAnchor>
  <xdr:oneCellAnchor>
    <xdr:from>
      <xdr:col>4</xdr:col>
      <xdr:colOff>1657350</xdr:colOff>
      <xdr:row>448</xdr:row>
      <xdr:rowOff>0</xdr:rowOff>
    </xdr:from>
    <xdr:ext cx="190500" cy="266700"/>
    <xdr:sp macro="" textlink="">
      <xdr:nvSpPr>
        <xdr:cNvPr id="4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FCD8EF6-AF1A-4525-86DC-83743EF9D7FC}"/>
            </a:ext>
            <a:ext uri="{147F2762-F138-4A5C-976F-8EAC2B608ADB}">
              <a16:predDERef xmlns:a16="http://schemas.microsoft.com/office/drawing/2014/main" pred="{E04A5DB8-A101-4E05-9AA2-DEACCD3B8957}"/>
            </a:ext>
          </a:extLst>
        </xdr:cNvPr>
        <xdr:cNvSpPr>
          <a:spLocks noChangeAspect="1" noChangeArrowheads="1"/>
        </xdr:cNvSpPr>
      </xdr:nvSpPr>
      <xdr:spPr bwMode="auto">
        <a:xfrm>
          <a:off x="7531100" y="86620350"/>
          <a:ext cx="190500" cy="266700"/>
        </a:xfrm>
        <a:prstGeom prst="rect">
          <a:avLst/>
        </a:prstGeom>
        <a:noFill/>
      </xdr:spPr>
    </xdr:sp>
    <xdr:clientData/>
  </xdr:oneCellAnchor>
  <xdr:oneCellAnchor>
    <xdr:from>
      <xdr:col>4</xdr:col>
      <xdr:colOff>1657350</xdr:colOff>
      <xdr:row>448</xdr:row>
      <xdr:rowOff>0</xdr:rowOff>
    </xdr:from>
    <xdr:ext cx="190500" cy="266700"/>
    <xdr:sp macro="" textlink="">
      <xdr:nvSpPr>
        <xdr:cNvPr id="4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5798122-C4A4-4B91-A4C0-38E7E9DD5DD1}"/>
            </a:ext>
            <a:ext uri="{147F2762-F138-4A5C-976F-8EAC2B608ADB}">
              <a16:predDERef xmlns:a16="http://schemas.microsoft.com/office/drawing/2014/main" pred="{742ED04E-9C77-42D2-9C36-9B968B41C7F0}"/>
            </a:ext>
          </a:extLst>
        </xdr:cNvPr>
        <xdr:cNvSpPr>
          <a:spLocks noChangeAspect="1" noChangeArrowheads="1"/>
        </xdr:cNvSpPr>
      </xdr:nvSpPr>
      <xdr:spPr bwMode="auto">
        <a:xfrm>
          <a:off x="7531100" y="86620350"/>
          <a:ext cx="190500" cy="266700"/>
        </a:xfrm>
        <a:prstGeom prst="rect">
          <a:avLst/>
        </a:prstGeom>
        <a:noFill/>
      </xdr:spPr>
    </xdr:sp>
    <xdr:clientData/>
  </xdr:oneCellAnchor>
  <xdr:oneCellAnchor>
    <xdr:from>
      <xdr:col>4</xdr:col>
      <xdr:colOff>1657350</xdr:colOff>
      <xdr:row>450</xdr:row>
      <xdr:rowOff>0</xdr:rowOff>
    </xdr:from>
    <xdr:ext cx="190500" cy="266700"/>
    <xdr:sp macro="" textlink="">
      <xdr:nvSpPr>
        <xdr:cNvPr id="4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FB331E6-C298-4F09-A38C-7DAE04162AA2}"/>
            </a:ext>
            <a:ext uri="{147F2762-F138-4A5C-976F-8EAC2B608ADB}">
              <a16:predDERef xmlns:a16="http://schemas.microsoft.com/office/drawing/2014/main" pred="{FDBBD008-C99E-40BE-B1E0-90CABEE67F12}"/>
            </a:ext>
          </a:extLst>
        </xdr:cNvPr>
        <xdr:cNvSpPr>
          <a:spLocks noChangeAspect="1" noChangeArrowheads="1"/>
        </xdr:cNvSpPr>
      </xdr:nvSpPr>
      <xdr:spPr bwMode="auto">
        <a:xfrm>
          <a:off x="7531100" y="86988650"/>
          <a:ext cx="190500" cy="266700"/>
        </a:xfrm>
        <a:prstGeom prst="rect">
          <a:avLst/>
        </a:prstGeom>
        <a:noFill/>
      </xdr:spPr>
    </xdr:sp>
    <xdr:clientData/>
  </xdr:oneCellAnchor>
  <xdr:oneCellAnchor>
    <xdr:from>
      <xdr:col>4</xdr:col>
      <xdr:colOff>1657350</xdr:colOff>
      <xdr:row>450</xdr:row>
      <xdr:rowOff>0</xdr:rowOff>
    </xdr:from>
    <xdr:ext cx="190500" cy="266700"/>
    <xdr:sp macro="" textlink="">
      <xdr:nvSpPr>
        <xdr:cNvPr id="4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6F347D8-36B3-4BA2-9659-2B76D73A7E49}"/>
            </a:ext>
            <a:ext uri="{147F2762-F138-4A5C-976F-8EAC2B608ADB}">
              <a16:predDERef xmlns:a16="http://schemas.microsoft.com/office/drawing/2014/main" pred="{8DD94767-6949-40D4-BE6C-6C2A8FFF618D}"/>
            </a:ext>
          </a:extLst>
        </xdr:cNvPr>
        <xdr:cNvSpPr>
          <a:spLocks noChangeAspect="1" noChangeArrowheads="1"/>
        </xdr:cNvSpPr>
      </xdr:nvSpPr>
      <xdr:spPr bwMode="auto">
        <a:xfrm>
          <a:off x="7531100" y="86988650"/>
          <a:ext cx="190500" cy="266700"/>
        </a:xfrm>
        <a:prstGeom prst="rect">
          <a:avLst/>
        </a:prstGeom>
        <a:noFill/>
      </xdr:spPr>
    </xdr:sp>
    <xdr:clientData/>
  </xdr:oneCellAnchor>
  <xdr:oneCellAnchor>
    <xdr:from>
      <xdr:col>4</xdr:col>
      <xdr:colOff>1657350</xdr:colOff>
      <xdr:row>452</xdr:row>
      <xdr:rowOff>0</xdr:rowOff>
    </xdr:from>
    <xdr:ext cx="190500" cy="266700"/>
    <xdr:sp macro="" textlink="">
      <xdr:nvSpPr>
        <xdr:cNvPr id="4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FAEEEC8-9C38-4DA0-B002-36D6E0F51471}"/>
            </a:ext>
            <a:ext uri="{147F2762-F138-4A5C-976F-8EAC2B608ADB}">
              <a16:predDERef xmlns:a16="http://schemas.microsoft.com/office/drawing/2014/main" pred="{40E46045-956F-4050-9229-38E23D64D331}"/>
            </a:ext>
          </a:extLst>
        </xdr:cNvPr>
        <xdr:cNvSpPr>
          <a:spLocks noChangeAspect="1" noChangeArrowheads="1"/>
        </xdr:cNvSpPr>
      </xdr:nvSpPr>
      <xdr:spPr bwMode="auto">
        <a:xfrm>
          <a:off x="7531100" y="87356950"/>
          <a:ext cx="190500" cy="266700"/>
        </a:xfrm>
        <a:prstGeom prst="rect">
          <a:avLst/>
        </a:prstGeom>
        <a:noFill/>
      </xdr:spPr>
    </xdr:sp>
    <xdr:clientData/>
  </xdr:oneCellAnchor>
  <xdr:oneCellAnchor>
    <xdr:from>
      <xdr:col>4</xdr:col>
      <xdr:colOff>1657350</xdr:colOff>
      <xdr:row>452</xdr:row>
      <xdr:rowOff>0</xdr:rowOff>
    </xdr:from>
    <xdr:ext cx="190500" cy="266700"/>
    <xdr:sp macro="" textlink="">
      <xdr:nvSpPr>
        <xdr:cNvPr id="4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D7D98F1-4CA9-4B05-BF3A-B2BF6F5A84B2}"/>
            </a:ext>
            <a:ext uri="{147F2762-F138-4A5C-976F-8EAC2B608ADB}">
              <a16:predDERef xmlns:a16="http://schemas.microsoft.com/office/drawing/2014/main" pred="{2B04CC40-4ADC-4220-82C9-CF70CDD0193B}"/>
            </a:ext>
          </a:extLst>
        </xdr:cNvPr>
        <xdr:cNvSpPr>
          <a:spLocks noChangeAspect="1" noChangeArrowheads="1"/>
        </xdr:cNvSpPr>
      </xdr:nvSpPr>
      <xdr:spPr bwMode="auto">
        <a:xfrm>
          <a:off x="7531100" y="87356950"/>
          <a:ext cx="190500" cy="266700"/>
        </a:xfrm>
        <a:prstGeom prst="rect">
          <a:avLst/>
        </a:prstGeom>
        <a:noFill/>
      </xdr:spPr>
    </xdr:sp>
    <xdr:clientData/>
  </xdr:oneCellAnchor>
  <xdr:oneCellAnchor>
    <xdr:from>
      <xdr:col>4</xdr:col>
      <xdr:colOff>1657350</xdr:colOff>
      <xdr:row>454</xdr:row>
      <xdr:rowOff>0</xdr:rowOff>
    </xdr:from>
    <xdr:ext cx="190500" cy="266700"/>
    <xdr:sp macro="" textlink="">
      <xdr:nvSpPr>
        <xdr:cNvPr id="4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ECEB2E-7571-4906-BCCC-05FEA7B8932D}"/>
            </a:ext>
            <a:ext uri="{147F2762-F138-4A5C-976F-8EAC2B608ADB}">
              <a16:predDERef xmlns:a16="http://schemas.microsoft.com/office/drawing/2014/main" pred="{2A679F98-7EEC-4638-8E4E-E598AF9A41C6}"/>
            </a:ext>
          </a:extLst>
        </xdr:cNvPr>
        <xdr:cNvSpPr>
          <a:spLocks noChangeAspect="1" noChangeArrowheads="1"/>
        </xdr:cNvSpPr>
      </xdr:nvSpPr>
      <xdr:spPr bwMode="auto">
        <a:xfrm>
          <a:off x="7531100" y="87725250"/>
          <a:ext cx="190500" cy="266700"/>
        </a:xfrm>
        <a:prstGeom prst="rect">
          <a:avLst/>
        </a:prstGeom>
        <a:noFill/>
      </xdr:spPr>
    </xdr:sp>
    <xdr:clientData/>
  </xdr:oneCellAnchor>
  <xdr:oneCellAnchor>
    <xdr:from>
      <xdr:col>4</xdr:col>
      <xdr:colOff>1657350</xdr:colOff>
      <xdr:row>454</xdr:row>
      <xdr:rowOff>0</xdr:rowOff>
    </xdr:from>
    <xdr:ext cx="190500" cy="266700"/>
    <xdr:sp macro="" textlink="">
      <xdr:nvSpPr>
        <xdr:cNvPr id="4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DD50403-D3C0-4A09-A5D5-597A191ECA32}"/>
            </a:ext>
            <a:ext uri="{147F2762-F138-4A5C-976F-8EAC2B608ADB}">
              <a16:predDERef xmlns:a16="http://schemas.microsoft.com/office/drawing/2014/main" pred="{85772D1E-E50C-4948-AA55-95C8CA7282CF}"/>
            </a:ext>
          </a:extLst>
        </xdr:cNvPr>
        <xdr:cNvSpPr>
          <a:spLocks noChangeAspect="1" noChangeArrowheads="1"/>
        </xdr:cNvSpPr>
      </xdr:nvSpPr>
      <xdr:spPr bwMode="auto">
        <a:xfrm>
          <a:off x="7531100" y="87725250"/>
          <a:ext cx="190500" cy="266700"/>
        </a:xfrm>
        <a:prstGeom prst="rect">
          <a:avLst/>
        </a:prstGeom>
        <a:noFill/>
      </xdr:spPr>
    </xdr:sp>
    <xdr:clientData/>
  </xdr:oneCellAnchor>
  <xdr:oneCellAnchor>
    <xdr:from>
      <xdr:col>4</xdr:col>
      <xdr:colOff>1657350</xdr:colOff>
      <xdr:row>456</xdr:row>
      <xdr:rowOff>0</xdr:rowOff>
    </xdr:from>
    <xdr:ext cx="190500" cy="266700"/>
    <xdr:sp macro="" textlink="">
      <xdr:nvSpPr>
        <xdr:cNvPr id="4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D8BC4C5-AD75-4DD6-91AE-A4165BD6E074}"/>
            </a:ext>
            <a:ext uri="{147F2762-F138-4A5C-976F-8EAC2B608ADB}">
              <a16:predDERef xmlns:a16="http://schemas.microsoft.com/office/drawing/2014/main" pred="{ABCA05E5-F227-4885-985B-6C82B6C79887}"/>
            </a:ext>
          </a:extLst>
        </xdr:cNvPr>
        <xdr:cNvSpPr>
          <a:spLocks noChangeAspect="1" noChangeArrowheads="1"/>
        </xdr:cNvSpPr>
      </xdr:nvSpPr>
      <xdr:spPr bwMode="auto">
        <a:xfrm>
          <a:off x="7531100" y="88239600"/>
          <a:ext cx="190500" cy="266700"/>
        </a:xfrm>
        <a:prstGeom prst="rect">
          <a:avLst/>
        </a:prstGeom>
        <a:noFill/>
      </xdr:spPr>
    </xdr:sp>
    <xdr:clientData/>
  </xdr:oneCellAnchor>
  <xdr:oneCellAnchor>
    <xdr:from>
      <xdr:col>4</xdr:col>
      <xdr:colOff>1657350</xdr:colOff>
      <xdr:row>456</xdr:row>
      <xdr:rowOff>0</xdr:rowOff>
    </xdr:from>
    <xdr:ext cx="190500" cy="266700"/>
    <xdr:sp macro="" textlink="">
      <xdr:nvSpPr>
        <xdr:cNvPr id="4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F939A6-A472-4C37-A454-A48D0D5C4D92}"/>
            </a:ext>
            <a:ext uri="{147F2762-F138-4A5C-976F-8EAC2B608ADB}">
              <a16:predDERef xmlns:a16="http://schemas.microsoft.com/office/drawing/2014/main" pred="{0A50C539-E498-49E7-8612-526EB045C148}"/>
            </a:ext>
          </a:extLst>
        </xdr:cNvPr>
        <xdr:cNvSpPr>
          <a:spLocks noChangeAspect="1" noChangeArrowheads="1"/>
        </xdr:cNvSpPr>
      </xdr:nvSpPr>
      <xdr:spPr bwMode="auto">
        <a:xfrm>
          <a:off x="7531100" y="88239600"/>
          <a:ext cx="190500" cy="266700"/>
        </a:xfrm>
        <a:prstGeom prst="rect">
          <a:avLst/>
        </a:prstGeom>
        <a:noFill/>
      </xdr:spPr>
    </xdr:sp>
    <xdr:clientData/>
  </xdr:oneCellAnchor>
  <xdr:oneCellAnchor>
    <xdr:from>
      <xdr:col>4</xdr:col>
      <xdr:colOff>1657350</xdr:colOff>
      <xdr:row>458</xdr:row>
      <xdr:rowOff>0</xdr:rowOff>
    </xdr:from>
    <xdr:ext cx="190500" cy="266700"/>
    <xdr:sp macro="" textlink="">
      <xdr:nvSpPr>
        <xdr:cNvPr id="4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99EE978-380C-4F59-B95E-4F0F170A811D}"/>
            </a:ext>
            <a:ext uri="{147F2762-F138-4A5C-976F-8EAC2B608ADB}">
              <a16:predDERef xmlns:a16="http://schemas.microsoft.com/office/drawing/2014/main" pred="{882949F4-8F6B-40CD-92BA-03742E04F3B0}"/>
            </a:ext>
          </a:extLst>
        </xdr:cNvPr>
        <xdr:cNvSpPr>
          <a:spLocks noChangeAspect="1" noChangeArrowheads="1"/>
        </xdr:cNvSpPr>
      </xdr:nvSpPr>
      <xdr:spPr bwMode="auto">
        <a:xfrm>
          <a:off x="7531100" y="88607900"/>
          <a:ext cx="190500" cy="266700"/>
        </a:xfrm>
        <a:prstGeom prst="rect">
          <a:avLst/>
        </a:prstGeom>
        <a:noFill/>
      </xdr:spPr>
    </xdr:sp>
    <xdr:clientData/>
  </xdr:oneCellAnchor>
  <xdr:oneCellAnchor>
    <xdr:from>
      <xdr:col>4</xdr:col>
      <xdr:colOff>1657350</xdr:colOff>
      <xdr:row>458</xdr:row>
      <xdr:rowOff>0</xdr:rowOff>
    </xdr:from>
    <xdr:ext cx="190500" cy="266700"/>
    <xdr:sp macro="" textlink="">
      <xdr:nvSpPr>
        <xdr:cNvPr id="4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8F96102-D459-43EF-A1D6-8A73EF7EAEC1}"/>
            </a:ext>
            <a:ext uri="{147F2762-F138-4A5C-976F-8EAC2B608ADB}">
              <a16:predDERef xmlns:a16="http://schemas.microsoft.com/office/drawing/2014/main" pred="{B836E55C-E431-4100-91CD-C5B9D1BF149C}"/>
            </a:ext>
          </a:extLst>
        </xdr:cNvPr>
        <xdr:cNvSpPr>
          <a:spLocks noChangeAspect="1" noChangeArrowheads="1"/>
        </xdr:cNvSpPr>
      </xdr:nvSpPr>
      <xdr:spPr bwMode="auto">
        <a:xfrm>
          <a:off x="7531100" y="88607900"/>
          <a:ext cx="190500" cy="266700"/>
        </a:xfrm>
        <a:prstGeom prst="rect">
          <a:avLst/>
        </a:prstGeom>
        <a:noFill/>
      </xdr:spPr>
    </xdr:sp>
    <xdr:clientData/>
  </xdr:oneCellAnchor>
  <xdr:oneCellAnchor>
    <xdr:from>
      <xdr:col>4</xdr:col>
      <xdr:colOff>1657350</xdr:colOff>
      <xdr:row>460</xdr:row>
      <xdr:rowOff>0</xdr:rowOff>
    </xdr:from>
    <xdr:ext cx="190500" cy="266700"/>
    <xdr:sp macro="" textlink="">
      <xdr:nvSpPr>
        <xdr:cNvPr id="4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9EF7BB0-FE2D-43FE-BC84-FB2BF9A9CEAB}"/>
            </a:ext>
            <a:ext uri="{147F2762-F138-4A5C-976F-8EAC2B608ADB}">
              <a16:predDERef xmlns:a16="http://schemas.microsoft.com/office/drawing/2014/main" pred="{337998A3-65B9-43DC-A6F1-6871171501EB}"/>
            </a:ext>
          </a:extLst>
        </xdr:cNvPr>
        <xdr:cNvSpPr>
          <a:spLocks noChangeAspect="1" noChangeArrowheads="1"/>
        </xdr:cNvSpPr>
      </xdr:nvSpPr>
      <xdr:spPr bwMode="auto">
        <a:xfrm>
          <a:off x="7531100" y="88976200"/>
          <a:ext cx="190500" cy="266700"/>
        </a:xfrm>
        <a:prstGeom prst="rect">
          <a:avLst/>
        </a:prstGeom>
        <a:noFill/>
      </xdr:spPr>
    </xdr:sp>
    <xdr:clientData/>
  </xdr:oneCellAnchor>
  <xdr:oneCellAnchor>
    <xdr:from>
      <xdr:col>4</xdr:col>
      <xdr:colOff>1657350</xdr:colOff>
      <xdr:row>460</xdr:row>
      <xdr:rowOff>0</xdr:rowOff>
    </xdr:from>
    <xdr:ext cx="190500" cy="266700"/>
    <xdr:sp macro="" textlink="">
      <xdr:nvSpPr>
        <xdr:cNvPr id="4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BFC9B95-7618-4BF8-A437-81C0CBE14426}"/>
            </a:ext>
            <a:ext uri="{147F2762-F138-4A5C-976F-8EAC2B608ADB}">
              <a16:predDERef xmlns:a16="http://schemas.microsoft.com/office/drawing/2014/main" pred="{63108BBD-0A60-43F9-8AD3-716464650CB4}"/>
            </a:ext>
          </a:extLst>
        </xdr:cNvPr>
        <xdr:cNvSpPr>
          <a:spLocks noChangeAspect="1" noChangeArrowheads="1"/>
        </xdr:cNvSpPr>
      </xdr:nvSpPr>
      <xdr:spPr bwMode="auto">
        <a:xfrm>
          <a:off x="7531100" y="88976200"/>
          <a:ext cx="190500" cy="266700"/>
        </a:xfrm>
        <a:prstGeom prst="rect">
          <a:avLst/>
        </a:prstGeom>
        <a:noFill/>
      </xdr:spPr>
    </xdr:sp>
    <xdr:clientData/>
  </xdr:oneCellAnchor>
  <xdr:oneCellAnchor>
    <xdr:from>
      <xdr:col>4</xdr:col>
      <xdr:colOff>1657350</xdr:colOff>
      <xdr:row>462</xdr:row>
      <xdr:rowOff>0</xdr:rowOff>
    </xdr:from>
    <xdr:ext cx="190500" cy="266700"/>
    <xdr:sp macro="" textlink="">
      <xdr:nvSpPr>
        <xdr:cNvPr id="4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7B41EA-F7E8-46EF-846F-CE6D57771A82}"/>
            </a:ext>
            <a:ext uri="{147F2762-F138-4A5C-976F-8EAC2B608ADB}">
              <a16:predDERef xmlns:a16="http://schemas.microsoft.com/office/drawing/2014/main" pred="{0182DF51-F519-42AA-A8FD-248906BCA85A}"/>
            </a:ext>
          </a:extLst>
        </xdr:cNvPr>
        <xdr:cNvSpPr>
          <a:spLocks noChangeAspect="1" noChangeArrowheads="1"/>
        </xdr:cNvSpPr>
      </xdr:nvSpPr>
      <xdr:spPr bwMode="auto">
        <a:xfrm>
          <a:off x="7531100" y="89344500"/>
          <a:ext cx="190500" cy="266700"/>
        </a:xfrm>
        <a:prstGeom prst="rect">
          <a:avLst/>
        </a:prstGeom>
        <a:noFill/>
      </xdr:spPr>
    </xdr:sp>
    <xdr:clientData/>
  </xdr:oneCellAnchor>
  <xdr:oneCellAnchor>
    <xdr:from>
      <xdr:col>4</xdr:col>
      <xdr:colOff>1657350</xdr:colOff>
      <xdr:row>462</xdr:row>
      <xdr:rowOff>0</xdr:rowOff>
    </xdr:from>
    <xdr:ext cx="190500" cy="266700"/>
    <xdr:sp macro="" textlink="">
      <xdr:nvSpPr>
        <xdr:cNvPr id="4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564271F-E4DB-4A5D-828D-7373A97C144B}"/>
            </a:ext>
            <a:ext uri="{147F2762-F138-4A5C-976F-8EAC2B608ADB}">
              <a16:predDERef xmlns:a16="http://schemas.microsoft.com/office/drawing/2014/main" pred="{93A6D44A-0C25-493A-8BB7-DC1C35AE5D63}"/>
            </a:ext>
          </a:extLst>
        </xdr:cNvPr>
        <xdr:cNvSpPr>
          <a:spLocks noChangeAspect="1" noChangeArrowheads="1"/>
        </xdr:cNvSpPr>
      </xdr:nvSpPr>
      <xdr:spPr bwMode="auto">
        <a:xfrm>
          <a:off x="7531100" y="89344500"/>
          <a:ext cx="190500" cy="266700"/>
        </a:xfrm>
        <a:prstGeom prst="rect">
          <a:avLst/>
        </a:prstGeom>
        <a:noFill/>
      </xdr:spPr>
    </xdr:sp>
    <xdr:clientData/>
  </xdr:oneCellAnchor>
  <xdr:oneCellAnchor>
    <xdr:from>
      <xdr:col>4</xdr:col>
      <xdr:colOff>1657350</xdr:colOff>
      <xdr:row>464</xdr:row>
      <xdr:rowOff>0</xdr:rowOff>
    </xdr:from>
    <xdr:ext cx="190500" cy="266700"/>
    <xdr:sp macro="" textlink="">
      <xdr:nvSpPr>
        <xdr:cNvPr id="4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743B42E-9BD4-49C6-B086-16BDBC1070F7}"/>
            </a:ext>
            <a:ext uri="{147F2762-F138-4A5C-976F-8EAC2B608ADB}">
              <a16:predDERef xmlns:a16="http://schemas.microsoft.com/office/drawing/2014/main" pred="{414BF06C-9979-4E00-8CC7-59167913B8A7}"/>
            </a:ext>
          </a:extLst>
        </xdr:cNvPr>
        <xdr:cNvSpPr>
          <a:spLocks noChangeAspect="1" noChangeArrowheads="1"/>
        </xdr:cNvSpPr>
      </xdr:nvSpPr>
      <xdr:spPr bwMode="auto">
        <a:xfrm>
          <a:off x="7531100" y="89712800"/>
          <a:ext cx="190500" cy="266700"/>
        </a:xfrm>
        <a:prstGeom prst="rect">
          <a:avLst/>
        </a:prstGeom>
        <a:noFill/>
      </xdr:spPr>
    </xdr:sp>
    <xdr:clientData/>
  </xdr:oneCellAnchor>
  <xdr:oneCellAnchor>
    <xdr:from>
      <xdr:col>4</xdr:col>
      <xdr:colOff>1657350</xdr:colOff>
      <xdr:row>464</xdr:row>
      <xdr:rowOff>0</xdr:rowOff>
    </xdr:from>
    <xdr:ext cx="190500" cy="266700"/>
    <xdr:sp macro="" textlink="">
      <xdr:nvSpPr>
        <xdr:cNvPr id="4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9D03DB0-8216-4B48-BB7F-9AE79F7E7F0D}"/>
            </a:ext>
            <a:ext uri="{147F2762-F138-4A5C-976F-8EAC2B608ADB}">
              <a16:predDERef xmlns:a16="http://schemas.microsoft.com/office/drawing/2014/main" pred="{8D5A1F78-2BB8-4336-B3EE-420570662B41}"/>
            </a:ext>
          </a:extLst>
        </xdr:cNvPr>
        <xdr:cNvSpPr>
          <a:spLocks noChangeAspect="1" noChangeArrowheads="1"/>
        </xdr:cNvSpPr>
      </xdr:nvSpPr>
      <xdr:spPr bwMode="auto">
        <a:xfrm>
          <a:off x="7531100" y="89712800"/>
          <a:ext cx="190500" cy="266700"/>
        </a:xfrm>
        <a:prstGeom prst="rect">
          <a:avLst/>
        </a:prstGeom>
        <a:noFill/>
      </xdr:spPr>
    </xdr:sp>
    <xdr:clientData/>
  </xdr:oneCellAnchor>
  <xdr:oneCellAnchor>
    <xdr:from>
      <xdr:col>4</xdr:col>
      <xdr:colOff>1657350</xdr:colOff>
      <xdr:row>466</xdr:row>
      <xdr:rowOff>0</xdr:rowOff>
    </xdr:from>
    <xdr:ext cx="190500" cy="266700"/>
    <xdr:sp macro="" textlink="">
      <xdr:nvSpPr>
        <xdr:cNvPr id="4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E1E54C-E70F-4CC5-8E8A-2A355AF8BAD6}"/>
            </a:ext>
            <a:ext uri="{147F2762-F138-4A5C-976F-8EAC2B608ADB}">
              <a16:predDERef xmlns:a16="http://schemas.microsoft.com/office/drawing/2014/main" pred="{19DB9CFA-66AF-4334-A396-EDED48F01EC6}"/>
            </a:ext>
          </a:extLst>
        </xdr:cNvPr>
        <xdr:cNvSpPr>
          <a:spLocks noChangeAspect="1" noChangeArrowheads="1"/>
        </xdr:cNvSpPr>
      </xdr:nvSpPr>
      <xdr:spPr bwMode="auto">
        <a:xfrm>
          <a:off x="7531100" y="90081100"/>
          <a:ext cx="190500" cy="266700"/>
        </a:xfrm>
        <a:prstGeom prst="rect">
          <a:avLst/>
        </a:prstGeom>
        <a:noFill/>
      </xdr:spPr>
    </xdr:sp>
    <xdr:clientData/>
  </xdr:oneCellAnchor>
  <xdr:oneCellAnchor>
    <xdr:from>
      <xdr:col>4</xdr:col>
      <xdr:colOff>1657350</xdr:colOff>
      <xdr:row>466</xdr:row>
      <xdr:rowOff>0</xdr:rowOff>
    </xdr:from>
    <xdr:ext cx="190500" cy="266700"/>
    <xdr:sp macro="" textlink="">
      <xdr:nvSpPr>
        <xdr:cNvPr id="4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D53138A-EDFD-45BF-9256-7FB5A85DE30C}"/>
            </a:ext>
            <a:ext uri="{147F2762-F138-4A5C-976F-8EAC2B608ADB}">
              <a16:predDERef xmlns:a16="http://schemas.microsoft.com/office/drawing/2014/main" pred="{65ECFAD1-28C5-487F-BFB0-75D617B30AFF}"/>
            </a:ext>
          </a:extLst>
        </xdr:cNvPr>
        <xdr:cNvSpPr>
          <a:spLocks noChangeAspect="1" noChangeArrowheads="1"/>
        </xdr:cNvSpPr>
      </xdr:nvSpPr>
      <xdr:spPr bwMode="auto">
        <a:xfrm>
          <a:off x="7531100" y="90081100"/>
          <a:ext cx="190500" cy="266700"/>
        </a:xfrm>
        <a:prstGeom prst="rect">
          <a:avLst/>
        </a:prstGeom>
        <a:noFill/>
      </xdr:spPr>
    </xdr:sp>
    <xdr:clientData/>
  </xdr:oneCellAnchor>
  <xdr:oneCellAnchor>
    <xdr:from>
      <xdr:col>4</xdr:col>
      <xdr:colOff>1657350</xdr:colOff>
      <xdr:row>468</xdr:row>
      <xdr:rowOff>0</xdr:rowOff>
    </xdr:from>
    <xdr:ext cx="190500" cy="266700"/>
    <xdr:sp macro="" textlink="">
      <xdr:nvSpPr>
        <xdr:cNvPr id="4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FDFFAA5-AC76-4BB0-836C-EF281DA625CB}"/>
            </a:ext>
            <a:ext uri="{147F2762-F138-4A5C-976F-8EAC2B608ADB}">
              <a16:predDERef xmlns:a16="http://schemas.microsoft.com/office/drawing/2014/main" pred="{702FE7F9-694D-4908-9753-0F45EA0EC499}"/>
            </a:ext>
          </a:extLst>
        </xdr:cNvPr>
        <xdr:cNvSpPr>
          <a:spLocks noChangeAspect="1" noChangeArrowheads="1"/>
        </xdr:cNvSpPr>
      </xdr:nvSpPr>
      <xdr:spPr bwMode="auto">
        <a:xfrm>
          <a:off x="7531100" y="90449400"/>
          <a:ext cx="190500" cy="266700"/>
        </a:xfrm>
        <a:prstGeom prst="rect">
          <a:avLst/>
        </a:prstGeom>
        <a:noFill/>
      </xdr:spPr>
    </xdr:sp>
    <xdr:clientData/>
  </xdr:oneCellAnchor>
  <xdr:oneCellAnchor>
    <xdr:from>
      <xdr:col>4</xdr:col>
      <xdr:colOff>1657350</xdr:colOff>
      <xdr:row>468</xdr:row>
      <xdr:rowOff>0</xdr:rowOff>
    </xdr:from>
    <xdr:ext cx="190500" cy="266700"/>
    <xdr:sp macro="" textlink="">
      <xdr:nvSpPr>
        <xdr:cNvPr id="4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5179140-B81C-4AFC-BA85-48076BF3D2EA}"/>
            </a:ext>
            <a:ext uri="{147F2762-F138-4A5C-976F-8EAC2B608ADB}">
              <a16:predDERef xmlns:a16="http://schemas.microsoft.com/office/drawing/2014/main" pred="{E394C25B-2A88-40A1-8EEA-A1312386E1B9}"/>
            </a:ext>
          </a:extLst>
        </xdr:cNvPr>
        <xdr:cNvSpPr>
          <a:spLocks noChangeAspect="1" noChangeArrowheads="1"/>
        </xdr:cNvSpPr>
      </xdr:nvSpPr>
      <xdr:spPr bwMode="auto">
        <a:xfrm>
          <a:off x="7531100" y="90449400"/>
          <a:ext cx="190500" cy="266700"/>
        </a:xfrm>
        <a:prstGeom prst="rect">
          <a:avLst/>
        </a:prstGeom>
        <a:noFill/>
      </xdr:spPr>
    </xdr:sp>
    <xdr:clientData/>
  </xdr:oneCellAnchor>
  <xdr:oneCellAnchor>
    <xdr:from>
      <xdr:col>4</xdr:col>
      <xdr:colOff>1657350</xdr:colOff>
      <xdr:row>470</xdr:row>
      <xdr:rowOff>0</xdr:rowOff>
    </xdr:from>
    <xdr:ext cx="190500" cy="266700"/>
    <xdr:sp macro="" textlink="">
      <xdr:nvSpPr>
        <xdr:cNvPr id="4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0F28666-34E2-47E4-ACF5-6F09B0967F3A}"/>
            </a:ext>
            <a:ext uri="{147F2762-F138-4A5C-976F-8EAC2B608ADB}">
              <a16:predDERef xmlns:a16="http://schemas.microsoft.com/office/drawing/2014/main" pred="{626FEE4E-01CA-48F0-ABBC-D142E701D738}"/>
            </a:ext>
          </a:extLst>
        </xdr:cNvPr>
        <xdr:cNvSpPr>
          <a:spLocks noChangeAspect="1" noChangeArrowheads="1"/>
        </xdr:cNvSpPr>
      </xdr:nvSpPr>
      <xdr:spPr bwMode="auto">
        <a:xfrm>
          <a:off x="7531100" y="90817700"/>
          <a:ext cx="190500" cy="266700"/>
        </a:xfrm>
        <a:prstGeom prst="rect">
          <a:avLst/>
        </a:prstGeom>
        <a:noFill/>
      </xdr:spPr>
    </xdr:sp>
    <xdr:clientData/>
  </xdr:oneCellAnchor>
  <xdr:oneCellAnchor>
    <xdr:from>
      <xdr:col>4</xdr:col>
      <xdr:colOff>1657350</xdr:colOff>
      <xdr:row>470</xdr:row>
      <xdr:rowOff>0</xdr:rowOff>
    </xdr:from>
    <xdr:ext cx="190500" cy="266700"/>
    <xdr:sp macro="" textlink="">
      <xdr:nvSpPr>
        <xdr:cNvPr id="4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C07A1A-33AD-42FB-BC2E-520E9913686B}"/>
            </a:ext>
            <a:ext uri="{147F2762-F138-4A5C-976F-8EAC2B608ADB}">
              <a16:predDERef xmlns:a16="http://schemas.microsoft.com/office/drawing/2014/main" pred="{BC995F13-DD2A-425F-9C5A-8E9DC31E81B0}"/>
            </a:ext>
          </a:extLst>
        </xdr:cNvPr>
        <xdr:cNvSpPr>
          <a:spLocks noChangeAspect="1" noChangeArrowheads="1"/>
        </xdr:cNvSpPr>
      </xdr:nvSpPr>
      <xdr:spPr bwMode="auto">
        <a:xfrm>
          <a:off x="7531100" y="90817700"/>
          <a:ext cx="190500" cy="266700"/>
        </a:xfrm>
        <a:prstGeom prst="rect">
          <a:avLst/>
        </a:prstGeom>
        <a:noFill/>
      </xdr:spPr>
    </xdr:sp>
    <xdr:clientData/>
  </xdr:oneCellAnchor>
  <xdr:oneCellAnchor>
    <xdr:from>
      <xdr:col>4</xdr:col>
      <xdr:colOff>1657350</xdr:colOff>
      <xdr:row>472</xdr:row>
      <xdr:rowOff>0</xdr:rowOff>
    </xdr:from>
    <xdr:ext cx="190500" cy="266700"/>
    <xdr:sp macro="" textlink="">
      <xdr:nvSpPr>
        <xdr:cNvPr id="4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F898BB1-2094-4A95-A07C-CC1B9954E6E2}"/>
            </a:ext>
            <a:ext uri="{147F2762-F138-4A5C-976F-8EAC2B608ADB}">
              <a16:predDERef xmlns:a16="http://schemas.microsoft.com/office/drawing/2014/main" pred="{1C04862C-E518-4BF0-870E-9857E6FA49CB}"/>
            </a:ext>
          </a:extLst>
        </xdr:cNvPr>
        <xdr:cNvSpPr>
          <a:spLocks noChangeAspect="1" noChangeArrowheads="1"/>
        </xdr:cNvSpPr>
      </xdr:nvSpPr>
      <xdr:spPr bwMode="auto">
        <a:xfrm>
          <a:off x="7531100" y="91186000"/>
          <a:ext cx="190500" cy="266700"/>
        </a:xfrm>
        <a:prstGeom prst="rect">
          <a:avLst/>
        </a:prstGeom>
        <a:noFill/>
      </xdr:spPr>
    </xdr:sp>
    <xdr:clientData/>
  </xdr:oneCellAnchor>
  <xdr:oneCellAnchor>
    <xdr:from>
      <xdr:col>4</xdr:col>
      <xdr:colOff>1657350</xdr:colOff>
      <xdr:row>472</xdr:row>
      <xdr:rowOff>0</xdr:rowOff>
    </xdr:from>
    <xdr:ext cx="190500" cy="266700"/>
    <xdr:sp macro="" textlink="">
      <xdr:nvSpPr>
        <xdr:cNvPr id="4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72BDE49-2570-46E1-A7B6-CCED7635DF43}"/>
            </a:ext>
            <a:ext uri="{147F2762-F138-4A5C-976F-8EAC2B608ADB}">
              <a16:predDERef xmlns:a16="http://schemas.microsoft.com/office/drawing/2014/main" pred="{9511B11A-F579-4641-A6CC-30F0FCF0827D}"/>
            </a:ext>
          </a:extLst>
        </xdr:cNvPr>
        <xdr:cNvSpPr>
          <a:spLocks noChangeAspect="1" noChangeArrowheads="1"/>
        </xdr:cNvSpPr>
      </xdr:nvSpPr>
      <xdr:spPr bwMode="auto">
        <a:xfrm>
          <a:off x="7531100" y="91186000"/>
          <a:ext cx="190500" cy="266700"/>
        </a:xfrm>
        <a:prstGeom prst="rect">
          <a:avLst/>
        </a:prstGeom>
        <a:noFill/>
      </xdr:spPr>
    </xdr:sp>
    <xdr:clientData/>
  </xdr:oneCellAnchor>
  <xdr:oneCellAnchor>
    <xdr:from>
      <xdr:col>4</xdr:col>
      <xdr:colOff>1657350</xdr:colOff>
      <xdr:row>474</xdr:row>
      <xdr:rowOff>0</xdr:rowOff>
    </xdr:from>
    <xdr:ext cx="190500" cy="266700"/>
    <xdr:sp macro="" textlink="">
      <xdr:nvSpPr>
        <xdr:cNvPr id="4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9D90C1A-8C7C-4B0E-B359-A8AC375D7937}"/>
            </a:ext>
            <a:ext uri="{147F2762-F138-4A5C-976F-8EAC2B608ADB}">
              <a16:predDERef xmlns:a16="http://schemas.microsoft.com/office/drawing/2014/main" pred="{76552062-9A89-49D9-BC23-9091DB3E82E8}"/>
            </a:ext>
          </a:extLst>
        </xdr:cNvPr>
        <xdr:cNvSpPr>
          <a:spLocks noChangeAspect="1" noChangeArrowheads="1"/>
        </xdr:cNvSpPr>
      </xdr:nvSpPr>
      <xdr:spPr bwMode="auto">
        <a:xfrm>
          <a:off x="7531100" y="91554300"/>
          <a:ext cx="190500" cy="266700"/>
        </a:xfrm>
        <a:prstGeom prst="rect">
          <a:avLst/>
        </a:prstGeom>
        <a:noFill/>
      </xdr:spPr>
    </xdr:sp>
    <xdr:clientData/>
  </xdr:oneCellAnchor>
  <xdr:oneCellAnchor>
    <xdr:from>
      <xdr:col>4</xdr:col>
      <xdr:colOff>1657350</xdr:colOff>
      <xdr:row>474</xdr:row>
      <xdr:rowOff>0</xdr:rowOff>
    </xdr:from>
    <xdr:ext cx="190500" cy="266700"/>
    <xdr:sp macro="" textlink="">
      <xdr:nvSpPr>
        <xdr:cNvPr id="4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FA8EAF-12A8-4EBD-A6AE-58180A05EBFB}"/>
            </a:ext>
            <a:ext uri="{147F2762-F138-4A5C-976F-8EAC2B608ADB}">
              <a16:predDERef xmlns:a16="http://schemas.microsoft.com/office/drawing/2014/main" pred="{112CA823-5B1C-401E-A636-F317E673CD32}"/>
            </a:ext>
          </a:extLst>
        </xdr:cNvPr>
        <xdr:cNvSpPr>
          <a:spLocks noChangeAspect="1" noChangeArrowheads="1"/>
        </xdr:cNvSpPr>
      </xdr:nvSpPr>
      <xdr:spPr bwMode="auto">
        <a:xfrm>
          <a:off x="7531100" y="91554300"/>
          <a:ext cx="190500" cy="266700"/>
        </a:xfrm>
        <a:prstGeom prst="rect">
          <a:avLst/>
        </a:prstGeom>
        <a:noFill/>
      </xdr:spPr>
    </xdr:sp>
    <xdr:clientData/>
  </xdr:oneCellAnchor>
  <xdr:oneCellAnchor>
    <xdr:from>
      <xdr:col>4</xdr:col>
      <xdr:colOff>1657350</xdr:colOff>
      <xdr:row>476</xdr:row>
      <xdr:rowOff>0</xdr:rowOff>
    </xdr:from>
    <xdr:ext cx="190500" cy="266700"/>
    <xdr:sp macro="" textlink="">
      <xdr:nvSpPr>
        <xdr:cNvPr id="4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DC3A7DE-E35C-40F1-9E13-57293ECFC5D6}"/>
            </a:ext>
            <a:ext uri="{147F2762-F138-4A5C-976F-8EAC2B608ADB}">
              <a16:predDERef xmlns:a16="http://schemas.microsoft.com/office/drawing/2014/main" pred="{7F2071B4-C765-49CB-88D5-0E36D1F01D55}"/>
            </a:ext>
          </a:extLst>
        </xdr:cNvPr>
        <xdr:cNvSpPr>
          <a:spLocks noChangeAspect="1" noChangeArrowheads="1"/>
        </xdr:cNvSpPr>
      </xdr:nvSpPr>
      <xdr:spPr bwMode="auto">
        <a:xfrm>
          <a:off x="7531100" y="91922600"/>
          <a:ext cx="190500" cy="266700"/>
        </a:xfrm>
        <a:prstGeom prst="rect">
          <a:avLst/>
        </a:prstGeom>
        <a:noFill/>
      </xdr:spPr>
    </xdr:sp>
    <xdr:clientData/>
  </xdr:oneCellAnchor>
  <xdr:oneCellAnchor>
    <xdr:from>
      <xdr:col>4</xdr:col>
      <xdr:colOff>1657350</xdr:colOff>
      <xdr:row>476</xdr:row>
      <xdr:rowOff>0</xdr:rowOff>
    </xdr:from>
    <xdr:ext cx="190500" cy="266700"/>
    <xdr:sp macro="" textlink="">
      <xdr:nvSpPr>
        <xdr:cNvPr id="4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0B3A8A-A139-4A45-8764-28A0329D22D9}"/>
            </a:ext>
            <a:ext uri="{147F2762-F138-4A5C-976F-8EAC2B608ADB}">
              <a16:predDERef xmlns:a16="http://schemas.microsoft.com/office/drawing/2014/main" pred="{4086282C-00D6-4C25-9AB4-E63E6BEF2B65}"/>
            </a:ext>
          </a:extLst>
        </xdr:cNvPr>
        <xdr:cNvSpPr>
          <a:spLocks noChangeAspect="1" noChangeArrowheads="1"/>
        </xdr:cNvSpPr>
      </xdr:nvSpPr>
      <xdr:spPr bwMode="auto">
        <a:xfrm>
          <a:off x="7531100" y="91922600"/>
          <a:ext cx="190500" cy="266700"/>
        </a:xfrm>
        <a:prstGeom prst="rect">
          <a:avLst/>
        </a:prstGeom>
        <a:noFill/>
      </xdr:spPr>
    </xdr:sp>
    <xdr:clientData/>
  </xdr:oneCellAnchor>
  <xdr:oneCellAnchor>
    <xdr:from>
      <xdr:col>4</xdr:col>
      <xdr:colOff>1657350</xdr:colOff>
      <xdr:row>478</xdr:row>
      <xdr:rowOff>0</xdr:rowOff>
    </xdr:from>
    <xdr:ext cx="190500" cy="266700"/>
    <xdr:sp macro="" textlink="">
      <xdr:nvSpPr>
        <xdr:cNvPr id="4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733CEF7-2E06-4D7A-947D-E8ACEB0D8339}"/>
            </a:ext>
            <a:ext uri="{147F2762-F138-4A5C-976F-8EAC2B608ADB}">
              <a16:predDERef xmlns:a16="http://schemas.microsoft.com/office/drawing/2014/main" pred="{99AC38D5-0F8D-46C3-8A55-A67FC07AF6B3}"/>
            </a:ext>
          </a:extLst>
        </xdr:cNvPr>
        <xdr:cNvSpPr>
          <a:spLocks noChangeAspect="1" noChangeArrowheads="1"/>
        </xdr:cNvSpPr>
      </xdr:nvSpPr>
      <xdr:spPr bwMode="auto">
        <a:xfrm>
          <a:off x="7531100" y="92290900"/>
          <a:ext cx="190500" cy="266700"/>
        </a:xfrm>
        <a:prstGeom prst="rect">
          <a:avLst/>
        </a:prstGeom>
        <a:noFill/>
      </xdr:spPr>
    </xdr:sp>
    <xdr:clientData/>
  </xdr:oneCellAnchor>
  <xdr:oneCellAnchor>
    <xdr:from>
      <xdr:col>4</xdr:col>
      <xdr:colOff>1657350</xdr:colOff>
      <xdr:row>478</xdr:row>
      <xdr:rowOff>0</xdr:rowOff>
    </xdr:from>
    <xdr:ext cx="190500" cy="266700"/>
    <xdr:sp macro="" textlink="">
      <xdr:nvSpPr>
        <xdr:cNvPr id="4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6249D2F-3E51-44EA-B08D-73714A0AF36F}"/>
            </a:ext>
            <a:ext uri="{147F2762-F138-4A5C-976F-8EAC2B608ADB}">
              <a16:predDERef xmlns:a16="http://schemas.microsoft.com/office/drawing/2014/main" pred="{1A69F5F2-69E3-4D4C-A366-FAB7D6D5014F}"/>
            </a:ext>
          </a:extLst>
        </xdr:cNvPr>
        <xdr:cNvSpPr>
          <a:spLocks noChangeAspect="1" noChangeArrowheads="1"/>
        </xdr:cNvSpPr>
      </xdr:nvSpPr>
      <xdr:spPr bwMode="auto">
        <a:xfrm>
          <a:off x="7531100" y="92290900"/>
          <a:ext cx="190500" cy="266700"/>
        </a:xfrm>
        <a:prstGeom prst="rect">
          <a:avLst/>
        </a:prstGeom>
        <a:noFill/>
      </xdr:spPr>
    </xdr:sp>
    <xdr:clientData/>
  </xdr:oneCellAnchor>
  <xdr:oneCellAnchor>
    <xdr:from>
      <xdr:col>4</xdr:col>
      <xdr:colOff>1657350</xdr:colOff>
      <xdr:row>480</xdr:row>
      <xdr:rowOff>0</xdr:rowOff>
    </xdr:from>
    <xdr:ext cx="190500" cy="266700"/>
    <xdr:sp macro="" textlink="">
      <xdr:nvSpPr>
        <xdr:cNvPr id="4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3D30C8B-8D5C-44BA-AB9D-5CCBD76CDCE3}"/>
            </a:ext>
            <a:ext uri="{147F2762-F138-4A5C-976F-8EAC2B608ADB}">
              <a16:predDERef xmlns:a16="http://schemas.microsoft.com/office/drawing/2014/main" pred="{BE2E3EDE-CB7A-4DDA-A4AD-53A15CFD1D30}"/>
            </a:ext>
          </a:extLst>
        </xdr:cNvPr>
        <xdr:cNvSpPr>
          <a:spLocks noChangeAspect="1" noChangeArrowheads="1"/>
        </xdr:cNvSpPr>
      </xdr:nvSpPr>
      <xdr:spPr bwMode="auto">
        <a:xfrm>
          <a:off x="7531100" y="92805250"/>
          <a:ext cx="190500" cy="266700"/>
        </a:xfrm>
        <a:prstGeom prst="rect">
          <a:avLst/>
        </a:prstGeom>
        <a:noFill/>
      </xdr:spPr>
    </xdr:sp>
    <xdr:clientData/>
  </xdr:oneCellAnchor>
  <xdr:oneCellAnchor>
    <xdr:from>
      <xdr:col>4</xdr:col>
      <xdr:colOff>1657350</xdr:colOff>
      <xdr:row>480</xdr:row>
      <xdr:rowOff>0</xdr:rowOff>
    </xdr:from>
    <xdr:ext cx="190500" cy="266700"/>
    <xdr:sp macro="" textlink="">
      <xdr:nvSpPr>
        <xdr:cNvPr id="4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7ED46E-817F-4D6B-A83E-D7E8FD5D48B7}"/>
            </a:ext>
            <a:ext uri="{147F2762-F138-4A5C-976F-8EAC2B608ADB}">
              <a16:predDERef xmlns:a16="http://schemas.microsoft.com/office/drawing/2014/main" pred="{2E48CD87-47B3-4BC8-8679-315A244A9D0F}"/>
            </a:ext>
          </a:extLst>
        </xdr:cNvPr>
        <xdr:cNvSpPr>
          <a:spLocks noChangeAspect="1" noChangeArrowheads="1"/>
        </xdr:cNvSpPr>
      </xdr:nvSpPr>
      <xdr:spPr bwMode="auto">
        <a:xfrm>
          <a:off x="7531100" y="92805250"/>
          <a:ext cx="190500" cy="266700"/>
        </a:xfrm>
        <a:prstGeom prst="rect">
          <a:avLst/>
        </a:prstGeom>
        <a:noFill/>
      </xdr:spPr>
    </xdr:sp>
    <xdr:clientData/>
  </xdr:oneCellAnchor>
  <xdr:oneCellAnchor>
    <xdr:from>
      <xdr:col>4</xdr:col>
      <xdr:colOff>1657350</xdr:colOff>
      <xdr:row>482</xdr:row>
      <xdr:rowOff>0</xdr:rowOff>
    </xdr:from>
    <xdr:ext cx="190500" cy="266700"/>
    <xdr:sp macro="" textlink="">
      <xdr:nvSpPr>
        <xdr:cNvPr id="4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D1BAAFE-9678-4D9D-ABFA-308D6AE5EB27}"/>
            </a:ext>
            <a:ext uri="{147F2762-F138-4A5C-976F-8EAC2B608ADB}">
              <a16:predDERef xmlns:a16="http://schemas.microsoft.com/office/drawing/2014/main" pred="{A73981E8-6FB3-467E-BC73-55178EC7D17E}"/>
            </a:ext>
          </a:extLst>
        </xdr:cNvPr>
        <xdr:cNvSpPr>
          <a:spLocks noChangeAspect="1" noChangeArrowheads="1"/>
        </xdr:cNvSpPr>
      </xdr:nvSpPr>
      <xdr:spPr bwMode="auto">
        <a:xfrm>
          <a:off x="7531100" y="93319600"/>
          <a:ext cx="190500" cy="266700"/>
        </a:xfrm>
        <a:prstGeom prst="rect">
          <a:avLst/>
        </a:prstGeom>
        <a:noFill/>
      </xdr:spPr>
    </xdr:sp>
    <xdr:clientData/>
  </xdr:oneCellAnchor>
  <xdr:oneCellAnchor>
    <xdr:from>
      <xdr:col>4</xdr:col>
      <xdr:colOff>1657350</xdr:colOff>
      <xdr:row>482</xdr:row>
      <xdr:rowOff>0</xdr:rowOff>
    </xdr:from>
    <xdr:ext cx="190500" cy="266700"/>
    <xdr:sp macro="" textlink="">
      <xdr:nvSpPr>
        <xdr:cNvPr id="4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F77E491-1B04-4812-8D36-7928950B09E1}"/>
            </a:ext>
            <a:ext uri="{147F2762-F138-4A5C-976F-8EAC2B608ADB}">
              <a16:predDERef xmlns:a16="http://schemas.microsoft.com/office/drawing/2014/main" pred="{24DA77A1-A599-4DF6-AD00-EEB6CF74CBB4}"/>
            </a:ext>
          </a:extLst>
        </xdr:cNvPr>
        <xdr:cNvSpPr>
          <a:spLocks noChangeAspect="1" noChangeArrowheads="1"/>
        </xdr:cNvSpPr>
      </xdr:nvSpPr>
      <xdr:spPr bwMode="auto">
        <a:xfrm>
          <a:off x="7531100" y="93319600"/>
          <a:ext cx="190500" cy="266700"/>
        </a:xfrm>
        <a:prstGeom prst="rect">
          <a:avLst/>
        </a:prstGeom>
        <a:noFill/>
      </xdr:spPr>
    </xdr:sp>
    <xdr:clientData/>
  </xdr:oneCellAnchor>
  <xdr:oneCellAnchor>
    <xdr:from>
      <xdr:col>4</xdr:col>
      <xdr:colOff>1657350</xdr:colOff>
      <xdr:row>484</xdr:row>
      <xdr:rowOff>0</xdr:rowOff>
    </xdr:from>
    <xdr:ext cx="190500" cy="266700"/>
    <xdr:sp macro="" textlink="">
      <xdr:nvSpPr>
        <xdr:cNvPr id="4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FA172C8-3F56-4AF0-9D23-F06E5AFC2D92}"/>
            </a:ext>
            <a:ext uri="{147F2762-F138-4A5C-976F-8EAC2B608ADB}">
              <a16:predDERef xmlns:a16="http://schemas.microsoft.com/office/drawing/2014/main" pred="{292B106B-C4AA-4A2B-A15A-EAEBDA8F979E}"/>
            </a:ext>
          </a:extLst>
        </xdr:cNvPr>
        <xdr:cNvSpPr>
          <a:spLocks noChangeAspect="1" noChangeArrowheads="1"/>
        </xdr:cNvSpPr>
      </xdr:nvSpPr>
      <xdr:spPr bwMode="auto">
        <a:xfrm>
          <a:off x="7531100" y="93687900"/>
          <a:ext cx="190500" cy="266700"/>
        </a:xfrm>
        <a:prstGeom prst="rect">
          <a:avLst/>
        </a:prstGeom>
        <a:noFill/>
      </xdr:spPr>
    </xdr:sp>
    <xdr:clientData/>
  </xdr:oneCellAnchor>
  <xdr:oneCellAnchor>
    <xdr:from>
      <xdr:col>4</xdr:col>
      <xdr:colOff>1657350</xdr:colOff>
      <xdr:row>484</xdr:row>
      <xdr:rowOff>0</xdr:rowOff>
    </xdr:from>
    <xdr:ext cx="190500" cy="266700"/>
    <xdr:sp macro="" textlink="">
      <xdr:nvSpPr>
        <xdr:cNvPr id="4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FC4E829-7A49-4855-A994-8DB5B07576BA}"/>
            </a:ext>
            <a:ext uri="{147F2762-F138-4A5C-976F-8EAC2B608ADB}">
              <a16:predDERef xmlns:a16="http://schemas.microsoft.com/office/drawing/2014/main" pred="{F4FD32DD-609E-4401-A8F6-CD7A367A63F6}"/>
            </a:ext>
          </a:extLst>
        </xdr:cNvPr>
        <xdr:cNvSpPr>
          <a:spLocks noChangeAspect="1" noChangeArrowheads="1"/>
        </xdr:cNvSpPr>
      </xdr:nvSpPr>
      <xdr:spPr bwMode="auto">
        <a:xfrm>
          <a:off x="7531100" y="93687900"/>
          <a:ext cx="190500" cy="266700"/>
        </a:xfrm>
        <a:prstGeom prst="rect">
          <a:avLst/>
        </a:prstGeom>
        <a:noFill/>
      </xdr:spPr>
    </xdr:sp>
    <xdr:clientData/>
  </xdr:oneCellAnchor>
  <xdr:oneCellAnchor>
    <xdr:from>
      <xdr:col>4</xdr:col>
      <xdr:colOff>1657350</xdr:colOff>
      <xdr:row>486</xdr:row>
      <xdr:rowOff>0</xdr:rowOff>
    </xdr:from>
    <xdr:ext cx="190500" cy="266700"/>
    <xdr:sp macro="" textlink="">
      <xdr:nvSpPr>
        <xdr:cNvPr id="4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6880CE0-F995-4BB0-A609-0AE94B4E9EA1}"/>
            </a:ext>
            <a:ext uri="{147F2762-F138-4A5C-976F-8EAC2B608ADB}">
              <a16:predDERef xmlns:a16="http://schemas.microsoft.com/office/drawing/2014/main" pred="{E056FC12-154D-45D2-B084-20140FF0490B}"/>
            </a:ext>
          </a:extLst>
        </xdr:cNvPr>
        <xdr:cNvSpPr>
          <a:spLocks noChangeAspect="1" noChangeArrowheads="1"/>
        </xdr:cNvSpPr>
      </xdr:nvSpPr>
      <xdr:spPr bwMode="auto">
        <a:xfrm>
          <a:off x="7531100" y="94056200"/>
          <a:ext cx="190500" cy="266700"/>
        </a:xfrm>
        <a:prstGeom prst="rect">
          <a:avLst/>
        </a:prstGeom>
        <a:noFill/>
      </xdr:spPr>
    </xdr:sp>
    <xdr:clientData/>
  </xdr:oneCellAnchor>
  <xdr:oneCellAnchor>
    <xdr:from>
      <xdr:col>4</xdr:col>
      <xdr:colOff>1657350</xdr:colOff>
      <xdr:row>486</xdr:row>
      <xdr:rowOff>0</xdr:rowOff>
    </xdr:from>
    <xdr:ext cx="190500" cy="266700"/>
    <xdr:sp macro="" textlink="">
      <xdr:nvSpPr>
        <xdr:cNvPr id="4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30A428-2A26-4A62-AD66-F71913A7D96A}"/>
            </a:ext>
            <a:ext uri="{147F2762-F138-4A5C-976F-8EAC2B608ADB}">
              <a16:predDERef xmlns:a16="http://schemas.microsoft.com/office/drawing/2014/main" pred="{F914D6CA-9469-423B-9D88-7626E2E7A271}"/>
            </a:ext>
          </a:extLst>
        </xdr:cNvPr>
        <xdr:cNvSpPr>
          <a:spLocks noChangeAspect="1" noChangeArrowheads="1"/>
        </xdr:cNvSpPr>
      </xdr:nvSpPr>
      <xdr:spPr bwMode="auto">
        <a:xfrm>
          <a:off x="7531100" y="94056200"/>
          <a:ext cx="190500" cy="266700"/>
        </a:xfrm>
        <a:prstGeom prst="rect">
          <a:avLst/>
        </a:prstGeom>
        <a:noFill/>
      </xdr:spPr>
    </xdr:sp>
    <xdr:clientData/>
  </xdr:oneCellAnchor>
  <xdr:oneCellAnchor>
    <xdr:from>
      <xdr:col>4</xdr:col>
      <xdr:colOff>1657350</xdr:colOff>
      <xdr:row>488</xdr:row>
      <xdr:rowOff>0</xdr:rowOff>
    </xdr:from>
    <xdr:ext cx="190500" cy="266700"/>
    <xdr:sp macro="" textlink="">
      <xdr:nvSpPr>
        <xdr:cNvPr id="4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11031F7-DFD5-40A1-A3C4-5F1ECDD0427D}"/>
            </a:ext>
            <a:ext uri="{147F2762-F138-4A5C-976F-8EAC2B608ADB}">
              <a16:predDERef xmlns:a16="http://schemas.microsoft.com/office/drawing/2014/main" pred="{71884117-D78C-4778-BDE6-F1B84A7A3BF5}"/>
            </a:ext>
          </a:extLst>
        </xdr:cNvPr>
        <xdr:cNvSpPr>
          <a:spLocks noChangeAspect="1" noChangeArrowheads="1"/>
        </xdr:cNvSpPr>
      </xdr:nvSpPr>
      <xdr:spPr bwMode="auto">
        <a:xfrm>
          <a:off x="7531100" y="94424500"/>
          <a:ext cx="190500" cy="266700"/>
        </a:xfrm>
        <a:prstGeom prst="rect">
          <a:avLst/>
        </a:prstGeom>
        <a:noFill/>
      </xdr:spPr>
    </xdr:sp>
    <xdr:clientData/>
  </xdr:oneCellAnchor>
  <xdr:oneCellAnchor>
    <xdr:from>
      <xdr:col>4</xdr:col>
      <xdr:colOff>1657350</xdr:colOff>
      <xdr:row>488</xdr:row>
      <xdr:rowOff>0</xdr:rowOff>
    </xdr:from>
    <xdr:ext cx="190500" cy="266700"/>
    <xdr:sp macro="" textlink="">
      <xdr:nvSpPr>
        <xdr:cNvPr id="4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142D3FD-E08D-4EC7-9898-FB1022EC7B4B}"/>
            </a:ext>
            <a:ext uri="{147F2762-F138-4A5C-976F-8EAC2B608ADB}">
              <a16:predDERef xmlns:a16="http://schemas.microsoft.com/office/drawing/2014/main" pred="{368E3A2B-155E-4236-8DE3-DD81F026DC5B}"/>
            </a:ext>
          </a:extLst>
        </xdr:cNvPr>
        <xdr:cNvSpPr>
          <a:spLocks noChangeAspect="1" noChangeArrowheads="1"/>
        </xdr:cNvSpPr>
      </xdr:nvSpPr>
      <xdr:spPr bwMode="auto">
        <a:xfrm>
          <a:off x="7531100" y="94424500"/>
          <a:ext cx="190500" cy="266700"/>
        </a:xfrm>
        <a:prstGeom prst="rect">
          <a:avLst/>
        </a:prstGeom>
        <a:noFill/>
      </xdr:spPr>
    </xdr:sp>
    <xdr:clientData/>
  </xdr:oneCellAnchor>
  <xdr:oneCellAnchor>
    <xdr:from>
      <xdr:col>4</xdr:col>
      <xdr:colOff>1657350</xdr:colOff>
      <xdr:row>490</xdr:row>
      <xdr:rowOff>0</xdr:rowOff>
    </xdr:from>
    <xdr:ext cx="190500" cy="266700"/>
    <xdr:sp macro="" textlink="">
      <xdr:nvSpPr>
        <xdr:cNvPr id="4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1724403-54F3-4951-B909-51C7FCDDC27F}"/>
            </a:ext>
            <a:ext uri="{147F2762-F138-4A5C-976F-8EAC2B608ADB}">
              <a16:predDERef xmlns:a16="http://schemas.microsoft.com/office/drawing/2014/main" pred="{B57E1C82-E5C1-46B3-B374-5654C85ED707}"/>
            </a:ext>
          </a:extLst>
        </xdr:cNvPr>
        <xdr:cNvSpPr>
          <a:spLocks noChangeAspect="1" noChangeArrowheads="1"/>
        </xdr:cNvSpPr>
      </xdr:nvSpPr>
      <xdr:spPr bwMode="auto">
        <a:xfrm>
          <a:off x="7531100" y="94792800"/>
          <a:ext cx="190500" cy="266700"/>
        </a:xfrm>
        <a:prstGeom prst="rect">
          <a:avLst/>
        </a:prstGeom>
        <a:noFill/>
      </xdr:spPr>
    </xdr:sp>
    <xdr:clientData/>
  </xdr:oneCellAnchor>
  <xdr:oneCellAnchor>
    <xdr:from>
      <xdr:col>4</xdr:col>
      <xdr:colOff>1657350</xdr:colOff>
      <xdr:row>490</xdr:row>
      <xdr:rowOff>0</xdr:rowOff>
    </xdr:from>
    <xdr:ext cx="190500" cy="266700"/>
    <xdr:sp macro="" textlink="">
      <xdr:nvSpPr>
        <xdr:cNvPr id="4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0EDA700-F30C-4698-BB99-CF1EA1879884}"/>
            </a:ext>
            <a:ext uri="{147F2762-F138-4A5C-976F-8EAC2B608ADB}">
              <a16:predDERef xmlns:a16="http://schemas.microsoft.com/office/drawing/2014/main" pred="{498EBA51-C177-4577-B398-36D872C65198}"/>
            </a:ext>
          </a:extLst>
        </xdr:cNvPr>
        <xdr:cNvSpPr>
          <a:spLocks noChangeAspect="1" noChangeArrowheads="1"/>
        </xdr:cNvSpPr>
      </xdr:nvSpPr>
      <xdr:spPr bwMode="auto">
        <a:xfrm>
          <a:off x="7531100" y="94792800"/>
          <a:ext cx="190500" cy="266700"/>
        </a:xfrm>
        <a:prstGeom prst="rect">
          <a:avLst/>
        </a:prstGeom>
        <a:noFill/>
      </xdr:spPr>
    </xdr:sp>
    <xdr:clientData/>
  </xdr:oneCellAnchor>
  <xdr:oneCellAnchor>
    <xdr:from>
      <xdr:col>4</xdr:col>
      <xdr:colOff>1657350</xdr:colOff>
      <xdr:row>492</xdr:row>
      <xdr:rowOff>0</xdr:rowOff>
    </xdr:from>
    <xdr:ext cx="190500" cy="266700"/>
    <xdr:sp macro="" textlink="">
      <xdr:nvSpPr>
        <xdr:cNvPr id="4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F7A5B2-B0CC-4BDF-B9ED-D74911369304}"/>
            </a:ext>
            <a:ext uri="{147F2762-F138-4A5C-976F-8EAC2B608ADB}">
              <a16:predDERef xmlns:a16="http://schemas.microsoft.com/office/drawing/2014/main" pred="{932AC716-E706-46C6-8DED-E8F4B11B411D}"/>
            </a:ext>
          </a:extLst>
        </xdr:cNvPr>
        <xdr:cNvSpPr>
          <a:spLocks noChangeAspect="1" noChangeArrowheads="1"/>
        </xdr:cNvSpPr>
      </xdr:nvSpPr>
      <xdr:spPr bwMode="auto">
        <a:xfrm>
          <a:off x="7531100" y="95161100"/>
          <a:ext cx="190500" cy="266700"/>
        </a:xfrm>
        <a:prstGeom prst="rect">
          <a:avLst/>
        </a:prstGeom>
        <a:noFill/>
      </xdr:spPr>
    </xdr:sp>
    <xdr:clientData/>
  </xdr:oneCellAnchor>
  <xdr:oneCellAnchor>
    <xdr:from>
      <xdr:col>4</xdr:col>
      <xdr:colOff>1657350</xdr:colOff>
      <xdr:row>492</xdr:row>
      <xdr:rowOff>0</xdr:rowOff>
    </xdr:from>
    <xdr:ext cx="190500" cy="266700"/>
    <xdr:sp macro="" textlink="">
      <xdr:nvSpPr>
        <xdr:cNvPr id="4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26AE622-AA08-4B82-AA70-D229D4A20FD4}"/>
            </a:ext>
            <a:ext uri="{147F2762-F138-4A5C-976F-8EAC2B608ADB}">
              <a16:predDERef xmlns:a16="http://schemas.microsoft.com/office/drawing/2014/main" pred="{2349FD4E-396C-4CB8-BC32-12B9DA8AB750}"/>
            </a:ext>
          </a:extLst>
        </xdr:cNvPr>
        <xdr:cNvSpPr>
          <a:spLocks noChangeAspect="1" noChangeArrowheads="1"/>
        </xdr:cNvSpPr>
      </xdr:nvSpPr>
      <xdr:spPr bwMode="auto">
        <a:xfrm>
          <a:off x="7531100" y="95161100"/>
          <a:ext cx="190500" cy="266700"/>
        </a:xfrm>
        <a:prstGeom prst="rect">
          <a:avLst/>
        </a:prstGeom>
        <a:noFill/>
      </xdr:spPr>
    </xdr:sp>
    <xdr:clientData/>
  </xdr:oneCellAnchor>
  <xdr:oneCellAnchor>
    <xdr:from>
      <xdr:col>4</xdr:col>
      <xdr:colOff>1657350</xdr:colOff>
      <xdr:row>494</xdr:row>
      <xdr:rowOff>0</xdr:rowOff>
    </xdr:from>
    <xdr:ext cx="190500" cy="266700"/>
    <xdr:sp macro="" textlink="">
      <xdr:nvSpPr>
        <xdr:cNvPr id="4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A899DEB-CE83-4795-AF2D-545A78962894}"/>
            </a:ext>
            <a:ext uri="{147F2762-F138-4A5C-976F-8EAC2B608ADB}">
              <a16:predDERef xmlns:a16="http://schemas.microsoft.com/office/drawing/2014/main" pred="{D7DEF700-8A92-423B-A07A-40B845000054}"/>
            </a:ext>
          </a:extLst>
        </xdr:cNvPr>
        <xdr:cNvSpPr>
          <a:spLocks noChangeAspect="1" noChangeArrowheads="1"/>
        </xdr:cNvSpPr>
      </xdr:nvSpPr>
      <xdr:spPr bwMode="auto">
        <a:xfrm>
          <a:off x="7531100" y="95529400"/>
          <a:ext cx="190500" cy="266700"/>
        </a:xfrm>
        <a:prstGeom prst="rect">
          <a:avLst/>
        </a:prstGeom>
        <a:noFill/>
      </xdr:spPr>
    </xdr:sp>
    <xdr:clientData/>
  </xdr:oneCellAnchor>
  <xdr:oneCellAnchor>
    <xdr:from>
      <xdr:col>4</xdr:col>
      <xdr:colOff>1657350</xdr:colOff>
      <xdr:row>494</xdr:row>
      <xdr:rowOff>0</xdr:rowOff>
    </xdr:from>
    <xdr:ext cx="190500" cy="266700"/>
    <xdr:sp macro="" textlink="">
      <xdr:nvSpPr>
        <xdr:cNvPr id="4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4FFCA3A-0611-40A9-A237-981748C1EAED}"/>
            </a:ext>
            <a:ext uri="{147F2762-F138-4A5C-976F-8EAC2B608ADB}">
              <a16:predDERef xmlns:a16="http://schemas.microsoft.com/office/drawing/2014/main" pred="{12764C01-7637-4AF5-A68E-FDCE79A2E855}"/>
            </a:ext>
          </a:extLst>
        </xdr:cNvPr>
        <xdr:cNvSpPr>
          <a:spLocks noChangeAspect="1" noChangeArrowheads="1"/>
        </xdr:cNvSpPr>
      </xdr:nvSpPr>
      <xdr:spPr bwMode="auto">
        <a:xfrm>
          <a:off x="7531100" y="95529400"/>
          <a:ext cx="190500" cy="266700"/>
        </a:xfrm>
        <a:prstGeom prst="rect">
          <a:avLst/>
        </a:prstGeom>
        <a:noFill/>
      </xdr:spPr>
    </xdr:sp>
    <xdr:clientData/>
  </xdr:oneCellAnchor>
  <xdr:oneCellAnchor>
    <xdr:from>
      <xdr:col>4</xdr:col>
      <xdr:colOff>1657350</xdr:colOff>
      <xdr:row>496</xdr:row>
      <xdr:rowOff>0</xdr:rowOff>
    </xdr:from>
    <xdr:ext cx="190500" cy="266700"/>
    <xdr:sp macro="" textlink="">
      <xdr:nvSpPr>
        <xdr:cNvPr id="4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4B888C5-F050-4F6D-BCC1-7C1E385F8F55}"/>
            </a:ext>
            <a:ext uri="{147F2762-F138-4A5C-976F-8EAC2B608ADB}">
              <a16:predDERef xmlns:a16="http://schemas.microsoft.com/office/drawing/2014/main" pred="{02BC5B8D-3C52-45F2-B293-3681BE76291C}"/>
            </a:ext>
          </a:extLst>
        </xdr:cNvPr>
        <xdr:cNvSpPr>
          <a:spLocks noChangeAspect="1" noChangeArrowheads="1"/>
        </xdr:cNvSpPr>
      </xdr:nvSpPr>
      <xdr:spPr bwMode="auto">
        <a:xfrm>
          <a:off x="7531100" y="95897700"/>
          <a:ext cx="190500" cy="266700"/>
        </a:xfrm>
        <a:prstGeom prst="rect">
          <a:avLst/>
        </a:prstGeom>
        <a:noFill/>
      </xdr:spPr>
    </xdr:sp>
    <xdr:clientData/>
  </xdr:oneCellAnchor>
  <xdr:oneCellAnchor>
    <xdr:from>
      <xdr:col>4</xdr:col>
      <xdr:colOff>1657350</xdr:colOff>
      <xdr:row>496</xdr:row>
      <xdr:rowOff>0</xdr:rowOff>
    </xdr:from>
    <xdr:ext cx="190500" cy="266700"/>
    <xdr:sp macro="" textlink="">
      <xdr:nvSpPr>
        <xdr:cNvPr id="4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6A8C57C-9F50-44B7-B302-B1D3ABC615EE}"/>
            </a:ext>
            <a:ext uri="{147F2762-F138-4A5C-976F-8EAC2B608ADB}">
              <a16:predDERef xmlns:a16="http://schemas.microsoft.com/office/drawing/2014/main" pred="{593BA341-03A4-4689-853C-F90368769008}"/>
            </a:ext>
          </a:extLst>
        </xdr:cNvPr>
        <xdr:cNvSpPr>
          <a:spLocks noChangeAspect="1" noChangeArrowheads="1"/>
        </xdr:cNvSpPr>
      </xdr:nvSpPr>
      <xdr:spPr bwMode="auto">
        <a:xfrm>
          <a:off x="7531100" y="95897700"/>
          <a:ext cx="190500" cy="266700"/>
        </a:xfrm>
        <a:prstGeom prst="rect">
          <a:avLst/>
        </a:prstGeom>
        <a:noFill/>
      </xdr:spPr>
    </xdr:sp>
    <xdr:clientData/>
  </xdr:oneCellAnchor>
  <xdr:oneCellAnchor>
    <xdr:from>
      <xdr:col>4</xdr:col>
      <xdr:colOff>1657350</xdr:colOff>
      <xdr:row>498</xdr:row>
      <xdr:rowOff>0</xdr:rowOff>
    </xdr:from>
    <xdr:ext cx="190500" cy="266700"/>
    <xdr:sp macro="" textlink="">
      <xdr:nvSpPr>
        <xdr:cNvPr id="5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826444A-611A-47E1-997E-CFA9E9210605}"/>
            </a:ext>
            <a:ext uri="{147F2762-F138-4A5C-976F-8EAC2B608ADB}">
              <a16:predDERef xmlns:a16="http://schemas.microsoft.com/office/drawing/2014/main" pred="{7CA13840-417F-4272-A8F4-1D871D692C3D}"/>
            </a:ext>
          </a:extLst>
        </xdr:cNvPr>
        <xdr:cNvSpPr>
          <a:spLocks noChangeAspect="1" noChangeArrowheads="1"/>
        </xdr:cNvSpPr>
      </xdr:nvSpPr>
      <xdr:spPr bwMode="auto">
        <a:xfrm>
          <a:off x="7531100" y="96266000"/>
          <a:ext cx="190500" cy="266700"/>
        </a:xfrm>
        <a:prstGeom prst="rect">
          <a:avLst/>
        </a:prstGeom>
        <a:noFill/>
      </xdr:spPr>
    </xdr:sp>
    <xdr:clientData/>
  </xdr:oneCellAnchor>
  <xdr:oneCellAnchor>
    <xdr:from>
      <xdr:col>4</xdr:col>
      <xdr:colOff>1657350</xdr:colOff>
      <xdr:row>498</xdr:row>
      <xdr:rowOff>0</xdr:rowOff>
    </xdr:from>
    <xdr:ext cx="190500" cy="266700"/>
    <xdr:sp macro="" textlink="">
      <xdr:nvSpPr>
        <xdr:cNvPr id="5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3D218BF-5A63-4323-9154-BD129B621337}"/>
            </a:ext>
            <a:ext uri="{147F2762-F138-4A5C-976F-8EAC2B608ADB}">
              <a16:predDERef xmlns:a16="http://schemas.microsoft.com/office/drawing/2014/main" pred="{F4E0F5F8-7446-415F-B075-FACF8F71A84D}"/>
            </a:ext>
          </a:extLst>
        </xdr:cNvPr>
        <xdr:cNvSpPr>
          <a:spLocks noChangeAspect="1" noChangeArrowheads="1"/>
        </xdr:cNvSpPr>
      </xdr:nvSpPr>
      <xdr:spPr bwMode="auto">
        <a:xfrm>
          <a:off x="7531100" y="96266000"/>
          <a:ext cx="190500" cy="266700"/>
        </a:xfrm>
        <a:prstGeom prst="rect">
          <a:avLst/>
        </a:prstGeom>
        <a:noFill/>
      </xdr:spPr>
    </xdr:sp>
    <xdr:clientData/>
  </xdr:oneCellAnchor>
  <xdr:oneCellAnchor>
    <xdr:from>
      <xdr:col>4</xdr:col>
      <xdr:colOff>1657350</xdr:colOff>
      <xdr:row>500</xdr:row>
      <xdr:rowOff>0</xdr:rowOff>
    </xdr:from>
    <xdr:ext cx="190500" cy="266700"/>
    <xdr:sp macro="" textlink="">
      <xdr:nvSpPr>
        <xdr:cNvPr id="5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8DF328-9C35-4BED-8060-50F0B4C59098}"/>
            </a:ext>
            <a:ext uri="{147F2762-F138-4A5C-976F-8EAC2B608ADB}">
              <a16:predDERef xmlns:a16="http://schemas.microsoft.com/office/drawing/2014/main" pred="{14E8A128-5845-4118-BBFE-2906EFDB89CD}"/>
            </a:ext>
          </a:extLst>
        </xdr:cNvPr>
        <xdr:cNvSpPr>
          <a:spLocks noChangeAspect="1" noChangeArrowheads="1"/>
        </xdr:cNvSpPr>
      </xdr:nvSpPr>
      <xdr:spPr bwMode="auto">
        <a:xfrm>
          <a:off x="7531100" y="96634300"/>
          <a:ext cx="190500" cy="266700"/>
        </a:xfrm>
        <a:prstGeom prst="rect">
          <a:avLst/>
        </a:prstGeom>
        <a:noFill/>
      </xdr:spPr>
    </xdr:sp>
    <xdr:clientData/>
  </xdr:oneCellAnchor>
  <xdr:oneCellAnchor>
    <xdr:from>
      <xdr:col>4</xdr:col>
      <xdr:colOff>1657350</xdr:colOff>
      <xdr:row>500</xdr:row>
      <xdr:rowOff>0</xdr:rowOff>
    </xdr:from>
    <xdr:ext cx="190500" cy="266700"/>
    <xdr:sp macro="" textlink="">
      <xdr:nvSpPr>
        <xdr:cNvPr id="5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FCB9ACB-0AC1-48E5-ACE2-C0A7DBD29360}"/>
            </a:ext>
            <a:ext uri="{147F2762-F138-4A5C-976F-8EAC2B608ADB}">
              <a16:predDERef xmlns:a16="http://schemas.microsoft.com/office/drawing/2014/main" pred="{CA232E73-0C17-4B0E-A78C-B773EB803534}"/>
            </a:ext>
          </a:extLst>
        </xdr:cNvPr>
        <xdr:cNvSpPr>
          <a:spLocks noChangeAspect="1" noChangeArrowheads="1"/>
        </xdr:cNvSpPr>
      </xdr:nvSpPr>
      <xdr:spPr bwMode="auto">
        <a:xfrm>
          <a:off x="7531100" y="96634300"/>
          <a:ext cx="190500" cy="266700"/>
        </a:xfrm>
        <a:prstGeom prst="rect">
          <a:avLst/>
        </a:prstGeom>
        <a:noFill/>
      </xdr:spPr>
    </xdr:sp>
    <xdr:clientData/>
  </xdr:oneCellAnchor>
  <xdr:oneCellAnchor>
    <xdr:from>
      <xdr:col>4</xdr:col>
      <xdr:colOff>1657350</xdr:colOff>
      <xdr:row>502</xdr:row>
      <xdr:rowOff>0</xdr:rowOff>
    </xdr:from>
    <xdr:ext cx="190500" cy="266700"/>
    <xdr:sp macro="" textlink="">
      <xdr:nvSpPr>
        <xdr:cNvPr id="5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167F9E-8879-463E-8ACC-E431F45006BA}"/>
            </a:ext>
            <a:ext uri="{147F2762-F138-4A5C-976F-8EAC2B608ADB}">
              <a16:predDERef xmlns:a16="http://schemas.microsoft.com/office/drawing/2014/main" pred="{372AA9F7-E98A-433E-A859-5A97B09BCD7B}"/>
            </a:ext>
          </a:extLst>
        </xdr:cNvPr>
        <xdr:cNvSpPr>
          <a:spLocks noChangeAspect="1" noChangeArrowheads="1"/>
        </xdr:cNvSpPr>
      </xdr:nvSpPr>
      <xdr:spPr bwMode="auto">
        <a:xfrm>
          <a:off x="7531100" y="97002600"/>
          <a:ext cx="190500" cy="266700"/>
        </a:xfrm>
        <a:prstGeom prst="rect">
          <a:avLst/>
        </a:prstGeom>
        <a:noFill/>
      </xdr:spPr>
    </xdr:sp>
    <xdr:clientData/>
  </xdr:oneCellAnchor>
  <xdr:oneCellAnchor>
    <xdr:from>
      <xdr:col>4</xdr:col>
      <xdr:colOff>1657350</xdr:colOff>
      <xdr:row>502</xdr:row>
      <xdr:rowOff>0</xdr:rowOff>
    </xdr:from>
    <xdr:ext cx="190500" cy="266700"/>
    <xdr:sp macro="" textlink="">
      <xdr:nvSpPr>
        <xdr:cNvPr id="5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4F36929-5377-4076-A56C-1B97F52A9235}"/>
            </a:ext>
            <a:ext uri="{147F2762-F138-4A5C-976F-8EAC2B608ADB}">
              <a16:predDERef xmlns:a16="http://schemas.microsoft.com/office/drawing/2014/main" pred="{17C81EC8-937D-4E0A-A4F0-16FFE9AE14D8}"/>
            </a:ext>
          </a:extLst>
        </xdr:cNvPr>
        <xdr:cNvSpPr>
          <a:spLocks noChangeAspect="1" noChangeArrowheads="1"/>
        </xdr:cNvSpPr>
      </xdr:nvSpPr>
      <xdr:spPr bwMode="auto">
        <a:xfrm>
          <a:off x="7531100" y="97002600"/>
          <a:ext cx="190500" cy="266700"/>
        </a:xfrm>
        <a:prstGeom prst="rect">
          <a:avLst/>
        </a:prstGeom>
        <a:noFill/>
      </xdr:spPr>
    </xdr:sp>
    <xdr:clientData/>
  </xdr:oneCellAnchor>
  <xdr:oneCellAnchor>
    <xdr:from>
      <xdr:col>4</xdr:col>
      <xdr:colOff>1657350</xdr:colOff>
      <xdr:row>504</xdr:row>
      <xdr:rowOff>0</xdr:rowOff>
    </xdr:from>
    <xdr:ext cx="190500" cy="266700"/>
    <xdr:sp macro="" textlink="">
      <xdr:nvSpPr>
        <xdr:cNvPr id="5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CE7841D-ECDF-43B0-94BB-03D4FB8518BF}"/>
            </a:ext>
            <a:ext uri="{147F2762-F138-4A5C-976F-8EAC2B608ADB}">
              <a16:predDERef xmlns:a16="http://schemas.microsoft.com/office/drawing/2014/main" pred="{8082DF8A-075E-400C-95D0-0C8EEBF44708}"/>
            </a:ext>
          </a:extLst>
        </xdr:cNvPr>
        <xdr:cNvSpPr>
          <a:spLocks noChangeAspect="1" noChangeArrowheads="1"/>
        </xdr:cNvSpPr>
      </xdr:nvSpPr>
      <xdr:spPr bwMode="auto">
        <a:xfrm>
          <a:off x="7531100" y="97370900"/>
          <a:ext cx="190500" cy="266700"/>
        </a:xfrm>
        <a:prstGeom prst="rect">
          <a:avLst/>
        </a:prstGeom>
        <a:noFill/>
      </xdr:spPr>
    </xdr:sp>
    <xdr:clientData/>
  </xdr:oneCellAnchor>
  <xdr:oneCellAnchor>
    <xdr:from>
      <xdr:col>4</xdr:col>
      <xdr:colOff>1657350</xdr:colOff>
      <xdr:row>504</xdr:row>
      <xdr:rowOff>0</xdr:rowOff>
    </xdr:from>
    <xdr:ext cx="190500" cy="266700"/>
    <xdr:sp macro="" textlink="">
      <xdr:nvSpPr>
        <xdr:cNvPr id="5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B0667FF-235F-4DBD-9E92-8CDBEDE51482}"/>
            </a:ext>
            <a:ext uri="{147F2762-F138-4A5C-976F-8EAC2B608ADB}">
              <a16:predDERef xmlns:a16="http://schemas.microsoft.com/office/drawing/2014/main" pred="{7587837A-A9EB-4D8C-95D8-4ED0E1B4F3C2}"/>
            </a:ext>
          </a:extLst>
        </xdr:cNvPr>
        <xdr:cNvSpPr>
          <a:spLocks noChangeAspect="1" noChangeArrowheads="1"/>
        </xdr:cNvSpPr>
      </xdr:nvSpPr>
      <xdr:spPr bwMode="auto">
        <a:xfrm>
          <a:off x="7531100" y="97370900"/>
          <a:ext cx="190500" cy="266700"/>
        </a:xfrm>
        <a:prstGeom prst="rect">
          <a:avLst/>
        </a:prstGeom>
        <a:noFill/>
      </xdr:spPr>
    </xdr:sp>
    <xdr:clientData/>
  </xdr:oneCellAnchor>
  <xdr:oneCellAnchor>
    <xdr:from>
      <xdr:col>4</xdr:col>
      <xdr:colOff>1657350</xdr:colOff>
      <xdr:row>506</xdr:row>
      <xdr:rowOff>0</xdr:rowOff>
    </xdr:from>
    <xdr:ext cx="190500" cy="266700"/>
    <xdr:sp macro="" textlink="">
      <xdr:nvSpPr>
        <xdr:cNvPr id="5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DA6A128-7EEA-4C88-A0E2-03417B37F07A}"/>
            </a:ext>
            <a:ext uri="{147F2762-F138-4A5C-976F-8EAC2B608ADB}">
              <a16:predDERef xmlns:a16="http://schemas.microsoft.com/office/drawing/2014/main" pred="{D98B8FCA-F2EC-4B22-B868-38BC744F1D08}"/>
            </a:ext>
          </a:extLst>
        </xdr:cNvPr>
        <xdr:cNvSpPr>
          <a:spLocks noChangeAspect="1" noChangeArrowheads="1"/>
        </xdr:cNvSpPr>
      </xdr:nvSpPr>
      <xdr:spPr bwMode="auto">
        <a:xfrm>
          <a:off x="7531100" y="97739200"/>
          <a:ext cx="190500" cy="266700"/>
        </a:xfrm>
        <a:prstGeom prst="rect">
          <a:avLst/>
        </a:prstGeom>
        <a:noFill/>
      </xdr:spPr>
    </xdr:sp>
    <xdr:clientData/>
  </xdr:oneCellAnchor>
  <xdr:oneCellAnchor>
    <xdr:from>
      <xdr:col>4</xdr:col>
      <xdr:colOff>1657350</xdr:colOff>
      <xdr:row>506</xdr:row>
      <xdr:rowOff>0</xdr:rowOff>
    </xdr:from>
    <xdr:ext cx="190500" cy="266700"/>
    <xdr:sp macro="" textlink="">
      <xdr:nvSpPr>
        <xdr:cNvPr id="5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FA29203-CA5C-49DE-AE28-D723DC5B454F}"/>
            </a:ext>
            <a:ext uri="{147F2762-F138-4A5C-976F-8EAC2B608ADB}">
              <a16:predDERef xmlns:a16="http://schemas.microsoft.com/office/drawing/2014/main" pred="{7FB0D8E7-3474-4FD3-BBAE-25FB5A5957CE}"/>
            </a:ext>
          </a:extLst>
        </xdr:cNvPr>
        <xdr:cNvSpPr>
          <a:spLocks noChangeAspect="1" noChangeArrowheads="1"/>
        </xdr:cNvSpPr>
      </xdr:nvSpPr>
      <xdr:spPr bwMode="auto">
        <a:xfrm>
          <a:off x="7531100" y="97739200"/>
          <a:ext cx="190500" cy="266700"/>
        </a:xfrm>
        <a:prstGeom prst="rect">
          <a:avLst/>
        </a:prstGeom>
        <a:noFill/>
      </xdr:spPr>
    </xdr:sp>
    <xdr:clientData/>
  </xdr:oneCellAnchor>
  <xdr:oneCellAnchor>
    <xdr:from>
      <xdr:col>4</xdr:col>
      <xdr:colOff>1657350</xdr:colOff>
      <xdr:row>508</xdr:row>
      <xdr:rowOff>0</xdr:rowOff>
    </xdr:from>
    <xdr:ext cx="190500" cy="266700"/>
    <xdr:sp macro="" textlink="">
      <xdr:nvSpPr>
        <xdr:cNvPr id="5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85AD673-45EB-4B40-8DFA-949BE02224B1}"/>
            </a:ext>
            <a:ext uri="{147F2762-F138-4A5C-976F-8EAC2B608ADB}">
              <a16:predDERef xmlns:a16="http://schemas.microsoft.com/office/drawing/2014/main" pred="{30086BC3-36BB-49D9-ADFD-3DFF6E46FB5A}"/>
            </a:ext>
          </a:extLst>
        </xdr:cNvPr>
        <xdr:cNvSpPr>
          <a:spLocks noChangeAspect="1" noChangeArrowheads="1"/>
        </xdr:cNvSpPr>
      </xdr:nvSpPr>
      <xdr:spPr bwMode="auto">
        <a:xfrm>
          <a:off x="7531100" y="98107500"/>
          <a:ext cx="190500" cy="266700"/>
        </a:xfrm>
        <a:prstGeom prst="rect">
          <a:avLst/>
        </a:prstGeom>
        <a:noFill/>
      </xdr:spPr>
    </xdr:sp>
    <xdr:clientData/>
  </xdr:oneCellAnchor>
  <xdr:oneCellAnchor>
    <xdr:from>
      <xdr:col>4</xdr:col>
      <xdr:colOff>1657350</xdr:colOff>
      <xdr:row>508</xdr:row>
      <xdr:rowOff>0</xdr:rowOff>
    </xdr:from>
    <xdr:ext cx="190500" cy="266700"/>
    <xdr:sp macro="" textlink="">
      <xdr:nvSpPr>
        <xdr:cNvPr id="5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CE12E0-621A-4764-A9E4-AE21CF7B0E66}"/>
            </a:ext>
            <a:ext uri="{147F2762-F138-4A5C-976F-8EAC2B608ADB}">
              <a16:predDERef xmlns:a16="http://schemas.microsoft.com/office/drawing/2014/main" pred="{AFA30C88-AC89-430C-92B0-A36642B4FB05}"/>
            </a:ext>
          </a:extLst>
        </xdr:cNvPr>
        <xdr:cNvSpPr>
          <a:spLocks noChangeAspect="1" noChangeArrowheads="1"/>
        </xdr:cNvSpPr>
      </xdr:nvSpPr>
      <xdr:spPr bwMode="auto">
        <a:xfrm>
          <a:off x="7531100" y="98107500"/>
          <a:ext cx="190500" cy="266700"/>
        </a:xfrm>
        <a:prstGeom prst="rect">
          <a:avLst/>
        </a:prstGeom>
        <a:noFill/>
      </xdr:spPr>
    </xdr:sp>
    <xdr:clientData/>
  </xdr:oneCellAnchor>
  <xdr:oneCellAnchor>
    <xdr:from>
      <xdr:col>4</xdr:col>
      <xdr:colOff>1657350</xdr:colOff>
      <xdr:row>510</xdr:row>
      <xdr:rowOff>0</xdr:rowOff>
    </xdr:from>
    <xdr:ext cx="190500" cy="266700"/>
    <xdr:sp macro="" textlink="">
      <xdr:nvSpPr>
        <xdr:cNvPr id="5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DF0E3ED-D663-4B44-8F3B-611487D9C8DA}"/>
            </a:ext>
            <a:ext uri="{147F2762-F138-4A5C-976F-8EAC2B608ADB}">
              <a16:predDERef xmlns:a16="http://schemas.microsoft.com/office/drawing/2014/main" pred="{370B246D-8F28-4E58-9CA1-05DBCA7B26C8}"/>
            </a:ext>
          </a:extLst>
        </xdr:cNvPr>
        <xdr:cNvSpPr>
          <a:spLocks noChangeAspect="1" noChangeArrowheads="1"/>
        </xdr:cNvSpPr>
      </xdr:nvSpPr>
      <xdr:spPr bwMode="auto">
        <a:xfrm>
          <a:off x="7531100" y="98475800"/>
          <a:ext cx="190500" cy="266700"/>
        </a:xfrm>
        <a:prstGeom prst="rect">
          <a:avLst/>
        </a:prstGeom>
        <a:noFill/>
      </xdr:spPr>
    </xdr:sp>
    <xdr:clientData/>
  </xdr:oneCellAnchor>
  <xdr:oneCellAnchor>
    <xdr:from>
      <xdr:col>4</xdr:col>
      <xdr:colOff>1657350</xdr:colOff>
      <xdr:row>510</xdr:row>
      <xdr:rowOff>0</xdr:rowOff>
    </xdr:from>
    <xdr:ext cx="190500" cy="266700"/>
    <xdr:sp macro="" textlink="">
      <xdr:nvSpPr>
        <xdr:cNvPr id="5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BD4237-3B24-4D26-9EAF-65992D7FC6E6}"/>
            </a:ext>
            <a:ext uri="{147F2762-F138-4A5C-976F-8EAC2B608ADB}">
              <a16:predDERef xmlns:a16="http://schemas.microsoft.com/office/drawing/2014/main" pred="{8CE16297-4B15-4914-841F-1E610D271503}"/>
            </a:ext>
          </a:extLst>
        </xdr:cNvPr>
        <xdr:cNvSpPr>
          <a:spLocks noChangeAspect="1" noChangeArrowheads="1"/>
        </xdr:cNvSpPr>
      </xdr:nvSpPr>
      <xdr:spPr bwMode="auto">
        <a:xfrm>
          <a:off x="7531100" y="98475800"/>
          <a:ext cx="190500" cy="266700"/>
        </a:xfrm>
        <a:prstGeom prst="rect">
          <a:avLst/>
        </a:prstGeom>
        <a:noFill/>
      </xdr:spPr>
    </xdr:sp>
    <xdr:clientData/>
  </xdr:oneCellAnchor>
  <xdr:oneCellAnchor>
    <xdr:from>
      <xdr:col>4</xdr:col>
      <xdr:colOff>1657350</xdr:colOff>
      <xdr:row>512</xdr:row>
      <xdr:rowOff>0</xdr:rowOff>
    </xdr:from>
    <xdr:ext cx="190500" cy="266700"/>
    <xdr:sp macro="" textlink="">
      <xdr:nvSpPr>
        <xdr:cNvPr id="5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FA9F757-C196-434B-8525-4972A81AA6F0}"/>
            </a:ext>
            <a:ext uri="{147F2762-F138-4A5C-976F-8EAC2B608ADB}">
              <a16:predDERef xmlns:a16="http://schemas.microsoft.com/office/drawing/2014/main" pred="{88405205-0EE5-405D-BEFE-65FFB6CF3BCA}"/>
            </a:ext>
          </a:extLst>
        </xdr:cNvPr>
        <xdr:cNvSpPr>
          <a:spLocks noChangeAspect="1" noChangeArrowheads="1"/>
        </xdr:cNvSpPr>
      </xdr:nvSpPr>
      <xdr:spPr bwMode="auto">
        <a:xfrm>
          <a:off x="7531100" y="98844100"/>
          <a:ext cx="190500" cy="266700"/>
        </a:xfrm>
        <a:prstGeom prst="rect">
          <a:avLst/>
        </a:prstGeom>
        <a:noFill/>
      </xdr:spPr>
    </xdr:sp>
    <xdr:clientData/>
  </xdr:oneCellAnchor>
  <xdr:oneCellAnchor>
    <xdr:from>
      <xdr:col>4</xdr:col>
      <xdr:colOff>1657350</xdr:colOff>
      <xdr:row>512</xdr:row>
      <xdr:rowOff>0</xdr:rowOff>
    </xdr:from>
    <xdr:ext cx="190500" cy="266700"/>
    <xdr:sp macro="" textlink="">
      <xdr:nvSpPr>
        <xdr:cNvPr id="5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942D093-FE32-4196-809D-45219E927E28}"/>
            </a:ext>
            <a:ext uri="{147F2762-F138-4A5C-976F-8EAC2B608ADB}">
              <a16:predDERef xmlns:a16="http://schemas.microsoft.com/office/drawing/2014/main" pred="{747908D1-04F3-4BA5-9B33-BCE9201E4C94}"/>
            </a:ext>
          </a:extLst>
        </xdr:cNvPr>
        <xdr:cNvSpPr>
          <a:spLocks noChangeAspect="1" noChangeArrowheads="1"/>
        </xdr:cNvSpPr>
      </xdr:nvSpPr>
      <xdr:spPr bwMode="auto">
        <a:xfrm>
          <a:off x="7531100" y="98844100"/>
          <a:ext cx="190500" cy="266700"/>
        </a:xfrm>
        <a:prstGeom prst="rect">
          <a:avLst/>
        </a:prstGeom>
        <a:noFill/>
      </xdr:spPr>
    </xdr:sp>
    <xdr:clientData/>
  </xdr:oneCellAnchor>
  <xdr:oneCellAnchor>
    <xdr:from>
      <xdr:col>4</xdr:col>
      <xdr:colOff>1657350</xdr:colOff>
      <xdr:row>514</xdr:row>
      <xdr:rowOff>0</xdr:rowOff>
    </xdr:from>
    <xdr:ext cx="190500" cy="266700"/>
    <xdr:sp macro="" textlink="">
      <xdr:nvSpPr>
        <xdr:cNvPr id="5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569270D-2143-4BD5-9193-18CEF5B6B665}"/>
            </a:ext>
            <a:ext uri="{147F2762-F138-4A5C-976F-8EAC2B608ADB}">
              <a16:predDERef xmlns:a16="http://schemas.microsoft.com/office/drawing/2014/main" pred="{EA6B60C9-9C95-4E59-BB0E-EEAAC63D147A}"/>
            </a:ext>
          </a:extLst>
        </xdr:cNvPr>
        <xdr:cNvSpPr>
          <a:spLocks noChangeAspect="1" noChangeArrowheads="1"/>
        </xdr:cNvSpPr>
      </xdr:nvSpPr>
      <xdr:spPr bwMode="auto">
        <a:xfrm>
          <a:off x="7531100" y="99212400"/>
          <a:ext cx="190500" cy="266700"/>
        </a:xfrm>
        <a:prstGeom prst="rect">
          <a:avLst/>
        </a:prstGeom>
        <a:noFill/>
      </xdr:spPr>
    </xdr:sp>
    <xdr:clientData/>
  </xdr:oneCellAnchor>
  <xdr:oneCellAnchor>
    <xdr:from>
      <xdr:col>4</xdr:col>
      <xdr:colOff>1657350</xdr:colOff>
      <xdr:row>514</xdr:row>
      <xdr:rowOff>0</xdr:rowOff>
    </xdr:from>
    <xdr:ext cx="190500" cy="266700"/>
    <xdr:sp macro="" textlink="">
      <xdr:nvSpPr>
        <xdr:cNvPr id="5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7BF79D1-3D98-4AB3-83AD-F4EACC3011C4}"/>
            </a:ext>
            <a:ext uri="{147F2762-F138-4A5C-976F-8EAC2B608ADB}">
              <a16:predDERef xmlns:a16="http://schemas.microsoft.com/office/drawing/2014/main" pred="{C7E36069-EEAC-4F49-9A96-2E403D072C97}"/>
            </a:ext>
          </a:extLst>
        </xdr:cNvPr>
        <xdr:cNvSpPr>
          <a:spLocks noChangeAspect="1" noChangeArrowheads="1"/>
        </xdr:cNvSpPr>
      </xdr:nvSpPr>
      <xdr:spPr bwMode="auto">
        <a:xfrm>
          <a:off x="7531100" y="99212400"/>
          <a:ext cx="190500" cy="266700"/>
        </a:xfrm>
        <a:prstGeom prst="rect">
          <a:avLst/>
        </a:prstGeom>
        <a:noFill/>
      </xdr:spPr>
    </xdr:sp>
    <xdr:clientData/>
  </xdr:oneCellAnchor>
  <xdr:oneCellAnchor>
    <xdr:from>
      <xdr:col>4</xdr:col>
      <xdr:colOff>1657350</xdr:colOff>
      <xdr:row>516</xdr:row>
      <xdr:rowOff>0</xdr:rowOff>
    </xdr:from>
    <xdr:ext cx="190500" cy="266700"/>
    <xdr:sp macro="" textlink="">
      <xdr:nvSpPr>
        <xdr:cNvPr id="5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99F39E6-EB2E-4D31-80F1-74120E74EC38}"/>
            </a:ext>
            <a:ext uri="{147F2762-F138-4A5C-976F-8EAC2B608ADB}">
              <a16:predDERef xmlns:a16="http://schemas.microsoft.com/office/drawing/2014/main" pred="{868F94F4-61AB-46B7-BC05-0E06209B89E1}"/>
            </a:ext>
          </a:extLst>
        </xdr:cNvPr>
        <xdr:cNvSpPr>
          <a:spLocks noChangeAspect="1" noChangeArrowheads="1"/>
        </xdr:cNvSpPr>
      </xdr:nvSpPr>
      <xdr:spPr bwMode="auto">
        <a:xfrm>
          <a:off x="7531100" y="99580700"/>
          <a:ext cx="190500" cy="266700"/>
        </a:xfrm>
        <a:prstGeom prst="rect">
          <a:avLst/>
        </a:prstGeom>
        <a:noFill/>
      </xdr:spPr>
    </xdr:sp>
    <xdr:clientData/>
  </xdr:oneCellAnchor>
  <xdr:oneCellAnchor>
    <xdr:from>
      <xdr:col>4</xdr:col>
      <xdr:colOff>1657350</xdr:colOff>
      <xdr:row>516</xdr:row>
      <xdr:rowOff>0</xdr:rowOff>
    </xdr:from>
    <xdr:ext cx="190500" cy="266700"/>
    <xdr:sp macro="" textlink="">
      <xdr:nvSpPr>
        <xdr:cNvPr id="5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F95087B-66C1-4B1F-874E-ACF24ECF7562}"/>
            </a:ext>
            <a:ext uri="{147F2762-F138-4A5C-976F-8EAC2B608ADB}">
              <a16:predDERef xmlns:a16="http://schemas.microsoft.com/office/drawing/2014/main" pred="{1F99988C-A977-4AAE-837C-41F51ABDDE3C}"/>
            </a:ext>
          </a:extLst>
        </xdr:cNvPr>
        <xdr:cNvSpPr>
          <a:spLocks noChangeAspect="1" noChangeArrowheads="1"/>
        </xdr:cNvSpPr>
      </xdr:nvSpPr>
      <xdr:spPr bwMode="auto">
        <a:xfrm>
          <a:off x="7531100" y="99580700"/>
          <a:ext cx="190500" cy="266700"/>
        </a:xfrm>
        <a:prstGeom prst="rect">
          <a:avLst/>
        </a:prstGeom>
        <a:noFill/>
      </xdr:spPr>
    </xdr:sp>
    <xdr:clientData/>
  </xdr:oneCellAnchor>
  <xdr:oneCellAnchor>
    <xdr:from>
      <xdr:col>4</xdr:col>
      <xdr:colOff>1657350</xdr:colOff>
      <xdr:row>518</xdr:row>
      <xdr:rowOff>0</xdr:rowOff>
    </xdr:from>
    <xdr:ext cx="190500" cy="266700"/>
    <xdr:sp macro="" textlink="">
      <xdr:nvSpPr>
        <xdr:cNvPr id="5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C64E044-482A-4246-B600-DBC8ADA649C6}"/>
            </a:ext>
            <a:ext uri="{147F2762-F138-4A5C-976F-8EAC2B608ADB}">
              <a16:predDERef xmlns:a16="http://schemas.microsoft.com/office/drawing/2014/main" pred="{F5B03A9B-40D8-4E3D-834D-2A1439EE3B39}"/>
            </a:ext>
          </a:extLst>
        </xdr:cNvPr>
        <xdr:cNvSpPr>
          <a:spLocks noChangeAspect="1" noChangeArrowheads="1"/>
        </xdr:cNvSpPr>
      </xdr:nvSpPr>
      <xdr:spPr bwMode="auto">
        <a:xfrm>
          <a:off x="7531100" y="100095050"/>
          <a:ext cx="190500" cy="266700"/>
        </a:xfrm>
        <a:prstGeom prst="rect">
          <a:avLst/>
        </a:prstGeom>
        <a:noFill/>
      </xdr:spPr>
    </xdr:sp>
    <xdr:clientData/>
  </xdr:oneCellAnchor>
  <xdr:oneCellAnchor>
    <xdr:from>
      <xdr:col>4</xdr:col>
      <xdr:colOff>1657350</xdr:colOff>
      <xdr:row>518</xdr:row>
      <xdr:rowOff>0</xdr:rowOff>
    </xdr:from>
    <xdr:ext cx="190500" cy="266700"/>
    <xdr:sp macro="" textlink="">
      <xdr:nvSpPr>
        <xdr:cNvPr id="5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27CB4B8-0BD3-4C62-98D7-47C05FD10A11}"/>
            </a:ext>
            <a:ext uri="{147F2762-F138-4A5C-976F-8EAC2B608ADB}">
              <a16:predDERef xmlns:a16="http://schemas.microsoft.com/office/drawing/2014/main" pred="{D627C9C2-B101-4D7D-AAA2-28975E5A6F8D}"/>
            </a:ext>
          </a:extLst>
        </xdr:cNvPr>
        <xdr:cNvSpPr>
          <a:spLocks noChangeAspect="1" noChangeArrowheads="1"/>
        </xdr:cNvSpPr>
      </xdr:nvSpPr>
      <xdr:spPr bwMode="auto">
        <a:xfrm>
          <a:off x="7531100" y="100095050"/>
          <a:ext cx="190500" cy="266700"/>
        </a:xfrm>
        <a:prstGeom prst="rect">
          <a:avLst/>
        </a:prstGeom>
        <a:noFill/>
      </xdr:spPr>
    </xdr:sp>
    <xdr:clientData/>
  </xdr:oneCellAnchor>
  <xdr:oneCellAnchor>
    <xdr:from>
      <xdr:col>4</xdr:col>
      <xdr:colOff>1657350</xdr:colOff>
      <xdr:row>520</xdr:row>
      <xdr:rowOff>0</xdr:rowOff>
    </xdr:from>
    <xdr:ext cx="190500" cy="266700"/>
    <xdr:sp macro="" textlink="">
      <xdr:nvSpPr>
        <xdr:cNvPr id="5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989C747-9C0D-41A1-970C-EE9FE1F208A9}"/>
            </a:ext>
            <a:ext uri="{147F2762-F138-4A5C-976F-8EAC2B608ADB}">
              <a16:predDERef xmlns:a16="http://schemas.microsoft.com/office/drawing/2014/main" pred="{2F2D3BDE-78E4-46D0-BF71-9160A50D8E5C}"/>
            </a:ext>
          </a:extLst>
        </xdr:cNvPr>
        <xdr:cNvSpPr>
          <a:spLocks noChangeAspect="1" noChangeArrowheads="1"/>
        </xdr:cNvSpPr>
      </xdr:nvSpPr>
      <xdr:spPr bwMode="auto">
        <a:xfrm>
          <a:off x="7531100" y="100463350"/>
          <a:ext cx="190500" cy="266700"/>
        </a:xfrm>
        <a:prstGeom prst="rect">
          <a:avLst/>
        </a:prstGeom>
        <a:noFill/>
      </xdr:spPr>
    </xdr:sp>
    <xdr:clientData/>
  </xdr:oneCellAnchor>
  <xdr:oneCellAnchor>
    <xdr:from>
      <xdr:col>4</xdr:col>
      <xdr:colOff>1657350</xdr:colOff>
      <xdr:row>520</xdr:row>
      <xdr:rowOff>0</xdr:rowOff>
    </xdr:from>
    <xdr:ext cx="190500" cy="266700"/>
    <xdr:sp macro="" textlink="">
      <xdr:nvSpPr>
        <xdr:cNvPr id="5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B37D074-04D5-476E-9081-727150DB6E43}"/>
            </a:ext>
            <a:ext uri="{147F2762-F138-4A5C-976F-8EAC2B608ADB}">
              <a16:predDERef xmlns:a16="http://schemas.microsoft.com/office/drawing/2014/main" pred="{6202F38D-6958-49AA-BE86-7DAE3203AEBB}"/>
            </a:ext>
          </a:extLst>
        </xdr:cNvPr>
        <xdr:cNvSpPr>
          <a:spLocks noChangeAspect="1" noChangeArrowheads="1"/>
        </xdr:cNvSpPr>
      </xdr:nvSpPr>
      <xdr:spPr bwMode="auto">
        <a:xfrm>
          <a:off x="7531100" y="100463350"/>
          <a:ext cx="190500" cy="266700"/>
        </a:xfrm>
        <a:prstGeom prst="rect">
          <a:avLst/>
        </a:prstGeom>
        <a:noFill/>
      </xdr:spPr>
    </xdr:sp>
    <xdr:clientData/>
  </xdr:oneCellAnchor>
  <xdr:oneCellAnchor>
    <xdr:from>
      <xdr:col>4</xdr:col>
      <xdr:colOff>1657350</xdr:colOff>
      <xdr:row>522</xdr:row>
      <xdr:rowOff>0</xdr:rowOff>
    </xdr:from>
    <xdr:ext cx="190500" cy="266700"/>
    <xdr:sp macro="" textlink="">
      <xdr:nvSpPr>
        <xdr:cNvPr id="5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2CC82FE-3DC9-4F03-B420-9AFD34E1390E}"/>
            </a:ext>
            <a:ext uri="{147F2762-F138-4A5C-976F-8EAC2B608ADB}">
              <a16:predDERef xmlns:a16="http://schemas.microsoft.com/office/drawing/2014/main" pred="{25E5A5AA-A28E-4650-8A1F-5AE5433F7D34}"/>
            </a:ext>
          </a:extLst>
        </xdr:cNvPr>
        <xdr:cNvSpPr>
          <a:spLocks noChangeAspect="1" noChangeArrowheads="1"/>
        </xdr:cNvSpPr>
      </xdr:nvSpPr>
      <xdr:spPr bwMode="auto">
        <a:xfrm>
          <a:off x="7531100" y="100831650"/>
          <a:ext cx="190500" cy="266700"/>
        </a:xfrm>
        <a:prstGeom prst="rect">
          <a:avLst/>
        </a:prstGeom>
        <a:noFill/>
      </xdr:spPr>
    </xdr:sp>
    <xdr:clientData/>
  </xdr:oneCellAnchor>
  <xdr:oneCellAnchor>
    <xdr:from>
      <xdr:col>4</xdr:col>
      <xdr:colOff>1657350</xdr:colOff>
      <xdr:row>522</xdr:row>
      <xdr:rowOff>0</xdr:rowOff>
    </xdr:from>
    <xdr:ext cx="190500" cy="266700"/>
    <xdr:sp macro="" textlink="">
      <xdr:nvSpPr>
        <xdr:cNvPr id="5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46B233E-7807-4B36-9D12-830E71CE7536}"/>
            </a:ext>
            <a:ext uri="{147F2762-F138-4A5C-976F-8EAC2B608ADB}">
              <a16:predDERef xmlns:a16="http://schemas.microsoft.com/office/drawing/2014/main" pred="{56A79F0A-737B-47D0-90D0-D07BE8A1FE84}"/>
            </a:ext>
          </a:extLst>
        </xdr:cNvPr>
        <xdr:cNvSpPr>
          <a:spLocks noChangeAspect="1" noChangeArrowheads="1"/>
        </xdr:cNvSpPr>
      </xdr:nvSpPr>
      <xdr:spPr bwMode="auto">
        <a:xfrm>
          <a:off x="7531100" y="100831650"/>
          <a:ext cx="190500" cy="266700"/>
        </a:xfrm>
        <a:prstGeom prst="rect">
          <a:avLst/>
        </a:prstGeom>
        <a:noFill/>
      </xdr:spPr>
    </xdr:sp>
    <xdr:clientData/>
  </xdr:oneCellAnchor>
  <xdr:oneCellAnchor>
    <xdr:from>
      <xdr:col>4</xdr:col>
      <xdr:colOff>1657350</xdr:colOff>
      <xdr:row>524</xdr:row>
      <xdr:rowOff>0</xdr:rowOff>
    </xdr:from>
    <xdr:ext cx="190500" cy="266700"/>
    <xdr:sp macro="" textlink="">
      <xdr:nvSpPr>
        <xdr:cNvPr id="5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4565E14-F395-489D-A1EC-D433BC8D7CCF}"/>
            </a:ext>
            <a:ext uri="{147F2762-F138-4A5C-976F-8EAC2B608ADB}">
              <a16:predDERef xmlns:a16="http://schemas.microsoft.com/office/drawing/2014/main" pred="{52646D30-5A7D-45AC-A9FC-1A286CA0F06D}"/>
            </a:ext>
          </a:extLst>
        </xdr:cNvPr>
        <xdr:cNvSpPr>
          <a:spLocks noChangeAspect="1" noChangeArrowheads="1"/>
        </xdr:cNvSpPr>
      </xdr:nvSpPr>
      <xdr:spPr bwMode="auto">
        <a:xfrm>
          <a:off x="7531100" y="101199950"/>
          <a:ext cx="190500" cy="266700"/>
        </a:xfrm>
        <a:prstGeom prst="rect">
          <a:avLst/>
        </a:prstGeom>
        <a:noFill/>
      </xdr:spPr>
    </xdr:sp>
    <xdr:clientData/>
  </xdr:oneCellAnchor>
  <xdr:oneCellAnchor>
    <xdr:from>
      <xdr:col>4</xdr:col>
      <xdr:colOff>1657350</xdr:colOff>
      <xdr:row>524</xdr:row>
      <xdr:rowOff>0</xdr:rowOff>
    </xdr:from>
    <xdr:ext cx="190500" cy="266700"/>
    <xdr:sp macro="" textlink="">
      <xdr:nvSpPr>
        <xdr:cNvPr id="5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3A16021-A03E-4F30-A955-296FEC79B2FF}"/>
            </a:ext>
            <a:ext uri="{147F2762-F138-4A5C-976F-8EAC2B608ADB}">
              <a16:predDERef xmlns:a16="http://schemas.microsoft.com/office/drawing/2014/main" pred="{15FE7E9E-B64B-424A-B267-663045669013}"/>
            </a:ext>
          </a:extLst>
        </xdr:cNvPr>
        <xdr:cNvSpPr>
          <a:spLocks noChangeAspect="1" noChangeArrowheads="1"/>
        </xdr:cNvSpPr>
      </xdr:nvSpPr>
      <xdr:spPr bwMode="auto">
        <a:xfrm>
          <a:off x="7531100" y="101199950"/>
          <a:ext cx="190500" cy="266700"/>
        </a:xfrm>
        <a:prstGeom prst="rect">
          <a:avLst/>
        </a:prstGeom>
        <a:noFill/>
      </xdr:spPr>
    </xdr:sp>
    <xdr:clientData/>
  </xdr:oneCellAnchor>
  <xdr:oneCellAnchor>
    <xdr:from>
      <xdr:col>4</xdr:col>
      <xdr:colOff>1657350</xdr:colOff>
      <xdr:row>526</xdr:row>
      <xdr:rowOff>0</xdr:rowOff>
    </xdr:from>
    <xdr:ext cx="190500" cy="266700"/>
    <xdr:sp macro="" textlink="">
      <xdr:nvSpPr>
        <xdr:cNvPr id="5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F7DC6A6-7753-4785-895F-9AC6A56345F4}"/>
            </a:ext>
            <a:ext uri="{147F2762-F138-4A5C-976F-8EAC2B608ADB}">
              <a16:predDERef xmlns:a16="http://schemas.microsoft.com/office/drawing/2014/main" pred="{83EDC647-3A85-4311-9F8B-49CE72B7DBD0}"/>
            </a:ext>
          </a:extLst>
        </xdr:cNvPr>
        <xdr:cNvSpPr>
          <a:spLocks noChangeAspect="1" noChangeArrowheads="1"/>
        </xdr:cNvSpPr>
      </xdr:nvSpPr>
      <xdr:spPr bwMode="auto">
        <a:xfrm>
          <a:off x="7531100" y="101568250"/>
          <a:ext cx="190500" cy="266700"/>
        </a:xfrm>
        <a:prstGeom prst="rect">
          <a:avLst/>
        </a:prstGeom>
        <a:noFill/>
      </xdr:spPr>
    </xdr:sp>
    <xdr:clientData/>
  </xdr:oneCellAnchor>
  <xdr:oneCellAnchor>
    <xdr:from>
      <xdr:col>4</xdr:col>
      <xdr:colOff>1657350</xdr:colOff>
      <xdr:row>526</xdr:row>
      <xdr:rowOff>0</xdr:rowOff>
    </xdr:from>
    <xdr:ext cx="190500" cy="266700"/>
    <xdr:sp macro="" textlink="">
      <xdr:nvSpPr>
        <xdr:cNvPr id="5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C6D67A-F881-4C81-A1A7-0A03B7E4F640}"/>
            </a:ext>
            <a:ext uri="{147F2762-F138-4A5C-976F-8EAC2B608ADB}">
              <a16:predDERef xmlns:a16="http://schemas.microsoft.com/office/drawing/2014/main" pred="{09F2FC9F-2FD2-4CE8-A02D-4A5604ADECAA}"/>
            </a:ext>
          </a:extLst>
        </xdr:cNvPr>
        <xdr:cNvSpPr>
          <a:spLocks noChangeAspect="1" noChangeArrowheads="1"/>
        </xdr:cNvSpPr>
      </xdr:nvSpPr>
      <xdr:spPr bwMode="auto">
        <a:xfrm>
          <a:off x="7531100" y="101568250"/>
          <a:ext cx="190500" cy="266700"/>
        </a:xfrm>
        <a:prstGeom prst="rect">
          <a:avLst/>
        </a:prstGeom>
        <a:noFill/>
      </xdr:spPr>
    </xdr:sp>
    <xdr:clientData/>
  </xdr:oneCellAnchor>
  <xdr:oneCellAnchor>
    <xdr:from>
      <xdr:col>4</xdr:col>
      <xdr:colOff>1657350</xdr:colOff>
      <xdr:row>528</xdr:row>
      <xdr:rowOff>0</xdr:rowOff>
    </xdr:from>
    <xdr:ext cx="190500" cy="266700"/>
    <xdr:sp macro="" textlink="">
      <xdr:nvSpPr>
        <xdr:cNvPr id="5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386D5CC-E94C-43CB-BA92-AB3F8074EBA2}"/>
            </a:ext>
            <a:ext uri="{147F2762-F138-4A5C-976F-8EAC2B608ADB}">
              <a16:predDERef xmlns:a16="http://schemas.microsoft.com/office/drawing/2014/main" pred="{DCDB7112-FA3B-49BF-B717-259BC06821A5}"/>
            </a:ext>
          </a:extLst>
        </xdr:cNvPr>
        <xdr:cNvSpPr>
          <a:spLocks noChangeAspect="1" noChangeArrowheads="1"/>
        </xdr:cNvSpPr>
      </xdr:nvSpPr>
      <xdr:spPr bwMode="auto">
        <a:xfrm>
          <a:off x="7531100" y="101936550"/>
          <a:ext cx="190500" cy="266700"/>
        </a:xfrm>
        <a:prstGeom prst="rect">
          <a:avLst/>
        </a:prstGeom>
        <a:noFill/>
      </xdr:spPr>
    </xdr:sp>
    <xdr:clientData/>
  </xdr:oneCellAnchor>
  <xdr:oneCellAnchor>
    <xdr:from>
      <xdr:col>4</xdr:col>
      <xdr:colOff>1657350</xdr:colOff>
      <xdr:row>528</xdr:row>
      <xdr:rowOff>0</xdr:rowOff>
    </xdr:from>
    <xdr:ext cx="190500" cy="266700"/>
    <xdr:sp macro="" textlink="">
      <xdr:nvSpPr>
        <xdr:cNvPr id="5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D49684B-14F8-40B7-A2CB-1D3DA71FC59C}"/>
            </a:ext>
            <a:ext uri="{147F2762-F138-4A5C-976F-8EAC2B608ADB}">
              <a16:predDERef xmlns:a16="http://schemas.microsoft.com/office/drawing/2014/main" pred="{4F88C10B-1659-473B-906D-DE4B0B6D2DA0}"/>
            </a:ext>
          </a:extLst>
        </xdr:cNvPr>
        <xdr:cNvSpPr>
          <a:spLocks noChangeAspect="1" noChangeArrowheads="1"/>
        </xdr:cNvSpPr>
      </xdr:nvSpPr>
      <xdr:spPr bwMode="auto">
        <a:xfrm>
          <a:off x="7531100" y="101936550"/>
          <a:ext cx="190500" cy="266700"/>
        </a:xfrm>
        <a:prstGeom prst="rect">
          <a:avLst/>
        </a:prstGeom>
        <a:noFill/>
      </xdr:spPr>
    </xdr:sp>
    <xdr:clientData/>
  </xdr:oneCellAnchor>
  <xdr:oneCellAnchor>
    <xdr:from>
      <xdr:col>4</xdr:col>
      <xdr:colOff>1657350</xdr:colOff>
      <xdr:row>530</xdr:row>
      <xdr:rowOff>0</xdr:rowOff>
    </xdr:from>
    <xdr:ext cx="190500" cy="266700"/>
    <xdr:sp macro="" textlink="">
      <xdr:nvSpPr>
        <xdr:cNvPr id="5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4173889-0D90-4E5D-8ED0-BA3BC3FA1225}"/>
            </a:ext>
            <a:ext uri="{147F2762-F138-4A5C-976F-8EAC2B608ADB}">
              <a16:predDERef xmlns:a16="http://schemas.microsoft.com/office/drawing/2014/main" pred="{4D28CF90-7092-4391-A60F-5A9328F4C235}"/>
            </a:ext>
          </a:extLst>
        </xdr:cNvPr>
        <xdr:cNvSpPr>
          <a:spLocks noChangeAspect="1" noChangeArrowheads="1"/>
        </xdr:cNvSpPr>
      </xdr:nvSpPr>
      <xdr:spPr bwMode="auto">
        <a:xfrm>
          <a:off x="7531100" y="102304850"/>
          <a:ext cx="190500" cy="266700"/>
        </a:xfrm>
        <a:prstGeom prst="rect">
          <a:avLst/>
        </a:prstGeom>
        <a:noFill/>
      </xdr:spPr>
    </xdr:sp>
    <xdr:clientData/>
  </xdr:oneCellAnchor>
  <xdr:oneCellAnchor>
    <xdr:from>
      <xdr:col>4</xdr:col>
      <xdr:colOff>1657350</xdr:colOff>
      <xdr:row>530</xdr:row>
      <xdr:rowOff>0</xdr:rowOff>
    </xdr:from>
    <xdr:ext cx="190500" cy="266700"/>
    <xdr:sp macro="" textlink="">
      <xdr:nvSpPr>
        <xdr:cNvPr id="5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1A16D7-A2CE-48F6-9880-8D75A0BF1022}"/>
            </a:ext>
            <a:ext uri="{147F2762-F138-4A5C-976F-8EAC2B608ADB}">
              <a16:predDERef xmlns:a16="http://schemas.microsoft.com/office/drawing/2014/main" pred="{BF7B3D75-0B81-4AAC-9ACA-DA3225DEEBF0}"/>
            </a:ext>
          </a:extLst>
        </xdr:cNvPr>
        <xdr:cNvSpPr>
          <a:spLocks noChangeAspect="1" noChangeArrowheads="1"/>
        </xdr:cNvSpPr>
      </xdr:nvSpPr>
      <xdr:spPr bwMode="auto">
        <a:xfrm>
          <a:off x="7531100" y="102304850"/>
          <a:ext cx="190500" cy="266700"/>
        </a:xfrm>
        <a:prstGeom prst="rect">
          <a:avLst/>
        </a:prstGeom>
        <a:noFill/>
      </xdr:spPr>
    </xdr:sp>
    <xdr:clientData/>
  </xdr:oneCellAnchor>
  <xdr:oneCellAnchor>
    <xdr:from>
      <xdr:col>4</xdr:col>
      <xdr:colOff>1657350</xdr:colOff>
      <xdr:row>532</xdr:row>
      <xdr:rowOff>0</xdr:rowOff>
    </xdr:from>
    <xdr:ext cx="190500" cy="266700"/>
    <xdr:sp macro="" textlink="">
      <xdr:nvSpPr>
        <xdr:cNvPr id="5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8E7408C-9377-4FF2-9D02-6498C13DD325}"/>
            </a:ext>
            <a:ext uri="{147F2762-F138-4A5C-976F-8EAC2B608ADB}">
              <a16:predDERef xmlns:a16="http://schemas.microsoft.com/office/drawing/2014/main" pred="{FB2308E4-F9D1-4562-B8DE-4B7DB390AE9D}"/>
            </a:ext>
          </a:extLst>
        </xdr:cNvPr>
        <xdr:cNvSpPr>
          <a:spLocks noChangeAspect="1" noChangeArrowheads="1"/>
        </xdr:cNvSpPr>
      </xdr:nvSpPr>
      <xdr:spPr bwMode="auto">
        <a:xfrm>
          <a:off x="7531100" y="102819200"/>
          <a:ext cx="190500" cy="266700"/>
        </a:xfrm>
        <a:prstGeom prst="rect">
          <a:avLst/>
        </a:prstGeom>
        <a:noFill/>
      </xdr:spPr>
    </xdr:sp>
    <xdr:clientData/>
  </xdr:oneCellAnchor>
  <xdr:oneCellAnchor>
    <xdr:from>
      <xdr:col>4</xdr:col>
      <xdr:colOff>1657350</xdr:colOff>
      <xdr:row>532</xdr:row>
      <xdr:rowOff>0</xdr:rowOff>
    </xdr:from>
    <xdr:ext cx="190500" cy="266700"/>
    <xdr:sp macro="" textlink="">
      <xdr:nvSpPr>
        <xdr:cNvPr id="5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D9BC632-1703-4529-8671-279CFE913F08}"/>
            </a:ext>
            <a:ext uri="{147F2762-F138-4A5C-976F-8EAC2B608ADB}">
              <a16:predDERef xmlns:a16="http://schemas.microsoft.com/office/drawing/2014/main" pred="{442A3A75-094C-409F-ADD5-2391028829AC}"/>
            </a:ext>
          </a:extLst>
        </xdr:cNvPr>
        <xdr:cNvSpPr>
          <a:spLocks noChangeAspect="1" noChangeArrowheads="1"/>
        </xdr:cNvSpPr>
      </xdr:nvSpPr>
      <xdr:spPr bwMode="auto">
        <a:xfrm>
          <a:off x="7531100" y="102819200"/>
          <a:ext cx="190500" cy="266700"/>
        </a:xfrm>
        <a:prstGeom prst="rect">
          <a:avLst/>
        </a:prstGeom>
        <a:noFill/>
      </xdr:spPr>
    </xdr:sp>
    <xdr:clientData/>
  </xdr:oneCellAnchor>
  <xdr:oneCellAnchor>
    <xdr:from>
      <xdr:col>4</xdr:col>
      <xdr:colOff>1657350</xdr:colOff>
      <xdr:row>534</xdr:row>
      <xdr:rowOff>0</xdr:rowOff>
    </xdr:from>
    <xdr:ext cx="190500" cy="266700"/>
    <xdr:sp macro="" textlink="">
      <xdr:nvSpPr>
        <xdr:cNvPr id="5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3F38AE0-68AD-442B-B2AE-7BAE9B50373C}"/>
            </a:ext>
            <a:ext uri="{147F2762-F138-4A5C-976F-8EAC2B608ADB}">
              <a16:predDERef xmlns:a16="http://schemas.microsoft.com/office/drawing/2014/main" pred="{96AA6CF5-D8EF-4ED6-A3A1-BAB4CFAEDDC1}"/>
            </a:ext>
          </a:extLst>
        </xdr:cNvPr>
        <xdr:cNvSpPr>
          <a:spLocks noChangeAspect="1" noChangeArrowheads="1"/>
        </xdr:cNvSpPr>
      </xdr:nvSpPr>
      <xdr:spPr bwMode="auto">
        <a:xfrm>
          <a:off x="7531100" y="103187500"/>
          <a:ext cx="190500" cy="266700"/>
        </a:xfrm>
        <a:prstGeom prst="rect">
          <a:avLst/>
        </a:prstGeom>
        <a:noFill/>
      </xdr:spPr>
    </xdr:sp>
    <xdr:clientData/>
  </xdr:oneCellAnchor>
  <xdr:oneCellAnchor>
    <xdr:from>
      <xdr:col>4</xdr:col>
      <xdr:colOff>1657350</xdr:colOff>
      <xdr:row>534</xdr:row>
      <xdr:rowOff>0</xdr:rowOff>
    </xdr:from>
    <xdr:ext cx="190500" cy="266700"/>
    <xdr:sp macro="" textlink="">
      <xdr:nvSpPr>
        <xdr:cNvPr id="5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949CAEF-D756-4023-907F-12F0CF64D102}"/>
            </a:ext>
            <a:ext uri="{147F2762-F138-4A5C-976F-8EAC2B608ADB}">
              <a16:predDERef xmlns:a16="http://schemas.microsoft.com/office/drawing/2014/main" pred="{60369CA0-652B-4434-B3E4-AB8558A932A4}"/>
            </a:ext>
          </a:extLst>
        </xdr:cNvPr>
        <xdr:cNvSpPr>
          <a:spLocks noChangeAspect="1" noChangeArrowheads="1"/>
        </xdr:cNvSpPr>
      </xdr:nvSpPr>
      <xdr:spPr bwMode="auto">
        <a:xfrm>
          <a:off x="7531100" y="103187500"/>
          <a:ext cx="190500" cy="266700"/>
        </a:xfrm>
        <a:prstGeom prst="rect">
          <a:avLst/>
        </a:prstGeom>
        <a:noFill/>
      </xdr:spPr>
    </xdr:sp>
    <xdr:clientData/>
  </xdr:oneCellAnchor>
  <xdr:oneCellAnchor>
    <xdr:from>
      <xdr:col>4</xdr:col>
      <xdr:colOff>1657350</xdr:colOff>
      <xdr:row>536</xdr:row>
      <xdr:rowOff>0</xdr:rowOff>
    </xdr:from>
    <xdr:ext cx="190500" cy="266700"/>
    <xdr:sp macro="" textlink="">
      <xdr:nvSpPr>
        <xdr:cNvPr id="5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6D02130-E618-423C-B376-9ABF4C7ECB2E}"/>
            </a:ext>
            <a:ext uri="{147F2762-F138-4A5C-976F-8EAC2B608ADB}">
              <a16:predDERef xmlns:a16="http://schemas.microsoft.com/office/drawing/2014/main" pred="{91A292DC-2ABE-4CE4-8063-BBB394B20112}"/>
            </a:ext>
          </a:extLst>
        </xdr:cNvPr>
        <xdr:cNvSpPr>
          <a:spLocks noChangeAspect="1" noChangeArrowheads="1"/>
        </xdr:cNvSpPr>
      </xdr:nvSpPr>
      <xdr:spPr bwMode="auto">
        <a:xfrm>
          <a:off x="7531100" y="103555800"/>
          <a:ext cx="190500" cy="266700"/>
        </a:xfrm>
        <a:prstGeom prst="rect">
          <a:avLst/>
        </a:prstGeom>
        <a:noFill/>
      </xdr:spPr>
    </xdr:sp>
    <xdr:clientData/>
  </xdr:oneCellAnchor>
  <xdr:oneCellAnchor>
    <xdr:from>
      <xdr:col>4</xdr:col>
      <xdr:colOff>1657350</xdr:colOff>
      <xdr:row>536</xdr:row>
      <xdr:rowOff>0</xdr:rowOff>
    </xdr:from>
    <xdr:ext cx="190500" cy="266700"/>
    <xdr:sp macro="" textlink="">
      <xdr:nvSpPr>
        <xdr:cNvPr id="5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8B57B63-BB40-414E-B817-954EBC55BE2B}"/>
            </a:ext>
            <a:ext uri="{147F2762-F138-4A5C-976F-8EAC2B608ADB}">
              <a16:predDERef xmlns:a16="http://schemas.microsoft.com/office/drawing/2014/main" pred="{F038395F-9F4F-44C7-9D65-D54679ED63BC}"/>
            </a:ext>
          </a:extLst>
        </xdr:cNvPr>
        <xdr:cNvSpPr>
          <a:spLocks noChangeAspect="1" noChangeArrowheads="1"/>
        </xdr:cNvSpPr>
      </xdr:nvSpPr>
      <xdr:spPr bwMode="auto">
        <a:xfrm>
          <a:off x="7531100" y="103555800"/>
          <a:ext cx="190500" cy="266700"/>
        </a:xfrm>
        <a:prstGeom prst="rect">
          <a:avLst/>
        </a:prstGeom>
        <a:noFill/>
      </xdr:spPr>
    </xdr:sp>
    <xdr:clientData/>
  </xdr:oneCellAnchor>
  <xdr:oneCellAnchor>
    <xdr:from>
      <xdr:col>4</xdr:col>
      <xdr:colOff>1657350</xdr:colOff>
      <xdr:row>538</xdr:row>
      <xdr:rowOff>0</xdr:rowOff>
    </xdr:from>
    <xdr:ext cx="190500" cy="266700"/>
    <xdr:sp macro="" textlink="">
      <xdr:nvSpPr>
        <xdr:cNvPr id="5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1999C0-7F01-4018-A38F-DFFE528031E8}"/>
            </a:ext>
            <a:ext uri="{147F2762-F138-4A5C-976F-8EAC2B608ADB}">
              <a16:predDERef xmlns:a16="http://schemas.microsoft.com/office/drawing/2014/main" pred="{B4A4D9B0-F32C-4E73-9930-B6C8A32F4313}"/>
            </a:ext>
          </a:extLst>
        </xdr:cNvPr>
        <xdr:cNvSpPr>
          <a:spLocks noChangeAspect="1" noChangeArrowheads="1"/>
        </xdr:cNvSpPr>
      </xdr:nvSpPr>
      <xdr:spPr bwMode="auto">
        <a:xfrm>
          <a:off x="7531100" y="103924100"/>
          <a:ext cx="190500" cy="266700"/>
        </a:xfrm>
        <a:prstGeom prst="rect">
          <a:avLst/>
        </a:prstGeom>
        <a:noFill/>
      </xdr:spPr>
    </xdr:sp>
    <xdr:clientData/>
  </xdr:oneCellAnchor>
  <xdr:oneCellAnchor>
    <xdr:from>
      <xdr:col>4</xdr:col>
      <xdr:colOff>1657350</xdr:colOff>
      <xdr:row>538</xdr:row>
      <xdr:rowOff>0</xdr:rowOff>
    </xdr:from>
    <xdr:ext cx="190500" cy="266700"/>
    <xdr:sp macro="" textlink="">
      <xdr:nvSpPr>
        <xdr:cNvPr id="5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A3472B6-345A-4BF3-A4DD-3E0E495A0AAB}"/>
            </a:ext>
            <a:ext uri="{147F2762-F138-4A5C-976F-8EAC2B608ADB}">
              <a16:predDERef xmlns:a16="http://schemas.microsoft.com/office/drawing/2014/main" pred="{38D968D8-B83D-4255-9C69-18424F61680A}"/>
            </a:ext>
          </a:extLst>
        </xdr:cNvPr>
        <xdr:cNvSpPr>
          <a:spLocks noChangeAspect="1" noChangeArrowheads="1"/>
        </xdr:cNvSpPr>
      </xdr:nvSpPr>
      <xdr:spPr bwMode="auto">
        <a:xfrm>
          <a:off x="7531100" y="103924100"/>
          <a:ext cx="190500" cy="266700"/>
        </a:xfrm>
        <a:prstGeom prst="rect">
          <a:avLst/>
        </a:prstGeom>
        <a:noFill/>
      </xdr:spPr>
    </xdr:sp>
    <xdr:clientData/>
  </xdr:oneCellAnchor>
  <xdr:oneCellAnchor>
    <xdr:from>
      <xdr:col>4</xdr:col>
      <xdr:colOff>1657350</xdr:colOff>
      <xdr:row>540</xdr:row>
      <xdr:rowOff>0</xdr:rowOff>
    </xdr:from>
    <xdr:ext cx="190500" cy="266700"/>
    <xdr:sp macro="" textlink="">
      <xdr:nvSpPr>
        <xdr:cNvPr id="5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C21229C-8F2A-4A13-B86A-5F27F6FDDA09}"/>
            </a:ext>
            <a:ext uri="{147F2762-F138-4A5C-976F-8EAC2B608ADB}">
              <a16:predDERef xmlns:a16="http://schemas.microsoft.com/office/drawing/2014/main" pred="{6C85F717-0F2F-4170-8CF8-1FDB2616D0D8}"/>
            </a:ext>
          </a:extLst>
        </xdr:cNvPr>
        <xdr:cNvSpPr>
          <a:spLocks noChangeAspect="1" noChangeArrowheads="1"/>
        </xdr:cNvSpPr>
      </xdr:nvSpPr>
      <xdr:spPr bwMode="auto">
        <a:xfrm>
          <a:off x="7531100" y="104292400"/>
          <a:ext cx="190500" cy="266700"/>
        </a:xfrm>
        <a:prstGeom prst="rect">
          <a:avLst/>
        </a:prstGeom>
        <a:noFill/>
      </xdr:spPr>
    </xdr:sp>
    <xdr:clientData/>
  </xdr:oneCellAnchor>
  <xdr:oneCellAnchor>
    <xdr:from>
      <xdr:col>4</xdr:col>
      <xdr:colOff>1657350</xdr:colOff>
      <xdr:row>540</xdr:row>
      <xdr:rowOff>0</xdr:rowOff>
    </xdr:from>
    <xdr:ext cx="190500" cy="266700"/>
    <xdr:sp macro="" textlink="">
      <xdr:nvSpPr>
        <xdr:cNvPr id="5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DE64334-F550-4D31-8919-21C4A7859F60}"/>
            </a:ext>
            <a:ext uri="{147F2762-F138-4A5C-976F-8EAC2B608ADB}">
              <a16:predDERef xmlns:a16="http://schemas.microsoft.com/office/drawing/2014/main" pred="{8DFFC701-FC10-403B-9CD4-0FB5E1F7DD7F}"/>
            </a:ext>
          </a:extLst>
        </xdr:cNvPr>
        <xdr:cNvSpPr>
          <a:spLocks noChangeAspect="1" noChangeArrowheads="1"/>
        </xdr:cNvSpPr>
      </xdr:nvSpPr>
      <xdr:spPr bwMode="auto">
        <a:xfrm>
          <a:off x="7531100" y="104292400"/>
          <a:ext cx="190500" cy="266700"/>
        </a:xfrm>
        <a:prstGeom prst="rect">
          <a:avLst/>
        </a:prstGeom>
        <a:noFill/>
      </xdr:spPr>
    </xdr:sp>
    <xdr:clientData/>
  </xdr:oneCellAnchor>
  <xdr:oneCellAnchor>
    <xdr:from>
      <xdr:col>4</xdr:col>
      <xdr:colOff>1657350</xdr:colOff>
      <xdr:row>542</xdr:row>
      <xdr:rowOff>0</xdr:rowOff>
    </xdr:from>
    <xdr:ext cx="190500" cy="266700"/>
    <xdr:sp macro="" textlink="">
      <xdr:nvSpPr>
        <xdr:cNvPr id="5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DF1A36B-BAB2-442F-8E5B-32E9C4C38089}"/>
            </a:ext>
            <a:ext uri="{147F2762-F138-4A5C-976F-8EAC2B608ADB}">
              <a16:predDERef xmlns:a16="http://schemas.microsoft.com/office/drawing/2014/main" pred="{FA5DF6EC-4B39-4112-9C65-5DAF707C4A86}"/>
            </a:ext>
          </a:extLst>
        </xdr:cNvPr>
        <xdr:cNvSpPr>
          <a:spLocks noChangeAspect="1" noChangeArrowheads="1"/>
        </xdr:cNvSpPr>
      </xdr:nvSpPr>
      <xdr:spPr bwMode="auto">
        <a:xfrm>
          <a:off x="7531100" y="104660700"/>
          <a:ext cx="190500" cy="266700"/>
        </a:xfrm>
        <a:prstGeom prst="rect">
          <a:avLst/>
        </a:prstGeom>
        <a:noFill/>
      </xdr:spPr>
    </xdr:sp>
    <xdr:clientData/>
  </xdr:oneCellAnchor>
  <xdr:oneCellAnchor>
    <xdr:from>
      <xdr:col>4</xdr:col>
      <xdr:colOff>1657350</xdr:colOff>
      <xdr:row>542</xdr:row>
      <xdr:rowOff>0</xdr:rowOff>
    </xdr:from>
    <xdr:ext cx="190500" cy="266700"/>
    <xdr:sp macro="" textlink="">
      <xdr:nvSpPr>
        <xdr:cNvPr id="5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C35EB31-5F66-4986-BCE1-E65B0EFC8091}"/>
            </a:ext>
            <a:ext uri="{147F2762-F138-4A5C-976F-8EAC2B608ADB}">
              <a16:predDERef xmlns:a16="http://schemas.microsoft.com/office/drawing/2014/main" pred="{92044C67-1F17-4671-823E-1CB56B81ECB8}"/>
            </a:ext>
          </a:extLst>
        </xdr:cNvPr>
        <xdr:cNvSpPr>
          <a:spLocks noChangeAspect="1" noChangeArrowheads="1"/>
        </xdr:cNvSpPr>
      </xdr:nvSpPr>
      <xdr:spPr bwMode="auto">
        <a:xfrm>
          <a:off x="7531100" y="104660700"/>
          <a:ext cx="190500" cy="266700"/>
        </a:xfrm>
        <a:prstGeom prst="rect">
          <a:avLst/>
        </a:prstGeom>
        <a:noFill/>
      </xdr:spPr>
    </xdr:sp>
    <xdr:clientData/>
  </xdr:oneCellAnchor>
  <xdr:oneCellAnchor>
    <xdr:from>
      <xdr:col>4</xdr:col>
      <xdr:colOff>1657350</xdr:colOff>
      <xdr:row>544</xdr:row>
      <xdr:rowOff>0</xdr:rowOff>
    </xdr:from>
    <xdr:ext cx="190500" cy="266700"/>
    <xdr:sp macro="" textlink="">
      <xdr:nvSpPr>
        <xdr:cNvPr id="5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671A614-502F-405B-9AAA-446E125B6F9A}"/>
            </a:ext>
            <a:ext uri="{147F2762-F138-4A5C-976F-8EAC2B608ADB}">
              <a16:predDERef xmlns:a16="http://schemas.microsoft.com/office/drawing/2014/main" pred="{B2E1C95C-DC79-44E6-AE22-B421F864F9F4}"/>
            </a:ext>
          </a:extLst>
        </xdr:cNvPr>
        <xdr:cNvSpPr>
          <a:spLocks noChangeAspect="1" noChangeArrowheads="1"/>
        </xdr:cNvSpPr>
      </xdr:nvSpPr>
      <xdr:spPr bwMode="auto">
        <a:xfrm>
          <a:off x="7531100" y="105029000"/>
          <a:ext cx="190500" cy="266700"/>
        </a:xfrm>
        <a:prstGeom prst="rect">
          <a:avLst/>
        </a:prstGeom>
        <a:noFill/>
      </xdr:spPr>
    </xdr:sp>
    <xdr:clientData/>
  </xdr:oneCellAnchor>
  <xdr:oneCellAnchor>
    <xdr:from>
      <xdr:col>4</xdr:col>
      <xdr:colOff>1657350</xdr:colOff>
      <xdr:row>544</xdr:row>
      <xdr:rowOff>0</xdr:rowOff>
    </xdr:from>
    <xdr:ext cx="190500" cy="266700"/>
    <xdr:sp macro="" textlink="">
      <xdr:nvSpPr>
        <xdr:cNvPr id="5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5C15119-1ADF-4FC8-AD02-139B8077F52A}"/>
            </a:ext>
            <a:ext uri="{147F2762-F138-4A5C-976F-8EAC2B608ADB}">
              <a16:predDERef xmlns:a16="http://schemas.microsoft.com/office/drawing/2014/main" pred="{3304D371-897E-407F-BF51-B0B86C06ED77}"/>
            </a:ext>
          </a:extLst>
        </xdr:cNvPr>
        <xdr:cNvSpPr>
          <a:spLocks noChangeAspect="1" noChangeArrowheads="1"/>
        </xdr:cNvSpPr>
      </xdr:nvSpPr>
      <xdr:spPr bwMode="auto">
        <a:xfrm>
          <a:off x="7531100" y="105029000"/>
          <a:ext cx="190500" cy="266700"/>
        </a:xfrm>
        <a:prstGeom prst="rect">
          <a:avLst/>
        </a:prstGeom>
        <a:noFill/>
      </xdr:spPr>
    </xdr:sp>
    <xdr:clientData/>
  </xdr:oneCellAnchor>
  <xdr:oneCellAnchor>
    <xdr:from>
      <xdr:col>4</xdr:col>
      <xdr:colOff>1657350</xdr:colOff>
      <xdr:row>546</xdr:row>
      <xdr:rowOff>0</xdr:rowOff>
    </xdr:from>
    <xdr:ext cx="190500" cy="266700"/>
    <xdr:sp macro="" textlink="">
      <xdr:nvSpPr>
        <xdr:cNvPr id="5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D9CDDA0-BDAC-4A20-8A61-C43F3EB00C90}"/>
            </a:ext>
            <a:ext uri="{147F2762-F138-4A5C-976F-8EAC2B608ADB}">
              <a16:predDERef xmlns:a16="http://schemas.microsoft.com/office/drawing/2014/main" pred="{F4EBB0B3-7EE4-47E4-8E5A-CB1F6E7D9FC1}"/>
            </a:ext>
          </a:extLst>
        </xdr:cNvPr>
        <xdr:cNvSpPr>
          <a:spLocks noChangeAspect="1" noChangeArrowheads="1"/>
        </xdr:cNvSpPr>
      </xdr:nvSpPr>
      <xdr:spPr bwMode="auto">
        <a:xfrm>
          <a:off x="7531100" y="105397300"/>
          <a:ext cx="190500" cy="266700"/>
        </a:xfrm>
        <a:prstGeom prst="rect">
          <a:avLst/>
        </a:prstGeom>
        <a:noFill/>
      </xdr:spPr>
    </xdr:sp>
    <xdr:clientData/>
  </xdr:oneCellAnchor>
  <xdr:oneCellAnchor>
    <xdr:from>
      <xdr:col>4</xdr:col>
      <xdr:colOff>1657350</xdr:colOff>
      <xdr:row>546</xdr:row>
      <xdr:rowOff>0</xdr:rowOff>
    </xdr:from>
    <xdr:ext cx="190500" cy="266700"/>
    <xdr:sp macro="" textlink="">
      <xdr:nvSpPr>
        <xdr:cNvPr id="5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5E38C89-14AC-44AD-B0C4-E75D6BABCE0E}"/>
            </a:ext>
            <a:ext uri="{147F2762-F138-4A5C-976F-8EAC2B608ADB}">
              <a16:predDERef xmlns:a16="http://schemas.microsoft.com/office/drawing/2014/main" pred="{181D9914-D443-4C00-B28B-65592F4D252A}"/>
            </a:ext>
          </a:extLst>
        </xdr:cNvPr>
        <xdr:cNvSpPr>
          <a:spLocks noChangeAspect="1" noChangeArrowheads="1"/>
        </xdr:cNvSpPr>
      </xdr:nvSpPr>
      <xdr:spPr bwMode="auto">
        <a:xfrm>
          <a:off x="7531100" y="105397300"/>
          <a:ext cx="190500" cy="266700"/>
        </a:xfrm>
        <a:prstGeom prst="rect">
          <a:avLst/>
        </a:prstGeom>
        <a:noFill/>
      </xdr:spPr>
    </xdr:sp>
    <xdr:clientData/>
  </xdr:oneCellAnchor>
  <xdr:oneCellAnchor>
    <xdr:from>
      <xdr:col>4</xdr:col>
      <xdr:colOff>1657350</xdr:colOff>
      <xdr:row>548</xdr:row>
      <xdr:rowOff>0</xdr:rowOff>
    </xdr:from>
    <xdr:ext cx="190500" cy="266700"/>
    <xdr:sp macro="" textlink="">
      <xdr:nvSpPr>
        <xdr:cNvPr id="5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C5E9D0B-3056-4811-8B27-048189D73CE5}"/>
            </a:ext>
            <a:ext uri="{147F2762-F138-4A5C-976F-8EAC2B608ADB}">
              <a16:predDERef xmlns:a16="http://schemas.microsoft.com/office/drawing/2014/main" pred="{3A3C6D71-F0C8-43F9-A1D7-76ACB110F9F1}"/>
            </a:ext>
          </a:extLst>
        </xdr:cNvPr>
        <xdr:cNvSpPr>
          <a:spLocks noChangeAspect="1" noChangeArrowheads="1"/>
        </xdr:cNvSpPr>
      </xdr:nvSpPr>
      <xdr:spPr bwMode="auto">
        <a:xfrm>
          <a:off x="7531100" y="105911650"/>
          <a:ext cx="190500" cy="266700"/>
        </a:xfrm>
        <a:prstGeom prst="rect">
          <a:avLst/>
        </a:prstGeom>
        <a:noFill/>
      </xdr:spPr>
    </xdr:sp>
    <xdr:clientData/>
  </xdr:oneCellAnchor>
  <xdr:oneCellAnchor>
    <xdr:from>
      <xdr:col>4</xdr:col>
      <xdr:colOff>1657350</xdr:colOff>
      <xdr:row>548</xdr:row>
      <xdr:rowOff>0</xdr:rowOff>
    </xdr:from>
    <xdr:ext cx="190500" cy="266700"/>
    <xdr:sp macro="" textlink="">
      <xdr:nvSpPr>
        <xdr:cNvPr id="5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51B191F-AEEA-4A2B-9CEA-A3DFEBF07173}"/>
            </a:ext>
            <a:ext uri="{147F2762-F138-4A5C-976F-8EAC2B608ADB}">
              <a16:predDERef xmlns:a16="http://schemas.microsoft.com/office/drawing/2014/main" pred="{76BDBB33-A5D5-4C47-BB69-2121012C87FC}"/>
            </a:ext>
          </a:extLst>
        </xdr:cNvPr>
        <xdr:cNvSpPr>
          <a:spLocks noChangeAspect="1" noChangeArrowheads="1"/>
        </xdr:cNvSpPr>
      </xdr:nvSpPr>
      <xdr:spPr bwMode="auto">
        <a:xfrm>
          <a:off x="7531100" y="105911650"/>
          <a:ext cx="190500" cy="266700"/>
        </a:xfrm>
        <a:prstGeom prst="rect">
          <a:avLst/>
        </a:prstGeom>
        <a:noFill/>
      </xdr:spPr>
    </xdr:sp>
    <xdr:clientData/>
  </xdr:oneCellAnchor>
  <xdr:oneCellAnchor>
    <xdr:from>
      <xdr:col>4</xdr:col>
      <xdr:colOff>1657350</xdr:colOff>
      <xdr:row>550</xdr:row>
      <xdr:rowOff>0</xdr:rowOff>
    </xdr:from>
    <xdr:ext cx="190500" cy="266700"/>
    <xdr:sp macro="" textlink="">
      <xdr:nvSpPr>
        <xdr:cNvPr id="5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3ECD0AF-6257-4701-AD38-54732EB6C6AD}"/>
            </a:ext>
            <a:ext uri="{147F2762-F138-4A5C-976F-8EAC2B608ADB}">
              <a16:predDERef xmlns:a16="http://schemas.microsoft.com/office/drawing/2014/main" pred="{C558E1EC-F01B-4D4D-BF30-5B49E162DFB7}"/>
            </a:ext>
          </a:extLst>
        </xdr:cNvPr>
        <xdr:cNvSpPr>
          <a:spLocks noChangeAspect="1" noChangeArrowheads="1"/>
        </xdr:cNvSpPr>
      </xdr:nvSpPr>
      <xdr:spPr bwMode="auto">
        <a:xfrm>
          <a:off x="7531100" y="106279950"/>
          <a:ext cx="190500" cy="266700"/>
        </a:xfrm>
        <a:prstGeom prst="rect">
          <a:avLst/>
        </a:prstGeom>
        <a:noFill/>
      </xdr:spPr>
    </xdr:sp>
    <xdr:clientData/>
  </xdr:oneCellAnchor>
  <xdr:oneCellAnchor>
    <xdr:from>
      <xdr:col>4</xdr:col>
      <xdr:colOff>1657350</xdr:colOff>
      <xdr:row>550</xdr:row>
      <xdr:rowOff>0</xdr:rowOff>
    </xdr:from>
    <xdr:ext cx="190500" cy="266700"/>
    <xdr:sp macro="" textlink="">
      <xdr:nvSpPr>
        <xdr:cNvPr id="5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2D30AB1-DCBB-47F8-9E1C-6C21AA26FBAC}"/>
            </a:ext>
            <a:ext uri="{147F2762-F138-4A5C-976F-8EAC2B608ADB}">
              <a16:predDERef xmlns:a16="http://schemas.microsoft.com/office/drawing/2014/main" pred="{5E347509-FD7B-4505-A50A-6D37C926B911}"/>
            </a:ext>
          </a:extLst>
        </xdr:cNvPr>
        <xdr:cNvSpPr>
          <a:spLocks noChangeAspect="1" noChangeArrowheads="1"/>
        </xdr:cNvSpPr>
      </xdr:nvSpPr>
      <xdr:spPr bwMode="auto">
        <a:xfrm>
          <a:off x="7531100" y="106279950"/>
          <a:ext cx="190500" cy="266700"/>
        </a:xfrm>
        <a:prstGeom prst="rect">
          <a:avLst/>
        </a:prstGeom>
        <a:noFill/>
      </xdr:spPr>
    </xdr:sp>
    <xdr:clientData/>
  </xdr:oneCellAnchor>
  <xdr:oneCellAnchor>
    <xdr:from>
      <xdr:col>4</xdr:col>
      <xdr:colOff>1657350</xdr:colOff>
      <xdr:row>552</xdr:row>
      <xdr:rowOff>0</xdr:rowOff>
    </xdr:from>
    <xdr:ext cx="190500" cy="266700"/>
    <xdr:sp macro="" textlink="">
      <xdr:nvSpPr>
        <xdr:cNvPr id="5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65ECA0F-3256-40FC-9476-C1495477C91E}"/>
            </a:ext>
            <a:ext uri="{147F2762-F138-4A5C-976F-8EAC2B608ADB}">
              <a16:predDERef xmlns:a16="http://schemas.microsoft.com/office/drawing/2014/main" pred="{E7B526B1-22A3-4B66-92C9-CAC9C7CF3347}"/>
            </a:ext>
          </a:extLst>
        </xdr:cNvPr>
        <xdr:cNvSpPr>
          <a:spLocks noChangeAspect="1" noChangeArrowheads="1"/>
        </xdr:cNvSpPr>
      </xdr:nvSpPr>
      <xdr:spPr bwMode="auto">
        <a:xfrm>
          <a:off x="7531100" y="106648250"/>
          <a:ext cx="190500" cy="266700"/>
        </a:xfrm>
        <a:prstGeom prst="rect">
          <a:avLst/>
        </a:prstGeom>
        <a:noFill/>
      </xdr:spPr>
    </xdr:sp>
    <xdr:clientData/>
  </xdr:oneCellAnchor>
  <xdr:oneCellAnchor>
    <xdr:from>
      <xdr:col>4</xdr:col>
      <xdr:colOff>1657350</xdr:colOff>
      <xdr:row>552</xdr:row>
      <xdr:rowOff>0</xdr:rowOff>
    </xdr:from>
    <xdr:ext cx="190500" cy="266700"/>
    <xdr:sp macro="" textlink="">
      <xdr:nvSpPr>
        <xdr:cNvPr id="5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A33201B-4FDA-4D37-9086-DB0F300E4436}"/>
            </a:ext>
            <a:ext uri="{147F2762-F138-4A5C-976F-8EAC2B608ADB}">
              <a16:predDERef xmlns:a16="http://schemas.microsoft.com/office/drawing/2014/main" pred="{427C8B68-9540-44CB-9B68-A1ACE730BE42}"/>
            </a:ext>
          </a:extLst>
        </xdr:cNvPr>
        <xdr:cNvSpPr>
          <a:spLocks noChangeAspect="1" noChangeArrowheads="1"/>
        </xdr:cNvSpPr>
      </xdr:nvSpPr>
      <xdr:spPr bwMode="auto">
        <a:xfrm>
          <a:off x="7531100" y="106648250"/>
          <a:ext cx="190500" cy="266700"/>
        </a:xfrm>
        <a:prstGeom prst="rect">
          <a:avLst/>
        </a:prstGeom>
        <a:noFill/>
      </xdr:spPr>
    </xdr:sp>
    <xdr:clientData/>
  </xdr:oneCellAnchor>
  <xdr:oneCellAnchor>
    <xdr:from>
      <xdr:col>4</xdr:col>
      <xdr:colOff>1657350</xdr:colOff>
      <xdr:row>554</xdr:row>
      <xdr:rowOff>0</xdr:rowOff>
    </xdr:from>
    <xdr:ext cx="190500" cy="266700"/>
    <xdr:sp macro="" textlink="">
      <xdr:nvSpPr>
        <xdr:cNvPr id="5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6AA333D-859C-4184-AF8F-1A4B70890246}"/>
            </a:ext>
            <a:ext uri="{147F2762-F138-4A5C-976F-8EAC2B608ADB}">
              <a16:predDERef xmlns:a16="http://schemas.microsoft.com/office/drawing/2014/main" pred="{A6EFB72A-5FD3-49D5-8EA7-880FF1897BD0}"/>
            </a:ext>
          </a:extLst>
        </xdr:cNvPr>
        <xdr:cNvSpPr>
          <a:spLocks noChangeAspect="1" noChangeArrowheads="1"/>
        </xdr:cNvSpPr>
      </xdr:nvSpPr>
      <xdr:spPr bwMode="auto">
        <a:xfrm>
          <a:off x="7531100" y="107016550"/>
          <a:ext cx="190500" cy="266700"/>
        </a:xfrm>
        <a:prstGeom prst="rect">
          <a:avLst/>
        </a:prstGeom>
        <a:noFill/>
      </xdr:spPr>
    </xdr:sp>
    <xdr:clientData/>
  </xdr:oneCellAnchor>
  <xdr:oneCellAnchor>
    <xdr:from>
      <xdr:col>4</xdr:col>
      <xdr:colOff>1657350</xdr:colOff>
      <xdr:row>554</xdr:row>
      <xdr:rowOff>0</xdr:rowOff>
    </xdr:from>
    <xdr:ext cx="190500" cy="266700"/>
    <xdr:sp macro="" textlink="">
      <xdr:nvSpPr>
        <xdr:cNvPr id="5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80754E1-07BC-42DE-94F9-0C28F29774FA}"/>
            </a:ext>
            <a:ext uri="{147F2762-F138-4A5C-976F-8EAC2B608ADB}">
              <a16:predDERef xmlns:a16="http://schemas.microsoft.com/office/drawing/2014/main" pred="{21DF7DF5-4690-482A-92BA-30333942F7DF}"/>
            </a:ext>
          </a:extLst>
        </xdr:cNvPr>
        <xdr:cNvSpPr>
          <a:spLocks noChangeAspect="1" noChangeArrowheads="1"/>
        </xdr:cNvSpPr>
      </xdr:nvSpPr>
      <xdr:spPr bwMode="auto">
        <a:xfrm>
          <a:off x="7531100" y="107016550"/>
          <a:ext cx="190500" cy="266700"/>
        </a:xfrm>
        <a:prstGeom prst="rect">
          <a:avLst/>
        </a:prstGeom>
        <a:noFill/>
      </xdr:spPr>
    </xdr:sp>
    <xdr:clientData/>
  </xdr:oneCellAnchor>
  <xdr:oneCellAnchor>
    <xdr:from>
      <xdr:col>4</xdr:col>
      <xdr:colOff>1657350</xdr:colOff>
      <xdr:row>556</xdr:row>
      <xdr:rowOff>0</xdr:rowOff>
    </xdr:from>
    <xdr:ext cx="190500" cy="266700"/>
    <xdr:sp macro="" textlink="">
      <xdr:nvSpPr>
        <xdr:cNvPr id="5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F34BB50-A4E4-4BA5-A350-16E757C56669}"/>
            </a:ext>
            <a:ext uri="{147F2762-F138-4A5C-976F-8EAC2B608ADB}">
              <a16:predDERef xmlns:a16="http://schemas.microsoft.com/office/drawing/2014/main" pred="{24013985-9A70-474C-80A4-1670649A03B6}"/>
            </a:ext>
          </a:extLst>
        </xdr:cNvPr>
        <xdr:cNvSpPr>
          <a:spLocks noChangeAspect="1" noChangeArrowheads="1"/>
        </xdr:cNvSpPr>
      </xdr:nvSpPr>
      <xdr:spPr bwMode="auto">
        <a:xfrm>
          <a:off x="7531100" y="107384850"/>
          <a:ext cx="190500" cy="266700"/>
        </a:xfrm>
        <a:prstGeom prst="rect">
          <a:avLst/>
        </a:prstGeom>
        <a:noFill/>
      </xdr:spPr>
    </xdr:sp>
    <xdr:clientData/>
  </xdr:oneCellAnchor>
  <xdr:oneCellAnchor>
    <xdr:from>
      <xdr:col>4</xdr:col>
      <xdr:colOff>1657350</xdr:colOff>
      <xdr:row>556</xdr:row>
      <xdr:rowOff>0</xdr:rowOff>
    </xdr:from>
    <xdr:ext cx="190500" cy="266700"/>
    <xdr:sp macro="" textlink="">
      <xdr:nvSpPr>
        <xdr:cNvPr id="5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E35191B-1100-4B05-AC56-3D64949405F7}"/>
            </a:ext>
            <a:ext uri="{147F2762-F138-4A5C-976F-8EAC2B608ADB}">
              <a16:predDERef xmlns:a16="http://schemas.microsoft.com/office/drawing/2014/main" pred="{F483357D-193E-4E0F-AA21-09FC0C6F56AC}"/>
            </a:ext>
          </a:extLst>
        </xdr:cNvPr>
        <xdr:cNvSpPr>
          <a:spLocks noChangeAspect="1" noChangeArrowheads="1"/>
        </xdr:cNvSpPr>
      </xdr:nvSpPr>
      <xdr:spPr bwMode="auto">
        <a:xfrm>
          <a:off x="7531100" y="107384850"/>
          <a:ext cx="190500" cy="266700"/>
        </a:xfrm>
        <a:prstGeom prst="rect">
          <a:avLst/>
        </a:prstGeom>
        <a:noFill/>
      </xdr:spPr>
    </xdr:sp>
    <xdr:clientData/>
  </xdr:oneCellAnchor>
  <xdr:oneCellAnchor>
    <xdr:from>
      <xdr:col>4</xdr:col>
      <xdr:colOff>1657350</xdr:colOff>
      <xdr:row>558</xdr:row>
      <xdr:rowOff>0</xdr:rowOff>
    </xdr:from>
    <xdr:ext cx="190500" cy="266700"/>
    <xdr:sp macro="" textlink="">
      <xdr:nvSpPr>
        <xdr:cNvPr id="5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2F3ED9C-3F46-4EB9-ABE2-50EEE0A798A9}"/>
            </a:ext>
            <a:ext uri="{147F2762-F138-4A5C-976F-8EAC2B608ADB}">
              <a16:predDERef xmlns:a16="http://schemas.microsoft.com/office/drawing/2014/main" pred="{B3BC647F-E110-49C1-824D-1316D3259F70}"/>
            </a:ext>
          </a:extLst>
        </xdr:cNvPr>
        <xdr:cNvSpPr>
          <a:spLocks noChangeAspect="1" noChangeArrowheads="1"/>
        </xdr:cNvSpPr>
      </xdr:nvSpPr>
      <xdr:spPr bwMode="auto">
        <a:xfrm>
          <a:off x="7531100" y="107753150"/>
          <a:ext cx="190500" cy="266700"/>
        </a:xfrm>
        <a:prstGeom prst="rect">
          <a:avLst/>
        </a:prstGeom>
        <a:noFill/>
      </xdr:spPr>
    </xdr:sp>
    <xdr:clientData/>
  </xdr:oneCellAnchor>
  <xdr:oneCellAnchor>
    <xdr:from>
      <xdr:col>4</xdr:col>
      <xdr:colOff>1657350</xdr:colOff>
      <xdr:row>558</xdr:row>
      <xdr:rowOff>0</xdr:rowOff>
    </xdr:from>
    <xdr:ext cx="190500" cy="266700"/>
    <xdr:sp macro="" textlink="">
      <xdr:nvSpPr>
        <xdr:cNvPr id="5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B449074-9EDB-4856-BCC8-E6CD1C1D0C0A}"/>
            </a:ext>
            <a:ext uri="{147F2762-F138-4A5C-976F-8EAC2B608ADB}">
              <a16:predDERef xmlns:a16="http://schemas.microsoft.com/office/drawing/2014/main" pred="{D81535DF-8A3B-4657-98F4-4EB89CF7736B}"/>
            </a:ext>
          </a:extLst>
        </xdr:cNvPr>
        <xdr:cNvSpPr>
          <a:spLocks noChangeAspect="1" noChangeArrowheads="1"/>
        </xdr:cNvSpPr>
      </xdr:nvSpPr>
      <xdr:spPr bwMode="auto">
        <a:xfrm>
          <a:off x="7531100" y="107753150"/>
          <a:ext cx="190500" cy="266700"/>
        </a:xfrm>
        <a:prstGeom prst="rect">
          <a:avLst/>
        </a:prstGeom>
        <a:noFill/>
      </xdr:spPr>
    </xdr:sp>
    <xdr:clientData/>
  </xdr:oneCellAnchor>
  <xdr:oneCellAnchor>
    <xdr:from>
      <xdr:col>4</xdr:col>
      <xdr:colOff>1657350</xdr:colOff>
      <xdr:row>560</xdr:row>
      <xdr:rowOff>0</xdr:rowOff>
    </xdr:from>
    <xdr:ext cx="190500" cy="266700"/>
    <xdr:sp macro="" textlink="">
      <xdr:nvSpPr>
        <xdr:cNvPr id="5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D2CC3D8-9BC2-4CC8-8C4B-6F9B4A007B6C}"/>
            </a:ext>
            <a:ext uri="{147F2762-F138-4A5C-976F-8EAC2B608ADB}">
              <a16:predDERef xmlns:a16="http://schemas.microsoft.com/office/drawing/2014/main" pred="{676D855A-A2F6-40D3-A93F-4B0AE5354ACF}"/>
            </a:ext>
          </a:extLst>
        </xdr:cNvPr>
        <xdr:cNvSpPr>
          <a:spLocks noChangeAspect="1" noChangeArrowheads="1"/>
        </xdr:cNvSpPr>
      </xdr:nvSpPr>
      <xdr:spPr bwMode="auto">
        <a:xfrm>
          <a:off x="7531100" y="108121450"/>
          <a:ext cx="190500" cy="266700"/>
        </a:xfrm>
        <a:prstGeom prst="rect">
          <a:avLst/>
        </a:prstGeom>
        <a:noFill/>
      </xdr:spPr>
    </xdr:sp>
    <xdr:clientData/>
  </xdr:oneCellAnchor>
  <xdr:oneCellAnchor>
    <xdr:from>
      <xdr:col>4</xdr:col>
      <xdr:colOff>1657350</xdr:colOff>
      <xdr:row>560</xdr:row>
      <xdr:rowOff>0</xdr:rowOff>
    </xdr:from>
    <xdr:ext cx="190500" cy="266700"/>
    <xdr:sp macro="" textlink="">
      <xdr:nvSpPr>
        <xdr:cNvPr id="5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5DF8FB-64E0-4479-8C49-3425C6E4E85D}"/>
            </a:ext>
            <a:ext uri="{147F2762-F138-4A5C-976F-8EAC2B608ADB}">
              <a16:predDERef xmlns:a16="http://schemas.microsoft.com/office/drawing/2014/main" pred="{E36C4DB2-E502-415D-8186-8FFB255EA546}"/>
            </a:ext>
          </a:extLst>
        </xdr:cNvPr>
        <xdr:cNvSpPr>
          <a:spLocks noChangeAspect="1" noChangeArrowheads="1"/>
        </xdr:cNvSpPr>
      </xdr:nvSpPr>
      <xdr:spPr bwMode="auto">
        <a:xfrm>
          <a:off x="7531100" y="108121450"/>
          <a:ext cx="190500" cy="266700"/>
        </a:xfrm>
        <a:prstGeom prst="rect">
          <a:avLst/>
        </a:prstGeom>
        <a:noFill/>
      </xdr:spPr>
    </xdr:sp>
    <xdr:clientData/>
  </xdr:oneCellAnchor>
  <xdr:oneCellAnchor>
    <xdr:from>
      <xdr:col>4</xdr:col>
      <xdr:colOff>1657350</xdr:colOff>
      <xdr:row>562</xdr:row>
      <xdr:rowOff>0</xdr:rowOff>
    </xdr:from>
    <xdr:ext cx="190500" cy="266700"/>
    <xdr:sp macro="" textlink="">
      <xdr:nvSpPr>
        <xdr:cNvPr id="5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99C7F2D-57D2-4A9B-B391-A7A11FECF157}"/>
            </a:ext>
            <a:ext uri="{147F2762-F138-4A5C-976F-8EAC2B608ADB}">
              <a16:predDERef xmlns:a16="http://schemas.microsoft.com/office/drawing/2014/main" pred="{56801B42-E06E-4260-BA74-5B41B2A925A8}"/>
            </a:ext>
          </a:extLst>
        </xdr:cNvPr>
        <xdr:cNvSpPr>
          <a:spLocks noChangeAspect="1" noChangeArrowheads="1"/>
        </xdr:cNvSpPr>
      </xdr:nvSpPr>
      <xdr:spPr bwMode="auto">
        <a:xfrm>
          <a:off x="7531100" y="108489750"/>
          <a:ext cx="190500" cy="266700"/>
        </a:xfrm>
        <a:prstGeom prst="rect">
          <a:avLst/>
        </a:prstGeom>
        <a:noFill/>
      </xdr:spPr>
    </xdr:sp>
    <xdr:clientData/>
  </xdr:oneCellAnchor>
  <xdr:oneCellAnchor>
    <xdr:from>
      <xdr:col>4</xdr:col>
      <xdr:colOff>1657350</xdr:colOff>
      <xdr:row>562</xdr:row>
      <xdr:rowOff>0</xdr:rowOff>
    </xdr:from>
    <xdr:ext cx="190500" cy="266700"/>
    <xdr:sp macro="" textlink="">
      <xdr:nvSpPr>
        <xdr:cNvPr id="5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375AA86-AEA3-4AA6-9E38-500BACA9D42A}"/>
            </a:ext>
            <a:ext uri="{147F2762-F138-4A5C-976F-8EAC2B608ADB}">
              <a16:predDERef xmlns:a16="http://schemas.microsoft.com/office/drawing/2014/main" pred="{AC96475A-33D2-427E-B5CC-511840EEFEA5}"/>
            </a:ext>
          </a:extLst>
        </xdr:cNvPr>
        <xdr:cNvSpPr>
          <a:spLocks noChangeAspect="1" noChangeArrowheads="1"/>
        </xdr:cNvSpPr>
      </xdr:nvSpPr>
      <xdr:spPr bwMode="auto">
        <a:xfrm>
          <a:off x="7531100" y="108489750"/>
          <a:ext cx="190500" cy="266700"/>
        </a:xfrm>
        <a:prstGeom prst="rect">
          <a:avLst/>
        </a:prstGeom>
        <a:noFill/>
      </xdr:spPr>
    </xdr:sp>
    <xdr:clientData/>
  </xdr:oneCellAnchor>
  <xdr:oneCellAnchor>
    <xdr:from>
      <xdr:col>4</xdr:col>
      <xdr:colOff>1657350</xdr:colOff>
      <xdr:row>564</xdr:row>
      <xdr:rowOff>0</xdr:rowOff>
    </xdr:from>
    <xdr:ext cx="190500" cy="266700"/>
    <xdr:sp macro="" textlink="">
      <xdr:nvSpPr>
        <xdr:cNvPr id="5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26BB703-C261-4A6B-AD18-EF10EE948AE3}"/>
            </a:ext>
            <a:ext uri="{147F2762-F138-4A5C-976F-8EAC2B608ADB}">
              <a16:predDERef xmlns:a16="http://schemas.microsoft.com/office/drawing/2014/main" pred="{67580EC0-1515-4B8D-A247-AFCEA2036ECF}"/>
            </a:ext>
          </a:extLst>
        </xdr:cNvPr>
        <xdr:cNvSpPr>
          <a:spLocks noChangeAspect="1" noChangeArrowheads="1"/>
        </xdr:cNvSpPr>
      </xdr:nvSpPr>
      <xdr:spPr bwMode="auto">
        <a:xfrm>
          <a:off x="7531100" y="108858050"/>
          <a:ext cx="190500" cy="266700"/>
        </a:xfrm>
        <a:prstGeom prst="rect">
          <a:avLst/>
        </a:prstGeom>
        <a:noFill/>
      </xdr:spPr>
    </xdr:sp>
    <xdr:clientData/>
  </xdr:oneCellAnchor>
  <xdr:oneCellAnchor>
    <xdr:from>
      <xdr:col>4</xdr:col>
      <xdr:colOff>1657350</xdr:colOff>
      <xdr:row>564</xdr:row>
      <xdr:rowOff>0</xdr:rowOff>
    </xdr:from>
    <xdr:ext cx="190500" cy="266700"/>
    <xdr:sp macro="" textlink="">
      <xdr:nvSpPr>
        <xdr:cNvPr id="5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D4FFFF6-1CC5-4AAA-AF2B-3807BAC11B82}"/>
            </a:ext>
            <a:ext uri="{147F2762-F138-4A5C-976F-8EAC2B608ADB}">
              <a16:predDERef xmlns:a16="http://schemas.microsoft.com/office/drawing/2014/main" pred="{8E84C540-EBAB-475F-9793-DF2AF6D44EBC}"/>
            </a:ext>
          </a:extLst>
        </xdr:cNvPr>
        <xdr:cNvSpPr>
          <a:spLocks noChangeAspect="1" noChangeArrowheads="1"/>
        </xdr:cNvSpPr>
      </xdr:nvSpPr>
      <xdr:spPr bwMode="auto">
        <a:xfrm>
          <a:off x="7531100" y="108858050"/>
          <a:ext cx="190500" cy="266700"/>
        </a:xfrm>
        <a:prstGeom prst="rect">
          <a:avLst/>
        </a:prstGeom>
        <a:noFill/>
      </xdr:spPr>
    </xdr:sp>
    <xdr:clientData/>
  </xdr:oneCellAnchor>
  <xdr:oneCellAnchor>
    <xdr:from>
      <xdr:col>4</xdr:col>
      <xdr:colOff>1657350</xdr:colOff>
      <xdr:row>566</xdr:row>
      <xdr:rowOff>0</xdr:rowOff>
    </xdr:from>
    <xdr:ext cx="190500" cy="266700"/>
    <xdr:sp macro="" textlink="">
      <xdr:nvSpPr>
        <xdr:cNvPr id="5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254F9C-EE28-4066-9915-2EF8E701DECA}"/>
            </a:ext>
            <a:ext uri="{147F2762-F138-4A5C-976F-8EAC2B608ADB}">
              <a16:predDERef xmlns:a16="http://schemas.microsoft.com/office/drawing/2014/main" pred="{7D7C8E6A-991E-4DF6-8982-E0822AA09A42}"/>
            </a:ext>
          </a:extLst>
        </xdr:cNvPr>
        <xdr:cNvSpPr>
          <a:spLocks noChangeAspect="1" noChangeArrowheads="1"/>
        </xdr:cNvSpPr>
      </xdr:nvSpPr>
      <xdr:spPr bwMode="auto">
        <a:xfrm>
          <a:off x="7531100" y="109226350"/>
          <a:ext cx="190500" cy="266700"/>
        </a:xfrm>
        <a:prstGeom prst="rect">
          <a:avLst/>
        </a:prstGeom>
        <a:noFill/>
      </xdr:spPr>
    </xdr:sp>
    <xdr:clientData/>
  </xdr:oneCellAnchor>
  <xdr:oneCellAnchor>
    <xdr:from>
      <xdr:col>4</xdr:col>
      <xdr:colOff>1657350</xdr:colOff>
      <xdr:row>566</xdr:row>
      <xdr:rowOff>0</xdr:rowOff>
    </xdr:from>
    <xdr:ext cx="190500" cy="266700"/>
    <xdr:sp macro="" textlink="">
      <xdr:nvSpPr>
        <xdr:cNvPr id="5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6AF06AF-006C-4185-A56D-EEB43EF955B0}"/>
            </a:ext>
            <a:ext uri="{147F2762-F138-4A5C-976F-8EAC2B608ADB}">
              <a16:predDERef xmlns:a16="http://schemas.microsoft.com/office/drawing/2014/main" pred="{9DBEA95A-A03C-4F1B-8861-BE1333FB4932}"/>
            </a:ext>
          </a:extLst>
        </xdr:cNvPr>
        <xdr:cNvSpPr>
          <a:spLocks noChangeAspect="1" noChangeArrowheads="1"/>
        </xdr:cNvSpPr>
      </xdr:nvSpPr>
      <xdr:spPr bwMode="auto">
        <a:xfrm>
          <a:off x="7531100" y="109226350"/>
          <a:ext cx="190500" cy="266700"/>
        </a:xfrm>
        <a:prstGeom prst="rect">
          <a:avLst/>
        </a:prstGeom>
        <a:noFill/>
      </xdr:spPr>
    </xdr:sp>
    <xdr:clientData/>
  </xdr:oneCellAnchor>
  <xdr:oneCellAnchor>
    <xdr:from>
      <xdr:col>4</xdr:col>
      <xdr:colOff>1657350</xdr:colOff>
      <xdr:row>568</xdr:row>
      <xdr:rowOff>0</xdr:rowOff>
    </xdr:from>
    <xdr:ext cx="190500" cy="266700"/>
    <xdr:sp macro="" textlink="">
      <xdr:nvSpPr>
        <xdr:cNvPr id="5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DE7B8E3-FC18-4C48-8ECE-1D6D8751E934}"/>
            </a:ext>
            <a:ext uri="{147F2762-F138-4A5C-976F-8EAC2B608ADB}">
              <a16:predDERef xmlns:a16="http://schemas.microsoft.com/office/drawing/2014/main" pred="{33626AAA-0B12-4D2C-8B1F-E3B81E36E54B}"/>
            </a:ext>
          </a:extLst>
        </xdr:cNvPr>
        <xdr:cNvSpPr>
          <a:spLocks noChangeAspect="1" noChangeArrowheads="1"/>
        </xdr:cNvSpPr>
      </xdr:nvSpPr>
      <xdr:spPr bwMode="auto">
        <a:xfrm>
          <a:off x="7531100" y="109594650"/>
          <a:ext cx="190500" cy="266700"/>
        </a:xfrm>
        <a:prstGeom prst="rect">
          <a:avLst/>
        </a:prstGeom>
        <a:noFill/>
      </xdr:spPr>
    </xdr:sp>
    <xdr:clientData/>
  </xdr:oneCellAnchor>
  <xdr:oneCellAnchor>
    <xdr:from>
      <xdr:col>4</xdr:col>
      <xdr:colOff>1657350</xdr:colOff>
      <xdr:row>568</xdr:row>
      <xdr:rowOff>0</xdr:rowOff>
    </xdr:from>
    <xdr:ext cx="190500" cy="266700"/>
    <xdr:sp macro="" textlink="">
      <xdr:nvSpPr>
        <xdr:cNvPr id="5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BEBC70C-EA59-4266-A852-B4AA3CB0270F}"/>
            </a:ext>
            <a:ext uri="{147F2762-F138-4A5C-976F-8EAC2B608ADB}">
              <a16:predDERef xmlns:a16="http://schemas.microsoft.com/office/drawing/2014/main" pred="{1E1959C1-CCDE-43DC-8DAA-A7D22DA71776}"/>
            </a:ext>
          </a:extLst>
        </xdr:cNvPr>
        <xdr:cNvSpPr>
          <a:spLocks noChangeAspect="1" noChangeArrowheads="1"/>
        </xdr:cNvSpPr>
      </xdr:nvSpPr>
      <xdr:spPr bwMode="auto">
        <a:xfrm>
          <a:off x="7531100" y="109594650"/>
          <a:ext cx="190500" cy="266700"/>
        </a:xfrm>
        <a:prstGeom prst="rect">
          <a:avLst/>
        </a:prstGeom>
        <a:noFill/>
      </xdr:spPr>
    </xdr:sp>
    <xdr:clientData/>
  </xdr:oneCellAnchor>
  <xdr:oneCellAnchor>
    <xdr:from>
      <xdr:col>4</xdr:col>
      <xdr:colOff>1657350</xdr:colOff>
      <xdr:row>570</xdr:row>
      <xdr:rowOff>0</xdr:rowOff>
    </xdr:from>
    <xdr:ext cx="190500" cy="266700"/>
    <xdr:sp macro="" textlink="">
      <xdr:nvSpPr>
        <xdr:cNvPr id="5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8A49B5-A6B7-44EA-BEE7-0EC809BA91EB}"/>
            </a:ext>
            <a:ext uri="{147F2762-F138-4A5C-976F-8EAC2B608ADB}">
              <a16:predDERef xmlns:a16="http://schemas.microsoft.com/office/drawing/2014/main" pred="{7D17388F-D2B6-49DE-8A91-10563FD31EF3}"/>
            </a:ext>
          </a:extLst>
        </xdr:cNvPr>
        <xdr:cNvSpPr>
          <a:spLocks noChangeAspect="1" noChangeArrowheads="1"/>
        </xdr:cNvSpPr>
      </xdr:nvSpPr>
      <xdr:spPr bwMode="auto">
        <a:xfrm>
          <a:off x="7531100" y="109962950"/>
          <a:ext cx="190500" cy="266700"/>
        </a:xfrm>
        <a:prstGeom prst="rect">
          <a:avLst/>
        </a:prstGeom>
        <a:noFill/>
      </xdr:spPr>
    </xdr:sp>
    <xdr:clientData/>
  </xdr:oneCellAnchor>
  <xdr:oneCellAnchor>
    <xdr:from>
      <xdr:col>4</xdr:col>
      <xdr:colOff>1657350</xdr:colOff>
      <xdr:row>570</xdr:row>
      <xdr:rowOff>0</xdr:rowOff>
    </xdr:from>
    <xdr:ext cx="190500" cy="266700"/>
    <xdr:sp macro="" textlink="">
      <xdr:nvSpPr>
        <xdr:cNvPr id="5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F891C17-1C5D-452F-AED5-DF2E118E8689}"/>
            </a:ext>
            <a:ext uri="{147F2762-F138-4A5C-976F-8EAC2B608ADB}">
              <a16:predDERef xmlns:a16="http://schemas.microsoft.com/office/drawing/2014/main" pred="{099DF304-6605-4E11-9FED-A5229441510C}"/>
            </a:ext>
          </a:extLst>
        </xdr:cNvPr>
        <xdr:cNvSpPr>
          <a:spLocks noChangeAspect="1" noChangeArrowheads="1"/>
        </xdr:cNvSpPr>
      </xdr:nvSpPr>
      <xdr:spPr bwMode="auto">
        <a:xfrm>
          <a:off x="7531100" y="109962950"/>
          <a:ext cx="190500" cy="266700"/>
        </a:xfrm>
        <a:prstGeom prst="rect">
          <a:avLst/>
        </a:prstGeom>
        <a:noFill/>
      </xdr:spPr>
    </xdr:sp>
    <xdr:clientData/>
  </xdr:oneCellAnchor>
  <xdr:oneCellAnchor>
    <xdr:from>
      <xdr:col>4</xdr:col>
      <xdr:colOff>1657350</xdr:colOff>
      <xdr:row>572</xdr:row>
      <xdr:rowOff>0</xdr:rowOff>
    </xdr:from>
    <xdr:ext cx="190500" cy="266700"/>
    <xdr:sp macro="" textlink="">
      <xdr:nvSpPr>
        <xdr:cNvPr id="5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B698623-E468-4A35-85F5-3A80F2FDEA23}"/>
            </a:ext>
            <a:ext uri="{147F2762-F138-4A5C-976F-8EAC2B608ADB}">
              <a16:predDERef xmlns:a16="http://schemas.microsoft.com/office/drawing/2014/main" pred="{FDB8687D-95DC-46DA-98BE-828E2382864B}"/>
            </a:ext>
          </a:extLst>
        </xdr:cNvPr>
        <xdr:cNvSpPr>
          <a:spLocks noChangeAspect="1" noChangeArrowheads="1"/>
        </xdr:cNvSpPr>
      </xdr:nvSpPr>
      <xdr:spPr bwMode="auto">
        <a:xfrm>
          <a:off x="7531100" y="110331250"/>
          <a:ext cx="190500" cy="266700"/>
        </a:xfrm>
        <a:prstGeom prst="rect">
          <a:avLst/>
        </a:prstGeom>
        <a:noFill/>
      </xdr:spPr>
    </xdr:sp>
    <xdr:clientData/>
  </xdr:oneCellAnchor>
  <xdr:oneCellAnchor>
    <xdr:from>
      <xdr:col>4</xdr:col>
      <xdr:colOff>1657350</xdr:colOff>
      <xdr:row>572</xdr:row>
      <xdr:rowOff>0</xdr:rowOff>
    </xdr:from>
    <xdr:ext cx="190500" cy="266700"/>
    <xdr:sp macro="" textlink="">
      <xdr:nvSpPr>
        <xdr:cNvPr id="5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50782D6-4F06-47BF-9CF3-4133325BC79D}"/>
            </a:ext>
            <a:ext uri="{147F2762-F138-4A5C-976F-8EAC2B608ADB}">
              <a16:predDERef xmlns:a16="http://schemas.microsoft.com/office/drawing/2014/main" pred="{D00FC511-9A70-4B2F-A486-4B6A63BC99FF}"/>
            </a:ext>
          </a:extLst>
        </xdr:cNvPr>
        <xdr:cNvSpPr>
          <a:spLocks noChangeAspect="1" noChangeArrowheads="1"/>
        </xdr:cNvSpPr>
      </xdr:nvSpPr>
      <xdr:spPr bwMode="auto">
        <a:xfrm>
          <a:off x="7531100" y="110331250"/>
          <a:ext cx="190500" cy="266700"/>
        </a:xfrm>
        <a:prstGeom prst="rect">
          <a:avLst/>
        </a:prstGeom>
        <a:noFill/>
      </xdr:spPr>
    </xdr:sp>
    <xdr:clientData/>
  </xdr:oneCellAnchor>
  <xdr:oneCellAnchor>
    <xdr:from>
      <xdr:col>4</xdr:col>
      <xdr:colOff>1657350</xdr:colOff>
      <xdr:row>574</xdr:row>
      <xdr:rowOff>0</xdr:rowOff>
    </xdr:from>
    <xdr:ext cx="190500" cy="266700"/>
    <xdr:sp macro="" textlink="">
      <xdr:nvSpPr>
        <xdr:cNvPr id="5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95EE5A1-706F-4B49-B0AF-6C28752A0BE6}"/>
            </a:ext>
            <a:ext uri="{147F2762-F138-4A5C-976F-8EAC2B608ADB}">
              <a16:predDERef xmlns:a16="http://schemas.microsoft.com/office/drawing/2014/main" pred="{097FB39B-D406-49CD-A743-AE2961629152}"/>
            </a:ext>
          </a:extLst>
        </xdr:cNvPr>
        <xdr:cNvSpPr>
          <a:spLocks noChangeAspect="1" noChangeArrowheads="1"/>
        </xdr:cNvSpPr>
      </xdr:nvSpPr>
      <xdr:spPr bwMode="auto">
        <a:xfrm>
          <a:off x="7531100" y="110699550"/>
          <a:ext cx="190500" cy="266700"/>
        </a:xfrm>
        <a:prstGeom prst="rect">
          <a:avLst/>
        </a:prstGeom>
        <a:noFill/>
      </xdr:spPr>
    </xdr:sp>
    <xdr:clientData/>
  </xdr:oneCellAnchor>
  <xdr:oneCellAnchor>
    <xdr:from>
      <xdr:col>4</xdr:col>
      <xdr:colOff>1657350</xdr:colOff>
      <xdr:row>574</xdr:row>
      <xdr:rowOff>0</xdr:rowOff>
    </xdr:from>
    <xdr:ext cx="190500" cy="266700"/>
    <xdr:sp macro="" textlink="">
      <xdr:nvSpPr>
        <xdr:cNvPr id="5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7D8600D-C59D-4139-BFC0-BD7DE48E5844}"/>
            </a:ext>
            <a:ext uri="{147F2762-F138-4A5C-976F-8EAC2B608ADB}">
              <a16:predDERef xmlns:a16="http://schemas.microsoft.com/office/drawing/2014/main" pred="{DF9210B9-79D5-43E2-B424-5E3D5410FCC7}"/>
            </a:ext>
          </a:extLst>
        </xdr:cNvPr>
        <xdr:cNvSpPr>
          <a:spLocks noChangeAspect="1" noChangeArrowheads="1"/>
        </xdr:cNvSpPr>
      </xdr:nvSpPr>
      <xdr:spPr bwMode="auto">
        <a:xfrm>
          <a:off x="7531100" y="110699550"/>
          <a:ext cx="190500" cy="266700"/>
        </a:xfrm>
        <a:prstGeom prst="rect">
          <a:avLst/>
        </a:prstGeom>
        <a:noFill/>
      </xdr:spPr>
    </xdr:sp>
    <xdr:clientData/>
  </xdr:oneCellAnchor>
  <xdr:oneCellAnchor>
    <xdr:from>
      <xdr:col>4</xdr:col>
      <xdr:colOff>1657350</xdr:colOff>
      <xdr:row>576</xdr:row>
      <xdr:rowOff>0</xdr:rowOff>
    </xdr:from>
    <xdr:ext cx="190500" cy="266700"/>
    <xdr:sp macro="" textlink="">
      <xdr:nvSpPr>
        <xdr:cNvPr id="5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7C80A5F-D833-4374-8327-19CC4D066079}"/>
            </a:ext>
            <a:ext uri="{147F2762-F138-4A5C-976F-8EAC2B608ADB}">
              <a16:predDERef xmlns:a16="http://schemas.microsoft.com/office/drawing/2014/main" pred="{9FD4620F-6BA5-450D-A3D4-AD7013DD4B3E}"/>
            </a:ext>
          </a:extLst>
        </xdr:cNvPr>
        <xdr:cNvSpPr>
          <a:spLocks noChangeAspect="1" noChangeArrowheads="1"/>
        </xdr:cNvSpPr>
      </xdr:nvSpPr>
      <xdr:spPr bwMode="auto">
        <a:xfrm>
          <a:off x="7531100" y="111067850"/>
          <a:ext cx="190500" cy="266700"/>
        </a:xfrm>
        <a:prstGeom prst="rect">
          <a:avLst/>
        </a:prstGeom>
        <a:noFill/>
      </xdr:spPr>
    </xdr:sp>
    <xdr:clientData/>
  </xdr:oneCellAnchor>
  <xdr:oneCellAnchor>
    <xdr:from>
      <xdr:col>4</xdr:col>
      <xdr:colOff>1657350</xdr:colOff>
      <xdr:row>576</xdr:row>
      <xdr:rowOff>0</xdr:rowOff>
    </xdr:from>
    <xdr:ext cx="190500" cy="266700"/>
    <xdr:sp macro="" textlink="">
      <xdr:nvSpPr>
        <xdr:cNvPr id="5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841DAD-A9AA-4861-A67F-E077612ECE8D}"/>
            </a:ext>
            <a:ext uri="{147F2762-F138-4A5C-976F-8EAC2B608ADB}">
              <a16:predDERef xmlns:a16="http://schemas.microsoft.com/office/drawing/2014/main" pred="{CFF6D844-5B52-47CD-A684-4816897D9167}"/>
            </a:ext>
          </a:extLst>
        </xdr:cNvPr>
        <xdr:cNvSpPr>
          <a:spLocks noChangeAspect="1" noChangeArrowheads="1"/>
        </xdr:cNvSpPr>
      </xdr:nvSpPr>
      <xdr:spPr bwMode="auto">
        <a:xfrm>
          <a:off x="7531100" y="111067850"/>
          <a:ext cx="190500" cy="266700"/>
        </a:xfrm>
        <a:prstGeom prst="rect">
          <a:avLst/>
        </a:prstGeom>
        <a:noFill/>
      </xdr:spPr>
    </xdr:sp>
    <xdr:clientData/>
  </xdr:oneCellAnchor>
  <xdr:oneCellAnchor>
    <xdr:from>
      <xdr:col>4</xdr:col>
      <xdr:colOff>1657350</xdr:colOff>
      <xdr:row>578</xdr:row>
      <xdr:rowOff>0</xdr:rowOff>
    </xdr:from>
    <xdr:ext cx="190500" cy="266700"/>
    <xdr:sp macro="" textlink="">
      <xdr:nvSpPr>
        <xdr:cNvPr id="5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49B47CF-0374-416E-9D56-081AD619514A}"/>
            </a:ext>
            <a:ext uri="{147F2762-F138-4A5C-976F-8EAC2B608ADB}">
              <a16:predDERef xmlns:a16="http://schemas.microsoft.com/office/drawing/2014/main" pred="{1F683B88-F204-4E2E-9D4F-8B3AEC91C1EC}"/>
            </a:ext>
          </a:extLst>
        </xdr:cNvPr>
        <xdr:cNvSpPr>
          <a:spLocks noChangeAspect="1" noChangeArrowheads="1"/>
        </xdr:cNvSpPr>
      </xdr:nvSpPr>
      <xdr:spPr bwMode="auto">
        <a:xfrm>
          <a:off x="7531100" y="111436150"/>
          <a:ext cx="190500" cy="266700"/>
        </a:xfrm>
        <a:prstGeom prst="rect">
          <a:avLst/>
        </a:prstGeom>
        <a:noFill/>
      </xdr:spPr>
    </xdr:sp>
    <xdr:clientData/>
  </xdr:oneCellAnchor>
  <xdr:oneCellAnchor>
    <xdr:from>
      <xdr:col>4</xdr:col>
      <xdr:colOff>1657350</xdr:colOff>
      <xdr:row>578</xdr:row>
      <xdr:rowOff>0</xdr:rowOff>
    </xdr:from>
    <xdr:ext cx="190500" cy="266700"/>
    <xdr:sp macro="" textlink="">
      <xdr:nvSpPr>
        <xdr:cNvPr id="5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3F84626-2476-4F62-A9A5-C941F4E63D29}"/>
            </a:ext>
            <a:ext uri="{147F2762-F138-4A5C-976F-8EAC2B608ADB}">
              <a16:predDERef xmlns:a16="http://schemas.microsoft.com/office/drawing/2014/main" pred="{5BC73CF0-70A3-4612-9D64-C0563B25B7ED}"/>
            </a:ext>
          </a:extLst>
        </xdr:cNvPr>
        <xdr:cNvSpPr>
          <a:spLocks noChangeAspect="1" noChangeArrowheads="1"/>
        </xdr:cNvSpPr>
      </xdr:nvSpPr>
      <xdr:spPr bwMode="auto">
        <a:xfrm>
          <a:off x="7531100" y="111436150"/>
          <a:ext cx="190500" cy="266700"/>
        </a:xfrm>
        <a:prstGeom prst="rect">
          <a:avLst/>
        </a:prstGeom>
        <a:noFill/>
      </xdr:spPr>
    </xdr:sp>
    <xdr:clientData/>
  </xdr:oneCellAnchor>
  <xdr:oneCellAnchor>
    <xdr:from>
      <xdr:col>4</xdr:col>
      <xdr:colOff>1657350</xdr:colOff>
      <xdr:row>580</xdr:row>
      <xdr:rowOff>0</xdr:rowOff>
    </xdr:from>
    <xdr:ext cx="190500" cy="266700"/>
    <xdr:sp macro="" textlink="">
      <xdr:nvSpPr>
        <xdr:cNvPr id="5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3CD6555-C8FD-4DAC-ADEF-793FF6D6CE23}"/>
            </a:ext>
            <a:ext uri="{147F2762-F138-4A5C-976F-8EAC2B608ADB}">
              <a16:predDERef xmlns:a16="http://schemas.microsoft.com/office/drawing/2014/main" pred="{C435704A-D6F8-4846-9395-DF421F5C500A}"/>
            </a:ext>
          </a:extLst>
        </xdr:cNvPr>
        <xdr:cNvSpPr>
          <a:spLocks noChangeAspect="1" noChangeArrowheads="1"/>
        </xdr:cNvSpPr>
      </xdr:nvSpPr>
      <xdr:spPr bwMode="auto">
        <a:xfrm>
          <a:off x="7531100" y="111804450"/>
          <a:ext cx="190500" cy="266700"/>
        </a:xfrm>
        <a:prstGeom prst="rect">
          <a:avLst/>
        </a:prstGeom>
        <a:noFill/>
      </xdr:spPr>
    </xdr:sp>
    <xdr:clientData/>
  </xdr:oneCellAnchor>
  <xdr:oneCellAnchor>
    <xdr:from>
      <xdr:col>4</xdr:col>
      <xdr:colOff>1657350</xdr:colOff>
      <xdr:row>580</xdr:row>
      <xdr:rowOff>0</xdr:rowOff>
    </xdr:from>
    <xdr:ext cx="190500" cy="266700"/>
    <xdr:sp macro="" textlink="">
      <xdr:nvSpPr>
        <xdr:cNvPr id="5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8F71CC3-3120-4C00-B6B8-BF7F012ADBC2}"/>
            </a:ext>
            <a:ext uri="{147F2762-F138-4A5C-976F-8EAC2B608ADB}">
              <a16:predDERef xmlns:a16="http://schemas.microsoft.com/office/drawing/2014/main" pred="{CDE53BCD-7FD9-4B68-AD0A-56A0C5ADE8F8}"/>
            </a:ext>
          </a:extLst>
        </xdr:cNvPr>
        <xdr:cNvSpPr>
          <a:spLocks noChangeAspect="1" noChangeArrowheads="1"/>
        </xdr:cNvSpPr>
      </xdr:nvSpPr>
      <xdr:spPr bwMode="auto">
        <a:xfrm>
          <a:off x="7531100" y="111804450"/>
          <a:ext cx="190500" cy="266700"/>
        </a:xfrm>
        <a:prstGeom prst="rect">
          <a:avLst/>
        </a:prstGeom>
        <a:noFill/>
      </xdr:spPr>
    </xdr:sp>
    <xdr:clientData/>
  </xdr:oneCellAnchor>
  <xdr:oneCellAnchor>
    <xdr:from>
      <xdr:col>4</xdr:col>
      <xdr:colOff>1657350</xdr:colOff>
      <xdr:row>582</xdr:row>
      <xdr:rowOff>0</xdr:rowOff>
    </xdr:from>
    <xdr:ext cx="190500" cy="266700"/>
    <xdr:sp macro="" textlink="">
      <xdr:nvSpPr>
        <xdr:cNvPr id="5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1889CC3-1E2C-4C19-8FFB-7F0FF218D267}"/>
            </a:ext>
            <a:ext uri="{147F2762-F138-4A5C-976F-8EAC2B608ADB}">
              <a16:predDERef xmlns:a16="http://schemas.microsoft.com/office/drawing/2014/main" pred="{DC33263D-EFB1-4B04-BE67-F92EC9A4483B}"/>
            </a:ext>
          </a:extLst>
        </xdr:cNvPr>
        <xdr:cNvSpPr>
          <a:spLocks noChangeAspect="1" noChangeArrowheads="1"/>
        </xdr:cNvSpPr>
      </xdr:nvSpPr>
      <xdr:spPr bwMode="auto">
        <a:xfrm>
          <a:off x="7531100" y="112172750"/>
          <a:ext cx="190500" cy="266700"/>
        </a:xfrm>
        <a:prstGeom prst="rect">
          <a:avLst/>
        </a:prstGeom>
        <a:noFill/>
      </xdr:spPr>
    </xdr:sp>
    <xdr:clientData/>
  </xdr:oneCellAnchor>
  <xdr:oneCellAnchor>
    <xdr:from>
      <xdr:col>4</xdr:col>
      <xdr:colOff>1657350</xdr:colOff>
      <xdr:row>582</xdr:row>
      <xdr:rowOff>0</xdr:rowOff>
    </xdr:from>
    <xdr:ext cx="190500" cy="266700"/>
    <xdr:sp macro="" textlink="">
      <xdr:nvSpPr>
        <xdr:cNvPr id="5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ED2E0DA-040C-476D-AD90-DCBBF6379653}"/>
            </a:ext>
            <a:ext uri="{147F2762-F138-4A5C-976F-8EAC2B608ADB}">
              <a16:predDERef xmlns:a16="http://schemas.microsoft.com/office/drawing/2014/main" pred="{ECDED233-9B27-41F9-A5A9-4E243D09E426}"/>
            </a:ext>
          </a:extLst>
        </xdr:cNvPr>
        <xdr:cNvSpPr>
          <a:spLocks noChangeAspect="1" noChangeArrowheads="1"/>
        </xdr:cNvSpPr>
      </xdr:nvSpPr>
      <xdr:spPr bwMode="auto">
        <a:xfrm>
          <a:off x="7531100" y="112172750"/>
          <a:ext cx="190500" cy="266700"/>
        </a:xfrm>
        <a:prstGeom prst="rect">
          <a:avLst/>
        </a:prstGeom>
        <a:noFill/>
      </xdr:spPr>
    </xdr:sp>
    <xdr:clientData/>
  </xdr:oneCellAnchor>
  <xdr:oneCellAnchor>
    <xdr:from>
      <xdr:col>4</xdr:col>
      <xdr:colOff>1657350</xdr:colOff>
      <xdr:row>584</xdr:row>
      <xdr:rowOff>0</xdr:rowOff>
    </xdr:from>
    <xdr:ext cx="190500" cy="266700"/>
    <xdr:sp macro="" textlink="">
      <xdr:nvSpPr>
        <xdr:cNvPr id="5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4B10BB3-8C77-4A2B-8E38-FF045E851F3B}"/>
            </a:ext>
            <a:ext uri="{147F2762-F138-4A5C-976F-8EAC2B608ADB}">
              <a16:predDERef xmlns:a16="http://schemas.microsoft.com/office/drawing/2014/main" pred="{E8ED9213-4236-4D0A-A157-A2F43FC63ADE}"/>
            </a:ext>
          </a:extLst>
        </xdr:cNvPr>
        <xdr:cNvSpPr>
          <a:spLocks noChangeAspect="1" noChangeArrowheads="1"/>
        </xdr:cNvSpPr>
      </xdr:nvSpPr>
      <xdr:spPr bwMode="auto">
        <a:xfrm>
          <a:off x="7531100" y="112541050"/>
          <a:ext cx="190500" cy="266700"/>
        </a:xfrm>
        <a:prstGeom prst="rect">
          <a:avLst/>
        </a:prstGeom>
        <a:noFill/>
      </xdr:spPr>
    </xdr:sp>
    <xdr:clientData/>
  </xdr:oneCellAnchor>
  <xdr:oneCellAnchor>
    <xdr:from>
      <xdr:col>4</xdr:col>
      <xdr:colOff>1657350</xdr:colOff>
      <xdr:row>584</xdr:row>
      <xdr:rowOff>0</xdr:rowOff>
    </xdr:from>
    <xdr:ext cx="190500" cy="266700"/>
    <xdr:sp macro="" textlink="">
      <xdr:nvSpPr>
        <xdr:cNvPr id="5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F237C89-1DBD-401C-87FC-0195290FF511}"/>
            </a:ext>
            <a:ext uri="{147F2762-F138-4A5C-976F-8EAC2B608ADB}">
              <a16:predDERef xmlns:a16="http://schemas.microsoft.com/office/drawing/2014/main" pred="{4ADCB1B6-C24C-4544-8FFB-4C51D1AE0AFD}"/>
            </a:ext>
          </a:extLst>
        </xdr:cNvPr>
        <xdr:cNvSpPr>
          <a:spLocks noChangeAspect="1" noChangeArrowheads="1"/>
        </xdr:cNvSpPr>
      </xdr:nvSpPr>
      <xdr:spPr bwMode="auto">
        <a:xfrm>
          <a:off x="7531100" y="112541050"/>
          <a:ext cx="190500" cy="266700"/>
        </a:xfrm>
        <a:prstGeom prst="rect">
          <a:avLst/>
        </a:prstGeom>
        <a:noFill/>
      </xdr:spPr>
    </xdr:sp>
    <xdr:clientData/>
  </xdr:oneCellAnchor>
  <xdr:oneCellAnchor>
    <xdr:from>
      <xdr:col>4</xdr:col>
      <xdr:colOff>1657350</xdr:colOff>
      <xdr:row>586</xdr:row>
      <xdr:rowOff>0</xdr:rowOff>
    </xdr:from>
    <xdr:ext cx="190500" cy="266700"/>
    <xdr:sp macro="" textlink="">
      <xdr:nvSpPr>
        <xdr:cNvPr id="5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E86149A-504D-4C69-BC55-F7005260E071}"/>
            </a:ext>
            <a:ext uri="{147F2762-F138-4A5C-976F-8EAC2B608ADB}">
              <a16:predDERef xmlns:a16="http://schemas.microsoft.com/office/drawing/2014/main" pred="{055B2593-A433-49FA-9583-FBBF58767365}"/>
            </a:ext>
          </a:extLst>
        </xdr:cNvPr>
        <xdr:cNvSpPr>
          <a:spLocks noChangeAspect="1" noChangeArrowheads="1"/>
        </xdr:cNvSpPr>
      </xdr:nvSpPr>
      <xdr:spPr bwMode="auto">
        <a:xfrm>
          <a:off x="7531100" y="112909350"/>
          <a:ext cx="190500" cy="266700"/>
        </a:xfrm>
        <a:prstGeom prst="rect">
          <a:avLst/>
        </a:prstGeom>
        <a:noFill/>
      </xdr:spPr>
    </xdr:sp>
    <xdr:clientData/>
  </xdr:oneCellAnchor>
  <xdr:oneCellAnchor>
    <xdr:from>
      <xdr:col>4</xdr:col>
      <xdr:colOff>1657350</xdr:colOff>
      <xdr:row>586</xdr:row>
      <xdr:rowOff>0</xdr:rowOff>
    </xdr:from>
    <xdr:ext cx="190500" cy="266700"/>
    <xdr:sp macro="" textlink="">
      <xdr:nvSpPr>
        <xdr:cNvPr id="5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B6BF2C2-9C8E-4521-9478-3EF472C13F4B}"/>
            </a:ext>
            <a:ext uri="{147F2762-F138-4A5C-976F-8EAC2B608ADB}">
              <a16:predDERef xmlns:a16="http://schemas.microsoft.com/office/drawing/2014/main" pred="{FF2BB354-1075-4023-B069-CE6AD8774BC1}"/>
            </a:ext>
          </a:extLst>
        </xdr:cNvPr>
        <xdr:cNvSpPr>
          <a:spLocks noChangeAspect="1" noChangeArrowheads="1"/>
        </xdr:cNvSpPr>
      </xdr:nvSpPr>
      <xdr:spPr bwMode="auto">
        <a:xfrm>
          <a:off x="7531100" y="112909350"/>
          <a:ext cx="190500" cy="266700"/>
        </a:xfrm>
        <a:prstGeom prst="rect">
          <a:avLst/>
        </a:prstGeom>
        <a:noFill/>
      </xdr:spPr>
    </xdr:sp>
    <xdr:clientData/>
  </xdr:oneCellAnchor>
  <xdr:oneCellAnchor>
    <xdr:from>
      <xdr:col>4</xdr:col>
      <xdr:colOff>1657350</xdr:colOff>
      <xdr:row>588</xdr:row>
      <xdr:rowOff>0</xdr:rowOff>
    </xdr:from>
    <xdr:ext cx="190500" cy="266700"/>
    <xdr:sp macro="" textlink="">
      <xdr:nvSpPr>
        <xdr:cNvPr id="5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09C8F97-386E-403A-AFE9-8AE9F8BD5EE5}"/>
            </a:ext>
            <a:ext uri="{147F2762-F138-4A5C-976F-8EAC2B608ADB}">
              <a16:predDERef xmlns:a16="http://schemas.microsoft.com/office/drawing/2014/main" pred="{C1687585-F4B7-475D-BE24-C11E479BD62A}"/>
            </a:ext>
          </a:extLst>
        </xdr:cNvPr>
        <xdr:cNvSpPr>
          <a:spLocks noChangeAspect="1" noChangeArrowheads="1"/>
        </xdr:cNvSpPr>
      </xdr:nvSpPr>
      <xdr:spPr bwMode="auto">
        <a:xfrm>
          <a:off x="7531100" y="113277650"/>
          <a:ext cx="190500" cy="266700"/>
        </a:xfrm>
        <a:prstGeom prst="rect">
          <a:avLst/>
        </a:prstGeom>
        <a:noFill/>
      </xdr:spPr>
    </xdr:sp>
    <xdr:clientData/>
  </xdr:oneCellAnchor>
  <xdr:oneCellAnchor>
    <xdr:from>
      <xdr:col>4</xdr:col>
      <xdr:colOff>1657350</xdr:colOff>
      <xdr:row>588</xdr:row>
      <xdr:rowOff>0</xdr:rowOff>
    </xdr:from>
    <xdr:ext cx="190500" cy="266700"/>
    <xdr:sp macro="" textlink="">
      <xdr:nvSpPr>
        <xdr:cNvPr id="5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E8881F7-6FD8-4CE1-97D2-5570A271B060}"/>
            </a:ext>
            <a:ext uri="{147F2762-F138-4A5C-976F-8EAC2B608ADB}">
              <a16:predDERef xmlns:a16="http://schemas.microsoft.com/office/drawing/2014/main" pred="{9641E62A-D7CB-463B-9650-85EEA6CC121C}"/>
            </a:ext>
          </a:extLst>
        </xdr:cNvPr>
        <xdr:cNvSpPr>
          <a:spLocks noChangeAspect="1" noChangeArrowheads="1"/>
        </xdr:cNvSpPr>
      </xdr:nvSpPr>
      <xdr:spPr bwMode="auto">
        <a:xfrm>
          <a:off x="7531100" y="113277650"/>
          <a:ext cx="190500" cy="266700"/>
        </a:xfrm>
        <a:prstGeom prst="rect">
          <a:avLst/>
        </a:prstGeom>
        <a:noFill/>
      </xdr:spPr>
    </xdr:sp>
    <xdr:clientData/>
  </xdr:oneCellAnchor>
  <xdr:oneCellAnchor>
    <xdr:from>
      <xdr:col>4</xdr:col>
      <xdr:colOff>1657350</xdr:colOff>
      <xdr:row>590</xdr:row>
      <xdr:rowOff>0</xdr:rowOff>
    </xdr:from>
    <xdr:ext cx="190500" cy="266700"/>
    <xdr:sp macro="" textlink="">
      <xdr:nvSpPr>
        <xdr:cNvPr id="5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0329332-05F2-4D6D-AACA-671E5D4EFBD8}"/>
            </a:ext>
            <a:ext uri="{147F2762-F138-4A5C-976F-8EAC2B608ADB}">
              <a16:predDERef xmlns:a16="http://schemas.microsoft.com/office/drawing/2014/main" pred="{4912F433-7905-4B3E-B8DC-01A7E3A0DA2B}"/>
            </a:ext>
          </a:extLst>
        </xdr:cNvPr>
        <xdr:cNvSpPr>
          <a:spLocks noChangeAspect="1" noChangeArrowheads="1"/>
        </xdr:cNvSpPr>
      </xdr:nvSpPr>
      <xdr:spPr bwMode="auto">
        <a:xfrm>
          <a:off x="7531100" y="113645950"/>
          <a:ext cx="190500" cy="266700"/>
        </a:xfrm>
        <a:prstGeom prst="rect">
          <a:avLst/>
        </a:prstGeom>
        <a:noFill/>
      </xdr:spPr>
    </xdr:sp>
    <xdr:clientData/>
  </xdr:oneCellAnchor>
  <xdr:oneCellAnchor>
    <xdr:from>
      <xdr:col>4</xdr:col>
      <xdr:colOff>1657350</xdr:colOff>
      <xdr:row>590</xdr:row>
      <xdr:rowOff>0</xdr:rowOff>
    </xdr:from>
    <xdr:ext cx="190500" cy="266700"/>
    <xdr:sp macro="" textlink="">
      <xdr:nvSpPr>
        <xdr:cNvPr id="5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BE1379-3418-4026-A69E-9444C4417F5C}"/>
            </a:ext>
            <a:ext uri="{147F2762-F138-4A5C-976F-8EAC2B608ADB}">
              <a16:predDERef xmlns:a16="http://schemas.microsoft.com/office/drawing/2014/main" pred="{52F93190-566D-4AAF-848B-2672DD210DBD}"/>
            </a:ext>
          </a:extLst>
        </xdr:cNvPr>
        <xdr:cNvSpPr>
          <a:spLocks noChangeAspect="1" noChangeArrowheads="1"/>
        </xdr:cNvSpPr>
      </xdr:nvSpPr>
      <xdr:spPr bwMode="auto">
        <a:xfrm>
          <a:off x="7531100" y="113645950"/>
          <a:ext cx="190500" cy="266700"/>
        </a:xfrm>
        <a:prstGeom prst="rect">
          <a:avLst/>
        </a:prstGeom>
        <a:noFill/>
      </xdr:spPr>
    </xdr:sp>
    <xdr:clientData/>
  </xdr:oneCellAnchor>
  <xdr:oneCellAnchor>
    <xdr:from>
      <xdr:col>4</xdr:col>
      <xdr:colOff>1657350</xdr:colOff>
      <xdr:row>592</xdr:row>
      <xdr:rowOff>0</xdr:rowOff>
    </xdr:from>
    <xdr:ext cx="190500" cy="266700"/>
    <xdr:sp macro="" textlink="">
      <xdr:nvSpPr>
        <xdr:cNvPr id="5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02F1E8-4E03-4CC1-BCD2-08D7EDAC220F}"/>
            </a:ext>
            <a:ext uri="{147F2762-F138-4A5C-976F-8EAC2B608ADB}">
              <a16:predDERef xmlns:a16="http://schemas.microsoft.com/office/drawing/2014/main" pred="{7026E8B2-00C2-4ED2-83D3-5A055B408A6B}"/>
            </a:ext>
          </a:extLst>
        </xdr:cNvPr>
        <xdr:cNvSpPr>
          <a:spLocks noChangeAspect="1" noChangeArrowheads="1"/>
        </xdr:cNvSpPr>
      </xdr:nvSpPr>
      <xdr:spPr bwMode="auto">
        <a:xfrm>
          <a:off x="7531100" y="114014250"/>
          <a:ext cx="190500" cy="266700"/>
        </a:xfrm>
        <a:prstGeom prst="rect">
          <a:avLst/>
        </a:prstGeom>
        <a:noFill/>
      </xdr:spPr>
    </xdr:sp>
    <xdr:clientData/>
  </xdr:oneCellAnchor>
  <xdr:oneCellAnchor>
    <xdr:from>
      <xdr:col>4</xdr:col>
      <xdr:colOff>1657350</xdr:colOff>
      <xdr:row>592</xdr:row>
      <xdr:rowOff>0</xdr:rowOff>
    </xdr:from>
    <xdr:ext cx="190500" cy="266700"/>
    <xdr:sp macro="" textlink="">
      <xdr:nvSpPr>
        <xdr:cNvPr id="5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3F5864B-B91E-4D97-9492-BBCB8BB88577}"/>
            </a:ext>
            <a:ext uri="{147F2762-F138-4A5C-976F-8EAC2B608ADB}">
              <a16:predDERef xmlns:a16="http://schemas.microsoft.com/office/drawing/2014/main" pred="{B32D599F-AAA5-4388-A8ED-3DF9E443479E}"/>
            </a:ext>
          </a:extLst>
        </xdr:cNvPr>
        <xdr:cNvSpPr>
          <a:spLocks noChangeAspect="1" noChangeArrowheads="1"/>
        </xdr:cNvSpPr>
      </xdr:nvSpPr>
      <xdr:spPr bwMode="auto">
        <a:xfrm>
          <a:off x="7531100" y="114014250"/>
          <a:ext cx="190500" cy="266700"/>
        </a:xfrm>
        <a:prstGeom prst="rect">
          <a:avLst/>
        </a:prstGeom>
        <a:noFill/>
      </xdr:spPr>
    </xdr:sp>
    <xdr:clientData/>
  </xdr:oneCellAnchor>
  <xdr:oneCellAnchor>
    <xdr:from>
      <xdr:col>4</xdr:col>
      <xdr:colOff>1657350</xdr:colOff>
      <xdr:row>594</xdr:row>
      <xdr:rowOff>0</xdr:rowOff>
    </xdr:from>
    <xdr:ext cx="190500" cy="266700"/>
    <xdr:sp macro="" textlink="">
      <xdr:nvSpPr>
        <xdr:cNvPr id="5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B28C478-60AF-4AB5-83AF-EC5C1A33B11E}"/>
            </a:ext>
            <a:ext uri="{147F2762-F138-4A5C-976F-8EAC2B608ADB}">
              <a16:predDERef xmlns:a16="http://schemas.microsoft.com/office/drawing/2014/main" pred="{4DBB04E3-010B-4A9E-8F76-7877D2A51308}"/>
            </a:ext>
          </a:extLst>
        </xdr:cNvPr>
        <xdr:cNvSpPr>
          <a:spLocks noChangeAspect="1" noChangeArrowheads="1"/>
        </xdr:cNvSpPr>
      </xdr:nvSpPr>
      <xdr:spPr bwMode="auto">
        <a:xfrm>
          <a:off x="7531100" y="114382550"/>
          <a:ext cx="190500" cy="266700"/>
        </a:xfrm>
        <a:prstGeom prst="rect">
          <a:avLst/>
        </a:prstGeom>
        <a:noFill/>
      </xdr:spPr>
    </xdr:sp>
    <xdr:clientData/>
  </xdr:oneCellAnchor>
  <xdr:oneCellAnchor>
    <xdr:from>
      <xdr:col>4</xdr:col>
      <xdr:colOff>1657350</xdr:colOff>
      <xdr:row>594</xdr:row>
      <xdr:rowOff>0</xdr:rowOff>
    </xdr:from>
    <xdr:ext cx="190500" cy="266700"/>
    <xdr:sp macro="" textlink="">
      <xdr:nvSpPr>
        <xdr:cNvPr id="5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B3DAC0-6D31-461F-80C7-46CE4EF14E54}"/>
            </a:ext>
            <a:ext uri="{147F2762-F138-4A5C-976F-8EAC2B608ADB}">
              <a16:predDERef xmlns:a16="http://schemas.microsoft.com/office/drawing/2014/main" pred="{B4199E3B-6263-4FF9-8EAD-0EF769D7F4FE}"/>
            </a:ext>
          </a:extLst>
        </xdr:cNvPr>
        <xdr:cNvSpPr>
          <a:spLocks noChangeAspect="1" noChangeArrowheads="1"/>
        </xdr:cNvSpPr>
      </xdr:nvSpPr>
      <xdr:spPr bwMode="auto">
        <a:xfrm>
          <a:off x="7531100" y="114382550"/>
          <a:ext cx="190500" cy="266700"/>
        </a:xfrm>
        <a:prstGeom prst="rect">
          <a:avLst/>
        </a:prstGeom>
        <a:noFill/>
      </xdr:spPr>
    </xdr:sp>
    <xdr:clientData/>
  </xdr:oneCellAnchor>
  <xdr:oneCellAnchor>
    <xdr:from>
      <xdr:col>4</xdr:col>
      <xdr:colOff>1657350</xdr:colOff>
      <xdr:row>596</xdr:row>
      <xdr:rowOff>0</xdr:rowOff>
    </xdr:from>
    <xdr:ext cx="190500" cy="266700"/>
    <xdr:sp macro="" textlink="">
      <xdr:nvSpPr>
        <xdr:cNvPr id="5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602D2DC-5867-4D21-9AFB-73DBF2653BCC}"/>
            </a:ext>
            <a:ext uri="{147F2762-F138-4A5C-976F-8EAC2B608ADB}">
              <a16:predDERef xmlns:a16="http://schemas.microsoft.com/office/drawing/2014/main" pred="{9D0B389E-6A9D-4332-9D31-160F76E79A2C}"/>
            </a:ext>
          </a:extLst>
        </xdr:cNvPr>
        <xdr:cNvSpPr>
          <a:spLocks noChangeAspect="1" noChangeArrowheads="1"/>
        </xdr:cNvSpPr>
      </xdr:nvSpPr>
      <xdr:spPr bwMode="auto">
        <a:xfrm>
          <a:off x="7531100" y="114750850"/>
          <a:ext cx="190500" cy="266700"/>
        </a:xfrm>
        <a:prstGeom prst="rect">
          <a:avLst/>
        </a:prstGeom>
        <a:noFill/>
      </xdr:spPr>
    </xdr:sp>
    <xdr:clientData/>
  </xdr:oneCellAnchor>
  <xdr:oneCellAnchor>
    <xdr:from>
      <xdr:col>4</xdr:col>
      <xdr:colOff>1657350</xdr:colOff>
      <xdr:row>596</xdr:row>
      <xdr:rowOff>0</xdr:rowOff>
    </xdr:from>
    <xdr:ext cx="190500" cy="266700"/>
    <xdr:sp macro="" textlink="">
      <xdr:nvSpPr>
        <xdr:cNvPr id="5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061FCEA-BACF-4B3F-B7E2-76753248CDE7}"/>
            </a:ext>
            <a:ext uri="{147F2762-F138-4A5C-976F-8EAC2B608ADB}">
              <a16:predDERef xmlns:a16="http://schemas.microsoft.com/office/drawing/2014/main" pred="{01B6773A-0725-45F2-9F6F-7F22A9E63028}"/>
            </a:ext>
          </a:extLst>
        </xdr:cNvPr>
        <xdr:cNvSpPr>
          <a:spLocks noChangeAspect="1" noChangeArrowheads="1"/>
        </xdr:cNvSpPr>
      </xdr:nvSpPr>
      <xdr:spPr bwMode="auto">
        <a:xfrm>
          <a:off x="7531100" y="114750850"/>
          <a:ext cx="190500" cy="266700"/>
        </a:xfrm>
        <a:prstGeom prst="rect">
          <a:avLst/>
        </a:prstGeom>
        <a:noFill/>
      </xdr:spPr>
    </xdr:sp>
    <xdr:clientData/>
  </xdr:oneCellAnchor>
  <xdr:oneCellAnchor>
    <xdr:from>
      <xdr:col>4</xdr:col>
      <xdr:colOff>1657350</xdr:colOff>
      <xdr:row>598</xdr:row>
      <xdr:rowOff>0</xdr:rowOff>
    </xdr:from>
    <xdr:ext cx="190500" cy="266700"/>
    <xdr:sp macro="" textlink="">
      <xdr:nvSpPr>
        <xdr:cNvPr id="6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EF5D572-51C4-4EDD-AF90-A52D758B7BAF}"/>
            </a:ext>
            <a:ext uri="{147F2762-F138-4A5C-976F-8EAC2B608ADB}">
              <a16:predDERef xmlns:a16="http://schemas.microsoft.com/office/drawing/2014/main" pred="{1880CD3F-A408-44DC-B806-583D3C08074B}"/>
            </a:ext>
          </a:extLst>
        </xdr:cNvPr>
        <xdr:cNvSpPr>
          <a:spLocks noChangeAspect="1" noChangeArrowheads="1"/>
        </xdr:cNvSpPr>
      </xdr:nvSpPr>
      <xdr:spPr bwMode="auto">
        <a:xfrm>
          <a:off x="7531100" y="115119150"/>
          <a:ext cx="190500" cy="266700"/>
        </a:xfrm>
        <a:prstGeom prst="rect">
          <a:avLst/>
        </a:prstGeom>
        <a:noFill/>
      </xdr:spPr>
    </xdr:sp>
    <xdr:clientData/>
  </xdr:oneCellAnchor>
  <xdr:oneCellAnchor>
    <xdr:from>
      <xdr:col>4</xdr:col>
      <xdr:colOff>1657350</xdr:colOff>
      <xdr:row>598</xdr:row>
      <xdr:rowOff>0</xdr:rowOff>
    </xdr:from>
    <xdr:ext cx="190500" cy="266700"/>
    <xdr:sp macro="" textlink="">
      <xdr:nvSpPr>
        <xdr:cNvPr id="6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4F77E2C-E671-4820-962C-6B89903869FB}"/>
            </a:ext>
            <a:ext uri="{147F2762-F138-4A5C-976F-8EAC2B608ADB}">
              <a16:predDERef xmlns:a16="http://schemas.microsoft.com/office/drawing/2014/main" pred="{852313A7-5E24-4F18-B920-90763104F11F}"/>
            </a:ext>
          </a:extLst>
        </xdr:cNvPr>
        <xdr:cNvSpPr>
          <a:spLocks noChangeAspect="1" noChangeArrowheads="1"/>
        </xdr:cNvSpPr>
      </xdr:nvSpPr>
      <xdr:spPr bwMode="auto">
        <a:xfrm>
          <a:off x="7531100" y="115119150"/>
          <a:ext cx="190500" cy="266700"/>
        </a:xfrm>
        <a:prstGeom prst="rect">
          <a:avLst/>
        </a:prstGeom>
        <a:noFill/>
      </xdr:spPr>
    </xdr:sp>
    <xdr:clientData/>
  </xdr:oneCellAnchor>
  <xdr:oneCellAnchor>
    <xdr:from>
      <xdr:col>4</xdr:col>
      <xdr:colOff>1657350</xdr:colOff>
      <xdr:row>600</xdr:row>
      <xdr:rowOff>0</xdr:rowOff>
    </xdr:from>
    <xdr:ext cx="190500" cy="266700"/>
    <xdr:sp macro="" textlink="">
      <xdr:nvSpPr>
        <xdr:cNvPr id="6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5F64022-F550-4657-BB09-E9F1E2843A1F}"/>
            </a:ext>
            <a:ext uri="{147F2762-F138-4A5C-976F-8EAC2B608ADB}">
              <a16:predDERef xmlns:a16="http://schemas.microsoft.com/office/drawing/2014/main" pred="{11FE5EB3-3DDB-42A1-A97E-3CEFD8129D1D}"/>
            </a:ext>
          </a:extLst>
        </xdr:cNvPr>
        <xdr:cNvSpPr>
          <a:spLocks noChangeAspect="1" noChangeArrowheads="1"/>
        </xdr:cNvSpPr>
      </xdr:nvSpPr>
      <xdr:spPr bwMode="auto">
        <a:xfrm>
          <a:off x="7531100" y="115487450"/>
          <a:ext cx="190500" cy="266700"/>
        </a:xfrm>
        <a:prstGeom prst="rect">
          <a:avLst/>
        </a:prstGeom>
        <a:noFill/>
      </xdr:spPr>
    </xdr:sp>
    <xdr:clientData/>
  </xdr:oneCellAnchor>
  <xdr:oneCellAnchor>
    <xdr:from>
      <xdr:col>4</xdr:col>
      <xdr:colOff>1657350</xdr:colOff>
      <xdr:row>600</xdr:row>
      <xdr:rowOff>0</xdr:rowOff>
    </xdr:from>
    <xdr:ext cx="190500" cy="266700"/>
    <xdr:sp macro="" textlink="">
      <xdr:nvSpPr>
        <xdr:cNvPr id="6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8ED9D65-BDD5-49AB-B2AC-FF7D22A6A12A}"/>
            </a:ext>
            <a:ext uri="{147F2762-F138-4A5C-976F-8EAC2B608ADB}">
              <a16:predDERef xmlns:a16="http://schemas.microsoft.com/office/drawing/2014/main" pred="{2069DC5B-513F-4685-8DCF-827B6A84D0C7}"/>
            </a:ext>
          </a:extLst>
        </xdr:cNvPr>
        <xdr:cNvSpPr>
          <a:spLocks noChangeAspect="1" noChangeArrowheads="1"/>
        </xdr:cNvSpPr>
      </xdr:nvSpPr>
      <xdr:spPr bwMode="auto">
        <a:xfrm>
          <a:off x="7531100" y="115487450"/>
          <a:ext cx="190500" cy="266700"/>
        </a:xfrm>
        <a:prstGeom prst="rect">
          <a:avLst/>
        </a:prstGeom>
        <a:noFill/>
      </xdr:spPr>
    </xdr:sp>
    <xdr:clientData/>
  </xdr:oneCellAnchor>
  <xdr:oneCellAnchor>
    <xdr:from>
      <xdr:col>4</xdr:col>
      <xdr:colOff>1657350</xdr:colOff>
      <xdr:row>602</xdr:row>
      <xdr:rowOff>0</xdr:rowOff>
    </xdr:from>
    <xdr:ext cx="190500" cy="266700"/>
    <xdr:sp macro="" textlink="">
      <xdr:nvSpPr>
        <xdr:cNvPr id="6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164D722-96AD-4F2C-ADE3-5394F7E5BB86}"/>
            </a:ext>
            <a:ext uri="{147F2762-F138-4A5C-976F-8EAC2B608ADB}">
              <a16:predDERef xmlns:a16="http://schemas.microsoft.com/office/drawing/2014/main" pred="{53014E6C-C885-4794-81F8-E83A036BD9D3}"/>
            </a:ext>
          </a:extLst>
        </xdr:cNvPr>
        <xdr:cNvSpPr>
          <a:spLocks noChangeAspect="1" noChangeArrowheads="1"/>
        </xdr:cNvSpPr>
      </xdr:nvSpPr>
      <xdr:spPr bwMode="auto">
        <a:xfrm>
          <a:off x="7531100" y="115855750"/>
          <a:ext cx="190500" cy="266700"/>
        </a:xfrm>
        <a:prstGeom prst="rect">
          <a:avLst/>
        </a:prstGeom>
        <a:noFill/>
      </xdr:spPr>
    </xdr:sp>
    <xdr:clientData/>
  </xdr:oneCellAnchor>
  <xdr:oneCellAnchor>
    <xdr:from>
      <xdr:col>4</xdr:col>
      <xdr:colOff>1657350</xdr:colOff>
      <xdr:row>602</xdr:row>
      <xdr:rowOff>0</xdr:rowOff>
    </xdr:from>
    <xdr:ext cx="190500" cy="266700"/>
    <xdr:sp macro="" textlink="">
      <xdr:nvSpPr>
        <xdr:cNvPr id="6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984D16B-7392-4F73-B2A7-8B6924114685}"/>
            </a:ext>
            <a:ext uri="{147F2762-F138-4A5C-976F-8EAC2B608ADB}">
              <a16:predDERef xmlns:a16="http://schemas.microsoft.com/office/drawing/2014/main" pred="{04BAB6B4-6186-4524-90DA-A764122AFBC5}"/>
            </a:ext>
          </a:extLst>
        </xdr:cNvPr>
        <xdr:cNvSpPr>
          <a:spLocks noChangeAspect="1" noChangeArrowheads="1"/>
        </xdr:cNvSpPr>
      </xdr:nvSpPr>
      <xdr:spPr bwMode="auto">
        <a:xfrm>
          <a:off x="7531100" y="115855750"/>
          <a:ext cx="190500" cy="266700"/>
        </a:xfrm>
        <a:prstGeom prst="rect">
          <a:avLst/>
        </a:prstGeom>
        <a:noFill/>
      </xdr:spPr>
    </xdr:sp>
    <xdr:clientData/>
  </xdr:oneCellAnchor>
  <xdr:oneCellAnchor>
    <xdr:from>
      <xdr:col>4</xdr:col>
      <xdr:colOff>1657350</xdr:colOff>
      <xdr:row>604</xdr:row>
      <xdr:rowOff>0</xdr:rowOff>
    </xdr:from>
    <xdr:ext cx="190500" cy="266700"/>
    <xdr:sp macro="" textlink="">
      <xdr:nvSpPr>
        <xdr:cNvPr id="6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97C3B7D-1FBD-4D6A-876C-7F51666820AE}"/>
            </a:ext>
            <a:ext uri="{147F2762-F138-4A5C-976F-8EAC2B608ADB}">
              <a16:predDERef xmlns:a16="http://schemas.microsoft.com/office/drawing/2014/main" pred="{574BC3B2-3637-47C0-A3E4-17FA90202EFF}"/>
            </a:ext>
          </a:extLst>
        </xdr:cNvPr>
        <xdr:cNvSpPr>
          <a:spLocks noChangeAspect="1" noChangeArrowheads="1"/>
        </xdr:cNvSpPr>
      </xdr:nvSpPr>
      <xdr:spPr bwMode="auto">
        <a:xfrm>
          <a:off x="7531100" y="116224050"/>
          <a:ext cx="190500" cy="266700"/>
        </a:xfrm>
        <a:prstGeom prst="rect">
          <a:avLst/>
        </a:prstGeom>
        <a:noFill/>
      </xdr:spPr>
    </xdr:sp>
    <xdr:clientData/>
  </xdr:oneCellAnchor>
  <xdr:oneCellAnchor>
    <xdr:from>
      <xdr:col>4</xdr:col>
      <xdr:colOff>1657350</xdr:colOff>
      <xdr:row>604</xdr:row>
      <xdr:rowOff>0</xdr:rowOff>
    </xdr:from>
    <xdr:ext cx="190500" cy="266700"/>
    <xdr:sp macro="" textlink="">
      <xdr:nvSpPr>
        <xdr:cNvPr id="6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5F1B4FC-4BB4-46C9-BD5D-806BB58FDF4C}"/>
            </a:ext>
            <a:ext uri="{147F2762-F138-4A5C-976F-8EAC2B608ADB}">
              <a16:predDERef xmlns:a16="http://schemas.microsoft.com/office/drawing/2014/main" pred="{A1C0F8AE-DE31-4A7E-A870-25D4790014CC}"/>
            </a:ext>
          </a:extLst>
        </xdr:cNvPr>
        <xdr:cNvSpPr>
          <a:spLocks noChangeAspect="1" noChangeArrowheads="1"/>
        </xdr:cNvSpPr>
      </xdr:nvSpPr>
      <xdr:spPr bwMode="auto">
        <a:xfrm>
          <a:off x="7531100" y="116224050"/>
          <a:ext cx="190500" cy="266700"/>
        </a:xfrm>
        <a:prstGeom prst="rect">
          <a:avLst/>
        </a:prstGeom>
        <a:noFill/>
      </xdr:spPr>
    </xdr:sp>
    <xdr:clientData/>
  </xdr:oneCellAnchor>
  <xdr:oneCellAnchor>
    <xdr:from>
      <xdr:col>4</xdr:col>
      <xdr:colOff>1657350</xdr:colOff>
      <xdr:row>606</xdr:row>
      <xdr:rowOff>0</xdr:rowOff>
    </xdr:from>
    <xdr:ext cx="190500" cy="266700"/>
    <xdr:sp macro="" textlink="">
      <xdr:nvSpPr>
        <xdr:cNvPr id="6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1C00353-51E9-43AB-8818-F126C3E4768A}"/>
            </a:ext>
            <a:ext uri="{147F2762-F138-4A5C-976F-8EAC2B608ADB}">
              <a16:predDERef xmlns:a16="http://schemas.microsoft.com/office/drawing/2014/main" pred="{38049C90-C6A9-4ABB-8B73-D13E8205B29E}"/>
            </a:ext>
          </a:extLst>
        </xdr:cNvPr>
        <xdr:cNvSpPr>
          <a:spLocks noChangeAspect="1" noChangeArrowheads="1"/>
        </xdr:cNvSpPr>
      </xdr:nvSpPr>
      <xdr:spPr bwMode="auto">
        <a:xfrm>
          <a:off x="7531100" y="116592350"/>
          <a:ext cx="190500" cy="266700"/>
        </a:xfrm>
        <a:prstGeom prst="rect">
          <a:avLst/>
        </a:prstGeom>
        <a:noFill/>
      </xdr:spPr>
    </xdr:sp>
    <xdr:clientData/>
  </xdr:oneCellAnchor>
  <xdr:oneCellAnchor>
    <xdr:from>
      <xdr:col>4</xdr:col>
      <xdr:colOff>1657350</xdr:colOff>
      <xdr:row>606</xdr:row>
      <xdr:rowOff>0</xdr:rowOff>
    </xdr:from>
    <xdr:ext cx="190500" cy="266700"/>
    <xdr:sp macro="" textlink="">
      <xdr:nvSpPr>
        <xdr:cNvPr id="6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B91DA07-0D75-4C3F-8CC7-062B0BC47294}"/>
            </a:ext>
            <a:ext uri="{147F2762-F138-4A5C-976F-8EAC2B608ADB}">
              <a16:predDERef xmlns:a16="http://schemas.microsoft.com/office/drawing/2014/main" pred="{71EBC12D-7849-4D9C-8F36-6006C631C4E7}"/>
            </a:ext>
          </a:extLst>
        </xdr:cNvPr>
        <xdr:cNvSpPr>
          <a:spLocks noChangeAspect="1" noChangeArrowheads="1"/>
        </xdr:cNvSpPr>
      </xdr:nvSpPr>
      <xdr:spPr bwMode="auto">
        <a:xfrm>
          <a:off x="7531100" y="116592350"/>
          <a:ext cx="190500" cy="266700"/>
        </a:xfrm>
        <a:prstGeom prst="rect">
          <a:avLst/>
        </a:prstGeom>
        <a:noFill/>
      </xdr:spPr>
    </xdr:sp>
    <xdr:clientData/>
  </xdr:oneCellAnchor>
  <xdr:oneCellAnchor>
    <xdr:from>
      <xdr:col>4</xdr:col>
      <xdr:colOff>1657350</xdr:colOff>
      <xdr:row>608</xdr:row>
      <xdr:rowOff>0</xdr:rowOff>
    </xdr:from>
    <xdr:ext cx="190500" cy="266700"/>
    <xdr:sp macro="" textlink="">
      <xdr:nvSpPr>
        <xdr:cNvPr id="6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C2C2DDD-A5F7-4BF7-8BED-74C4D5108E53}"/>
            </a:ext>
            <a:ext uri="{147F2762-F138-4A5C-976F-8EAC2B608ADB}">
              <a16:predDERef xmlns:a16="http://schemas.microsoft.com/office/drawing/2014/main" pred="{5397B70E-FC1E-4A28-8A43-C518662C59AD}"/>
            </a:ext>
          </a:extLst>
        </xdr:cNvPr>
        <xdr:cNvSpPr>
          <a:spLocks noChangeAspect="1" noChangeArrowheads="1"/>
        </xdr:cNvSpPr>
      </xdr:nvSpPr>
      <xdr:spPr bwMode="auto">
        <a:xfrm>
          <a:off x="7531100" y="116960650"/>
          <a:ext cx="190500" cy="266700"/>
        </a:xfrm>
        <a:prstGeom prst="rect">
          <a:avLst/>
        </a:prstGeom>
        <a:noFill/>
      </xdr:spPr>
    </xdr:sp>
    <xdr:clientData/>
  </xdr:oneCellAnchor>
  <xdr:oneCellAnchor>
    <xdr:from>
      <xdr:col>4</xdr:col>
      <xdr:colOff>1657350</xdr:colOff>
      <xdr:row>608</xdr:row>
      <xdr:rowOff>0</xdr:rowOff>
    </xdr:from>
    <xdr:ext cx="190500" cy="266700"/>
    <xdr:sp macro="" textlink="">
      <xdr:nvSpPr>
        <xdr:cNvPr id="6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A837B78-A6A2-4AE0-BCFF-9153AED98B82}"/>
            </a:ext>
            <a:ext uri="{147F2762-F138-4A5C-976F-8EAC2B608ADB}">
              <a16:predDERef xmlns:a16="http://schemas.microsoft.com/office/drawing/2014/main" pred="{45A4E94D-7DFB-4D11-A0F6-1C3631FE886E}"/>
            </a:ext>
          </a:extLst>
        </xdr:cNvPr>
        <xdr:cNvSpPr>
          <a:spLocks noChangeAspect="1" noChangeArrowheads="1"/>
        </xdr:cNvSpPr>
      </xdr:nvSpPr>
      <xdr:spPr bwMode="auto">
        <a:xfrm>
          <a:off x="7531100" y="116960650"/>
          <a:ext cx="190500" cy="266700"/>
        </a:xfrm>
        <a:prstGeom prst="rect">
          <a:avLst/>
        </a:prstGeom>
        <a:noFill/>
      </xdr:spPr>
    </xdr:sp>
    <xdr:clientData/>
  </xdr:oneCellAnchor>
  <xdr:oneCellAnchor>
    <xdr:from>
      <xdr:col>4</xdr:col>
      <xdr:colOff>1657350</xdr:colOff>
      <xdr:row>610</xdr:row>
      <xdr:rowOff>0</xdr:rowOff>
    </xdr:from>
    <xdr:ext cx="190500" cy="266700"/>
    <xdr:sp macro="" textlink="">
      <xdr:nvSpPr>
        <xdr:cNvPr id="6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637B49D-802E-4731-8F3B-061680F9B956}"/>
            </a:ext>
            <a:ext uri="{147F2762-F138-4A5C-976F-8EAC2B608ADB}">
              <a16:predDERef xmlns:a16="http://schemas.microsoft.com/office/drawing/2014/main" pred="{3D4C545A-D25A-4F72-A95C-97A3D49021F3}"/>
            </a:ext>
          </a:extLst>
        </xdr:cNvPr>
        <xdr:cNvSpPr>
          <a:spLocks noChangeAspect="1" noChangeArrowheads="1"/>
        </xdr:cNvSpPr>
      </xdr:nvSpPr>
      <xdr:spPr bwMode="auto">
        <a:xfrm>
          <a:off x="7531100" y="117328950"/>
          <a:ext cx="190500" cy="266700"/>
        </a:xfrm>
        <a:prstGeom prst="rect">
          <a:avLst/>
        </a:prstGeom>
        <a:noFill/>
      </xdr:spPr>
    </xdr:sp>
    <xdr:clientData/>
  </xdr:oneCellAnchor>
  <xdr:oneCellAnchor>
    <xdr:from>
      <xdr:col>4</xdr:col>
      <xdr:colOff>1657350</xdr:colOff>
      <xdr:row>610</xdr:row>
      <xdr:rowOff>0</xdr:rowOff>
    </xdr:from>
    <xdr:ext cx="190500" cy="266700"/>
    <xdr:sp macro="" textlink="">
      <xdr:nvSpPr>
        <xdr:cNvPr id="6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4ED1889-4393-4A89-8786-A9080EFE0DB7}"/>
            </a:ext>
            <a:ext uri="{147F2762-F138-4A5C-976F-8EAC2B608ADB}">
              <a16:predDERef xmlns:a16="http://schemas.microsoft.com/office/drawing/2014/main" pred="{67A22EC6-D4AD-4CBE-A803-AE7DBF9BDF2C}"/>
            </a:ext>
          </a:extLst>
        </xdr:cNvPr>
        <xdr:cNvSpPr>
          <a:spLocks noChangeAspect="1" noChangeArrowheads="1"/>
        </xdr:cNvSpPr>
      </xdr:nvSpPr>
      <xdr:spPr bwMode="auto">
        <a:xfrm>
          <a:off x="7531100" y="117328950"/>
          <a:ext cx="190500" cy="266700"/>
        </a:xfrm>
        <a:prstGeom prst="rect">
          <a:avLst/>
        </a:prstGeom>
        <a:noFill/>
      </xdr:spPr>
    </xdr:sp>
    <xdr:clientData/>
  </xdr:oneCellAnchor>
  <xdr:oneCellAnchor>
    <xdr:from>
      <xdr:col>4</xdr:col>
      <xdr:colOff>1657350</xdr:colOff>
      <xdr:row>612</xdr:row>
      <xdr:rowOff>0</xdr:rowOff>
    </xdr:from>
    <xdr:ext cx="190500" cy="266700"/>
    <xdr:sp macro="" textlink="">
      <xdr:nvSpPr>
        <xdr:cNvPr id="6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9E173F4-A27A-4557-8ED6-BF9B5CD75B6D}"/>
            </a:ext>
            <a:ext uri="{147F2762-F138-4A5C-976F-8EAC2B608ADB}">
              <a16:predDERef xmlns:a16="http://schemas.microsoft.com/office/drawing/2014/main" pred="{29417F59-CC04-4464-902E-DC6DF404BD83}"/>
            </a:ext>
          </a:extLst>
        </xdr:cNvPr>
        <xdr:cNvSpPr>
          <a:spLocks noChangeAspect="1" noChangeArrowheads="1"/>
        </xdr:cNvSpPr>
      </xdr:nvSpPr>
      <xdr:spPr bwMode="auto">
        <a:xfrm>
          <a:off x="7531100" y="117697250"/>
          <a:ext cx="190500" cy="266700"/>
        </a:xfrm>
        <a:prstGeom prst="rect">
          <a:avLst/>
        </a:prstGeom>
        <a:noFill/>
      </xdr:spPr>
    </xdr:sp>
    <xdr:clientData/>
  </xdr:oneCellAnchor>
  <xdr:oneCellAnchor>
    <xdr:from>
      <xdr:col>4</xdr:col>
      <xdr:colOff>1657350</xdr:colOff>
      <xdr:row>612</xdr:row>
      <xdr:rowOff>0</xdr:rowOff>
    </xdr:from>
    <xdr:ext cx="190500" cy="266700"/>
    <xdr:sp macro="" textlink="">
      <xdr:nvSpPr>
        <xdr:cNvPr id="6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583AEA4-3266-469B-A04A-2F2658508ADC}"/>
            </a:ext>
            <a:ext uri="{147F2762-F138-4A5C-976F-8EAC2B608ADB}">
              <a16:predDERef xmlns:a16="http://schemas.microsoft.com/office/drawing/2014/main" pred="{2972A4C0-EE63-4CE6-B546-1AB0AC43FFEE}"/>
            </a:ext>
          </a:extLst>
        </xdr:cNvPr>
        <xdr:cNvSpPr>
          <a:spLocks noChangeAspect="1" noChangeArrowheads="1"/>
        </xdr:cNvSpPr>
      </xdr:nvSpPr>
      <xdr:spPr bwMode="auto">
        <a:xfrm>
          <a:off x="7531100" y="117697250"/>
          <a:ext cx="190500" cy="266700"/>
        </a:xfrm>
        <a:prstGeom prst="rect">
          <a:avLst/>
        </a:prstGeom>
        <a:noFill/>
      </xdr:spPr>
    </xdr:sp>
    <xdr:clientData/>
  </xdr:oneCellAnchor>
  <xdr:oneCellAnchor>
    <xdr:from>
      <xdr:col>4</xdr:col>
      <xdr:colOff>1657350</xdr:colOff>
      <xdr:row>614</xdr:row>
      <xdr:rowOff>0</xdr:rowOff>
    </xdr:from>
    <xdr:ext cx="190500" cy="266700"/>
    <xdr:sp macro="" textlink="">
      <xdr:nvSpPr>
        <xdr:cNvPr id="6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28B19FD-F375-40D3-9437-0A06372424A3}"/>
            </a:ext>
            <a:ext uri="{147F2762-F138-4A5C-976F-8EAC2B608ADB}">
              <a16:predDERef xmlns:a16="http://schemas.microsoft.com/office/drawing/2014/main" pred="{58A35CF2-BB20-4A47-A166-CA35BC4F16E1}"/>
            </a:ext>
          </a:extLst>
        </xdr:cNvPr>
        <xdr:cNvSpPr>
          <a:spLocks noChangeAspect="1" noChangeArrowheads="1"/>
        </xdr:cNvSpPr>
      </xdr:nvSpPr>
      <xdr:spPr bwMode="auto">
        <a:xfrm>
          <a:off x="7531100" y="118065550"/>
          <a:ext cx="190500" cy="266700"/>
        </a:xfrm>
        <a:prstGeom prst="rect">
          <a:avLst/>
        </a:prstGeom>
        <a:noFill/>
      </xdr:spPr>
    </xdr:sp>
    <xdr:clientData/>
  </xdr:oneCellAnchor>
  <xdr:oneCellAnchor>
    <xdr:from>
      <xdr:col>4</xdr:col>
      <xdr:colOff>1657350</xdr:colOff>
      <xdr:row>614</xdr:row>
      <xdr:rowOff>0</xdr:rowOff>
    </xdr:from>
    <xdr:ext cx="190500" cy="266700"/>
    <xdr:sp macro="" textlink="">
      <xdr:nvSpPr>
        <xdr:cNvPr id="6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8A10D1D-C6F3-412C-A4D9-AA3B287EFC25}"/>
            </a:ext>
            <a:ext uri="{147F2762-F138-4A5C-976F-8EAC2B608ADB}">
              <a16:predDERef xmlns:a16="http://schemas.microsoft.com/office/drawing/2014/main" pred="{EA15008E-5A82-4BAB-A62F-94FCF72B9A48}"/>
            </a:ext>
          </a:extLst>
        </xdr:cNvPr>
        <xdr:cNvSpPr>
          <a:spLocks noChangeAspect="1" noChangeArrowheads="1"/>
        </xdr:cNvSpPr>
      </xdr:nvSpPr>
      <xdr:spPr bwMode="auto">
        <a:xfrm>
          <a:off x="7531100" y="118065550"/>
          <a:ext cx="190500" cy="266700"/>
        </a:xfrm>
        <a:prstGeom prst="rect">
          <a:avLst/>
        </a:prstGeom>
        <a:noFill/>
      </xdr:spPr>
    </xdr:sp>
    <xdr:clientData/>
  </xdr:oneCellAnchor>
  <xdr:oneCellAnchor>
    <xdr:from>
      <xdr:col>4</xdr:col>
      <xdr:colOff>1657350</xdr:colOff>
      <xdr:row>616</xdr:row>
      <xdr:rowOff>0</xdr:rowOff>
    </xdr:from>
    <xdr:ext cx="190500" cy="266700"/>
    <xdr:sp macro="" textlink="">
      <xdr:nvSpPr>
        <xdr:cNvPr id="6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9098AAC-65D3-48C9-9DB6-4C01EF9F77A8}"/>
            </a:ext>
            <a:ext uri="{147F2762-F138-4A5C-976F-8EAC2B608ADB}">
              <a16:predDERef xmlns:a16="http://schemas.microsoft.com/office/drawing/2014/main" pred="{F52B225F-2E7E-474A-AA2B-99FFE3B98676}"/>
            </a:ext>
          </a:extLst>
        </xdr:cNvPr>
        <xdr:cNvSpPr>
          <a:spLocks noChangeAspect="1" noChangeArrowheads="1"/>
        </xdr:cNvSpPr>
      </xdr:nvSpPr>
      <xdr:spPr bwMode="auto">
        <a:xfrm>
          <a:off x="7531100" y="118433850"/>
          <a:ext cx="190500" cy="266700"/>
        </a:xfrm>
        <a:prstGeom prst="rect">
          <a:avLst/>
        </a:prstGeom>
        <a:noFill/>
      </xdr:spPr>
    </xdr:sp>
    <xdr:clientData/>
  </xdr:oneCellAnchor>
  <xdr:oneCellAnchor>
    <xdr:from>
      <xdr:col>4</xdr:col>
      <xdr:colOff>1657350</xdr:colOff>
      <xdr:row>616</xdr:row>
      <xdr:rowOff>0</xdr:rowOff>
    </xdr:from>
    <xdr:ext cx="190500" cy="266700"/>
    <xdr:sp macro="" textlink="">
      <xdr:nvSpPr>
        <xdr:cNvPr id="6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0EFF577-277D-4B07-8821-94821F2B799D}"/>
            </a:ext>
            <a:ext uri="{147F2762-F138-4A5C-976F-8EAC2B608ADB}">
              <a16:predDERef xmlns:a16="http://schemas.microsoft.com/office/drawing/2014/main" pred="{2008FAC7-A010-49F8-930C-4589F2009CB8}"/>
            </a:ext>
          </a:extLst>
        </xdr:cNvPr>
        <xdr:cNvSpPr>
          <a:spLocks noChangeAspect="1" noChangeArrowheads="1"/>
        </xdr:cNvSpPr>
      </xdr:nvSpPr>
      <xdr:spPr bwMode="auto">
        <a:xfrm>
          <a:off x="7531100" y="118433850"/>
          <a:ext cx="190500" cy="266700"/>
        </a:xfrm>
        <a:prstGeom prst="rect">
          <a:avLst/>
        </a:prstGeom>
        <a:noFill/>
      </xdr:spPr>
    </xdr:sp>
    <xdr:clientData/>
  </xdr:oneCellAnchor>
  <xdr:oneCellAnchor>
    <xdr:from>
      <xdr:col>4</xdr:col>
      <xdr:colOff>1657350</xdr:colOff>
      <xdr:row>618</xdr:row>
      <xdr:rowOff>0</xdr:rowOff>
    </xdr:from>
    <xdr:ext cx="190500" cy="266700"/>
    <xdr:sp macro="" textlink="">
      <xdr:nvSpPr>
        <xdr:cNvPr id="6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FD97F2-5F89-4454-A14E-18862FE9D872}"/>
            </a:ext>
            <a:ext uri="{147F2762-F138-4A5C-976F-8EAC2B608ADB}">
              <a16:predDERef xmlns:a16="http://schemas.microsoft.com/office/drawing/2014/main" pred="{003B1A44-A3CE-40A4-AB12-884506CD192D}"/>
            </a:ext>
          </a:extLst>
        </xdr:cNvPr>
        <xdr:cNvSpPr>
          <a:spLocks noChangeAspect="1" noChangeArrowheads="1"/>
        </xdr:cNvSpPr>
      </xdr:nvSpPr>
      <xdr:spPr bwMode="auto">
        <a:xfrm>
          <a:off x="7531100" y="118802150"/>
          <a:ext cx="190500" cy="266700"/>
        </a:xfrm>
        <a:prstGeom prst="rect">
          <a:avLst/>
        </a:prstGeom>
        <a:noFill/>
      </xdr:spPr>
    </xdr:sp>
    <xdr:clientData/>
  </xdr:oneCellAnchor>
  <xdr:oneCellAnchor>
    <xdr:from>
      <xdr:col>4</xdr:col>
      <xdr:colOff>1657350</xdr:colOff>
      <xdr:row>618</xdr:row>
      <xdr:rowOff>0</xdr:rowOff>
    </xdr:from>
    <xdr:ext cx="190500" cy="266700"/>
    <xdr:sp macro="" textlink="">
      <xdr:nvSpPr>
        <xdr:cNvPr id="6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A230FB7-D263-497B-BD59-914CF8D3D6B8}"/>
            </a:ext>
            <a:ext uri="{147F2762-F138-4A5C-976F-8EAC2B608ADB}">
              <a16:predDERef xmlns:a16="http://schemas.microsoft.com/office/drawing/2014/main" pred="{70795B02-8F74-4B3F-892D-51D5A5B26151}"/>
            </a:ext>
          </a:extLst>
        </xdr:cNvPr>
        <xdr:cNvSpPr>
          <a:spLocks noChangeAspect="1" noChangeArrowheads="1"/>
        </xdr:cNvSpPr>
      </xdr:nvSpPr>
      <xdr:spPr bwMode="auto">
        <a:xfrm>
          <a:off x="7531100" y="118802150"/>
          <a:ext cx="190500" cy="266700"/>
        </a:xfrm>
        <a:prstGeom prst="rect">
          <a:avLst/>
        </a:prstGeom>
        <a:noFill/>
      </xdr:spPr>
    </xdr:sp>
    <xdr:clientData/>
  </xdr:oneCellAnchor>
  <xdr:oneCellAnchor>
    <xdr:from>
      <xdr:col>4</xdr:col>
      <xdr:colOff>1657350</xdr:colOff>
      <xdr:row>620</xdr:row>
      <xdr:rowOff>0</xdr:rowOff>
    </xdr:from>
    <xdr:ext cx="190500" cy="266700"/>
    <xdr:sp macro="" textlink="">
      <xdr:nvSpPr>
        <xdr:cNvPr id="6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9F736BA-7F8B-4329-8368-0D55F7800E53}"/>
            </a:ext>
            <a:ext uri="{147F2762-F138-4A5C-976F-8EAC2B608ADB}">
              <a16:predDERef xmlns:a16="http://schemas.microsoft.com/office/drawing/2014/main" pred="{C6B7415F-1B4F-4C09-8E8A-7D80E01F5B1C}"/>
            </a:ext>
          </a:extLst>
        </xdr:cNvPr>
        <xdr:cNvSpPr>
          <a:spLocks noChangeAspect="1" noChangeArrowheads="1"/>
        </xdr:cNvSpPr>
      </xdr:nvSpPr>
      <xdr:spPr bwMode="auto">
        <a:xfrm>
          <a:off x="7531100" y="119170450"/>
          <a:ext cx="190500" cy="266700"/>
        </a:xfrm>
        <a:prstGeom prst="rect">
          <a:avLst/>
        </a:prstGeom>
        <a:noFill/>
      </xdr:spPr>
    </xdr:sp>
    <xdr:clientData/>
  </xdr:oneCellAnchor>
  <xdr:oneCellAnchor>
    <xdr:from>
      <xdr:col>4</xdr:col>
      <xdr:colOff>1657350</xdr:colOff>
      <xdr:row>620</xdr:row>
      <xdr:rowOff>0</xdr:rowOff>
    </xdr:from>
    <xdr:ext cx="190500" cy="266700"/>
    <xdr:sp macro="" textlink="">
      <xdr:nvSpPr>
        <xdr:cNvPr id="6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002AA42-2BAD-4C2E-B39D-EFC1448EDC05}"/>
            </a:ext>
            <a:ext uri="{147F2762-F138-4A5C-976F-8EAC2B608ADB}">
              <a16:predDERef xmlns:a16="http://schemas.microsoft.com/office/drawing/2014/main" pred="{0BA23806-451D-4A0B-81FF-5BB39F4CB6E4}"/>
            </a:ext>
          </a:extLst>
        </xdr:cNvPr>
        <xdr:cNvSpPr>
          <a:spLocks noChangeAspect="1" noChangeArrowheads="1"/>
        </xdr:cNvSpPr>
      </xdr:nvSpPr>
      <xdr:spPr bwMode="auto">
        <a:xfrm>
          <a:off x="7531100" y="119170450"/>
          <a:ext cx="190500" cy="266700"/>
        </a:xfrm>
        <a:prstGeom prst="rect">
          <a:avLst/>
        </a:prstGeom>
        <a:noFill/>
      </xdr:spPr>
    </xdr:sp>
    <xdr:clientData/>
  </xdr:oneCellAnchor>
  <xdr:oneCellAnchor>
    <xdr:from>
      <xdr:col>4</xdr:col>
      <xdr:colOff>1657350</xdr:colOff>
      <xdr:row>622</xdr:row>
      <xdr:rowOff>0</xdr:rowOff>
    </xdr:from>
    <xdr:ext cx="190500" cy="266700"/>
    <xdr:sp macro="" textlink="">
      <xdr:nvSpPr>
        <xdr:cNvPr id="6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B5A027-DCE1-47EF-B808-FDEA97C08DDF}"/>
            </a:ext>
            <a:ext uri="{147F2762-F138-4A5C-976F-8EAC2B608ADB}">
              <a16:predDERef xmlns:a16="http://schemas.microsoft.com/office/drawing/2014/main" pred="{ED9C738C-293E-42D8-9FA2-26C73E61D8A6}"/>
            </a:ext>
          </a:extLst>
        </xdr:cNvPr>
        <xdr:cNvSpPr>
          <a:spLocks noChangeAspect="1" noChangeArrowheads="1"/>
        </xdr:cNvSpPr>
      </xdr:nvSpPr>
      <xdr:spPr bwMode="auto">
        <a:xfrm>
          <a:off x="7531100" y="119538750"/>
          <a:ext cx="190500" cy="266700"/>
        </a:xfrm>
        <a:prstGeom prst="rect">
          <a:avLst/>
        </a:prstGeom>
        <a:noFill/>
      </xdr:spPr>
    </xdr:sp>
    <xdr:clientData/>
  </xdr:oneCellAnchor>
  <xdr:oneCellAnchor>
    <xdr:from>
      <xdr:col>4</xdr:col>
      <xdr:colOff>1657350</xdr:colOff>
      <xdr:row>622</xdr:row>
      <xdr:rowOff>0</xdr:rowOff>
    </xdr:from>
    <xdr:ext cx="190500" cy="266700"/>
    <xdr:sp macro="" textlink="">
      <xdr:nvSpPr>
        <xdr:cNvPr id="6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0B5EBC5-1A45-49F6-8B0E-BADB62129C37}"/>
            </a:ext>
            <a:ext uri="{147F2762-F138-4A5C-976F-8EAC2B608ADB}">
              <a16:predDERef xmlns:a16="http://schemas.microsoft.com/office/drawing/2014/main" pred="{4FD9F658-E1DD-490D-8662-E6515B9CA099}"/>
            </a:ext>
          </a:extLst>
        </xdr:cNvPr>
        <xdr:cNvSpPr>
          <a:spLocks noChangeAspect="1" noChangeArrowheads="1"/>
        </xdr:cNvSpPr>
      </xdr:nvSpPr>
      <xdr:spPr bwMode="auto">
        <a:xfrm>
          <a:off x="7531100" y="119538750"/>
          <a:ext cx="190500" cy="266700"/>
        </a:xfrm>
        <a:prstGeom prst="rect">
          <a:avLst/>
        </a:prstGeom>
        <a:noFill/>
      </xdr:spPr>
    </xdr:sp>
    <xdr:clientData/>
  </xdr:oneCellAnchor>
  <xdr:oneCellAnchor>
    <xdr:from>
      <xdr:col>4</xdr:col>
      <xdr:colOff>1657350</xdr:colOff>
      <xdr:row>624</xdr:row>
      <xdr:rowOff>0</xdr:rowOff>
    </xdr:from>
    <xdr:ext cx="190500" cy="266700"/>
    <xdr:sp macro="" textlink="">
      <xdr:nvSpPr>
        <xdr:cNvPr id="6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7A879F2-8E8D-4D65-A7F6-1BD8BEE0ECA4}"/>
            </a:ext>
            <a:ext uri="{147F2762-F138-4A5C-976F-8EAC2B608ADB}">
              <a16:predDERef xmlns:a16="http://schemas.microsoft.com/office/drawing/2014/main" pred="{89D64B1D-FEA2-4DF3-8630-B29AAD9A0465}"/>
            </a:ext>
          </a:extLst>
        </xdr:cNvPr>
        <xdr:cNvSpPr>
          <a:spLocks noChangeAspect="1" noChangeArrowheads="1"/>
        </xdr:cNvSpPr>
      </xdr:nvSpPr>
      <xdr:spPr bwMode="auto">
        <a:xfrm>
          <a:off x="7531100" y="119907050"/>
          <a:ext cx="190500" cy="266700"/>
        </a:xfrm>
        <a:prstGeom prst="rect">
          <a:avLst/>
        </a:prstGeom>
        <a:noFill/>
      </xdr:spPr>
    </xdr:sp>
    <xdr:clientData/>
  </xdr:oneCellAnchor>
  <xdr:oneCellAnchor>
    <xdr:from>
      <xdr:col>4</xdr:col>
      <xdr:colOff>1657350</xdr:colOff>
      <xdr:row>624</xdr:row>
      <xdr:rowOff>0</xdr:rowOff>
    </xdr:from>
    <xdr:ext cx="190500" cy="266700"/>
    <xdr:sp macro="" textlink="">
      <xdr:nvSpPr>
        <xdr:cNvPr id="6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ED7710A-8BEE-49CD-8E0D-F241B9A95AFC}"/>
            </a:ext>
            <a:ext uri="{147F2762-F138-4A5C-976F-8EAC2B608ADB}">
              <a16:predDERef xmlns:a16="http://schemas.microsoft.com/office/drawing/2014/main" pred="{A20FE9AC-F38F-4BCE-A535-B506FE66D33A}"/>
            </a:ext>
          </a:extLst>
        </xdr:cNvPr>
        <xdr:cNvSpPr>
          <a:spLocks noChangeAspect="1" noChangeArrowheads="1"/>
        </xdr:cNvSpPr>
      </xdr:nvSpPr>
      <xdr:spPr bwMode="auto">
        <a:xfrm>
          <a:off x="7531100" y="119907050"/>
          <a:ext cx="190500" cy="266700"/>
        </a:xfrm>
        <a:prstGeom prst="rect">
          <a:avLst/>
        </a:prstGeom>
        <a:noFill/>
      </xdr:spPr>
    </xdr:sp>
    <xdr:clientData/>
  </xdr:oneCellAnchor>
  <xdr:oneCellAnchor>
    <xdr:from>
      <xdr:col>4</xdr:col>
      <xdr:colOff>1657350</xdr:colOff>
      <xdr:row>626</xdr:row>
      <xdr:rowOff>0</xdr:rowOff>
    </xdr:from>
    <xdr:ext cx="190500" cy="266700"/>
    <xdr:sp macro="" textlink="">
      <xdr:nvSpPr>
        <xdr:cNvPr id="6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973948D-6262-4C51-9B51-0BF5F66FB3D5}"/>
            </a:ext>
            <a:ext uri="{147F2762-F138-4A5C-976F-8EAC2B608ADB}">
              <a16:predDERef xmlns:a16="http://schemas.microsoft.com/office/drawing/2014/main" pred="{B69F6A29-1AD8-4589-BADE-2347AFA747EB}"/>
            </a:ext>
          </a:extLst>
        </xdr:cNvPr>
        <xdr:cNvSpPr>
          <a:spLocks noChangeAspect="1" noChangeArrowheads="1"/>
        </xdr:cNvSpPr>
      </xdr:nvSpPr>
      <xdr:spPr bwMode="auto">
        <a:xfrm>
          <a:off x="7531100" y="120275350"/>
          <a:ext cx="190500" cy="266700"/>
        </a:xfrm>
        <a:prstGeom prst="rect">
          <a:avLst/>
        </a:prstGeom>
        <a:noFill/>
      </xdr:spPr>
    </xdr:sp>
    <xdr:clientData/>
  </xdr:oneCellAnchor>
  <xdr:oneCellAnchor>
    <xdr:from>
      <xdr:col>4</xdr:col>
      <xdr:colOff>1657350</xdr:colOff>
      <xdr:row>626</xdr:row>
      <xdr:rowOff>0</xdr:rowOff>
    </xdr:from>
    <xdr:ext cx="190500" cy="266700"/>
    <xdr:sp macro="" textlink="">
      <xdr:nvSpPr>
        <xdr:cNvPr id="6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63398D6-8013-4087-A811-0751910BD225}"/>
            </a:ext>
            <a:ext uri="{147F2762-F138-4A5C-976F-8EAC2B608ADB}">
              <a16:predDERef xmlns:a16="http://schemas.microsoft.com/office/drawing/2014/main" pred="{3CE57207-E3A2-4B0B-9BD8-CB44C89C0913}"/>
            </a:ext>
          </a:extLst>
        </xdr:cNvPr>
        <xdr:cNvSpPr>
          <a:spLocks noChangeAspect="1" noChangeArrowheads="1"/>
        </xdr:cNvSpPr>
      </xdr:nvSpPr>
      <xdr:spPr bwMode="auto">
        <a:xfrm>
          <a:off x="7531100" y="120275350"/>
          <a:ext cx="190500" cy="266700"/>
        </a:xfrm>
        <a:prstGeom prst="rect">
          <a:avLst/>
        </a:prstGeom>
        <a:noFill/>
      </xdr:spPr>
    </xdr:sp>
    <xdr:clientData/>
  </xdr:oneCellAnchor>
  <xdr:oneCellAnchor>
    <xdr:from>
      <xdr:col>4</xdr:col>
      <xdr:colOff>1657350</xdr:colOff>
      <xdr:row>628</xdr:row>
      <xdr:rowOff>0</xdr:rowOff>
    </xdr:from>
    <xdr:ext cx="190500" cy="266700"/>
    <xdr:sp macro="" textlink="">
      <xdr:nvSpPr>
        <xdr:cNvPr id="6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6E16E63-001D-4C49-8A8E-24CB8BE03CF3}"/>
            </a:ext>
            <a:ext uri="{147F2762-F138-4A5C-976F-8EAC2B608ADB}">
              <a16:predDERef xmlns:a16="http://schemas.microsoft.com/office/drawing/2014/main" pred="{431EE05D-E486-4935-A158-1B8871A27FA1}"/>
            </a:ext>
          </a:extLst>
        </xdr:cNvPr>
        <xdr:cNvSpPr>
          <a:spLocks noChangeAspect="1" noChangeArrowheads="1"/>
        </xdr:cNvSpPr>
      </xdr:nvSpPr>
      <xdr:spPr bwMode="auto">
        <a:xfrm>
          <a:off x="7531100" y="120643650"/>
          <a:ext cx="190500" cy="266700"/>
        </a:xfrm>
        <a:prstGeom prst="rect">
          <a:avLst/>
        </a:prstGeom>
        <a:noFill/>
      </xdr:spPr>
    </xdr:sp>
    <xdr:clientData/>
  </xdr:oneCellAnchor>
  <xdr:oneCellAnchor>
    <xdr:from>
      <xdr:col>4</xdr:col>
      <xdr:colOff>1657350</xdr:colOff>
      <xdr:row>628</xdr:row>
      <xdr:rowOff>0</xdr:rowOff>
    </xdr:from>
    <xdr:ext cx="190500" cy="266700"/>
    <xdr:sp macro="" textlink="">
      <xdr:nvSpPr>
        <xdr:cNvPr id="6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8BBF544-D7E5-4D6F-BF9D-6EB68EC7880A}"/>
            </a:ext>
            <a:ext uri="{147F2762-F138-4A5C-976F-8EAC2B608ADB}">
              <a16:predDERef xmlns:a16="http://schemas.microsoft.com/office/drawing/2014/main" pred="{DE696968-33FD-47E8-8A60-7C9A2ACC2EE2}"/>
            </a:ext>
          </a:extLst>
        </xdr:cNvPr>
        <xdr:cNvSpPr>
          <a:spLocks noChangeAspect="1" noChangeArrowheads="1"/>
        </xdr:cNvSpPr>
      </xdr:nvSpPr>
      <xdr:spPr bwMode="auto">
        <a:xfrm>
          <a:off x="7531100" y="120643650"/>
          <a:ext cx="190500" cy="266700"/>
        </a:xfrm>
        <a:prstGeom prst="rect">
          <a:avLst/>
        </a:prstGeom>
        <a:noFill/>
      </xdr:spPr>
    </xdr:sp>
    <xdr:clientData/>
  </xdr:oneCellAnchor>
  <xdr:oneCellAnchor>
    <xdr:from>
      <xdr:col>4</xdr:col>
      <xdr:colOff>1657350</xdr:colOff>
      <xdr:row>630</xdr:row>
      <xdr:rowOff>0</xdr:rowOff>
    </xdr:from>
    <xdr:ext cx="190500" cy="266700"/>
    <xdr:sp macro="" textlink="">
      <xdr:nvSpPr>
        <xdr:cNvPr id="6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7B84DD-49C2-4F3B-B698-281FABBBE1D1}"/>
            </a:ext>
            <a:ext uri="{147F2762-F138-4A5C-976F-8EAC2B608ADB}">
              <a16:predDERef xmlns:a16="http://schemas.microsoft.com/office/drawing/2014/main" pred="{1DAC83E9-B524-4693-84AE-9E036D45ED6A}"/>
            </a:ext>
          </a:extLst>
        </xdr:cNvPr>
        <xdr:cNvSpPr>
          <a:spLocks noChangeAspect="1" noChangeArrowheads="1"/>
        </xdr:cNvSpPr>
      </xdr:nvSpPr>
      <xdr:spPr bwMode="auto">
        <a:xfrm>
          <a:off x="7531100" y="121011950"/>
          <a:ext cx="190500" cy="266700"/>
        </a:xfrm>
        <a:prstGeom prst="rect">
          <a:avLst/>
        </a:prstGeom>
        <a:noFill/>
      </xdr:spPr>
    </xdr:sp>
    <xdr:clientData/>
  </xdr:oneCellAnchor>
  <xdr:oneCellAnchor>
    <xdr:from>
      <xdr:col>4</xdr:col>
      <xdr:colOff>1657350</xdr:colOff>
      <xdr:row>630</xdr:row>
      <xdr:rowOff>0</xdr:rowOff>
    </xdr:from>
    <xdr:ext cx="190500" cy="266700"/>
    <xdr:sp macro="" textlink="">
      <xdr:nvSpPr>
        <xdr:cNvPr id="6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468FC91-D07C-4D66-BEA5-490E855285FA}"/>
            </a:ext>
            <a:ext uri="{147F2762-F138-4A5C-976F-8EAC2B608ADB}">
              <a16:predDERef xmlns:a16="http://schemas.microsoft.com/office/drawing/2014/main" pred="{35913444-E6F5-4E2A-9E2A-61AD26798CA6}"/>
            </a:ext>
          </a:extLst>
        </xdr:cNvPr>
        <xdr:cNvSpPr>
          <a:spLocks noChangeAspect="1" noChangeArrowheads="1"/>
        </xdr:cNvSpPr>
      </xdr:nvSpPr>
      <xdr:spPr bwMode="auto">
        <a:xfrm>
          <a:off x="7531100" y="121011950"/>
          <a:ext cx="190500" cy="266700"/>
        </a:xfrm>
        <a:prstGeom prst="rect">
          <a:avLst/>
        </a:prstGeom>
        <a:noFill/>
      </xdr:spPr>
    </xdr:sp>
    <xdr:clientData/>
  </xdr:oneCellAnchor>
  <xdr:oneCellAnchor>
    <xdr:from>
      <xdr:col>4</xdr:col>
      <xdr:colOff>1657350</xdr:colOff>
      <xdr:row>632</xdr:row>
      <xdr:rowOff>0</xdr:rowOff>
    </xdr:from>
    <xdr:ext cx="190500" cy="266700"/>
    <xdr:sp macro="" textlink="">
      <xdr:nvSpPr>
        <xdr:cNvPr id="6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CBB3CDF-3775-4129-ABE9-D9E6CAE7D2AD}"/>
            </a:ext>
            <a:ext uri="{147F2762-F138-4A5C-976F-8EAC2B608ADB}">
              <a16:predDERef xmlns:a16="http://schemas.microsoft.com/office/drawing/2014/main" pred="{A2076029-D639-4929-8DBC-0249D3C185BF}"/>
            </a:ext>
          </a:extLst>
        </xdr:cNvPr>
        <xdr:cNvSpPr>
          <a:spLocks noChangeAspect="1" noChangeArrowheads="1"/>
        </xdr:cNvSpPr>
      </xdr:nvSpPr>
      <xdr:spPr bwMode="auto">
        <a:xfrm>
          <a:off x="7531100" y="121380250"/>
          <a:ext cx="190500" cy="266700"/>
        </a:xfrm>
        <a:prstGeom prst="rect">
          <a:avLst/>
        </a:prstGeom>
        <a:noFill/>
      </xdr:spPr>
    </xdr:sp>
    <xdr:clientData/>
  </xdr:oneCellAnchor>
  <xdr:oneCellAnchor>
    <xdr:from>
      <xdr:col>4</xdr:col>
      <xdr:colOff>1657350</xdr:colOff>
      <xdr:row>632</xdr:row>
      <xdr:rowOff>0</xdr:rowOff>
    </xdr:from>
    <xdr:ext cx="190500" cy="266700"/>
    <xdr:sp macro="" textlink="">
      <xdr:nvSpPr>
        <xdr:cNvPr id="6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3DDCD1-A5A3-4A14-9C8B-4E89735CFCE0}"/>
            </a:ext>
            <a:ext uri="{147F2762-F138-4A5C-976F-8EAC2B608ADB}">
              <a16:predDERef xmlns:a16="http://schemas.microsoft.com/office/drawing/2014/main" pred="{406524DD-9704-4FAB-92EB-E9E868061925}"/>
            </a:ext>
          </a:extLst>
        </xdr:cNvPr>
        <xdr:cNvSpPr>
          <a:spLocks noChangeAspect="1" noChangeArrowheads="1"/>
        </xdr:cNvSpPr>
      </xdr:nvSpPr>
      <xdr:spPr bwMode="auto">
        <a:xfrm>
          <a:off x="7531100" y="121380250"/>
          <a:ext cx="190500" cy="266700"/>
        </a:xfrm>
        <a:prstGeom prst="rect">
          <a:avLst/>
        </a:prstGeom>
        <a:noFill/>
      </xdr:spPr>
    </xdr:sp>
    <xdr:clientData/>
  </xdr:oneCellAnchor>
  <xdr:oneCellAnchor>
    <xdr:from>
      <xdr:col>4</xdr:col>
      <xdr:colOff>1657350</xdr:colOff>
      <xdr:row>634</xdr:row>
      <xdr:rowOff>0</xdr:rowOff>
    </xdr:from>
    <xdr:ext cx="190500" cy="266700"/>
    <xdr:sp macro="" textlink="">
      <xdr:nvSpPr>
        <xdr:cNvPr id="6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9A9A403-00D7-487A-989A-59BFBB7C2DFB}"/>
            </a:ext>
            <a:ext uri="{147F2762-F138-4A5C-976F-8EAC2B608ADB}">
              <a16:predDERef xmlns:a16="http://schemas.microsoft.com/office/drawing/2014/main" pred="{9D6972D1-D77D-4DF1-8EEC-0DACF4F90DED}"/>
            </a:ext>
          </a:extLst>
        </xdr:cNvPr>
        <xdr:cNvSpPr>
          <a:spLocks noChangeAspect="1" noChangeArrowheads="1"/>
        </xdr:cNvSpPr>
      </xdr:nvSpPr>
      <xdr:spPr bwMode="auto">
        <a:xfrm>
          <a:off x="7531100" y="121748550"/>
          <a:ext cx="190500" cy="266700"/>
        </a:xfrm>
        <a:prstGeom prst="rect">
          <a:avLst/>
        </a:prstGeom>
        <a:noFill/>
      </xdr:spPr>
    </xdr:sp>
    <xdr:clientData/>
  </xdr:oneCellAnchor>
  <xdr:oneCellAnchor>
    <xdr:from>
      <xdr:col>4</xdr:col>
      <xdr:colOff>1657350</xdr:colOff>
      <xdr:row>634</xdr:row>
      <xdr:rowOff>0</xdr:rowOff>
    </xdr:from>
    <xdr:ext cx="190500" cy="266700"/>
    <xdr:sp macro="" textlink="">
      <xdr:nvSpPr>
        <xdr:cNvPr id="6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00B3F03-5DA1-465F-AFEE-1B255DDAC3F3}"/>
            </a:ext>
            <a:ext uri="{147F2762-F138-4A5C-976F-8EAC2B608ADB}">
              <a16:predDERef xmlns:a16="http://schemas.microsoft.com/office/drawing/2014/main" pred="{58D7A46A-2CFC-4B41-ACBD-BE49C151B4A3}"/>
            </a:ext>
          </a:extLst>
        </xdr:cNvPr>
        <xdr:cNvSpPr>
          <a:spLocks noChangeAspect="1" noChangeArrowheads="1"/>
        </xdr:cNvSpPr>
      </xdr:nvSpPr>
      <xdr:spPr bwMode="auto">
        <a:xfrm>
          <a:off x="7531100" y="121748550"/>
          <a:ext cx="190500" cy="266700"/>
        </a:xfrm>
        <a:prstGeom prst="rect">
          <a:avLst/>
        </a:prstGeom>
        <a:noFill/>
      </xdr:spPr>
    </xdr:sp>
    <xdr:clientData/>
  </xdr:oneCellAnchor>
  <xdr:oneCellAnchor>
    <xdr:from>
      <xdr:col>4</xdr:col>
      <xdr:colOff>1657350</xdr:colOff>
      <xdr:row>636</xdr:row>
      <xdr:rowOff>0</xdr:rowOff>
    </xdr:from>
    <xdr:ext cx="190500" cy="266700"/>
    <xdr:sp macro="" textlink="">
      <xdr:nvSpPr>
        <xdr:cNvPr id="6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460F952-CE08-49A3-9475-6957EB88AA03}"/>
            </a:ext>
            <a:ext uri="{147F2762-F138-4A5C-976F-8EAC2B608ADB}">
              <a16:predDERef xmlns:a16="http://schemas.microsoft.com/office/drawing/2014/main" pred="{8F7FF8BB-3244-434F-B0A3-CF76B98E3888}"/>
            </a:ext>
          </a:extLst>
        </xdr:cNvPr>
        <xdr:cNvSpPr>
          <a:spLocks noChangeAspect="1" noChangeArrowheads="1"/>
        </xdr:cNvSpPr>
      </xdr:nvSpPr>
      <xdr:spPr bwMode="auto">
        <a:xfrm>
          <a:off x="7531100" y="122116850"/>
          <a:ext cx="190500" cy="266700"/>
        </a:xfrm>
        <a:prstGeom prst="rect">
          <a:avLst/>
        </a:prstGeom>
        <a:noFill/>
      </xdr:spPr>
    </xdr:sp>
    <xdr:clientData/>
  </xdr:oneCellAnchor>
  <xdr:oneCellAnchor>
    <xdr:from>
      <xdr:col>4</xdr:col>
      <xdr:colOff>1657350</xdr:colOff>
      <xdr:row>636</xdr:row>
      <xdr:rowOff>0</xdr:rowOff>
    </xdr:from>
    <xdr:ext cx="190500" cy="266700"/>
    <xdr:sp macro="" textlink="">
      <xdr:nvSpPr>
        <xdr:cNvPr id="6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0EA3C9E-FB7B-4A6A-976F-5F2D61030ED8}"/>
            </a:ext>
            <a:ext uri="{147F2762-F138-4A5C-976F-8EAC2B608ADB}">
              <a16:predDERef xmlns:a16="http://schemas.microsoft.com/office/drawing/2014/main" pred="{39E78C28-E9D9-469B-BE9D-575959B6B8C5}"/>
            </a:ext>
          </a:extLst>
        </xdr:cNvPr>
        <xdr:cNvSpPr>
          <a:spLocks noChangeAspect="1" noChangeArrowheads="1"/>
        </xdr:cNvSpPr>
      </xdr:nvSpPr>
      <xdr:spPr bwMode="auto">
        <a:xfrm>
          <a:off x="7531100" y="122116850"/>
          <a:ext cx="190500" cy="266700"/>
        </a:xfrm>
        <a:prstGeom prst="rect">
          <a:avLst/>
        </a:prstGeom>
        <a:noFill/>
      </xdr:spPr>
    </xdr:sp>
    <xdr:clientData/>
  </xdr:oneCellAnchor>
  <xdr:oneCellAnchor>
    <xdr:from>
      <xdr:col>4</xdr:col>
      <xdr:colOff>1657350</xdr:colOff>
      <xdr:row>638</xdr:row>
      <xdr:rowOff>0</xdr:rowOff>
    </xdr:from>
    <xdr:ext cx="190500" cy="266700"/>
    <xdr:sp macro="" textlink="">
      <xdr:nvSpPr>
        <xdr:cNvPr id="6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DD9E72D-3672-4BFC-AAC0-1E2DCCFAAB9C}"/>
            </a:ext>
            <a:ext uri="{147F2762-F138-4A5C-976F-8EAC2B608ADB}">
              <a16:predDERef xmlns:a16="http://schemas.microsoft.com/office/drawing/2014/main" pred="{83E8157D-9ECC-4579-AAC5-8593FEB82255}"/>
            </a:ext>
          </a:extLst>
        </xdr:cNvPr>
        <xdr:cNvSpPr>
          <a:spLocks noChangeAspect="1" noChangeArrowheads="1"/>
        </xdr:cNvSpPr>
      </xdr:nvSpPr>
      <xdr:spPr bwMode="auto">
        <a:xfrm>
          <a:off x="7531100" y="122485150"/>
          <a:ext cx="190500" cy="266700"/>
        </a:xfrm>
        <a:prstGeom prst="rect">
          <a:avLst/>
        </a:prstGeom>
        <a:noFill/>
      </xdr:spPr>
    </xdr:sp>
    <xdr:clientData/>
  </xdr:oneCellAnchor>
  <xdr:oneCellAnchor>
    <xdr:from>
      <xdr:col>4</xdr:col>
      <xdr:colOff>1657350</xdr:colOff>
      <xdr:row>638</xdr:row>
      <xdr:rowOff>0</xdr:rowOff>
    </xdr:from>
    <xdr:ext cx="190500" cy="266700"/>
    <xdr:sp macro="" textlink="">
      <xdr:nvSpPr>
        <xdr:cNvPr id="6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8FC9671-8F8A-4728-A4A4-08B590D8261F}"/>
            </a:ext>
            <a:ext uri="{147F2762-F138-4A5C-976F-8EAC2B608ADB}">
              <a16:predDERef xmlns:a16="http://schemas.microsoft.com/office/drawing/2014/main" pred="{55DACB8F-B1E6-4281-B9D7-8B10E98447C2}"/>
            </a:ext>
          </a:extLst>
        </xdr:cNvPr>
        <xdr:cNvSpPr>
          <a:spLocks noChangeAspect="1" noChangeArrowheads="1"/>
        </xdr:cNvSpPr>
      </xdr:nvSpPr>
      <xdr:spPr bwMode="auto">
        <a:xfrm>
          <a:off x="7531100" y="122485150"/>
          <a:ext cx="190500" cy="266700"/>
        </a:xfrm>
        <a:prstGeom prst="rect">
          <a:avLst/>
        </a:prstGeom>
        <a:noFill/>
      </xdr:spPr>
    </xdr:sp>
    <xdr:clientData/>
  </xdr:oneCellAnchor>
  <xdr:oneCellAnchor>
    <xdr:from>
      <xdr:col>4</xdr:col>
      <xdr:colOff>1657350</xdr:colOff>
      <xdr:row>640</xdr:row>
      <xdr:rowOff>0</xdr:rowOff>
    </xdr:from>
    <xdr:ext cx="190500" cy="266700"/>
    <xdr:sp macro="" textlink="">
      <xdr:nvSpPr>
        <xdr:cNvPr id="6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E774639-AB80-4A8E-A71C-52CD18BAF093}"/>
            </a:ext>
            <a:ext uri="{147F2762-F138-4A5C-976F-8EAC2B608ADB}">
              <a16:predDERef xmlns:a16="http://schemas.microsoft.com/office/drawing/2014/main" pred="{DC13EB17-1932-4D4F-B094-428C7E0EA11A}"/>
            </a:ext>
          </a:extLst>
        </xdr:cNvPr>
        <xdr:cNvSpPr>
          <a:spLocks noChangeAspect="1" noChangeArrowheads="1"/>
        </xdr:cNvSpPr>
      </xdr:nvSpPr>
      <xdr:spPr bwMode="auto">
        <a:xfrm>
          <a:off x="7531100" y="122853450"/>
          <a:ext cx="190500" cy="266700"/>
        </a:xfrm>
        <a:prstGeom prst="rect">
          <a:avLst/>
        </a:prstGeom>
        <a:noFill/>
      </xdr:spPr>
    </xdr:sp>
    <xdr:clientData/>
  </xdr:oneCellAnchor>
  <xdr:oneCellAnchor>
    <xdr:from>
      <xdr:col>4</xdr:col>
      <xdr:colOff>1657350</xdr:colOff>
      <xdr:row>640</xdr:row>
      <xdr:rowOff>0</xdr:rowOff>
    </xdr:from>
    <xdr:ext cx="190500" cy="266700"/>
    <xdr:sp macro="" textlink="">
      <xdr:nvSpPr>
        <xdr:cNvPr id="6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5F5AA9A-6D5D-4B7A-B6F6-8AAD20833802}"/>
            </a:ext>
            <a:ext uri="{147F2762-F138-4A5C-976F-8EAC2B608ADB}">
              <a16:predDERef xmlns:a16="http://schemas.microsoft.com/office/drawing/2014/main" pred="{7B695F93-069F-4E46-BA87-01D620C50734}"/>
            </a:ext>
          </a:extLst>
        </xdr:cNvPr>
        <xdr:cNvSpPr>
          <a:spLocks noChangeAspect="1" noChangeArrowheads="1"/>
        </xdr:cNvSpPr>
      </xdr:nvSpPr>
      <xdr:spPr bwMode="auto">
        <a:xfrm>
          <a:off x="7531100" y="122853450"/>
          <a:ext cx="190500" cy="266700"/>
        </a:xfrm>
        <a:prstGeom prst="rect">
          <a:avLst/>
        </a:prstGeom>
        <a:noFill/>
      </xdr:spPr>
    </xdr:sp>
    <xdr:clientData/>
  </xdr:oneCellAnchor>
  <xdr:oneCellAnchor>
    <xdr:from>
      <xdr:col>4</xdr:col>
      <xdr:colOff>1657350</xdr:colOff>
      <xdr:row>642</xdr:row>
      <xdr:rowOff>0</xdr:rowOff>
    </xdr:from>
    <xdr:ext cx="190500" cy="266700"/>
    <xdr:sp macro="" textlink="">
      <xdr:nvSpPr>
        <xdr:cNvPr id="6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DD1739-A010-4C33-BEC4-AB080556CE5A}"/>
            </a:ext>
            <a:ext uri="{147F2762-F138-4A5C-976F-8EAC2B608ADB}">
              <a16:predDERef xmlns:a16="http://schemas.microsoft.com/office/drawing/2014/main" pred="{B05CBBBC-75D0-4CD8-9EA2-548B8F000D00}"/>
            </a:ext>
          </a:extLst>
        </xdr:cNvPr>
        <xdr:cNvSpPr>
          <a:spLocks noChangeAspect="1" noChangeArrowheads="1"/>
        </xdr:cNvSpPr>
      </xdr:nvSpPr>
      <xdr:spPr bwMode="auto">
        <a:xfrm>
          <a:off x="7531100" y="123221750"/>
          <a:ext cx="190500" cy="266700"/>
        </a:xfrm>
        <a:prstGeom prst="rect">
          <a:avLst/>
        </a:prstGeom>
        <a:noFill/>
      </xdr:spPr>
    </xdr:sp>
    <xdr:clientData/>
  </xdr:oneCellAnchor>
  <xdr:oneCellAnchor>
    <xdr:from>
      <xdr:col>4</xdr:col>
      <xdr:colOff>1657350</xdr:colOff>
      <xdr:row>642</xdr:row>
      <xdr:rowOff>0</xdr:rowOff>
    </xdr:from>
    <xdr:ext cx="190500" cy="266700"/>
    <xdr:sp macro="" textlink="">
      <xdr:nvSpPr>
        <xdr:cNvPr id="6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C021650-09DA-4AD2-B9A4-8A4204B256C2}"/>
            </a:ext>
            <a:ext uri="{147F2762-F138-4A5C-976F-8EAC2B608ADB}">
              <a16:predDERef xmlns:a16="http://schemas.microsoft.com/office/drawing/2014/main" pred="{4FC09543-9FAF-4451-B98C-6B25725821F4}"/>
            </a:ext>
          </a:extLst>
        </xdr:cNvPr>
        <xdr:cNvSpPr>
          <a:spLocks noChangeAspect="1" noChangeArrowheads="1"/>
        </xdr:cNvSpPr>
      </xdr:nvSpPr>
      <xdr:spPr bwMode="auto">
        <a:xfrm>
          <a:off x="7531100" y="123221750"/>
          <a:ext cx="190500" cy="266700"/>
        </a:xfrm>
        <a:prstGeom prst="rect">
          <a:avLst/>
        </a:prstGeom>
        <a:noFill/>
      </xdr:spPr>
    </xdr:sp>
    <xdr:clientData/>
  </xdr:oneCellAnchor>
  <xdr:oneCellAnchor>
    <xdr:from>
      <xdr:col>4</xdr:col>
      <xdr:colOff>1657350</xdr:colOff>
      <xdr:row>644</xdr:row>
      <xdr:rowOff>0</xdr:rowOff>
    </xdr:from>
    <xdr:ext cx="190500" cy="266700"/>
    <xdr:sp macro="" textlink="">
      <xdr:nvSpPr>
        <xdr:cNvPr id="6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42AFAF7-41DE-4617-8A51-3AF34B9FCA29}"/>
            </a:ext>
            <a:ext uri="{147F2762-F138-4A5C-976F-8EAC2B608ADB}">
              <a16:predDERef xmlns:a16="http://schemas.microsoft.com/office/drawing/2014/main" pred="{CF554018-0D50-40EF-A340-4001C7DD14D2}"/>
            </a:ext>
          </a:extLst>
        </xdr:cNvPr>
        <xdr:cNvSpPr>
          <a:spLocks noChangeAspect="1" noChangeArrowheads="1"/>
        </xdr:cNvSpPr>
      </xdr:nvSpPr>
      <xdr:spPr bwMode="auto">
        <a:xfrm>
          <a:off x="7531100" y="123590050"/>
          <a:ext cx="190500" cy="266700"/>
        </a:xfrm>
        <a:prstGeom prst="rect">
          <a:avLst/>
        </a:prstGeom>
        <a:noFill/>
      </xdr:spPr>
    </xdr:sp>
    <xdr:clientData/>
  </xdr:oneCellAnchor>
  <xdr:oneCellAnchor>
    <xdr:from>
      <xdr:col>4</xdr:col>
      <xdr:colOff>1657350</xdr:colOff>
      <xdr:row>644</xdr:row>
      <xdr:rowOff>0</xdr:rowOff>
    </xdr:from>
    <xdr:ext cx="190500" cy="266700"/>
    <xdr:sp macro="" textlink="">
      <xdr:nvSpPr>
        <xdr:cNvPr id="6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09B3B6B-1875-4C88-B0E6-D650A7778302}"/>
            </a:ext>
            <a:ext uri="{147F2762-F138-4A5C-976F-8EAC2B608ADB}">
              <a16:predDERef xmlns:a16="http://schemas.microsoft.com/office/drawing/2014/main" pred="{51DE9BD1-912F-470E-AC65-3D5A5B34EB1F}"/>
            </a:ext>
          </a:extLst>
        </xdr:cNvPr>
        <xdr:cNvSpPr>
          <a:spLocks noChangeAspect="1" noChangeArrowheads="1"/>
        </xdr:cNvSpPr>
      </xdr:nvSpPr>
      <xdr:spPr bwMode="auto">
        <a:xfrm>
          <a:off x="7531100" y="123590050"/>
          <a:ext cx="190500" cy="266700"/>
        </a:xfrm>
        <a:prstGeom prst="rect">
          <a:avLst/>
        </a:prstGeom>
        <a:noFill/>
      </xdr:spPr>
    </xdr:sp>
    <xdr:clientData/>
  </xdr:oneCellAnchor>
  <xdr:oneCellAnchor>
    <xdr:from>
      <xdr:col>4</xdr:col>
      <xdr:colOff>1657350</xdr:colOff>
      <xdr:row>646</xdr:row>
      <xdr:rowOff>0</xdr:rowOff>
    </xdr:from>
    <xdr:ext cx="190500" cy="266700"/>
    <xdr:sp macro="" textlink="">
      <xdr:nvSpPr>
        <xdr:cNvPr id="6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4DFB262-FC3F-4EA2-8E35-BB7E75FDA33D}"/>
            </a:ext>
            <a:ext uri="{147F2762-F138-4A5C-976F-8EAC2B608ADB}">
              <a16:predDERef xmlns:a16="http://schemas.microsoft.com/office/drawing/2014/main" pred="{9AEEB558-4160-428E-8ECC-60BD051B5277}"/>
            </a:ext>
          </a:extLst>
        </xdr:cNvPr>
        <xdr:cNvSpPr>
          <a:spLocks noChangeAspect="1" noChangeArrowheads="1"/>
        </xdr:cNvSpPr>
      </xdr:nvSpPr>
      <xdr:spPr bwMode="auto">
        <a:xfrm>
          <a:off x="7531100" y="123958350"/>
          <a:ext cx="190500" cy="266700"/>
        </a:xfrm>
        <a:prstGeom prst="rect">
          <a:avLst/>
        </a:prstGeom>
        <a:noFill/>
      </xdr:spPr>
    </xdr:sp>
    <xdr:clientData/>
  </xdr:oneCellAnchor>
  <xdr:oneCellAnchor>
    <xdr:from>
      <xdr:col>4</xdr:col>
      <xdr:colOff>1657350</xdr:colOff>
      <xdr:row>646</xdr:row>
      <xdr:rowOff>0</xdr:rowOff>
    </xdr:from>
    <xdr:ext cx="190500" cy="266700"/>
    <xdr:sp macro="" textlink="">
      <xdr:nvSpPr>
        <xdr:cNvPr id="6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DA64A7-0094-466E-82D5-B1B6613FE2C0}"/>
            </a:ext>
            <a:ext uri="{147F2762-F138-4A5C-976F-8EAC2B608ADB}">
              <a16:predDERef xmlns:a16="http://schemas.microsoft.com/office/drawing/2014/main" pred="{55CA902D-EB2A-4F6C-8BF8-E16D2B7B780D}"/>
            </a:ext>
          </a:extLst>
        </xdr:cNvPr>
        <xdr:cNvSpPr>
          <a:spLocks noChangeAspect="1" noChangeArrowheads="1"/>
        </xdr:cNvSpPr>
      </xdr:nvSpPr>
      <xdr:spPr bwMode="auto">
        <a:xfrm>
          <a:off x="7531100" y="123958350"/>
          <a:ext cx="190500" cy="266700"/>
        </a:xfrm>
        <a:prstGeom prst="rect">
          <a:avLst/>
        </a:prstGeom>
        <a:noFill/>
      </xdr:spPr>
    </xdr:sp>
    <xdr:clientData/>
  </xdr:oneCellAnchor>
  <xdr:oneCellAnchor>
    <xdr:from>
      <xdr:col>4</xdr:col>
      <xdr:colOff>1657350</xdr:colOff>
      <xdr:row>648</xdr:row>
      <xdr:rowOff>0</xdr:rowOff>
    </xdr:from>
    <xdr:ext cx="190500" cy="266700"/>
    <xdr:sp macro="" textlink="">
      <xdr:nvSpPr>
        <xdr:cNvPr id="6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B7E3CE1-4777-4446-843A-0EEFC8D00E41}"/>
            </a:ext>
            <a:ext uri="{147F2762-F138-4A5C-976F-8EAC2B608ADB}">
              <a16:predDERef xmlns:a16="http://schemas.microsoft.com/office/drawing/2014/main" pred="{28BDE0A6-0563-4150-A705-DB8809B53D49}"/>
            </a:ext>
          </a:extLst>
        </xdr:cNvPr>
        <xdr:cNvSpPr>
          <a:spLocks noChangeAspect="1" noChangeArrowheads="1"/>
        </xdr:cNvSpPr>
      </xdr:nvSpPr>
      <xdr:spPr bwMode="auto">
        <a:xfrm>
          <a:off x="7531100" y="124326650"/>
          <a:ext cx="190500" cy="266700"/>
        </a:xfrm>
        <a:prstGeom prst="rect">
          <a:avLst/>
        </a:prstGeom>
        <a:noFill/>
      </xdr:spPr>
    </xdr:sp>
    <xdr:clientData/>
  </xdr:oneCellAnchor>
  <xdr:oneCellAnchor>
    <xdr:from>
      <xdr:col>4</xdr:col>
      <xdr:colOff>1657350</xdr:colOff>
      <xdr:row>648</xdr:row>
      <xdr:rowOff>0</xdr:rowOff>
    </xdr:from>
    <xdr:ext cx="190500" cy="266700"/>
    <xdr:sp macro="" textlink="">
      <xdr:nvSpPr>
        <xdr:cNvPr id="6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E75F531-FE46-4271-AD16-DDBF5D79BA66}"/>
            </a:ext>
            <a:ext uri="{147F2762-F138-4A5C-976F-8EAC2B608ADB}">
              <a16:predDERef xmlns:a16="http://schemas.microsoft.com/office/drawing/2014/main" pred="{A0DB0DC7-72E4-4DC7-A73E-2DD720EA0509}"/>
            </a:ext>
          </a:extLst>
        </xdr:cNvPr>
        <xdr:cNvSpPr>
          <a:spLocks noChangeAspect="1" noChangeArrowheads="1"/>
        </xdr:cNvSpPr>
      </xdr:nvSpPr>
      <xdr:spPr bwMode="auto">
        <a:xfrm>
          <a:off x="7531100" y="124326650"/>
          <a:ext cx="190500" cy="266700"/>
        </a:xfrm>
        <a:prstGeom prst="rect">
          <a:avLst/>
        </a:prstGeom>
        <a:noFill/>
      </xdr:spPr>
    </xdr:sp>
    <xdr:clientData/>
  </xdr:oneCellAnchor>
  <xdr:oneCellAnchor>
    <xdr:from>
      <xdr:col>4</xdr:col>
      <xdr:colOff>1657350</xdr:colOff>
      <xdr:row>650</xdr:row>
      <xdr:rowOff>0</xdr:rowOff>
    </xdr:from>
    <xdr:ext cx="190500" cy="266700"/>
    <xdr:sp macro="" textlink="">
      <xdr:nvSpPr>
        <xdr:cNvPr id="6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0439F45-D7A0-41F2-82C2-DB58328A2567}"/>
            </a:ext>
            <a:ext uri="{147F2762-F138-4A5C-976F-8EAC2B608ADB}">
              <a16:predDERef xmlns:a16="http://schemas.microsoft.com/office/drawing/2014/main" pred="{0EB182C4-6337-460C-BA23-299213F9707A}"/>
            </a:ext>
          </a:extLst>
        </xdr:cNvPr>
        <xdr:cNvSpPr>
          <a:spLocks noChangeAspect="1" noChangeArrowheads="1"/>
        </xdr:cNvSpPr>
      </xdr:nvSpPr>
      <xdr:spPr bwMode="auto">
        <a:xfrm>
          <a:off x="7531100" y="124694950"/>
          <a:ext cx="190500" cy="266700"/>
        </a:xfrm>
        <a:prstGeom prst="rect">
          <a:avLst/>
        </a:prstGeom>
        <a:noFill/>
      </xdr:spPr>
    </xdr:sp>
    <xdr:clientData/>
  </xdr:oneCellAnchor>
  <xdr:oneCellAnchor>
    <xdr:from>
      <xdr:col>4</xdr:col>
      <xdr:colOff>1657350</xdr:colOff>
      <xdr:row>650</xdr:row>
      <xdr:rowOff>0</xdr:rowOff>
    </xdr:from>
    <xdr:ext cx="190500" cy="266700"/>
    <xdr:sp macro="" textlink="">
      <xdr:nvSpPr>
        <xdr:cNvPr id="6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40132DE-A378-450E-9B6E-12BE3FC1D7F6}"/>
            </a:ext>
            <a:ext uri="{147F2762-F138-4A5C-976F-8EAC2B608ADB}">
              <a16:predDERef xmlns:a16="http://schemas.microsoft.com/office/drawing/2014/main" pred="{539A5AD7-D101-4B87-B710-ACAAD4E2E7C9}"/>
            </a:ext>
          </a:extLst>
        </xdr:cNvPr>
        <xdr:cNvSpPr>
          <a:spLocks noChangeAspect="1" noChangeArrowheads="1"/>
        </xdr:cNvSpPr>
      </xdr:nvSpPr>
      <xdr:spPr bwMode="auto">
        <a:xfrm>
          <a:off x="7531100" y="124694950"/>
          <a:ext cx="190500" cy="266700"/>
        </a:xfrm>
        <a:prstGeom prst="rect">
          <a:avLst/>
        </a:prstGeom>
        <a:noFill/>
      </xdr:spPr>
    </xdr:sp>
    <xdr:clientData/>
  </xdr:oneCellAnchor>
  <xdr:oneCellAnchor>
    <xdr:from>
      <xdr:col>4</xdr:col>
      <xdr:colOff>1657350</xdr:colOff>
      <xdr:row>652</xdr:row>
      <xdr:rowOff>0</xdr:rowOff>
    </xdr:from>
    <xdr:ext cx="190500" cy="266700"/>
    <xdr:sp macro="" textlink="">
      <xdr:nvSpPr>
        <xdr:cNvPr id="6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74AAB94-8499-4BA6-8B63-A977AC36E216}"/>
            </a:ext>
            <a:ext uri="{147F2762-F138-4A5C-976F-8EAC2B608ADB}">
              <a16:predDERef xmlns:a16="http://schemas.microsoft.com/office/drawing/2014/main" pred="{4E2D7AAD-D469-4D92-B05A-37BB65D12D7C}"/>
            </a:ext>
          </a:extLst>
        </xdr:cNvPr>
        <xdr:cNvSpPr>
          <a:spLocks noChangeAspect="1" noChangeArrowheads="1"/>
        </xdr:cNvSpPr>
      </xdr:nvSpPr>
      <xdr:spPr bwMode="auto">
        <a:xfrm>
          <a:off x="7531100" y="125063250"/>
          <a:ext cx="190500" cy="266700"/>
        </a:xfrm>
        <a:prstGeom prst="rect">
          <a:avLst/>
        </a:prstGeom>
        <a:noFill/>
      </xdr:spPr>
    </xdr:sp>
    <xdr:clientData/>
  </xdr:oneCellAnchor>
  <xdr:oneCellAnchor>
    <xdr:from>
      <xdr:col>4</xdr:col>
      <xdr:colOff>1657350</xdr:colOff>
      <xdr:row>652</xdr:row>
      <xdr:rowOff>0</xdr:rowOff>
    </xdr:from>
    <xdr:ext cx="190500" cy="266700"/>
    <xdr:sp macro="" textlink="">
      <xdr:nvSpPr>
        <xdr:cNvPr id="6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E1EFDB4-26C7-42D3-A699-AE59CBAD55DF}"/>
            </a:ext>
            <a:ext uri="{147F2762-F138-4A5C-976F-8EAC2B608ADB}">
              <a16:predDERef xmlns:a16="http://schemas.microsoft.com/office/drawing/2014/main" pred="{7C6BE622-E027-4E3D-BB53-C81AE4C48094}"/>
            </a:ext>
          </a:extLst>
        </xdr:cNvPr>
        <xdr:cNvSpPr>
          <a:spLocks noChangeAspect="1" noChangeArrowheads="1"/>
        </xdr:cNvSpPr>
      </xdr:nvSpPr>
      <xdr:spPr bwMode="auto">
        <a:xfrm>
          <a:off x="7531100" y="125063250"/>
          <a:ext cx="190500" cy="266700"/>
        </a:xfrm>
        <a:prstGeom prst="rect">
          <a:avLst/>
        </a:prstGeom>
        <a:noFill/>
      </xdr:spPr>
    </xdr:sp>
    <xdr:clientData/>
  </xdr:oneCellAnchor>
  <xdr:oneCellAnchor>
    <xdr:from>
      <xdr:col>4</xdr:col>
      <xdr:colOff>1657350</xdr:colOff>
      <xdr:row>654</xdr:row>
      <xdr:rowOff>0</xdr:rowOff>
    </xdr:from>
    <xdr:ext cx="190500" cy="266700"/>
    <xdr:sp macro="" textlink="">
      <xdr:nvSpPr>
        <xdr:cNvPr id="6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8D9645-859B-49D6-9215-C979813DF685}"/>
            </a:ext>
            <a:ext uri="{147F2762-F138-4A5C-976F-8EAC2B608ADB}">
              <a16:predDERef xmlns:a16="http://schemas.microsoft.com/office/drawing/2014/main" pred="{14FCB8D2-CF17-4466-B718-F680F09C59FF}"/>
            </a:ext>
          </a:extLst>
        </xdr:cNvPr>
        <xdr:cNvSpPr>
          <a:spLocks noChangeAspect="1" noChangeArrowheads="1"/>
        </xdr:cNvSpPr>
      </xdr:nvSpPr>
      <xdr:spPr bwMode="auto">
        <a:xfrm>
          <a:off x="7531100" y="125431550"/>
          <a:ext cx="190500" cy="266700"/>
        </a:xfrm>
        <a:prstGeom prst="rect">
          <a:avLst/>
        </a:prstGeom>
        <a:noFill/>
      </xdr:spPr>
    </xdr:sp>
    <xdr:clientData/>
  </xdr:oneCellAnchor>
  <xdr:oneCellAnchor>
    <xdr:from>
      <xdr:col>4</xdr:col>
      <xdr:colOff>1657350</xdr:colOff>
      <xdr:row>654</xdr:row>
      <xdr:rowOff>0</xdr:rowOff>
    </xdr:from>
    <xdr:ext cx="190500" cy="266700"/>
    <xdr:sp macro="" textlink="">
      <xdr:nvSpPr>
        <xdr:cNvPr id="6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F64B6E8-E62B-4BB7-9C66-E658742A8CE0}"/>
            </a:ext>
            <a:ext uri="{147F2762-F138-4A5C-976F-8EAC2B608ADB}">
              <a16:predDERef xmlns:a16="http://schemas.microsoft.com/office/drawing/2014/main" pred="{6F3DEA56-9A00-40B5-A884-A59B9F896D7C}"/>
            </a:ext>
          </a:extLst>
        </xdr:cNvPr>
        <xdr:cNvSpPr>
          <a:spLocks noChangeAspect="1" noChangeArrowheads="1"/>
        </xdr:cNvSpPr>
      </xdr:nvSpPr>
      <xdr:spPr bwMode="auto">
        <a:xfrm>
          <a:off x="7531100" y="125431550"/>
          <a:ext cx="190500" cy="266700"/>
        </a:xfrm>
        <a:prstGeom prst="rect">
          <a:avLst/>
        </a:prstGeom>
        <a:noFill/>
      </xdr:spPr>
    </xdr:sp>
    <xdr:clientData/>
  </xdr:oneCellAnchor>
  <xdr:oneCellAnchor>
    <xdr:from>
      <xdr:col>4</xdr:col>
      <xdr:colOff>1657350</xdr:colOff>
      <xdr:row>656</xdr:row>
      <xdr:rowOff>0</xdr:rowOff>
    </xdr:from>
    <xdr:ext cx="190500" cy="266700"/>
    <xdr:sp macro="" textlink="">
      <xdr:nvSpPr>
        <xdr:cNvPr id="6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D1945B-3C28-4D2C-8997-5CCDEA771755}"/>
            </a:ext>
            <a:ext uri="{147F2762-F138-4A5C-976F-8EAC2B608ADB}">
              <a16:predDERef xmlns:a16="http://schemas.microsoft.com/office/drawing/2014/main" pred="{9B613DDB-C64E-495F-A5B6-C5648EAE94E6}"/>
            </a:ext>
          </a:extLst>
        </xdr:cNvPr>
        <xdr:cNvSpPr>
          <a:spLocks noChangeAspect="1" noChangeArrowheads="1"/>
        </xdr:cNvSpPr>
      </xdr:nvSpPr>
      <xdr:spPr bwMode="auto">
        <a:xfrm>
          <a:off x="7531100" y="125799850"/>
          <a:ext cx="190500" cy="266700"/>
        </a:xfrm>
        <a:prstGeom prst="rect">
          <a:avLst/>
        </a:prstGeom>
        <a:noFill/>
      </xdr:spPr>
    </xdr:sp>
    <xdr:clientData/>
  </xdr:oneCellAnchor>
  <xdr:oneCellAnchor>
    <xdr:from>
      <xdr:col>4</xdr:col>
      <xdr:colOff>1657350</xdr:colOff>
      <xdr:row>656</xdr:row>
      <xdr:rowOff>0</xdr:rowOff>
    </xdr:from>
    <xdr:ext cx="190500" cy="266700"/>
    <xdr:sp macro="" textlink="">
      <xdr:nvSpPr>
        <xdr:cNvPr id="6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E0520D0-E762-4459-94C9-FCA27C80C6B1}"/>
            </a:ext>
            <a:ext uri="{147F2762-F138-4A5C-976F-8EAC2B608ADB}">
              <a16:predDERef xmlns:a16="http://schemas.microsoft.com/office/drawing/2014/main" pred="{319D9CB6-93AF-431D-BA51-2CA490A66CCC}"/>
            </a:ext>
          </a:extLst>
        </xdr:cNvPr>
        <xdr:cNvSpPr>
          <a:spLocks noChangeAspect="1" noChangeArrowheads="1"/>
        </xdr:cNvSpPr>
      </xdr:nvSpPr>
      <xdr:spPr bwMode="auto">
        <a:xfrm>
          <a:off x="7531100" y="125799850"/>
          <a:ext cx="190500" cy="266700"/>
        </a:xfrm>
        <a:prstGeom prst="rect">
          <a:avLst/>
        </a:prstGeom>
        <a:noFill/>
      </xdr:spPr>
    </xdr:sp>
    <xdr:clientData/>
  </xdr:oneCellAnchor>
  <xdr:oneCellAnchor>
    <xdr:from>
      <xdr:col>4</xdr:col>
      <xdr:colOff>1657350</xdr:colOff>
      <xdr:row>658</xdr:row>
      <xdr:rowOff>0</xdr:rowOff>
    </xdr:from>
    <xdr:ext cx="190500" cy="266700"/>
    <xdr:sp macro="" textlink="">
      <xdr:nvSpPr>
        <xdr:cNvPr id="6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7080D10-4764-454A-A07B-4F75E200A856}"/>
            </a:ext>
            <a:ext uri="{147F2762-F138-4A5C-976F-8EAC2B608ADB}">
              <a16:predDERef xmlns:a16="http://schemas.microsoft.com/office/drawing/2014/main" pred="{E5A34E00-E171-46AA-BD11-7AC8732E3CA9}"/>
            </a:ext>
          </a:extLst>
        </xdr:cNvPr>
        <xdr:cNvSpPr>
          <a:spLocks noChangeAspect="1" noChangeArrowheads="1"/>
        </xdr:cNvSpPr>
      </xdr:nvSpPr>
      <xdr:spPr bwMode="auto">
        <a:xfrm>
          <a:off x="7531100" y="126168150"/>
          <a:ext cx="190500" cy="266700"/>
        </a:xfrm>
        <a:prstGeom prst="rect">
          <a:avLst/>
        </a:prstGeom>
        <a:noFill/>
      </xdr:spPr>
    </xdr:sp>
    <xdr:clientData/>
  </xdr:oneCellAnchor>
  <xdr:oneCellAnchor>
    <xdr:from>
      <xdr:col>4</xdr:col>
      <xdr:colOff>1657350</xdr:colOff>
      <xdr:row>658</xdr:row>
      <xdr:rowOff>0</xdr:rowOff>
    </xdr:from>
    <xdr:ext cx="190500" cy="266700"/>
    <xdr:sp macro="" textlink="">
      <xdr:nvSpPr>
        <xdr:cNvPr id="6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AE9B0AF-F5A1-45E0-ADC3-87040241F3C0}"/>
            </a:ext>
            <a:ext uri="{147F2762-F138-4A5C-976F-8EAC2B608ADB}">
              <a16:predDERef xmlns:a16="http://schemas.microsoft.com/office/drawing/2014/main" pred="{C78B420D-FC83-43B7-AE0F-D0243FC5DE48}"/>
            </a:ext>
          </a:extLst>
        </xdr:cNvPr>
        <xdr:cNvSpPr>
          <a:spLocks noChangeAspect="1" noChangeArrowheads="1"/>
        </xdr:cNvSpPr>
      </xdr:nvSpPr>
      <xdr:spPr bwMode="auto">
        <a:xfrm>
          <a:off x="7531100" y="126168150"/>
          <a:ext cx="190500" cy="266700"/>
        </a:xfrm>
        <a:prstGeom prst="rect">
          <a:avLst/>
        </a:prstGeom>
        <a:noFill/>
      </xdr:spPr>
    </xdr:sp>
    <xdr:clientData/>
  </xdr:oneCellAnchor>
  <xdr:oneCellAnchor>
    <xdr:from>
      <xdr:col>4</xdr:col>
      <xdr:colOff>1657350</xdr:colOff>
      <xdr:row>660</xdr:row>
      <xdr:rowOff>0</xdr:rowOff>
    </xdr:from>
    <xdr:ext cx="190500" cy="266700"/>
    <xdr:sp macro="" textlink="">
      <xdr:nvSpPr>
        <xdr:cNvPr id="6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F536431-DC3D-41FA-8730-6C7353810DA3}"/>
            </a:ext>
            <a:ext uri="{147F2762-F138-4A5C-976F-8EAC2B608ADB}">
              <a16:predDERef xmlns:a16="http://schemas.microsoft.com/office/drawing/2014/main" pred="{908B554D-6ADF-4A0D-8E7D-AC4627AA8358}"/>
            </a:ext>
          </a:extLst>
        </xdr:cNvPr>
        <xdr:cNvSpPr>
          <a:spLocks noChangeAspect="1" noChangeArrowheads="1"/>
        </xdr:cNvSpPr>
      </xdr:nvSpPr>
      <xdr:spPr bwMode="auto">
        <a:xfrm>
          <a:off x="7531100" y="126536450"/>
          <a:ext cx="190500" cy="266700"/>
        </a:xfrm>
        <a:prstGeom prst="rect">
          <a:avLst/>
        </a:prstGeom>
        <a:noFill/>
      </xdr:spPr>
    </xdr:sp>
    <xdr:clientData/>
  </xdr:oneCellAnchor>
  <xdr:oneCellAnchor>
    <xdr:from>
      <xdr:col>4</xdr:col>
      <xdr:colOff>1657350</xdr:colOff>
      <xdr:row>660</xdr:row>
      <xdr:rowOff>0</xdr:rowOff>
    </xdr:from>
    <xdr:ext cx="190500" cy="266700"/>
    <xdr:sp macro="" textlink="">
      <xdr:nvSpPr>
        <xdr:cNvPr id="6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642478-D3A5-4854-AB1C-7239457670AD}"/>
            </a:ext>
            <a:ext uri="{147F2762-F138-4A5C-976F-8EAC2B608ADB}">
              <a16:predDERef xmlns:a16="http://schemas.microsoft.com/office/drawing/2014/main" pred="{C91412EE-B402-4A2C-92D0-42532B40870A}"/>
            </a:ext>
          </a:extLst>
        </xdr:cNvPr>
        <xdr:cNvSpPr>
          <a:spLocks noChangeAspect="1" noChangeArrowheads="1"/>
        </xdr:cNvSpPr>
      </xdr:nvSpPr>
      <xdr:spPr bwMode="auto">
        <a:xfrm>
          <a:off x="7531100" y="126536450"/>
          <a:ext cx="190500" cy="266700"/>
        </a:xfrm>
        <a:prstGeom prst="rect">
          <a:avLst/>
        </a:prstGeom>
        <a:noFill/>
      </xdr:spPr>
    </xdr:sp>
    <xdr:clientData/>
  </xdr:oneCellAnchor>
  <xdr:oneCellAnchor>
    <xdr:from>
      <xdr:col>4</xdr:col>
      <xdr:colOff>1657350</xdr:colOff>
      <xdr:row>662</xdr:row>
      <xdr:rowOff>0</xdr:rowOff>
    </xdr:from>
    <xdr:ext cx="190500" cy="266700"/>
    <xdr:sp macro="" textlink="">
      <xdr:nvSpPr>
        <xdr:cNvPr id="6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0016CB9-9915-4BC9-84DF-5F1546C79EBA}"/>
            </a:ext>
            <a:ext uri="{147F2762-F138-4A5C-976F-8EAC2B608ADB}">
              <a16:predDERef xmlns:a16="http://schemas.microsoft.com/office/drawing/2014/main" pred="{6EDB5565-7DE3-45DE-BCA8-B55EC11A9DD5}"/>
            </a:ext>
          </a:extLst>
        </xdr:cNvPr>
        <xdr:cNvSpPr>
          <a:spLocks noChangeAspect="1" noChangeArrowheads="1"/>
        </xdr:cNvSpPr>
      </xdr:nvSpPr>
      <xdr:spPr bwMode="auto">
        <a:xfrm>
          <a:off x="7531100" y="126904750"/>
          <a:ext cx="190500" cy="266700"/>
        </a:xfrm>
        <a:prstGeom prst="rect">
          <a:avLst/>
        </a:prstGeom>
        <a:noFill/>
      </xdr:spPr>
    </xdr:sp>
    <xdr:clientData/>
  </xdr:oneCellAnchor>
  <xdr:oneCellAnchor>
    <xdr:from>
      <xdr:col>4</xdr:col>
      <xdr:colOff>1657350</xdr:colOff>
      <xdr:row>662</xdr:row>
      <xdr:rowOff>0</xdr:rowOff>
    </xdr:from>
    <xdr:ext cx="190500" cy="266700"/>
    <xdr:sp macro="" textlink="">
      <xdr:nvSpPr>
        <xdr:cNvPr id="6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E3AF902-2ED3-4367-9C17-5F59C29CE897}"/>
            </a:ext>
            <a:ext uri="{147F2762-F138-4A5C-976F-8EAC2B608ADB}">
              <a16:predDERef xmlns:a16="http://schemas.microsoft.com/office/drawing/2014/main" pred="{905941FC-21F8-4D11-8E15-949E866C723A}"/>
            </a:ext>
          </a:extLst>
        </xdr:cNvPr>
        <xdr:cNvSpPr>
          <a:spLocks noChangeAspect="1" noChangeArrowheads="1"/>
        </xdr:cNvSpPr>
      </xdr:nvSpPr>
      <xdr:spPr bwMode="auto">
        <a:xfrm>
          <a:off x="7531100" y="126904750"/>
          <a:ext cx="190500" cy="266700"/>
        </a:xfrm>
        <a:prstGeom prst="rect">
          <a:avLst/>
        </a:prstGeom>
        <a:noFill/>
      </xdr:spPr>
    </xdr:sp>
    <xdr:clientData/>
  </xdr:oneCellAnchor>
  <xdr:oneCellAnchor>
    <xdr:from>
      <xdr:col>4</xdr:col>
      <xdr:colOff>1657350</xdr:colOff>
      <xdr:row>664</xdr:row>
      <xdr:rowOff>0</xdr:rowOff>
    </xdr:from>
    <xdr:ext cx="190500" cy="266700"/>
    <xdr:sp macro="" textlink="">
      <xdr:nvSpPr>
        <xdr:cNvPr id="6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8808324-E2E3-4899-9230-5B296F4F6B4A}"/>
            </a:ext>
            <a:ext uri="{147F2762-F138-4A5C-976F-8EAC2B608ADB}">
              <a16:predDERef xmlns:a16="http://schemas.microsoft.com/office/drawing/2014/main" pred="{7618A5B7-9046-4988-8430-3B6C571E71DA}"/>
            </a:ext>
          </a:extLst>
        </xdr:cNvPr>
        <xdr:cNvSpPr>
          <a:spLocks noChangeAspect="1" noChangeArrowheads="1"/>
        </xdr:cNvSpPr>
      </xdr:nvSpPr>
      <xdr:spPr bwMode="auto">
        <a:xfrm>
          <a:off x="7531100" y="127273050"/>
          <a:ext cx="190500" cy="266700"/>
        </a:xfrm>
        <a:prstGeom prst="rect">
          <a:avLst/>
        </a:prstGeom>
        <a:noFill/>
      </xdr:spPr>
    </xdr:sp>
    <xdr:clientData/>
  </xdr:oneCellAnchor>
  <xdr:oneCellAnchor>
    <xdr:from>
      <xdr:col>4</xdr:col>
      <xdr:colOff>1657350</xdr:colOff>
      <xdr:row>664</xdr:row>
      <xdr:rowOff>0</xdr:rowOff>
    </xdr:from>
    <xdr:ext cx="190500" cy="266700"/>
    <xdr:sp macro="" textlink="">
      <xdr:nvSpPr>
        <xdr:cNvPr id="6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F655F40-6F6F-40DE-BFEE-8F6BACA410F1}"/>
            </a:ext>
            <a:ext uri="{147F2762-F138-4A5C-976F-8EAC2B608ADB}">
              <a16:predDERef xmlns:a16="http://schemas.microsoft.com/office/drawing/2014/main" pred="{9FCA8EE5-7371-4A6B-8753-C812DBC3BD9C}"/>
            </a:ext>
          </a:extLst>
        </xdr:cNvPr>
        <xdr:cNvSpPr>
          <a:spLocks noChangeAspect="1" noChangeArrowheads="1"/>
        </xdr:cNvSpPr>
      </xdr:nvSpPr>
      <xdr:spPr bwMode="auto">
        <a:xfrm>
          <a:off x="7531100" y="127273050"/>
          <a:ext cx="190500" cy="266700"/>
        </a:xfrm>
        <a:prstGeom prst="rect">
          <a:avLst/>
        </a:prstGeom>
        <a:noFill/>
      </xdr:spPr>
    </xdr:sp>
    <xdr:clientData/>
  </xdr:oneCellAnchor>
  <xdr:oneCellAnchor>
    <xdr:from>
      <xdr:col>4</xdr:col>
      <xdr:colOff>1657350</xdr:colOff>
      <xdr:row>666</xdr:row>
      <xdr:rowOff>0</xdr:rowOff>
    </xdr:from>
    <xdr:ext cx="190500" cy="266700"/>
    <xdr:sp macro="" textlink="">
      <xdr:nvSpPr>
        <xdr:cNvPr id="6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DF01888-03D9-4E3E-A0CE-F566C681E8A5}"/>
            </a:ext>
            <a:ext uri="{147F2762-F138-4A5C-976F-8EAC2B608ADB}">
              <a16:predDERef xmlns:a16="http://schemas.microsoft.com/office/drawing/2014/main" pred="{941A89ED-A6D1-4648-A091-3580D16116C9}"/>
            </a:ext>
          </a:extLst>
        </xdr:cNvPr>
        <xdr:cNvSpPr>
          <a:spLocks noChangeAspect="1" noChangeArrowheads="1"/>
        </xdr:cNvSpPr>
      </xdr:nvSpPr>
      <xdr:spPr bwMode="auto">
        <a:xfrm>
          <a:off x="7531100" y="127641350"/>
          <a:ext cx="190500" cy="266700"/>
        </a:xfrm>
        <a:prstGeom prst="rect">
          <a:avLst/>
        </a:prstGeom>
        <a:noFill/>
      </xdr:spPr>
    </xdr:sp>
    <xdr:clientData/>
  </xdr:oneCellAnchor>
  <xdr:oneCellAnchor>
    <xdr:from>
      <xdr:col>4</xdr:col>
      <xdr:colOff>1657350</xdr:colOff>
      <xdr:row>666</xdr:row>
      <xdr:rowOff>0</xdr:rowOff>
    </xdr:from>
    <xdr:ext cx="190500" cy="266700"/>
    <xdr:sp macro="" textlink="">
      <xdr:nvSpPr>
        <xdr:cNvPr id="6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18ADC9B-0587-4B83-BC58-EB627DA8C487}"/>
            </a:ext>
            <a:ext uri="{147F2762-F138-4A5C-976F-8EAC2B608ADB}">
              <a16:predDERef xmlns:a16="http://schemas.microsoft.com/office/drawing/2014/main" pred="{33B70DEB-8EB8-4532-8358-6794E5A427A1}"/>
            </a:ext>
          </a:extLst>
        </xdr:cNvPr>
        <xdr:cNvSpPr>
          <a:spLocks noChangeAspect="1" noChangeArrowheads="1"/>
        </xdr:cNvSpPr>
      </xdr:nvSpPr>
      <xdr:spPr bwMode="auto">
        <a:xfrm>
          <a:off x="7531100" y="127641350"/>
          <a:ext cx="190500" cy="266700"/>
        </a:xfrm>
        <a:prstGeom prst="rect">
          <a:avLst/>
        </a:prstGeom>
        <a:noFill/>
      </xdr:spPr>
    </xdr:sp>
    <xdr:clientData/>
  </xdr:oneCellAnchor>
  <xdr:oneCellAnchor>
    <xdr:from>
      <xdr:col>4</xdr:col>
      <xdr:colOff>1657350</xdr:colOff>
      <xdr:row>668</xdr:row>
      <xdr:rowOff>0</xdr:rowOff>
    </xdr:from>
    <xdr:ext cx="190500" cy="266700"/>
    <xdr:sp macro="" textlink="">
      <xdr:nvSpPr>
        <xdr:cNvPr id="6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4BFF22B-CAF0-4052-AC44-D1A35A8181C2}"/>
            </a:ext>
            <a:ext uri="{147F2762-F138-4A5C-976F-8EAC2B608ADB}">
              <a16:predDERef xmlns:a16="http://schemas.microsoft.com/office/drawing/2014/main" pred="{B5C6A2A0-812F-4B64-8F5E-C7FDD1985871}"/>
            </a:ext>
          </a:extLst>
        </xdr:cNvPr>
        <xdr:cNvSpPr>
          <a:spLocks noChangeAspect="1" noChangeArrowheads="1"/>
        </xdr:cNvSpPr>
      </xdr:nvSpPr>
      <xdr:spPr bwMode="auto">
        <a:xfrm>
          <a:off x="7531100" y="128009650"/>
          <a:ext cx="190500" cy="266700"/>
        </a:xfrm>
        <a:prstGeom prst="rect">
          <a:avLst/>
        </a:prstGeom>
        <a:noFill/>
      </xdr:spPr>
    </xdr:sp>
    <xdr:clientData/>
  </xdr:oneCellAnchor>
  <xdr:oneCellAnchor>
    <xdr:from>
      <xdr:col>4</xdr:col>
      <xdr:colOff>1657350</xdr:colOff>
      <xdr:row>668</xdr:row>
      <xdr:rowOff>0</xdr:rowOff>
    </xdr:from>
    <xdr:ext cx="190500" cy="266700"/>
    <xdr:sp macro="" textlink="">
      <xdr:nvSpPr>
        <xdr:cNvPr id="6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5A64912-77D0-49CF-AB89-F79B66015F2D}"/>
            </a:ext>
            <a:ext uri="{147F2762-F138-4A5C-976F-8EAC2B608ADB}">
              <a16:predDERef xmlns:a16="http://schemas.microsoft.com/office/drawing/2014/main" pred="{A95060B6-1445-4937-A676-6B360873B870}"/>
            </a:ext>
          </a:extLst>
        </xdr:cNvPr>
        <xdr:cNvSpPr>
          <a:spLocks noChangeAspect="1" noChangeArrowheads="1"/>
        </xdr:cNvSpPr>
      </xdr:nvSpPr>
      <xdr:spPr bwMode="auto">
        <a:xfrm>
          <a:off x="7531100" y="128009650"/>
          <a:ext cx="190500" cy="266700"/>
        </a:xfrm>
        <a:prstGeom prst="rect">
          <a:avLst/>
        </a:prstGeom>
        <a:noFill/>
      </xdr:spPr>
    </xdr:sp>
    <xdr:clientData/>
  </xdr:oneCellAnchor>
  <xdr:oneCellAnchor>
    <xdr:from>
      <xdr:col>4</xdr:col>
      <xdr:colOff>1657350</xdr:colOff>
      <xdr:row>670</xdr:row>
      <xdr:rowOff>0</xdr:rowOff>
    </xdr:from>
    <xdr:ext cx="190500" cy="266700"/>
    <xdr:sp macro="" textlink="">
      <xdr:nvSpPr>
        <xdr:cNvPr id="6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84D0DD3-C7A9-41DB-BC4C-6BBD53949D0A}"/>
            </a:ext>
            <a:ext uri="{147F2762-F138-4A5C-976F-8EAC2B608ADB}">
              <a16:predDERef xmlns:a16="http://schemas.microsoft.com/office/drawing/2014/main" pred="{40F578EA-4495-48AF-8C02-A083799F82B1}"/>
            </a:ext>
          </a:extLst>
        </xdr:cNvPr>
        <xdr:cNvSpPr>
          <a:spLocks noChangeAspect="1" noChangeArrowheads="1"/>
        </xdr:cNvSpPr>
      </xdr:nvSpPr>
      <xdr:spPr bwMode="auto">
        <a:xfrm>
          <a:off x="7531100" y="128377950"/>
          <a:ext cx="190500" cy="266700"/>
        </a:xfrm>
        <a:prstGeom prst="rect">
          <a:avLst/>
        </a:prstGeom>
        <a:noFill/>
      </xdr:spPr>
    </xdr:sp>
    <xdr:clientData/>
  </xdr:oneCellAnchor>
  <xdr:oneCellAnchor>
    <xdr:from>
      <xdr:col>4</xdr:col>
      <xdr:colOff>1657350</xdr:colOff>
      <xdr:row>670</xdr:row>
      <xdr:rowOff>0</xdr:rowOff>
    </xdr:from>
    <xdr:ext cx="190500" cy="266700"/>
    <xdr:sp macro="" textlink="">
      <xdr:nvSpPr>
        <xdr:cNvPr id="6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2DFC55-7E01-4312-89C7-FA1785507B2B}"/>
            </a:ext>
            <a:ext uri="{147F2762-F138-4A5C-976F-8EAC2B608ADB}">
              <a16:predDERef xmlns:a16="http://schemas.microsoft.com/office/drawing/2014/main" pred="{5621300B-9CA8-4DCB-8611-C5F45B06540F}"/>
            </a:ext>
          </a:extLst>
        </xdr:cNvPr>
        <xdr:cNvSpPr>
          <a:spLocks noChangeAspect="1" noChangeArrowheads="1"/>
        </xdr:cNvSpPr>
      </xdr:nvSpPr>
      <xdr:spPr bwMode="auto">
        <a:xfrm>
          <a:off x="7531100" y="128377950"/>
          <a:ext cx="190500" cy="266700"/>
        </a:xfrm>
        <a:prstGeom prst="rect">
          <a:avLst/>
        </a:prstGeom>
        <a:noFill/>
      </xdr:spPr>
    </xdr:sp>
    <xdr:clientData/>
  </xdr:oneCellAnchor>
  <xdr:oneCellAnchor>
    <xdr:from>
      <xdr:col>4</xdr:col>
      <xdr:colOff>1657350</xdr:colOff>
      <xdr:row>672</xdr:row>
      <xdr:rowOff>0</xdr:rowOff>
    </xdr:from>
    <xdr:ext cx="190500" cy="266700"/>
    <xdr:sp macro="" textlink="">
      <xdr:nvSpPr>
        <xdr:cNvPr id="6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99221C1-D1A6-4FD5-A641-D27D9C3CC7DA}"/>
            </a:ext>
            <a:ext uri="{147F2762-F138-4A5C-976F-8EAC2B608ADB}">
              <a16:predDERef xmlns:a16="http://schemas.microsoft.com/office/drawing/2014/main" pred="{986EE2D5-B69A-4342-9731-111550B68972}"/>
            </a:ext>
          </a:extLst>
        </xdr:cNvPr>
        <xdr:cNvSpPr>
          <a:spLocks noChangeAspect="1" noChangeArrowheads="1"/>
        </xdr:cNvSpPr>
      </xdr:nvSpPr>
      <xdr:spPr bwMode="auto">
        <a:xfrm>
          <a:off x="7531100" y="128746250"/>
          <a:ext cx="190500" cy="266700"/>
        </a:xfrm>
        <a:prstGeom prst="rect">
          <a:avLst/>
        </a:prstGeom>
        <a:noFill/>
      </xdr:spPr>
    </xdr:sp>
    <xdr:clientData/>
  </xdr:oneCellAnchor>
  <xdr:oneCellAnchor>
    <xdr:from>
      <xdr:col>4</xdr:col>
      <xdr:colOff>1657350</xdr:colOff>
      <xdr:row>672</xdr:row>
      <xdr:rowOff>0</xdr:rowOff>
    </xdr:from>
    <xdr:ext cx="190500" cy="266700"/>
    <xdr:sp macro="" textlink="">
      <xdr:nvSpPr>
        <xdr:cNvPr id="6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74DC10F-BB1C-433C-B75D-F6031820D4A3}"/>
            </a:ext>
            <a:ext uri="{147F2762-F138-4A5C-976F-8EAC2B608ADB}">
              <a16:predDERef xmlns:a16="http://schemas.microsoft.com/office/drawing/2014/main" pred="{428E5EDF-C9E3-4581-B4D9-6BE5E5CF6322}"/>
            </a:ext>
          </a:extLst>
        </xdr:cNvPr>
        <xdr:cNvSpPr>
          <a:spLocks noChangeAspect="1" noChangeArrowheads="1"/>
        </xdr:cNvSpPr>
      </xdr:nvSpPr>
      <xdr:spPr bwMode="auto">
        <a:xfrm>
          <a:off x="7531100" y="128746250"/>
          <a:ext cx="190500" cy="266700"/>
        </a:xfrm>
        <a:prstGeom prst="rect">
          <a:avLst/>
        </a:prstGeom>
        <a:noFill/>
      </xdr:spPr>
    </xdr:sp>
    <xdr:clientData/>
  </xdr:oneCellAnchor>
  <xdr:oneCellAnchor>
    <xdr:from>
      <xdr:col>4</xdr:col>
      <xdr:colOff>1657350</xdr:colOff>
      <xdr:row>674</xdr:row>
      <xdr:rowOff>0</xdr:rowOff>
    </xdr:from>
    <xdr:ext cx="190500" cy="266700"/>
    <xdr:sp macro="" textlink="">
      <xdr:nvSpPr>
        <xdr:cNvPr id="6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37CAB94-669D-4EF5-B7DA-7A92EFEAFB6D}"/>
            </a:ext>
            <a:ext uri="{147F2762-F138-4A5C-976F-8EAC2B608ADB}">
              <a16:predDERef xmlns:a16="http://schemas.microsoft.com/office/drawing/2014/main" pred="{BF2791B2-F050-4CCC-A872-3092509716E5}"/>
            </a:ext>
          </a:extLst>
        </xdr:cNvPr>
        <xdr:cNvSpPr>
          <a:spLocks noChangeAspect="1" noChangeArrowheads="1"/>
        </xdr:cNvSpPr>
      </xdr:nvSpPr>
      <xdr:spPr bwMode="auto">
        <a:xfrm>
          <a:off x="7531100" y="129114550"/>
          <a:ext cx="190500" cy="266700"/>
        </a:xfrm>
        <a:prstGeom prst="rect">
          <a:avLst/>
        </a:prstGeom>
        <a:noFill/>
      </xdr:spPr>
    </xdr:sp>
    <xdr:clientData/>
  </xdr:oneCellAnchor>
  <xdr:oneCellAnchor>
    <xdr:from>
      <xdr:col>4</xdr:col>
      <xdr:colOff>1657350</xdr:colOff>
      <xdr:row>674</xdr:row>
      <xdr:rowOff>0</xdr:rowOff>
    </xdr:from>
    <xdr:ext cx="190500" cy="266700"/>
    <xdr:sp macro="" textlink="">
      <xdr:nvSpPr>
        <xdr:cNvPr id="6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88FB1AB-C4DA-4EB4-A73B-8D40212C51BE}"/>
            </a:ext>
            <a:ext uri="{147F2762-F138-4A5C-976F-8EAC2B608ADB}">
              <a16:predDERef xmlns:a16="http://schemas.microsoft.com/office/drawing/2014/main" pred="{1C812D7F-5D49-48F3-BA3D-03F106EAC703}"/>
            </a:ext>
          </a:extLst>
        </xdr:cNvPr>
        <xdr:cNvSpPr>
          <a:spLocks noChangeAspect="1" noChangeArrowheads="1"/>
        </xdr:cNvSpPr>
      </xdr:nvSpPr>
      <xdr:spPr bwMode="auto">
        <a:xfrm>
          <a:off x="7531100" y="129114550"/>
          <a:ext cx="190500" cy="266700"/>
        </a:xfrm>
        <a:prstGeom prst="rect">
          <a:avLst/>
        </a:prstGeom>
        <a:noFill/>
      </xdr:spPr>
    </xdr:sp>
    <xdr:clientData/>
  </xdr:oneCellAnchor>
  <xdr:oneCellAnchor>
    <xdr:from>
      <xdr:col>4</xdr:col>
      <xdr:colOff>1657350</xdr:colOff>
      <xdr:row>676</xdr:row>
      <xdr:rowOff>0</xdr:rowOff>
    </xdr:from>
    <xdr:ext cx="190500" cy="266700"/>
    <xdr:sp macro="" textlink="">
      <xdr:nvSpPr>
        <xdr:cNvPr id="6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53BBE75-4A4B-4D07-9562-54C0D5C3CE97}"/>
            </a:ext>
            <a:ext uri="{147F2762-F138-4A5C-976F-8EAC2B608ADB}">
              <a16:predDERef xmlns:a16="http://schemas.microsoft.com/office/drawing/2014/main" pred="{9BABEEA8-7769-4E4F-A344-A72FD7294EFE}"/>
            </a:ext>
          </a:extLst>
        </xdr:cNvPr>
        <xdr:cNvSpPr>
          <a:spLocks noChangeAspect="1" noChangeArrowheads="1"/>
        </xdr:cNvSpPr>
      </xdr:nvSpPr>
      <xdr:spPr bwMode="auto">
        <a:xfrm>
          <a:off x="7531100" y="129482850"/>
          <a:ext cx="190500" cy="266700"/>
        </a:xfrm>
        <a:prstGeom prst="rect">
          <a:avLst/>
        </a:prstGeom>
        <a:noFill/>
      </xdr:spPr>
    </xdr:sp>
    <xdr:clientData/>
  </xdr:oneCellAnchor>
  <xdr:oneCellAnchor>
    <xdr:from>
      <xdr:col>4</xdr:col>
      <xdr:colOff>1657350</xdr:colOff>
      <xdr:row>676</xdr:row>
      <xdr:rowOff>0</xdr:rowOff>
    </xdr:from>
    <xdr:ext cx="190500" cy="266700"/>
    <xdr:sp macro="" textlink="">
      <xdr:nvSpPr>
        <xdr:cNvPr id="6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7B0C029-5464-404D-ABE5-CB2ABDF76640}"/>
            </a:ext>
            <a:ext uri="{147F2762-F138-4A5C-976F-8EAC2B608ADB}">
              <a16:predDERef xmlns:a16="http://schemas.microsoft.com/office/drawing/2014/main" pred="{2ED6A5B1-8A81-4385-AC7D-A8AF305CD1A8}"/>
            </a:ext>
          </a:extLst>
        </xdr:cNvPr>
        <xdr:cNvSpPr>
          <a:spLocks noChangeAspect="1" noChangeArrowheads="1"/>
        </xdr:cNvSpPr>
      </xdr:nvSpPr>
      <xdr:spPr bwMode="auto">
        <a:xfrm>
          <a:off x="7531100" y="129482850"/>
          <a:ext cx="190500" cy="266700"/>
        </a:xfrm>
        <a:prstGeom prst="rect">
          <a:avLst/>
        </a:prstGeom>
        <a:noFill/>
      </xdr:spPr>
    </xdr:sp>
    <xdr:clientData/>
  </xdr:oneCellAnchor>
  <xdr:oneCellAnchor>
    <xdr:from>
      <xdr:col>4</xdr:col>
      <xdr:colOff>1657350</xdr:colOff>
      <xdr:row>678</xdr:row>
      <xdr:rowOff>0</xdr:rowOff>
    </xdr:from>
    <xdr:ext cx="190500" cy="266700"/>
    <xdr:sp macro="" textlink="">
      <xdr:nvSpPr>
        <xdr:cNvPr id="6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1235B20-574F-450A-8C07-12D09DF70B02}"/>
            </a:ext>
            <a:ext uri="{147F2762-F138-4A5C-976F-8EAC2B608ADB}">
              <a16:predDERef xmlns:a16="http://schemas.microsoft.com/office/drawing/2014/main" pred="{09C4E194-C4DB-4721-BF9A-50A617A8F452}"/>
            </a:ext>
          </a:extLst>
        </xdr:cNvPr>
        <xdr:cNvSpPr>
          <a:spLocks noChangeAspect="1" noChangeArrowheads="1"/>
        </xdr:cNvSpPr>
      </xdr:nvSpPr>
      <xdr:spPr bwMode="auto">
        <a:xfrm>
          <a:off x="7531100" y="129851150"/>
          <a:ext cx="190500" cy="266700"/>
        </a:xfrm>
        <a:prstGeom prst="rect">
          <a:avLst/>
        </a:prstGeom>
        <a:noFill/>
      </xdr:spPr>
    </xdr:sp>
    <xdr:clientData/>
  </xdr:oneCellAnchor>
  <xdr:oneCellAnchor>
    <xdr:from>
      <xdr:col>4</xdr:col>
      <xdr:colOff>1657350</xdr:colOff>
      <xdr:row>678</xdr:row>
      <xdr:rowOff>0</xdr:rowOff>
    </xdr:from>
    <xdr:ext cx="190500" cy="266700"/>
    <xdr:sp macro="" textlink="">
      <xdr:nvSpPr>
        <xdr:cNvPr id="6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577FE66-A3DA-41D0-81D1-104756975C97}"/>
            </a:ext>
            <a:ext uri="{147F2762-F138-4A5C-976F-8EAC2B608ADB}">
              <a16:predDERef xmlns:a16="http://schemas.microsoft.com/office/drawing/2014/main" pred="{2DC788B3-EA81-4253-98DC-5D7E146F2298}"/>
            </a:ext>
          </a:extLst>
        </xdr:cNvPr>
        <xdr:cNvSpPr>
          <a:spLocks noChangeAspect="1" noChangeArrowheads="1"/>
        </xdr:cNvSpPr>
      </xdr:nvSpPr>
      <xdr:spPr bwMode="auto">
        <a:xfrm>
          <a:off x="7531100" y="129851150"/>
          <a:ext cx="190500" cy="266700"/>
        </a:xfrm>
        <a:prstGeom prst="rect">
          <a:avLst/>
        </a:prstGeom>
        <a:noFill/>
      </xdr:spPr>
    </xdr:sp>
    <xdr:clientData/>
  </xdr:oneCellAnchor>
  <xdr:oneCellAnchor>
    <xdr:from>
      <xdr:col>4</xdr:col>
      <xdr:colOff>1657350</xdr:colOff>
      <xdr:row>680</xdr:row>
      <xdr:rowOff>0</xdr:rowOff>
    </xdr:from>
    <xdr:ext cx="190500" cy="266700"/>
    <xdr:sp macro="" textlink="">
      <xdr:nvSpPr>
        <xdr:cNvPr id="6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7589A60-404B-4D35-B836-8E56D3D4F5A4}"/>
            </a:ext>
            <a:ext uri="{147F2762-F138-4A5C-976F-8EAC2B608ADB}">
              <a16:predDERef xmlns:a16="http://schemas.microsoft.com/office/drawing/2014/main" pred="{AE998128-2E3E-42B3-9110-873FFBCFF95A}"/>
            </a:ext>
          </a:extLst>
        </xdr:cNvPr>
        <xdr:cNvSpPr>
          <a:spLocks noChangeAspect="1" noChangeArrowheads="1"/>
        </xdr:cNvSpPr>
      </xdr:nvSpPr>
      <xdr:spPr bwMode="auto">
        <a:xfrm>
          <a:off x="7531100" y="130219450"/>
          <a:ext cx="190500" cy="266700"/>
        </a:xfrm>
        <a:prstGeom prst="rect">
          <a:avLst/>
        </a:prstGeom>
        <a:noFill/>
      </xdr:spPr>
    </xdr:sp>
    <xdr:clientData/>
  </xdr:oneCellAnchor>
  <xdr:oneCellAnchor>
    <xdr:from>
      <xdr:col>4</xdr:col>
      <xdr:colOff>1657350</xdr:colOff>
      <xdr:row>680</xdr:row>
      <xdr:rowOff>0</xdr:rowOff>
    </xdr:from>
    <xdr:ext cx="190500" cy="266700"/>
    <xdr:sp macro="" textlink="">
      <xdr:nvSpPr>
        <xdr:cNvPr id="6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C9ABA4-4586-40E9-9E2D-EF0EE977D63A}"/>
            </a:ext>
            <a:ext uri="{147F2762-F138-4A5C-976F-8EAC2B608ADB}">
              <a16:predDERef xmlns:a16="http://schemas.microsoft.com/office/drawing/2014/main" pred="{5C6AA2FB-9359-431F-99E8-21D4FB608DC8}"/>
            </a:ext>
          </a:extLst>
        </xdr:cNvPr>
        <xdr:cNvSpPr>
          <a:spLocks noChangeAspect="1" noChangeArrowheads="1"/>
        </xdr:cNvSpPr>
      </xdr:nvSpPr>
      <xdr:spPr bwMode="auto">
        <a:xfrm>
          <a:off x="7531100" y="130219450"/>
          <a:ext cx="190500" cy="266700"/>
        </a:xfrm>
        <a:prstGeom prst="rect">
          <a:avLst/>
        </a:prstGeom>
        <a:noFill/>
      </xdr:spPr>
    </xdr:sp>
    <xdr:clientData/>
  </xdr:oneCellAnchor>
  <xdr:oneCellAnchor>
    <xdr:from>
      <xdr:col>4</xdr:col>
      <xdr:colOff>1657350</xdr:colOff>
      <xdr:row>682</xdr:row>
      <xdr:rowOff>0</xdr:rowOff>
    </xdr:from>
    <xdr:ext cx="190500" cy="266700"/>
    <xdr:sp macro="" textlink="">
      <xdr:nvSpPr>
        <xdr:cNvPr id="6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F87C242-A219-4D2B-B0B1-B3284E0A54AA}"/>
            </a:ext>
            <a:ext uri="{147F2762-F138-4A5C-976F-8EAC2B608ADB}">
              <a16:predDERef xmlns:a16="http://schemas.microsoft.com/office/drawing/2014/main" pred="{3AA58657-19E7-4241-B186-50786C7A829C}"/>
            </a:ext>
          </a:extLst>
        </xdr:cNvPr>
        <xdr:cNvSpPr>
          <a:spLocks noChangeAspect="1" noChangeArrowheads="1"/>
        </xdr:cNvSpPr>
      </xdr:nvSpPr>
      <xdr:spPr bwMode="auto">
        <a:xfrm>
          <a:off x="7531100" y="130587750"/>
          <a:ext cx="190500" cy="266700"/>
        </a:xfrm>
        <a:prstGeom prst="rect">
          <a:avLst/>
        </a:prstGeom>
        <a:noFill/>
      </xdr:spPr>
    </xdr:sp>
    <xdr:clientData/>
  </xdr:oneCellAnchor>
  <xdr:oneCellAnchor>
    <xdr:from>
      <xdr:col>4</xdr:col>
      <xdr:colOff>1657350</xdr:colOff>
      <xdr:row>682</xdr:row>
      <xdr:rowOff>0</xdr:rowOff>
    </xdr:from>
    <xdr:ext cx="190500" cy="266700"/>
    <xdr:sp macro="" textlink="">
      <xdr:nvSpPr>
        <xdr:cNvPr id="6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264B640-DAE6-49C3-BCDD-8F42ADB87DB1}"/>
            </a:ext>
            <a:ext uri="{147F2762-F138-4A5C-976F-8EAC2B608ADB}">
              <a16:predDERef xmlns:a16="http://schemas.microsoft.com/office/drawing/2014/main" pred="{7CF3613A-2486-4D11-94C8-BBAC2F63CF2C}"/>
            </a:ext>
          </a:extLst>
        </xdr:cNvPr>
        <xdr:cNvSpPr>
          <a:spLocks noChangeAspect="1" noChangeArrowheads="1"/>
        </xdr:cNvSpPr>
      </xdr:nvSpPr>
      <xdr:spPr bwMode="auto">
        <a:xfrm>
          <a:off x="7531100" y="130587750"/>
          <a:ext cx="190500" cy="266700"/>
        </a:xfrm>
        <a:prstGeom prst="rect">
          <a:avLst/>
        </a:prstGeom>
        <a:noFill/>
      </xdr:spPr>
    </xdr:sp>
    <xdr:clientData/>
  </xdr:oneCellAnchor>
  <xdr:oneCellAnchor>
    <xdr:from>
      <xdr:col>4</xdr:col>
      <xdr:colOff>1657350</xdr:colOff>
      <xdr:row>684</xdr:row>
      <xdr:rowOff>0</xdr:rowOff>
    </xdr:from>
    <xdr:ext cx="190500" cy="266700"/>
    <xdr:sp macro="" textlink="">
      <xdr:nvSpPr>
        <xdr:cNvPr id="6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5C0943D-A0EE-471A-9F58-9C7B7193A7DB}"/>
            </a:ext>
            <a:ext uri="{147F2762-F138-4A5C-976F-8EAC2B608ADB}">
              <a16:predDERef xmlns:a16="http://schemas.microsoft.com/office/drawing/2014/main" pred="{5D5A05B3-A9D2-4D9B-B876-CC7111B07894}"/>
            </a:ext>
          </a:extLst>
        </xdr:cNvPr>
        <xdr:cNvSpPr>
          <a:spLocks noChangeAspect="1" noChangeArrowheads="1"/>
        </xdr:cNvSpPr>
      </xdr:nvSpPr>
      <xdr:spPr bwMode="auto">
        <a:xfrm>
          <a:off x="7531100" y="130956050"/>
          <a:ext cx="190500" cy="266700"/>
        </a:xfrm>
        <a:prstGeom prst="rect">
          <a:avLst/>
        </a:prstGeom>
        <a:noFill/>
      </xdr:spPr>
    </xdr:sp>
    <xdr:clientData/>
  </xdr:oneCellAnchor>
  <xdr:oneCellAnchor>
    <xdr:from>
      <xdr:col>4</xdr:col>
      <xdr:colOff>1657350</xdr:colOff>
      <xdr:row>684</xdr:row>
      <xdr:rowOff>0</xdr:rowOff>
    </xdr:from>
    <xdr:ext cx="190500" cy="266700"/>
    <xdr:sp macro="" textlink="">
      <xdr:nvSpPr>
        <xdr:cNvPr id="6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24F6BAC-7D43-4CA6-9FA1-0D6B03631A83}"/>
            </a:ext>
            <a:ext uri="{147F2762-F138-4A5C-976F-8EAC2B608ADB}">
              <a16:predDERef xmlns:a16="http://schemas.microsoft.com/office/drawing/2014/main" pred="{A8934EFD-6BAC-4550-A540-E9608C4826EC}"/>
            </a:ext>
          </a:extLst>
        </xdr:cNvPr>
        <xdr:cNvSpPr>
          <a:spLocks noChangeAspect="1" noChangeArrowheads="1"/>
        </xdr:cNvSpPr>
      </xdr:nvSpPr>
      <xdr:spPr bwMode="auto">
        <a:xfrm>
          <a:off x="7531100" y="130956050"/>
          <a:ext cx="190500" cy="266700"/>
        </a:xfrm>
        <a:prstGeom prst="rect">
          <a:avLst/>
        </a:prstGeom>
        <a:noFill/>
      </xdr:spPr>
    </xdr:sp>
    <xdr:clientData/>
  </xdr:oneCellAnchor>
  <xdr:oneCellAnchor>
    <xdr:from>
      <xdr:col>4</xdr:col>
      <xdr:colOff>1657350</xdr:colOff>
      <xdr:row>686</xdr:row>
      <xdr:rowOff>0</xdr:rowOff>
    </xdr:from>
    <xdr:ext cx="190500" cy="266700"/>
    <xdr:sp macro="" textlink="">
      <xdr:nvSpPr>
        <xdr:cNvPr id="6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06D6AD8-A04F-47AA-9BC9-6CF1A3F3A23B}"/>
            </a:ext>
            <a:ext uri="{147F2762-F138-4A5C-976F-8EAC2B608ADB}">
              <a16:predDERef xmlns:a16="http://schemas.microsoft.com/office/drawing/2014/main" pred="{6D42F13E-3544-4DA6-AC6E-F677DD752745}"/>
            </a:ext>
          </a:extLst>
        </xdr:cNvPr>
        <xdr:cNvSpPr>
          <a:spLocks noChangeAspect="1" noChangeArrowheads="1"/>
        </xdr:cNvSpPr>
      </xdr:nvSpPr>
      <xdr:spPr bwMode="auto">
        <a:xfrm>
          <a:off x="7531100" y="131324350"/>
          <a:ext cx="190500" cy="266700"/>
        </a:xfrm>
        <a:prstGeom prst="rect">
          <a:avLst/>
        </a:prstGeom>
        <a:noFill/>
      </xdr:spPr>
    </xdr:sp>
    <xdr:clientData/>
  </xdr:oneCellAnchor>
  <xdr:oneCellAnchor>
    <xdr:from>
      <xdr:col>4</xdr:col>
      <xdr:colOff>1657350</xdr:colOff>
      <xdr:row>686</xdr:row>
      <xdr:rowOff>0</xdr:rowOff>
    </xdr:from>
    <xdr:ext cx="190500" cy="266700"/>
    <xdr:sp macro="" textlink="">
      <xdr:nvSpPr>
        <xdr:cNvPr id="6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6EBFDD4-0138-4E8E-9C08-DAB6ED5786EB}"/>
            </a:ext>
            <a:ext uri="{147F2762-F138-4A5C-976F-8EAC2B608ADB}">
              <a16:predDERef xmlns:a16="http://schemas.microsoft.com/office/drawing/2014/main" pred="{21175FB3-73D5-4D60-8546-5BA2529DF6A5}"/>
            </a:ext>
          </a:extLst>
        </xdr:cNvPr>
        <xdr:cNvSpPr>
          <a:spLocks noChangeAspect="1" noChangeArrowheads="1"/>
        </xdr:cNvSpPr>
      </xdr:nvSpPr>
      <xdr:spPr bwMode="auto">
        <a:xfrm>
          <a:off x="7531100" y="131324350"/>
          <a:ext cx="190500" cy="266700"/>
        </a:xfrm>
        <a:prstGeom prst="rect">
          <a:avLst/>
        </a:prstGeom>
        <a:noFill/>
      </xdr:spPr>
    </xdr:sp>
    <xdr:clientData/>
  </xdr:oneCellAnchor>
  <xdr:oneCellAnchor>
    <xdr:from>
      <xdr:col>4</xdr:col>
      <xdr:colOff>1657350</xdr:colOff>
      <xdr:row>688</xdr:row>
      <xdr:rowOff>0</xdr:rowOff>
    </xdr:from>
    <xdr:ext cx="190500" cy="266700"/>
    <xdr:sp macro="" textlink="">
      <xdr:nvSpPr>
        <xdr:cNvPr id="6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7CD57FB-53B3-4247-A45A-EBE6B03A94DC}"/>
            </a:ext>
            <a:ext uri="{147F2762-F138-4A5C-976F-8EAC2B608ADB}">
              <a16:predDERef xmlns:a16="http://schemas.microsoft.com/office/drawing/2014/main" pred="{C5734219-A40D-4798-B164-DF48FF5F51F9}"/>
            </a:ext>
          </a:extLst>
        </xdr:cNvPr>
        <xdr:cNvSpPr>
          <a:spLocks noChangeAspect="1" noChangeArrowheads="1"/>
        </xdr:cNvSpPr>
      </xdr:nvSpPr>
      <xdr:spPr bwMode="auto">
        <a:xfrm>
          <a:off x="7531100" y="131692650"/>
          <a:ext cx="190500" cy="266700"/>
        </a:xfrm>
        <a:prstGeom prst="rect">
          <a:avLst/>
        </a:prstGeom>
        <a:noFill/>
      </xdr:spPr>
    </xdr:sp>
    <xdr:clientData/>
  </xdr:oneCellAnchor>
  <xdr:oneCellAnchor>
    <xdr:from>
      <xdr:col>4</xdr:col>
      <xdr:colOff>1657350</xdr:colOff>
      <xdr:row>688</xdr:row>
      <xdr:rowOff>0</xdr:rowOff>
    </xdr:from>
    <xdr:ext cx="190500" cy="266700"/>
    <xdr:sp macro="" textlink="">
      <xdr:nvSpPr>
        <xdr:cNvPr id="6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505495C-3EF2-4256-9D19-EC0D73DABE28}"/>
            </a:ext>
            <a:ext uri="{147F2762-F138-4A5C-976F-8EAC2B608ADB}">
              <a16:predDERef xmlns:a16="http://schemas.microsoft.com/office/drawing/2014/main" pred="{9737692D-9D49-464E-8669-01A8089F688D}"/>
            </a:ext>
          </a:extLst>
        </xdr:cNvPr>
        <xdr:cNvSpPr>
          <a:spLocks noChangeAspect="1" noChangeArrowheads="1"/>
        </xdr:cNvSpPr>
      </xdr:nvSpPr>
      <xdr:spPr bwMode="auto">
        <a:xfrm>
          <a:off x="7531100" y="131692650"/>
          <a:ext cx="190500" cy="266700"/>
        </a:xfrm>
        <a:prstGeom prst="rect">
          <a:avLst/>
        </a:prstGeom>
        <a:noFill/>
      </xdr:spPr>
    </xdr:sp>
    <xdr:clientData/>
  </xdr:oneCellAnchor>
  <xdr:oneCellAnchor>
    <xdr:from>
      <xdr:col>4</xdr:col>
      <xdr:colOff>1657350</xdr:colOff>
      <xdr:row>690</xdr:row>
      <xdr:rowOff>0</xdr:rowOff>
    </xdr:from>
    <xdr:ext cx="190500" cy="266700"/>
    <xdr:sp macro="" textlink="">
      <xdr:nvSpPr>
        <xdr:cNvPr id="6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84CECC-C269-49B5-8461-4F25DA9328D5}"/>
            </a:ext>
            <a:ext uri="{147F2762-F138-4A5C-976F-8EAC2B608ADB}">
              <a16:predDERef xmlns:a16="http://schemas.microsoft.com/office/drawing/2014/main" pred="{91059851-AD53-49C4-B5D2-CE0CE110C7E7}"/>
            </a:ext>
          </a:extLst>
        </xdr:cNvPr>
        <xdr:cNvSpPr>
          <a:spLocks noChangeAspect="1" noChangeArrowheads="1"/>
        </xdr:cNvSpPr>
      </xdr:nvSpPr>
      <xdr:spPr bwMode="auto">
        <a:xfrm>
          <a:off x="7531100" y="132060950"/>
          <a:ext cx="190500" cy="266700"/>
        </a:xfrm>
        <a:prstGeom prst="rect">
          <a:avLst/>
        </a:prstGeom>
        <a:noFill/>
      </xdr:spPr>
    </xdr:sp>
    <xdr:clientData/>
  </xdr:oneCellAnchor>
  <xdr:oneCellAnchor>
    <xdr:from>
      <xdr:col>4</xdr:col>
      <xdr:colOff>1657350</xdr:colOff>
      <xdr:row>690</xdr:row>
      <xdr:rowOff>0</xdr:rowOff>
    </xdr:from>
    <xdr:ext cx="190500" cy="266700"/>
    <xdr:sp macro="" textlink="">
      <xdr:nvSpPr>
        <xdr:cNvPr id="6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839D978-8198-40D3-9424-FAC63692FD54}"/>
            </a:ext>
            <a:ext uri="{147F2762-F138-4A5C-976F-8EAC2B608ADB}">
              <a16:predDERef xmlns:a16="http://schemas.microsoft.com/office/drawing/2014/main" pred="{B39FAD71-2FEB-4970-ACA4-096DFEB0105D}"/>
            </a:ext>
          </a:extLst>
        </xdr:cNvPr>
        <xdr:cNvSpPr>
          <a:spLocks noChangeAspect="1" noChangeArrowheads="1"/>
        </xdr:cNvSpPr>
      </xdr:nvSpPr>
      <xdr:spPr bwMode="auto">
        <a:xfrm>
          <a:off x="7531100" y="132060950"/>
          <a:ext cx="190500" cy="266700"/>
        </a:xfrm>
        <a:prstGeom prst="rect">
          <a:avLst/>
        </a:prstGeom>
        <a:noFill/>
      </xdr:spPr>
    </xdr:sp>
    <xdr:clientData/>
  </xdr:oneCellAnchor>
  <xdr:oneCellAnchor>
    <xdr:from>
      <xdr:col>4</xdr:col>
      <xdr:colOff>1657350</xdr:colOff>
      <xdr:row>692</xdr:row>
      <xdr:rowOff>0</xdr:rowOff>
    </xdr:from>
    <xdr:ext cx="190500" cy="266700"/>
    <xdr:sp macro="" textlink="">
      <xdr:nvSpPr>
        <xdr:cNvPr id="6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3848DCB-0449-4D6F-B1CE-1289E2CA26AB}"/>
            </a:ext>
            <a:ext uri="{147F2762-F138-4A5C-976F-8EAC2B608ADB}">
              <a16:predDERef xmlns:a16="http://schemas.microsoft.com/office/drawing/2014/main" pred="{33B85A0F-B334-427C-AAC2-2D6A25D11C35}"/>
            </a:ext>
          </a:extLst>
        </xdr:cNvPr>
        <xdr:cNvSpPr>
          <a:spLocks noChangeAspect="1" noChangeArrowheads="1"/>
        </xdr:cNvSpPr>
      </xdr:nvSpPr>
      <xdr:spPr bwMode="auto">
        <a:xfrm>
          <a:off x="7531100" y="132429250"/>
          <a:ext cx="190500" cy="266700"/>
        </a:xfrm>
        <a:prstGeom prst="rect">
          <a:avLst/>
        </a:prstGeom>
        <a:noFill/>
      </xdr:spPr>
    </xdr:sp>
    <xdr:clientData/>
  </xdr:oneCellAnchor>
  <xdr:oneCellAnchor>
    <xdr:from>
      <xdr:col>4</xdr:col>
      <xdr:colOff>1657350</xdr:colOff>
      <xdr:row>692</xdr:row>
      <xdr:rowOff>0</xdr:rowOff>
    </xdr:from>
    <xdr:ext cx="190500" cy="266700"/>
    <xdr:sp macro="" textlink="">
      <xdr:nvSpPr>
        <xdr:cNvPr id="6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CDAB4CA-1276-4E13-8603-BD2D3A20F59C}"/>
            </a:ext>
            <a:ext uri="{147F2762-F138-4A5C-976F-8EAC2B608ADB}">
              <a16:predDERef xmlns:a16="http://schemas.microsoft.com/office/drawing/2014/main" pred="{C8FD7EAD-5D91-41E3-845C-6DA0BB6D8CE9}"/>
            </a:ext>
          </a:extLst>
        </xdr:cNvPr>
        <xdr:cNvSpPr>
          <a:spLocks noChangeAspect="1" noChangeArrowheads="1"/>
        </xdr:cNvSpPr>
      </xdr:nvSpPr>
      <xdr:spPr bwMode="auto">
        <a:xfrm>
          <a:off x="7531100" y="132429250"/>
          <a:ext cx="190500" cy="266700"/>
        </a:xfrm>
        <a:prstGeom prst="rect">
          <a:avLst/>
        </a:prstGeom>
        <a:noFill/>
      </xdr:spPr>
    </xdr:sp>
    <xdr:clientData/>
  </xdr:oneCellAnchor>
  <xdr:oneCellAnchor>
    <xdr:from>
      <xdr:col>4</xdr:col>
      <xdr:colOff>1657350</xdr:colOff>
      <xdr:row>694</xdr:row>
      <xdr:rowOff>0</xdr:rowOff>
    </xdr:from>
    <xdr:ext cx="190500" cy="266700"/>
    <xdr:sp macro="" textlink="">
      <xdr:nvSpPr>
        <xdr:cNvPr id="6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155C69-EA6E-42D0-9C34-BAA50C24AADB}"/>
            </a:ext>
            <a:ext uri="{147F2762-F138-4A5C-976F-8EAC2B608ADB}">
              <a16:predDERef xmlns:a16="http://schemas.microsoft.com/office/drawing/2014/main" pred="{AA32C139-97E1-4FE2-BCE7-00D5FC096C3C}"/>
            </a:ext>
          </a:extLst>
        </xdr:cNvPr>
        <xdr:cNvSpPr>
          <a:spLocks noChangeAspect="1" noChangeArrowheads="1"/>
        </xdr:cNvSpPr>
      </xdr:nvSpPr>
      <xdr:spPr bwMode="auto">
        <a:xfrm>
          <a:off x="7531100" y="132797550"/>
          <a:ext cx="190500" cy="266700"/>
        </a:xfrm>
        <a:prstGeom prst="rect">
          <a:avLst/>
        </a:prstGeom>
        <a:noFill/>
      </xdr:spPr>
    </xdr:sp>
    <xdr:clientData/>
  </xdr:oneCellAnchor>
  <xdr:oneCellAnchor>
    <xdr:from>
      <xdr:col>4</xdr:col>
      <xdr:colOff>1657350</xdr:colOff>
      <xdr:row>694</xdr:row>
      <xdr:rowOff>0</xdr:rowOff>
    </xdr:from>
    <xdr:ext cx="190500" cy="266700"/>
    <xdr:sp macro="" textlink="">
      <xdr:nvSpPr>
        <xdr:cNvPr id="6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680044A-743C-401A-8500-D4038C298BBA}"/>
            </a:ext>
            <a:ext uri="{147F2762-F138-4A5C-976F-8EAC2B608ADB}">
              <a16:predDERef xmlns:a16="http://schemas.microsoft.com/office/drawing/2014/main" pred="{08C3B07F-883F-4E32-B895-9FACF3363024}"/>
            </a:ext>
          </a:extLst>
        </xdr:cNvPr>
        <xdr:cNvSpPr>
          <a:spLocks noChangeAspect="1" noChangeArrowheads="1"/>
        </xdr:cNvSpPr>
      </xdr:nvSpPr>
      <xdr:spPr bwMode="auto">
        <a:xfrm>
          <a:off x="7531100" y="132797550"/>
          <a:ext cx="190500" cy="266700"/>
        </a:xfrm>
        <a:prstGeom prst="rect">
          <a:avLst/>
        </a:prstGeom>
        <a:noFill/>
      </xdr:spPr>
    </xdr:sp>
    <xdr:clientData/>
  </xdr:oneCellAnchor>
  <xdr:oneCellAnchor>
    <xdr:from>
      <xdr:col>4</xdr:col>
      <xdr:colOff>1657350</xdr:colOff>
      <xdr:row>696</xdr:row>
      <xdr:rowOff>0</xdr:rowOff>
    </xdr:from>
    <xdr:ext cx="190500" cy="266700"/>
    <xdr:sp macro="" textlink="">
      <xdr:nvSpPr>
        <xdr:cNvPr id="6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CEE487C-9A39-4C3C-B4CB-EFA0449E3B1A}"/>
            </a:ext>
            <a:ext uri="{147F2762-F138-4A5C-976F-8EAC2B608ADB}">
              <a16:predDERef xmlns:a16="http://schemas.microsoft.com/office/drawing/2014/main" pred="{321CD935-783E-4262-ABC6-22D5EC679DC6}"/>
            </a:ext>
          </a:extLst>
        </xdr:cNvPr>
        <xdr:cNvSpPr>
          <a:spLocks noChangeAspect="1" noChangeArrowheads="1"/>
        </xdr:cNvSpPr>
      </xdr:nvSpPr>
      <xdr:spPr bwMode="auto">
        <a:xfrm>
          <a:off x="7531100" y="133165850"/>
          <a:ext cx="190500" cy="266700"/>
        </a:xfrm>
        <a:prstGeom prst="rect">
          <a:avLst/>
        </a:prstGeom>
        <a:noFill/>
      </xdr:spPr>
    </xdr:sp>
    <xdr:clientData/>
  </xdr:oneCellAnchor>
  <xdr:oneCellAnchor>
    <xdr:from>
      <xdr:col>4</xdr:col>
      <xdr:colOff>1657350</xdr:colOff>
      <xdr:row>696</xdr:row>
      <xdr:rowOff>0</xdr:rowOff>
    </xdr:from>
    <xdr:ext cx="190500" cy="266700"/>
    <xdr:sp macro="" textlink="">
      <xdr:nvSpPr>
        <xdr:cNvPr id="6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7143F35-1E2B-4C99-A971-E45265ED3F08}"/>
            </a:ext>
            <a:ext uri="{147F2762-F138-4A5C-976F-8EAC2B608ADB}">
              <a16:predDERef xmlns:a16="http://schemas.microsoft.com/office/drawing/2014/main" pred="{11A26A4D-62B6-4371-82A3-8DBB467A2662}"/>
            </a:ext>
          </a:extLst>
        </xdr:cNvPr>
        <xdr:cNvSpPr>
          <a:spLocks noChangeAspect="1" noChangeArrowheads="1"/>
        </xdr:cNvSpPr>
      </xdr:nvSpPr>
      <xdr:spPr bwMode="auto">
        <a:xfrm>
          <a:off x="7531100" y="133165850"/>
          <a:ext cx="190500" cy="266700"/>
        </a:xfrm>
        <a:prstGeom prst="rect">
          <a:avLst/>
        </a:prstGeom>
        <a:noFill/>
      </xdr:spPr>
    </xdr:sp>
    <xdr:clientData/>
  </xdr:oneCellAnchor>
  <xdr:oneCellAnchor>
    <xdr:from>
      <xdr:col>4</xdr:col>
      <xdr:colOff>1657350</xdr:colOff>
      <xdr:row>698</xdr:row>
      <xdr:rowOff>0</xdr:rowOff>
    </xdr:from>
    <xdr:ext cx="190500" cy="266700"/>
    <xdr:sp macro="" textlink="">
      <xdr:nvSpPr>
        <xdr:cNvPr id="7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460EC2B-DCF5-4D61-B392-588CC6341844}"/>
            </a:ext>
            <a:ext uri="{147F2762-F138-4A5C-976F-8EAC2B608ADB}">
              <a16:predDERef xmlns:a16="http://schemas.microsoft.com/office/drawing/2014/main" pred="{0DACCEEE-EED3-4214-8E2C-1060BBF1CA00}"/>
            </a:ext>
          </a:extLst>
        </xdr:cNvPr>
        <xdr:cNvSpPr>
          <a:spLocks noChangeAspect="1" noChangeArrowheads="1"/>
        </xdr:cNvSpPr>
      </xdr:nvSpPr>
      <xdr:spPr bwMode="auto">
        <a:xfrm>
          <a:off x="7531100" y="133680200"/>
          <a:ext cx="190500" cy="266700"/>
        </a:xfrm>
        <a:prstGeom prst="rect">
          <a:avLst/>
        </a:prstGeom>
        <a:noFill/>
      </xdr:spPr>
    </xdr:sp>
    <xdr:clientData/>
  </xdr:oneCellAnchor>
  <xdr:oneCellAnchor>
    <xdr:from>
      <xdr:col>4</xdr:col>
      <xdr:colOff>1657350</xdr:colOff>
      <xdr:row>698</xdr:row>
      <xdr:rowOff>0</xdr:rowOff>
    </xdr:from>
    <xdr:ext cx="190500" cy="266700"/>
    <xdr:sp macro="" textlink="">
      <xdr:nvSpPr>
        <xdr:cNvPr id="7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ADFFAA0-9B11-4D42-A444-D036CDED0723}"/>
            </a:ext>
            <a:ext uri="{147F2762-F138-4A5C-976F-8EAC2B608ADB}">
              <a16:predDERef xmlns:a16="http://schemas.microsoft.com/office/drawing/2014/main" pred="{F0DF9A4E-E1B1-419B-A771-526962F9C405}"/>
            </a:ext>
          </a:extLst>
        </xdr:cNvPr>
        <xdr:cNvSpPr>
          <a:spLocks noChangeAspect="1" noChangeArrowheads="1"/>
        </xdr:cNvSpPr>
      </xdr:nvSpPr>
      <xdr:spPr bwMode="auto">
        <a:xfrm>
          <a:off x="7531100" y="133680200"/>
          <a:ext cx="190500" cy="266700"/>
        </a:xfrm>
        <a:prstGeom prst="rect">
          <a:avLst/>
        </a:prstGeom>
        <a:noFill/>
      </xdr:spPr>
    </xdr:sp>
    <xdr:clientData/>
  </xdr:oneCellAnchor>
  <xdr:oneCellAnchor>
    <xdr:from>
      <xdr:col>4</xdr:col>
      <xdr:colOff>1657350</xdr:colOff>
      <xdr:row>700</xdr:row>
      <xdr:rowOff>0</xdr:rowOff>
    </xdr:from>
    <xdr:ext cx="190500" cy="266700"/>
    <xdr:sp macro="" textlink="">
      <xdr:nvSpPr>
        <xdr:cNvPr id="7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362F85F-E350-4D68-A717-505F5B846ECD}"/>
            </a:ext>
            <a:ext uri="{147F2762-F138-4A5C-976F-8EAC2B608ADB}">
              <a16:predDERef xmlns:a16="http://schemas.microsoft.com/office/drawing/2014/main" pred="{72CDE506-4E07-4508-B7A5-D2A1170B52DD}"/>
            </a:ext>
          </a:extLst>
        </xdr:cNvPr>
        <xdr:cNvSpPr>
          <a:spLocks noChangeAspect="1" noChangeArrowheads="1"/>
        </xdr:cNvSpPr>
      </xdr:nvSpPr>
      <xdr:spPr bwMode="auto">
        <a:xfrm>
          <a:off x="7531100" y="134048500"/>
          <a:ext cx="190500" cy="266700"/>
        </a:xfrm>
        <a:prstGeom prst="rect">
          <a:avLst/>
        </a:prstGeom>
        <a:noFill/>
      </xdr:spPr>
    </xdr:sp>
    <xdr:clientData/>
  </xdr:oneCellAnchor>
  <xdr:oneCellAnchor>
    <xdr:from>
      <xdr:col>4</xdr:col>
      <xdr:colOff>1657350</xdr:colOff>
      <xdr:row>700</xdr:row>
      <xdr:rowOff>0</xdr:rowOff>
    </xdr:from>
    <xdr:ext cx="190500" cy="266700"/>
    <xdr:sp macro="" textlink="">
      <xdr:nvSpPr>
        <xdr:cNvPr id="7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0A0C0A-29A8-4124-914D-615FA90D50F0}"/>
            </a:ext>
            <a:ext uri="{147F2762-F138-4A5C-976F-8EAC2B608ADB}">
              <a16:predDERef xmlns:a16="http://schemas.microsoft.com/office/drawing/2014/main" pred="{D1B745B4-3E1F-4CD3-9813-BFD106201FBA}"/>
            </a:ext>
          </a:extLst>
        </xdr:cNvPr>
        <xdr:cNvSpPr>
          <a:spLocks noChangeAspect="1" noChangeArrowheads="1"/>
        </xdr:cNvSpPr>
      </xdr:nvSpPr>
      <xdr:spPr bwMode="auto">
        <a:xfrm>
          <a:off x="7531100" y="134048500"/>
          <a:ext cx="190500" cy="266700"/>
        </a:xfrm>
        <a:prstGeom prst="rect">
          <a:avLst/>
        </a:prstGeom>
        <a:noFill/>
      </xdr:spPr>
    </xdr:sp>
    <xdr:clientData/>
  </xdr:oneCellAnchor>
  <xdr:oneCellAnchor>
    <xdr:from>
      <xdr:col>4</xdr:col>
      <xdr:colOff>1657350</xdr:colOff>
      <xdr:row>702</xdr:row>
      <xdr:rowOff>0</xdr:rowOff>
    </xdr:from>
    <xdr:ext cx="190500" cy="266700"/>
    <xdr:sp macro="" textlink="">
      <xdr:nvSpPr>
        <xdr:cNvPr id="7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9FFDE45-E417-4D30-ADDA-7B3EC21587AC}"/>
            </a:ext>
            <a:ext uri="{147F2762-F138-4A5C-976F-8EAC2B608ADB}">
              <a16:predDERef xmlns:a16="http://schemas.microsoft.com/office/drawing/2014/main" pred="{9D24D3FC-4206-40CC-9F9F-2644162267F7}"/>
            </a:ext>
          </a:extLst>
        </xdr:cNvPr>
        <xdr:cNvSpPr>
          <a:spLocks noChangeAspect="1" noChangeArrowheads="1"/>
        </xdr:cNvSpPr>
      </xdr:nvSpPr>
      <xdr:spPr bwMode="auto">
        <a:xfrm>
          <a:off x="7531100" y="134416800"/>
          <a:ext cx="190500" cy="266700"/>
        </a:xfrm>
        <a:prstGeom prst="rect">
          <a:avLst/>
        </a:prstGeom>
        <a:noFill/>
      </xdr:spPr>
    </xdr:sp>
    <xdr:clientData/>
  </xdr:oneCellAnchor>
  <xdr:oneCellAnchor>
    <xdr:from>
      <xdr:col>4</xdr:col>
      <xdr:colOff>1657350</xdr:colOff>
      <xdr:row>702</xdr:row>
      <xdr:rowOff>0</xdr:rowOff>
    </xdr:from>
    <xdr:ext cx="190500" cy="266700"/>
    <xdr:sp macro="" textlink="">
      <xdr:nvSpPr>
        <xdr:cNvPr id="7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1E8A38-51EA-4016-A3D6-8ECC5B51A9DD}"/>
            </a:ext>
            <a:ext uri="{147F2762-F138-4A5C-976F-8EAC2B608ADB}">
              <a16:predDERef xmlns:a16="http://schemas.microsoft.com/office/drawing/2014/main" pred="{01299E26-E86B-4921-AEEC-131A3D91886E}"/>
            </a:ext>
          </a:extLst>
        </xdr:cNvPr>
        <xdr:cNvSpPr>
          <a:spLocks noChangeAspect="1" noChangeArrowheads="1"/>
        </xdr:cNvSpPr>
      </xdr:nvSpPr>
      <xdr:spPr bwMode="auto">
        <a:xfrm>
          <a:off x="7531100" y="134416800"/>
          <a:ext cx="190500" cy="266700"/>
        </a:xfrm>
        <a:prstGeom prst="rect">
          <a:avLst/>
        </a:prstGeom>
        <a:noFill/>
      </xdr:spPr>
    </xdr:sp>
    <xdr:clientData/>
  </xdr:oneCellAnchor>
  <xdr:oneCellAnchor>
    <xdr:from>
      <xdr:col>4</xdr:col>
      <xdr:colOff>1657350</xdr:colOff>
      <xdr:row>704</xdr:row>
      <xdr:rowOff>0</xdr:rowOff>
    </xdr:from>
    <xdr:ext cx="190500" cy="266700"/>
    <xdr:sp macro="" textlink="">
      <xdr:nvSpPr>
        <xdr:cNvPr id="7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44F860B-4913-4A61-99FD-F2FA53116BFA}"/>
            </a:ext>
            <a:ext uri="{147F2762-F138-4A5C-976F-8EAC2B608ADB}">
              <a16:predDERef xmlns:a16="http://schemas.microsoft.com/office/drawing/2014/main" pred="{4E0E35A5-373A-4FDB-8B16-4E2819D6EEEF}"/>
            </a:ext>
          </a:extLst>
        </xdr:cNvPr>
        <xdr:cNvSpPr>
          <a:spLocks noChangeAspect="1" noChangeArrowheads="1"/>
        </xdr:cNvSpPr>
      </xdr:nvSpPr>
      <xdr:spPr bwMode="auto">
        <a:xfrm>
          <a:off x="7531100" y="134785100"/>
          <a:ext cx="190500" cy="266700"/>
        </a:xfrm>
        <a:prstGeom prst="rect">
          <a:avLst/>
        </a:prstGeom>
        <a:noFill/>
      </xdr:spPr>
    </xdr:sp>
    <xdr:clientData/>
  </xdr:oneCellAnchor>
  <xdr:oneCellAnchor>
    <xdr:from>
      <xdr:col>4</xdr:col>
      <xdr:colOff>1657350</xdr:colOff>
      <xdr:row>704</xdr:row>
      <xdr:rowOff>0</xdr:rowOff>
    </xdr:from>
    <xdr:ext cx="190500" cy="266700"/>
    <xdr:sp macro="" textlink="">
      <xdr:nvSpPr>
        <xdr:cNvPr id="7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0098AE4-4DA2-4772-A641-C872FC1EDA59}"/>
            </a:ext>
            <a:ext uri="{147F2762-F138-4A5C-976F-8EAC2B608ADB}">
              <a16:predDERef xmlns:a16="http://schemas.microsoft.com/office/drawing/2014/main" pred="{1553EF4A-3978-4874-ADC9-60C46F371184}"/>
            </a:ext>
          </a:extLst>
        </xdr:cNvPr>
        <xdr:cNvSpPr>
          <a:spLocks noChangeAspect="1" noChangeArrowheads="1"/>
        </xdr:cNvSpPr>
      </xdr:nvSpPr>
      <xdr:spPr bwMode="auto">
        <a:xfrm>
          <a:off x="7531100" y="134785100"/>
          <a:ext cx="190500" cy="266700"/>
        </a:xfrm>
        <a:prstGeom prst="rect">
          <a:avLst/>
        </a:prstGeom>
        <a:noFill/>
      </xdr:spPr>
    </xdr:sp>
    <xdr:clientData/>
  </xdr:oneCellAnchor>
  <xdr:oneCellAnchor>
    <xdr:from>
      <xdr:col>4</xdr:col>
      <xdr:colOff>1657350</xdr:colOff>
      <xdr:row>706</xdr:row>
      <xdr:rowOff>0</xdr:rowOff>
    </xdr:from>
    <xdr:ext cx="190500" cy="266700"/>
    <xdr:sp macro="" textlink="">
      <xdr:nvSpPr>
        <xdr:cNvPr id="7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7D1F49B-80E1-4037-B930-6C91C55A3205}"/>
            </a:ext>
            <a:ext uri="{147F2762-F138-4A5C-976F-8EAC2B608ADB}">
              <a16:predDERef xmlns:a16="http://schemas.microsoft.com/office/drawing/2014/main" pred="{4F571D24-2E67-473A-87AD-8F880BA2B252}"/>
            </a:ext>
          </a:extLst>
        </xdr:cNvPr>
        <xdr:cNvSpPr>
          <a:spLocks noChangeAspect="1" noChangeArrowheads="1"/>
        </xdr:cNvSpPr>
      </xdr:nvSpPr>
      <xdr:spPr bwMode="auto">
        <a:xfrm>
          <a:off x="7531100" y="135153400"/>
          <a:ext cx="190500" cy="266700"/>
        </a:xfrm>
        <a:prstGeom prst="rect">
          <a:avLst/>
        </a:prstGeom>
        <a:noFill/>
      </xdr:spPr>
    </xdr:sp>
    <xdr:clientData/>
  </xdr:oneCellAnchor>
  <xdr:oneCellAnchor>
    <xdr:from>
      <xdr:col>4</xdr:col>
      <xdr:colOff>1657350</xdr:colOff>
      <xdr:row>706</xdr:row>
      <xdr:rowOff>0</xdr:rowOff>
    </xdr:from>
    <xdr:ext cx="190500" cy="266700"/>
    <xdr:sp macro="" textlink="">
      <xdr:nvSpPr>
        <xdr:cNvPr id="7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FC35BB8-F122-4E3E-B8DB-D1E6C1117505}"/>
            </a:ext>
            <a:ext uri="{147F2762-F138-4A5C-976F-8EAC2B608ADB}">
              <a16:predDERef xmlns:a16="http://schemas.microsoft.com/office/drawing/2014/main" pred="{2F57E785-CE18-47EC-AA9D-2AC56B4629B8}"/>
            </a:ext>
          </a:extLst>
        </xdr:cNvPr>
        <xdr:cNvSpPr>
          <a:spLocks noChangeAspect="1" noChangeArrowheads="1"/>
        </xdr:cNvSpPr>
      </xdr:nvSpPr>
      <xdr:spPr bwMode="auto">
        <a:xfrm>
          <a:off x="7531100" y="135153400"/>
          <a:ext cx="190500" cy="266700"/>
        </a:xfrm>
        <a:prstGeom prst="rect">
          <a:avLst/>
        </a:prstGeom>
        <a:noFill/>
      </xdr:spPr>
    </xdr:sp>
    <xdr:clientData/>
  </xdr:oneCellAnchor>
  <xdr:oneCellAnchor>
    <xdr:from>
      <xdr:col>4</xdr:col>
      <xdr:colOff>1657350</xdr:colOff>
      <xdr:row>708</xdr:row>
      <xdr:rowOff>0</xdr:rowOff>
    </xdr:from>
    <xdr:ext cx="190500" cy="266700"/>
    <xdr:sp macro="" textlink="">
      <xdr:nvSpPr>
        <xdr:cNvPr id="7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F3DBACF-40F0-47AC-9B8C-9DE06B3AB942}"/>
            </a:ext>
            <a:ext uri="{147F2762-F138-4A5C-976F-8EAC2B608ADB}">
              <a16:predDERef xmlns:a16="http://schemas.microsoft.com/office/drawing/2014/main" pred="{B5B375EF-8963-4EBB-BE0C-398884220621}"/>
            </a:ext>
          </a:extLst>
        </xdr:cNvPr>
        <xdr:cNvSpPr>
          <a:spLocks noChangeAspect="1" noChangeArrowheads="1"/>
        </xdr:cNvSpPr>
      </xdr:nvSpPr>
      <xdr:spPr bwMode="auto">
        <a:xfrm>
          <a:off x="7531100" y="135521700"/>
          <a:ext cx="190500" cy="266700"/>
        </a:xfrm>
        <a:prstGeom prst="rect">
          <a:avLst/>
        </a:prstGeom>
        <a:noFill/>
      </xdr:spPr>
    </xdr:sp>
    <xdr:clientData/>
  </xdr:oneCellAnchor>
  <xdr:oneCellAnchor>
    <xdr:from>
      <xdr:col>4</xdr:col>
      <xdr:colOff>1657350</xdr:colOff>
      <xdr:row>708</xdr:row>
      <xdr:rowOff>0</xdr:rowOff>
    </xdr:from>
    <xdr:ext cx="190500" cy="266700"/>
    <xdr:sp macro="" textlink="">
      <xdr:nvSpPr>
        <xdr:cNvPr id="7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29758DE-25A1-47A8-8AE0-92ABE8163823}"/>
            </a:ext>
            <a:ext uri="{147F2762-F138-4A5C-976F-8EAC2B608ADB}">
              <a16:predDERef xmlns:a16="http://schemas.microsoft.com/office/drawing/2014/main" pred="{3126394F-DAB3-499B-98A8-0964A17EF189}"/>
            </a:ext>
          </a:extLst>
        </xdr:cNvPr>
        <xdr:cNvSpPr>
          <a:spLocks noChangeAspect="1" noChangeArrowheads="1"/>
        </xdr:cNvSpPr>
      </xdr:nvSpPr>
      <xdr:spPr bwMode="auto">
        <a:xfrm>
          <a:off x="7531100" y="135521700"/>
          <a:ext cx="190500" cy="266700"/>
        </a:xfrm>
        <a:prstGeom prst="rect">
          <a:avLst/>
        </a:prstGeom>
        <a:noFill/>
      </xdr:spPr>
    </xdr:sp>
    <xdr:clientData/>
  </xdr:oneCellAnchor>
  <xdr:oneCellAnchor>
    <xdr:from>
      <xdr:col>4</xdr:col>
      <xdr:colOff>1657350</xdr:colOff>
      <xdr:row>710</xdr:row>
      <xdr:rowOff>0</xdr:rowOff>
    </xdr:from>
    <xdr:ext cx="190500" cy="266700"/>
    <xdr:sp macro="" textlink="">
      <xdr:nvSpPr>
        <xdr:cNvPr id="7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9870063-FBC7-46B8-A3A2-D5641D59E129}"/>
            </a:ext>
            <a:ext uri="{147F2762-F138-4A5C-976F-8EAC2B608ADB}">
              <a16:predDERef xmlns:a16="http://schemas.microsoft.com/office/drawing/2014/main" pred="{5336720A-9347-46D0-9DD9-ABC27C5F370D}"/>
            </a:ext>
          </a:extLst>
        </xdr:cNvPr>
        <xdr:cNvSpPr>
          <a:spLocks noChangeAspect="1" noChangeArrowheads="1"/>
        </xdr:cNvSpPr>
      </xdr:nvSpPr>
      <xdr:spPr bwMode="auto">
        <a:xfrm>
          <a:off x="7531100" y="135890000"/>
          <a:ext cx="190500" cy="266700"/>
        </a:xfrm>
        <a:prstGeom prst="rect">
          <a:avLst/>
        </a:prstGeom>
        <a:noFill/>
      </xdr:spPr>
    </xdr:sp>
    <xdr:clientData/>
  </xdr:oneCellAnchor>
  <xdr:oneCellAnchor>
    <xdr:from>
      <xdr:col>4</xdr:col>
      <xdr:colOff>1657350</xdr:colOff>
      <xdr:row>710</xdr:row>
      <xdr:rowOff>0</xdr:rowOff>
    </xdr:from>
    <xdr:ext cx="190500" cy="266700"/>
    <xdr:sp macro="" textlink="">
      <xdr:nvSpPr>
        <xdr:cNvPr id="7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FB1D3E1-5403-4EA0-9B54-CE20B4D2DC8A}"/>
            </a:ext>
            <a:ext uri="{147F2762-F138-4A5C-976F-8EAC2B608ADB}">
              <a16:predDERef xmlns:a16="http://schemas.microsoft.com/office/drawing/2014/main" pred="{7F14633F-2C5C-432A-BDCD-33C5722B080A}"/>
            </a:ext>
          </a:extLst>
        </xdr:cNvPr>
        <xdr:cNvSpPr>
          <a:spLocks noChangeAspect="1" noChangeArrowheads="1"/>
        </xdr:cNvSpPr>
      </xdr:nvSpPr>
      <xdr:spPr bwMode="auto">
        <a:xfrm>
          <a:off x="7531100" y="135890000"/>
          <a:ext cx="190500" cy="266700"/>
        </a:xfrm>
        <a:prstGeom prst="rect">
          <a:avLst/>
        </a:prstGeom>
        <a:noFill/>
      </xdr:spPr>
    </xdr:sp>
    <xdr:clientData/>
  </xdr:oneCellAnchor>
  <xdr:oneCellAnchor>
    <xdr:from>
      <xdr:col>4</xdr:col>
      <xdr:colOff>1657350</xdr:colOff>
      <xdr:row>712</xdr:row>
      <xdr:rowOff>0</xdr:rowOff>
    </xdr:from>
    <xdr:ext cx="190500" cy="266700"/>
    <xdr:sp macro="" textlink="">
      <xdr:nvSpPr>
        <xdr:cNvPr id="7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D29797B-1E40-49E1-9A6F-548FFBC38AE7}"/>
            </a:ext>
            <a:ext uri="{147F2762-F138-4A5C-976F-8EAC2B608ADB}">
              <a16:predDERef xmlns:a16="http://schemas.microsoft.com/office/drawing/2014/main" pred="{B8567DD4-4B85-4829-82B2-CE86E1AA517B}"/>
            </a:ext>
          </a:extLst>
        </xdr:cNvPr>
        <xdr:cNvSpPr>
          <a:spLocks noChangeAspect="1" noChangeArrowheads="1"/>
        </xdr:cNvSpPr>
      </xdr:nvSpPr>
      <xdr:spPr bwMode="auto">
        <a:xfrm>
          <a:off x="7531100" y="136258300"/>
          <a:ext cx="190500" cy="266700"/>
        </a:xfrm>
        <a:prstGeom prst="rect">
          <a:avLst/>
        </a:prstGeom>
        <a:noFill/>
      </xdr:spPr>
    </xdr:sp>
    <xdr:clientData/>
  </xdr:oneCellAnchor>
  <xdr:oneCellAnchor>
    <xdr:from>
      <xdr:col>4</xdr:col>
      <xdr:colOff>1657350</xdr:colOff>
      <xdr:row>712</xdr:row>
      <xdr:rowOff>0</xdr:rowOff>
    </xdr:from>
    <xdr:ext cx="190500" cy="266700"/>
    <xdr:sp macro="" textlink="">
      <xdr:nvSpPr>
        <xdr:cNvPr id="7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E2661EE-CCD4-4DDD-B780-934CE88143A1}"/>
            </a:ext>
            <a:ext uri="{147F2762-F138-4A5C-976F-8EAC2B608ADB}">
              <a16:predDERef xmlns:a16="http://schemas.microsoft.com/office/drawing/2014/main" pred="{DB4AB720-F5A1-4A3D-9460-56204DFB5B32}"/>
            </a:ext>
          </a:extLst>
        </xdr:cNvPr>
        <xdr:cNvSpPr>
          <a:spLocks noChangeAspect="1" noChangeArrowheads="1"/>
        </xdr:cNvSpPr>
      </xdr:nvSpPr>
      <xdr:spPr bwMode="auto">
        <a:xfrm>
          <a:off x="7531100" y="136258300"/>
          <a:ext cx="190500" cy="266700"/>
        </a:xfrm>
        <a:prstGeom prst="rect">
          <a:avLst/>
        </a:prstGeom>
        <a:noFill/>
      </xdr:spPr>
    </xdr:sp>
    <xdr:clientData/>
  </xdr:oneCellAnchor>
  <xdr:oneCellAnchor>
    <xdr:from>
      <xdr:col>4</xdr:col>
      <xdr:colOff>1657350</xdr:colOff>
      <xdr:row>714</xdr:row>
      <xdr:rowOff>0</xdr:rowOff>
    </xdr:from>
    <xdr:ext cx="190500" cy="266700"/>
    <xdr:sp macro="" textlink="">
      <xdr:nvSpPr>
        <xdr:cNvPr id="7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19AFEB-FC69-4604-8852-5F3D9F4E1AC5}"/>
            </a:ext>
            <a:ext uri="{147F2762-F138-4A5C-976F-8EAC2B608ADB}">
              <a16:predDERef xmlns:a16="http://schemas.microsoft.com/office/drawing/2014/main" pred="{9C0FFD6A-35CA-4861-A241-90036ABC75E6}"/>
            </a:ext>
          </a:extLst>
        </xdr:cNvPr>
        <xdr:cNvSpPr>
          <a:spLocks noChangeAspect="1" noChangeArrowheads="1"/>
        </xdr:cNvSpPr>
      </xdr:nvSpPr>
      <xdr:spPr bwMode="auto">
        <a:xfrm>
          <a:off x="7531100" y="136626600"/>
          <a:ext cx="190500" cy="266700"/>
        </a:xfrm>
        <a:prstGeom prst="rect">
          <a:avLst/>
        </a:prstGeom>
        <a:noFill/>
      </xdr:spPr>
    </xdr:sp>
    <xdr:clientData/>
  </xdr:oneCellAnchor>
  <xdr:oneCellAnchor>
    <xdr:from>
      <xdr:col>4</xdr:col>
      <xdr:colOff>1657350</xdr:colOff>
      <xdr:row>714</xdr:row>
      <xdr:rowOff>0</xdr:rowOff>
    </xdr:from>
    <xdr:ext cx="190500" cy="266700"/>
    <xdr:sp macro="" textlink="">
      <xdr:nvSpPr>
        <xdr:cNvPr id="7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FC2D705-2C4D-447A-8799-F448898B4C07}"/>
            </a:ext>
            <a:ext uri="{147F2762-F138-4A5C-976F-8EAC2B608ADB}">
              <a16:predDERef xmlns:a16="http://schemas.microsoft.com/office/drawing/2014/main" pred="{8959BA61-AFD9-421A-A459-6CCDE36F22F5}"/>
            </a:ext>
          </a:extLst>
        </xdr:cNvPr>
        <xdr:cNvSpPr>
          <a:spLocks noChangeAspect="1" noChangeArrowheads="1"/>
        </xdr:cNvSpPr>
      </xdr:nvSpPr>
      <xdr:spPr bwMode="auto">
        <a:xfrm>
          <a:off x="7531100" y="136626600"/>
          <a:ext cx="190500" cy="266700"/>
        </a:xfrm>
        <a:prstGeom prst="rect">
          <a:avLst/>
        </a:prstGeom>
        <a:noFill/>
      </xdr:spPr>
    </xdr:sp>
    <xdr:clientData/>
  </xdr:oneCellAnchor>
  <xdr:oneCellAnchor>
    <xdr:from>
      <xdr:col>4</xdr:col>
      <xdr:colOff>1657350</xdr:colOff>
      <xdr:row>716</xdr:row>
      <xdr:rowOff>0</xdr:rowOff>
    </xdr:from>
    <xdr:ext cx="190500" cy="266700"/>
    <xdr:sp macro="" textlink="">
      <xdr:nvSpPr>
        <xdr:cNvPr id="7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699BA2E-1F6F-4256-BF7C-333AD7ACF14C}"/>
            </a:ext>
            <a:ext uri="{147F2762-F138-4A5C-976F-8EAC2B608ADB}">
              <a16:predDERef xmlns:a16="http://schemas.microsoft.com/office/drawing/2014/main" pred="{42DBDA58-BAB4-4870-B2B6-3470B27A85BA}"/>
            </a:ext>
          </a:extLst>
        </xdr:cNvPr>
        <xdr:cNvSpPr>
          <a:spLocks noChangeAspect="1" noChangeArrowheads="1"/>
        </xdr:cNvSpPr>
      </xdr:nvSpPr>
      <xdr:spPr bwMode="auto">
        <a:xfrm>
          <a:off x="7531100" y="136994900"/>
          <a:ext cx="190500" cy="266700"/>
        </a:xfrm>
        <a:prstGeom prst="rect">
          <a:avLst/>
        </a:prstGeom>
        <a:noFill/>
      </xdr:spPr>
    </xdr:sp>
    <xdr:clientData/>
  </xdr:oneCellAnchor>
  <xdr:oneCellAnchor>
    <xdr:from>
      <xdr:col>4</xdr:col>
      <xdr:colOff>1657350</xdr:colOff>
      <xdr:row>716</xdr:row>
      <xdr:rowOff>0</xdr:rowOff>
    </xdr:from>
    <xdr:ext cx="190500" cy="266700"/>
    <xdr:sp macro="" textlink="">
      <xdr:nvSpPr>
        <xdr:cNvPr id="7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A5BD06F-9487-4570-AA1B-E3C832D043F9}"/>
            </a:ext>
            <a:ext uri="{147F2762-F138-4A5C-976F-8EAC2B608ADB}">
              <a16:predDERef xmlns:a16="http://schemas.microsoft.com/office/drawing/2014/main" pred="{F0C96818-0362-4AEE-BEC0-840C7CEBF060}"/>
            </a:ext>
          </a:extLst>
        </xdr:cNvPr>
        <xdr:cNvSpPr>
          <a:spLocks noChangeAspect="1" noChangeArrowheads="1"/>
        </xdr:cNvSpPr>
      </xdr:nvSpPr>
      <xdr:spPr bwMode="auto">
        <a:xfrm>
          <a:off x="7531100" y="136994900"/>
          <a:ext cx="190500" cy="266700"/>
        </a:xfrm>
        <a:prstGeom prst="rect">
          <a:avLst/>
        </a:prstGeom>
        <a:noFill/>
      </xdr:spPr>
    </xdr:sp>
    <xdr:clientData/>
  </xdr:oneCellAnchor>
  <xdr:oneCellAnchor>
    <xdr:from>
      <xdr:col>4</xdr:col>
      <xdr:colOff>1657350</xdr:colOff>
      <xdr:row>718</xdr:row>
      <xdr:rowOff>0</xdr:rowOff>
    </xdr:from>
    <xdr:ext cx="190500" cy="266700"/>
    <xdr:sp macro="" textlink="">
      <xdr:nvSpPr>
        <xdr:cNvPr id="7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3C3092-65C2-451C-BEA3-108837E9DF4C}"/>
            </a:ext>
            <a:ext uri="{147F2762-F138-4A5C-976F-8EAC2B608ADB}">
              <a16:predDERef xmlns:a16="http://schemas.microsoft.com/office/drawing/2014/main" pred="{32B21058-3488-4824-8B6D-C02CD177957B}"/>
            </a:ext>
          </a:extLst>
        </xdr:cNvPr>
        <xdr:cNvSpPr>
          <a:spLocks noChangeAspect="1" noChangeArrowheads="1"/>
        </xdr:cNvSpPr>
      </xdr:nvSpPr>
      <xdr:spPr bwMode="auto">
        <a:xfrm>
          <a:off x="7531100" y="137363200"/>
          <a:ext cx="190500" cy="266700"/>
        </a:xfrm>
        <a:prstGeom prst="rect">
          <a:avLst/>
        </a:prstGeom>
        <a:noFill/>
      </xdr:spPr>
    </xdr:sp>
    <xdr:clientData/>
  </xdr:oneCellAnchor>
  <xdr:oneCellAnchor>
    <xdr:from>
      <xdr:col>4</xdr:col>
      <xdr:colOff>1657350</xdr:colOff>
      <xdr:row>718</xdr:row>
      <xdr:rowOff>0</xdr:rowOff>
    </xdr:from>
    <xdr:ext cx="190500" cy="266700"/>
    <xdr:sp macro="" textlink="">
      <xdr:nvSpPr>
        <xdr:cNvPr id="7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D6EEFE6-0F59-4E6D-974C-4D1A755AA329}"/>
            </a:ext>
            <a:ext uri="{147F2762-F138-4A5C-976F-8EAC2B608ADB}">
              <a16:predDERef xmlns:a16="http://schemas.microsoft.com/office/drawing/2014/main" pred="{ADF01693-4185-45C9-A135-66F9D019E25F}"/>
            </a:ext>
          </a:extLst>
        </xdr:cNvPr>
        <xdr:cNvSpPr>
          <a:spLocks noChangeAspect="1" noChangeArrowheads="1"/>
        </xdr:cNvSpPr>
      </xdr:nvSpPr>
      <xdr:spPr bwMode="auto">
        <a:xfrm>
          <a:off x="7531100" y="137363200"/>
          <a:ext cx="190500" cy="266700"/>
        </a:xfrm>
        <a:prstGeom prst="rect">
          <a:avLst/>
        </a:prstGeom>
        <a:noFill/>
      </xdr:spPr>
    </xdr:sp>
    <xdr:clientData/>
  </xdr:oneCellAnchor>
  <xdr:oneCellAnchor>
    <xdr:from>
      <xdr:col>4</xdr:col>
      <xdr:colOff>1657350</xdr:colOff>
      <xdr:row>720</xdr:row>
      <xdr:rowOff>0</xdr:rowOff>
    </xdr:from>
    <xdr:ext cx="190500" cy="266700"/>
    <xdr:sp macro="" textlink="">
      <xdr:nvSpPr>
        <xdr:cNvPr id="7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60F823B-281D-4652-9449-516590255BB2}"/>
            </a:ext>
            <a:ext uri="{147F2762-F138-4A5C-976F-8EAC2B608ADB}">
              <a16:predDERef xmlns:a16="http://schemas.microsoft.com/office/drawing/2014/main" pred="{8DB75659-B19B-400D-83A9-33915798967C}"/>
            </a:ext>
          </a:extLst>
        </xdr:cNvPr>
        <xdr:cNvSpPr>
          <a:spLocks noChangeAspect="1" noChangeArrowheads="1"/>
        </xdr:cNvSpPr>
      </xdr:nvSpPr>
      <xdr:spPr bwMode="auto">
        <a:xfrm>
          <a:off x="7531100" y="137731500"/>
          <a:ext cx="190500" cy="266700"/>
        </a:xfrm>
        <a:prstGeom prst="rect">
          <a:avLst/>
        </a:prstGeom>
        <a:noFill/>
      </xdr:spPr>
    </xdr:sp>
    <xdr:clientData/>
  </xdr:oneCellAnchor>
  <xdr:oneCellAnchor>
    <xdr:from>
      <xdr:col>4</xdr:col>
      <xdr:colOff>1657350</xdr:colOff>
      <xdr:row>720</xdr:row>
      <xdr:rowOff>0</xdr:rowOff>
    </xdr:from>
    <xdr:ext cx="190500" cy="266700"/>
    <xdr:sp macro="" textlink="">
      <xdr:nvSpPr>
        <xdr:cNvPr id="7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7558DE2-439D-4C51-A3BF-26D6E0D96613}"/>
            </a:ext>
            <a:ext uri="{147F2762-F138-4A5C-976F-8EAC2B608ADB}">
              <a16:predDERef xmlns:a16="http://schemas.microsoft.com/office/drawing/2014/main" pred="{C52851A6-8C0E-48B9-893F-7366E213FB44}"/>
            </a:ext>
          </a:extLst>
        </xdr:cNvPr>
        <xdr:cNvSpPr>
          <a:spLocks noChangeAspect="1" noChangeArrowheads="1"/>
        </xdr:cNvSpPr>
      </xdr:nvSpPr>
      <xdr:spPr bwMode="auto">
        <a:xfrm>
          <a:off x="7531100" y="137731500"/>
          <a:ext cx="190500" cy="266700"/>
        </a:xfrm>
        <a:prstGeom prst="rect">
          <a:avLst/>
        </a:prstGeom>
        <a:noFill/>
      </xdr:spPr>
    </xdr:sp>
    <xdr:clientData/>
  </xdr:oneCellAnchor>
  <xdr:oneCellAnchor>
    <xdr:from>
      <xdr:col>4</xdr:col>
      <xdr:colOff>1657350</xdr:colOff>
      <xdr:row>722</xdr:row>
      <xdr:rowOff>0</xdr:rowOff>
    </xdr:from>
    <xdr:ext cx="190500" cy="266700"/>
    <xdr:sp macro="" textlink="">
      <xdr:nvSpPr>
        <xdr:cNvPr id="7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08F03DD-7DA6-4EAA-8BAC-EC1574ECFBDE}"/>
            </a:ext>
            <a:ext uri="{147F2762-F138-4A5C-976F-8EAC2B608ADB}">
              <a16:predDERef xmlns:a16="http://schemas.microsoft.com/office/drawing/2014/main" pred="{55F37D7B-1771-4DA3-B5FC-7AF1B97DF965}"/>
            </a:ext>
          </a:extLst>
        </xdr:cNvPr>
        <xdr:cNvSpPr>
          <a:spLocks noChangeAspect="1" noChangeArrowheads="1"/>
        </xdr:cNvSpPr>
      </xdr:nvSpPr>
      <xdr:spPr bwMode="auto">
        <a:xfrm>
          <a:off x="7531100" y="138099800"/>
          <a:ext cx="190500" cy="266700"/>
        </a:xfrm>
        <a:prstGeom prst="rect">
          <a:avLst/>
        </a:prstGeom>
        <a:noFill/>
      </xdr:spPr>
    </xdr:sp>
    <xdr:clientData/>
  </xdr:oneCellAnchor>
  <xdr:oneCellAnchor>
    <xdr:from>
      <xdr:col>4</xdr:col>
      <xdr:colOff>1657350</xdr:colOff>
      <xdr:row>722</xdr:row>
      <xdr:rowOff>0</xdr:rowOff>
    </xdr:from>
    <xdr:ext cx="190500" cy="266700"/>
    <xdr:sp macro="" textlink="">
      <xdr:nvSpPr>
        <xdr:cNvPr id="7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788BA83-06FC-43C2-BE04-C42AA0F31BF6}"/>
            </a:ext>
            <a:ext uri="{147F2762-F138-4A5C-976F-8EAC2B608ADB}">
              <a16:predDERef xmlns:a16="http://schemas.microsoft.com/office/drawing/2014/main" pred="{EA3CFF54-69CC-4135-A4ED-7941C03305D5}"/>
            </a:ext>
          </a:extLst>
        </xdr:cNvPr>
        <xdr:cNvSpPr>
          <a:spLocks noChangeAspect="1" noChangeArrowheads="1"/>
        </xdr:cNvSpPr>
      </xdr:nvSpPr>
      <xdr:spPr bwMode="auto">
        <a:xfrm>
          <a:off x="7531100" y="138099800"/>
          <a:ext cx="190500" cy="266700"/>
        </a:xfrm>
        <a:prstGeom prst="rect">
          <a:avLst/>
        </a:prstGeom>
        <a:noFill/>
      </xdr:spPr>
    </xdr:sp>
    <xdr:clientData/>
  </xdr:oneCellAnchor>
  <xdr:oneCellAnchor>
    <xdr:from>
      <xdr:col>4</xdr:col>
      <xdr:colOff>1657350</xdr:colOff>
      <xdr:row>724</xdr:row>
      <xdr:rowOff>0</xdr:rowOff>
    </xdr:from>
    <xdr:ext cx="190500" cy="266700"/>
    <xdr:sp macro="" textlink="">
      <xdr:nvSpPr>
        <xdr:cNvPr id="7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064DB3E-7783-4582-9C54-4DCDD7DD899C}"/>
            </a:ext>
            <a:ext uri="{147F2762-F138-4A5C-976F-8EAC2B608ADB}">
              <a16:predDERef xmlns:a16="http://schemas.microsoft.com/office/drawing/2014/main" pred="{995A4392-8E8E-43CA-9158-9759B3714712}"/>
            </a:ext>
          </a:extLst>
        </xdr:cNvPr>
        <xdr:cNvSpPr>
          <a:spLocks noChangeAspect="1" noChangeArrowheads="1"/>
        </xdr:cNvSpPr>
      </xdr:nvSpPr>
      <xdr:spPr bwMode="auto">
        <a:xfrm>
          <a:off x="7531100" y="138468100"/>
          <a:ext cx="190500" cy="266700"/>
        </a:xfrm>
        <a:prstGeom prst="rect">
          <a:avLst/>
        </a:prstGeom>
        <a:noFill/>
      </xdr:spPr>
    </xdr:sp>
    <xdr:clientData/>
  </xdr:oneCellAnchor>
  <xdr:oneCellAnchor>
    <xdr:from>
      <xdr:col>4</xdr:col>
      <xdr:colOff>1657350</xdr:colOff>
      <xdr:row>724</xdr:row>
      <xdr:rowOff>0</xdr:rowOff>
    </xdr:from>
    <xdr:ext cx="190500" cy="266700"/>
    <xdr:sp macro="" textlink="">
      <xdr:nvSpPr>
        <xdr:cNvPr id="7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1862A26-6A80-4697-82B7-6A5060B7A97E}"/>
            </a:ext>
            <a:ext uri="{147F2762-F138-4A5C-976F-8EAC2B608ADB}">
              <a16:predDERef xmlns:a16="http://schemas.microsoft.com/office/drawing/2014/main" pred="{D41EE781-F15F-467D-985E-8D5B9A8D9247}"/>
            </a:ext>
          </a:extLst>
        </xdr:cNvPr>
        <xdr:cNvSpPr>
          <a:spLocks noChangeAspect="1" noChangeArrowheads="1"/>
        </xdr:cNvSpPr>
      </xdr:nvSpPr>
      <xdr:spPr bwMode="auto">
        <a:xfrm>
          <a:off x="7531100" y="138468100"/>
          <a:ext cx="190500" cy="266700"/>
        </a:xfrm>
        <a:prstGeom prst="rect">
          <a:avLst/>
        </a:prstGeom>
        <a:noFill/>
      </xdr:spPr>
    </xdr:sp>
    <xdr:clientData/>
  </xdr:oneCellAnchor>
  <xdr:oneCellAnchor>
    <xdr:from>
      <xdr:col>4</xdr:col>
      <xdr:colOff>1657350</xdr:colOff>
      <xdr:row>726</xdr:row>
      <xdr:rowOff>0</xdr:rowOff>
    </xdr:from>
    <xdr:ext cx="190500" cy="266700"/>
    <xdr:sp macro="" textlink="">
      <xdr:nvSpPr>
        <xdr:cNvPr id="7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FA14A7F-171D-4B37-BB93-DDC8BBC5A6D3}"/>
            </a:ext>
            <a:ext uri="{147F2762-F138-4A5C-976F-8EAC2B608ADB}">
              <a16:predDERef xmlns:a16="http://schemas.microsoft.com/office/drawing/2014/main" pred="{4D0B6078-8A11-4242-9626-56D77D077E08}"/>
            </a:ext>
          </a:extLst>
        </xdr:cNvPr>
        <xdr:cNvSpPr>
          <a:spLocks noChangeAspect="1" noChangeArrowheads="1"/>
        </xdr:cNvSpPr>
      </xdr:nvSpPr>
      <xdr:spPr bwMode="auto">
        <a:xfrm>
          <a:off x="7531100" y="138836400"/>
          <a:ext cx="190500" cy="266700"/>
        </a:xfrm>
        <a:prstGeom prst="rect">
          <a:avLst/>
        </a:prstGeom>
        <a:noFill/>
      </xdr:spPr>
    </xdr:sp>
    <xdr:clientData/>
  </xdr:oneCellAnchor>
  <xdr:oneCellAnchor>
    <xdr:from>
      <xdr:col>4</xdr:col>
      <xdr:colOff>1657350</xdr:colOff>
      <xdr:row>726</xdr:row>
      <xdr:rowOff>0</xdr:rowOff>
    </xdr:from>
    <xdr:ext cx="190500" cy="266700"/>
    <xdr:sp macro="" textlink="">
      <xdr:nvSpPr>
        <xdr:cNvPr id="7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677348B-842F-4877-9144-5C9E58A061C4}"/>
            </a:ext>
            <a:ext uri="{147F2762-F138-4A5C-976F-8EAC2B608ADB}">
              <a16:predDERef xmlns:a16="http://schemas.microsoft.com/office/drawing/2014/main" pred="{A12266CA-50E8-4BFD-B71F-A58994BCE0F3}"/>
            </a:ext>
          </a:extLst>
        </xdr:cNvPr>
        <xdr:cNvSpPr>
          <a:spLocks noChangeAspect="1" noChangeArrowheads="1"/>
        </xdr:cNvSpPr>
      </xdr:nvSpPr>
      <xdr:spPr bwMode="auto">
        <a:xfrm>
          <a:off x="7531100" y="138836400"/>
          <a:ext cx="190500" cy="266700"/>
        </a:xfrm>
        <a:prstGeom prst="rect">
          <a:avLst/>
        </a:prstGeom>
        <a:noFill/>
      </xdr:spPr>
    </xdr:sp>
    <xdr:clientData/>
  </xdr:oneCellAnchor>
  <xdr:oneCellAnchor>
    <xdr:from>
      <xdr:col>4</xdr:col>
      <xdr:colOff>1657350</xdr:colOff>
      <xdr:row>728</xdr:row>
      <xdr:rowOff>0</xdr:rowOff>
    </xdr:from>
    <xdr:ext cx="190500" cy="266700"/>
    <xdr:sp macro="" textlink="">
      <xdr:nvSpPr>
        <xdr:cNvPr id="7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ADB0751-6D2F-4DD5-AEC5-94848B6586A7}"/>
            </a:ext>
            <a:ext uri="{147F2762-F138-4A5C-976F-8EAC2B608ADB}">
              <a16:predDERef xmlns:a16="http://schemas.microsoft.com/office/drawing/2014/main" pred="{58297350-278D-4955-9584-630126AD4794}"/>
            </a:ext>
          </a:extLst>
        </xdr:cNvPr>
        <xdr:cNvSpPr>
          <a:spLocks noChangeAspect="1" noChangeArrowheads="1"/>
        </xdr:cNvSpPr>
      </xdr:nvSpPr>
      <xdr:spPr bwMode="auto">
        <a:xfrm>
          <a:off x="7531100" y="139204700"/>
          <a:ext cx="190500" cy="266700"/>
        </a:xfrm>
        <a:prstGeom prst="rect">
          <a:avLst/>
        </a:prstGeom>
        <a:noFill/>
      </xdr:spPr>
    </xdr:sp>
    <xdr:clientData/>
  </xdr:oneCellAnchor>
  <xdr:oneCellAnchor>
    <xdr:from>
      <xdr:col>4</xdr:col>
      <xdr:colOff>1657350</xdr:colOff>
      <xdr:row>728</xdr:row>
      <xdr:rowOff>0</xdr:rowOff>
    </xdr:from>
    <xdr:ext cx="190500" cy="266700"/>
    <xdr:sp macro="" textlink="">
      <xdr:nvSpPr>
        <xdr:cNvPr id="7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2FEB81F-DA5F-4725-9CA6-C1FD20DBF8D7}"/>
            </a:ext>
            <a:ext uri="{147F2762-F138-4A5C-976F-8EAC2B608ADB}">
              <a16:predDERef xmlns:a16="http://schemas.microsoft.com/office/drawing/2014/main" pred="{6388FBED-1D54-4068-8932-B889EF6917CF}"/>
            </a:ext>
          </a:extLst>
        </xdr:cNvPr>
        <xdr:cNvSpPr>
          <a:spLocks noChangeAspect="1" noChangeArrowheads="1"/>
        </xdr:cNvSpPr>
      </xdr:nvSpPr>
      <xdr:spPr bwMode="auto">
        <a:xfrm>
          <a:off x="7531100" y="139204700"/>
          <a:ext cx="190500" cy="266700"/>
        </a:xfrm>
        <a:prstGeom prst="rect">
          <a:avLst/>
        </a:prstGeom>
        <a:noFill/>
      </xdr:spPr>
    </xdr:sp>
    <xdr:clientData/>
  </xdr:oneCellAnchor>
  <xdr:oneCellAnchor>
    <xdr:from>
      <xdr:col>4</xdr:col>
      <xdr:colOff>1657350</xdr:colOff>
      <xdr:row>730</xdr:row>
      <xdr:rowOff>0</xdr:rowOff>
    </xdr:from>
    <xdr:ext cx="190500" cy="266700"/>
    <xdr:sp macro="" textlink="">
      <xdr:nvSpPr>
        <xdr:cNvPr id="7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BF7D9DE-A04B-43C5-96D2-E9BE5E276BA9}"/>
            </a:ext>
            <a:ext uri="{147F2762-F138-4A5C-976F-8EAC2B608ADB}">
              <a16:predDERef xmlns:a16="http://schemas.microsoft.com/office/drawing/2014/main" pred="{E724FD39-5F40-4DB4-9AA3-9958EAB851D1}"/>
            </a:ext>
          </a:extLst>
        </xdr:cNvPr>
        <xdr:cNvSpPr>
          <a:spLocks noChangeAspect="1" noChangeArrowheads="1"/>
        </xdr:cNvSpPr>
      </xdr:nvSpPr>
      <xdr:spPr bwMode="auto">
        <a:xfrm>
          <a:off x="7531100" y="139865100"/>
          <a:ext cx="190500" cy="266700"/>
        </a:xfrm>
        <a:prstGeom prst="rect">
          <a:avLst/>
        </a:prstGeom>
        <a:noFill/>
      </xdr:spPr>
    </xdr:sp>
    <xdr:clientData/>
  </xdr:oneCellAnchor>
  <xdr:oneCellAnchor>
    <xdr:from>
      <xdr:col>4</xdr:col>
      <xdr:colOff>1657350</xdr:colOff>
      <xdr:row>730</xdr:row>
      <xdr:rowOff>0</xdr:rowOff>
    </xdr:from>
    <xdr:ext cx="190500" cy="266700"/>
    <xdr:sp macro="" textlink="">
      <xdr:nvSpPr>
        <xdr:cNvPr id="7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C5BAD44-8C04-4C79-8C75-2C2FB39C3036}"/>
            </a:ext>
            <a:ext uri="{147F2762-F138-4A5C-976F-8EAC2B608ADB}">
              <a16:predDERef xmlns:a16="http://schemas.microsoft.com/office/drawing/2014/main" pred="{817FA914-C0DF-4B4E-B6FC-A23776358250}"/>
            </a:ext>
          </a:extLst>
        </xdr:cNvPr>
        <xdr:cNvSpPr>
          <a:spLocks noChangeAspect="1" noChangeArrowheads="1"/>
        </xdr:cNvSpPr>
      </xdr:nvSpPr>
      <xdr:spPr bwMode="auto">
        <a:xfrm>
          <a:off x="7531100" y="139865100"/>
          <a:ext cx="190500" cy="266700"/>
        </a:xfrm>
        <a:prstGeom prst="rect">
          <a:avLst/>
        </a:prstGeom>
        <a:noFill/>
      </xdr:spPr>
    </xdr:sp>
    <xdr:clientData/>
  </xdr:oneCellAnchor>
  <xdr:oneCellAnchor>
    <xdr:from>
      <xdr:col>4</xdr:col>
      <xdr:colOff>1657350</xdr:colOff>
      <xdr:row>732</xdr:row>
      <xdr:rowOff>0</xdr:rowOff>
    </xdr:from>
    <xdr:ext cx="190500" cy="266700"/>
    <xdr:sp macro="" textlink="">
      <xdr:nvSpPr>
        <xdr:cNvPr id="7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2F3D75C-4400-42A0-BBB8-B89B746164BF}"/>
            </a:ext>
            <a:ext uri="{147F2762-F138-4A5C-976F-8EAC2B608ADB}">
              <a16:predDERef xmlns:a16="http://schemas.microsoft.com/office/drawing/2014/main" pred="{F9ACBBFA-8E5D-4DE9-A34B-B5BD6EE71142}"/>
            </a:ext>
          </a:extLst>
        </xdr:cNvPr>
        <xdr:cNvSpPr>
          <a:spLocks noChangeAspect="1" noChangeArrowheads="1"/>
        </xdr:cNvSpPr>
      </xdr:nvSpPr>
      <xdr:spPr bwMode="auto">
        <a:xfrm>
          <a:off x="7531100" y="140379450"/>
          <a:ext cx="190500" cy="266700"/>
        </a:xfrm>
        <a:prstGeom prst="rect">
          <a:avLst/>
        </a:prstGeom>
        <a:noFill/>
      </xdr:spPr>
    </xdr:sp>
    <xdr:clientData/>
  </xdr:oneCellAnchor>
  <xdr:oneCellAnchor>
    <xdr:from>
      <xdr:col>4</xdr:col>
      <xdr:colOff>1657350</xdr:colOff>
      <xdr:row>732</xdr:row>
      <xdr:rowOff>0</xdr:rowOff>
    </xdr:from>
    <xdr:ext cx="190500" cy="266700"/>
    <xdr:sp macro="" textlink="">
      <xdr:nvSpPr>
        <xdr:cNvPr id="7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55444A8-B13D-4435-A941-1E7B611C9BFC}"/>
            </a:ext>
            <a:ext uri="{147F2762-F138-4A5C-976F-8EAC2B608ADB}">
              <a16:predDERef xmlns:a16="http://schemas.microsoft.com/office/drawing/2014/main" pred="{35D134C9-5025-47AE-A5DF-2E8DF2FA0A52}"/>
            </a:ext>
          </a:extLst>
        </xdr:cNvPr>
        <xdr:cNvSpPr>
          <a:spLocks noChangeAspect="1" noChangeArrowheads="1"/>
        </xdr:cNvSpPr>
      </xdr:nvSpPr>
      <xdr:spPr bwMode="auto">
        <a:xfrm>
          <a:off x="7531100" y="140379450"/>
          <a:ext cx="190500" cy="266700"/>
        </a:xfrm>
        <a:prstGeom prst="rect">
          <a:avLst/>
        </a:prstGeom>
        <a:noFill/>
      </xdr:spPr>
    </xdr:sp>
    <xdr:clientData/>
  </xdr:oneCellAnchor>
  <xdr:oneCellAnchor>
    <xdr:from>
      <xdr:col>4</xdr:col>
      <xdr:colOff>1657350</xdr:colOff>
      <xdr:row>734</xdr:row>
      <xdr:rowOff>0</xdr:rowOff>
    </xdr:from>
    <xdr:ext cx="190500" cy="266700"/>
    <xdr:sp macro="" textlink="">
      <xdr:nvSpPr>
        <xdr:cNvPr id="7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5860FED-DED4-4451-A7DB-1E27824BCC6A}"/>
            </a:ext>
            <a:ext uri="{147F2762-F138-4A5C-976F-8EAC2B608ADB}">
              <a16:predDERef xmlns:a16="http://schemas.microsoft.com/office/drawing/2014/main" pred="{6C87B887-DB08-45BC-A69E-100A30715179}"/>
            </a:ext>
          </a:extLst>
        </xdr:cNvPr>
        <xdr:cNvSpPr>
          <a:spLocks noChangeAspect="1" noChangeArrowheads="1"/>
        </xdr:cNvSpPr>
      </xdr:nvSpPr>
      <xdr:spPr bwMode="auto">
        <a:xfrm>
          <a:off x="7531100" y="140747750"/>
          <a:ext cx="190500" cy="266700"/>
        </a:xfrm>
        <a:prstGeom prst="rect">
          <a:avLst/>
        </a:prstGeom>
        <a:noFill/>
      </xdr:spPr>
    </xdr:sp>
    <xdr:clientData/>
  </xdr:oneCellAnchor>
  <xdr:oneCellAnchor>
    <xdr:from>
      <xdr:col>4</xdr:col>
      <xdr:colOff>1657350</xdr:colOff>
      <xdr:row>734</xdr:row>
      <xdr:rowOff>0</xdr:rowOff>
    </xdr:from>
    <xdr:ext cx="190500" cy="266700"/>
    <xdr:sp macro="" textlink="">
      <xdr:nvSpPr>
        <xdr:cNvPr id="7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ABB3D74-C6CA-4875-A360-D255F1BD9DF8}"/>
            </a:ext>
            <a:ext uri="{147F2762-F138-4A5C-976F-8EAC2B608ADB}">
              <a16:predDERef xmlns:a16="http://schemas.microsoft.com/office/drawing/2014/main" pred="{924EDD60-01B7-4465-BB26-E5E4691DAEF9}"/>
            </a:ext>
          </a:extLst>
        </xdr:cNvPr>
        <xdr:cNvSpPr>
          <a:spLocks noChangeAspect="1" noChangeArrowheads="1"/>
        </xdr:cNvSpPr>
      </xdr:nvSpPr>
      <xdr:spPr bwMode="auto">
        <a:xfrm>
          <a:off x="7531100" y="140747750"/>
          <a:ext cx="190500" cy="266700"/>
        </a:xfrm>
        <a:prstGeom prst="rect">
          <a:avLst/>
        </a:prstGeom>
        <a:noFill/>
      </xdr:spPr>
    </xdr:sp>
    <xdr:clientData/>
  </xdr:oneCellAnchor>
  <xdr:oneCellAnchor>
    <xdr:from>
      <xdr:col>4</xdr:col>
      <xdr:colOff>1657350</xdr:colOff>
      <xdr:row>736</xdr:row>
      <xdr:rowOff>0</xdr:rowOff>
    </xdr:from>
    <xdr:ext cx="190500" cy="266700"/>
    <xdr:sp macro="" textlink="">
      <xdr:nvSpPr>
        <xdr:cNvPr id="7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234BA16-12F7-43D3-9548-F1BB6446F9AF}"/>
            </a:ext>
            <a:ext uri="{147F2762-F138-4A5C-976F-8EAC2B608ADB}">
              <a16:predDERef xmlns:a16="http://schemas.microsoft.com/office/drawing/2014/main" pred="{81B8E1A0-7874-404B-8C04-578407FB0745}"/>
            </a:ext>
          </a:extLst>
        </xdr:cNvPr>
        <xdr:cNvSpPr>
          <a:spLocks noChangeAspect="1" noChangeArrowheads="1"/>
        </xdr:cNvSpPr>
      </xdr:nvSpPr>
      <xdr:spPr bwMode="auto">
        <a:xfrm>
          <a:off x="7531100" y="141116050"/>
          <a:ext cx="190500" cy="266700"/>
        </a:xfrm>
        <a:prstGeom prst="rect">
          <a:avLst/>
        </a:prstGeom>
        <a:noFill/>
      </xdr:spPr>
    </xdr:sp>
    <xdr:clientData/>
  </xdr:oneCellAnchor>
  <xdr:oneCellAnchor>
    <xdr:from>
      <xdr:col>4</xdr:col>
      <xdr:colOff>1657350</xdr:colOff>
      <xdr:row>736</xdr:row>
      <xdr:rowOff>0</xdr:rowOff>
    </xdr:from>
    <xdr:ext cx="190500" cy="266700"/>
    <xdr:sp macro="" textlink="">
      <xdr:nvSpPr>
        <xdr:cNvPr id="7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25C7B7E-C645-4D7E-A2B0-BB277A9A935A}"/>
            </a:ext>
            <a:ext uri="{147F2762-F138-4A5C-976F-8EAC2B608ADB}">
              <a16:predDERef xmlns:a16="http://schemas.microsoft.com/office/drawing/2014/main" pred="{C497756E-AD00-42B6-8730-35395EDC5169}"/>
            </a:ext>
          </a:extLst>
        </xdr:cNvPr>
        <xdr:cNvSpPr>
          <a:spLocks noChangeAspect="1" noChangeArrowheads="1"/>
        </xdr:cNvSpPr>
      </xdr:nvSpPr>
      <xdr:spPr bwMode="auto">
        <a:xfrm>
          <a:off x="7531100" y="141116050"/>
          <a:ext cx="190500" cy="266700"/>
        </a:xfrm>
        <a:prstGeom prst="rect">
          <a:avLst/>
        </a:prstGeom>
        <a:noFill/>
      </xdr:spPr>
    </xdr:sp>
    <xdr:clientData/>
  </xdr:oneCellAnchor>
  <xdr:oneCellAnchor>
    <xdr:from>
      <xdr:col>4</xdr:col>
      <xdr:colOff>1657350</xdr:colOff>
      <xdr:row>738</xdr:row>
      <xdr:rowOff>0</xdr:rowOff>
    </xdr:from>
    <xdr:ext cx="190500" cy="266700"/>
    <xdr:sp macro="" textlink="">
      <xdr:nvSpPr>
        <xdr:cNvPr id="7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1B0F3B9-BCD9-4A5E-A103-C4D2FB3479C0}"/>
            </a:ext>
            <a:ext uri="{147F2762-F138-4A5C-976F-8EAC2B608ADB}">
              <a16:predDERef xmlns:a16="http://schemas.microsoft.com/office/drawing/2014/main" pred="{2226B59C-4F68-4FAF-82EE-75CDEB0546CC}"/>
            </a:ext>
          </a:extLst>
        </xdr:cNvPr>
        <xdr:cNvSpPr>
          <a:spLocks noChangeAspect="1" noChangeArrowheads="1"/>
        </xdr:cNvSpPr>
      </xdr:nvSpPr>
      <xdr:spPr bwMode="auto">
        <a:xfrm>
          <a:off x="7531100" y="141484350"/>
          <a:ext cx="190500" cy="266700"/>
        </a:xfrm>
        <a:prstGeom prst="rect">
          <a:avLst/>
        </a:prstGeom>
        <a:noFill/>
      </xdr:spPr>
    </xdr:sp>
    <xdr:clientData/>
  </xdr:oneCellAnchor>
  <xdr:oneCellAnchor>
    <xdr:from>
      <xdr:col>4</xdr:col>
      <xdr:colOff>1657350</xdr:colOff>
      <xdr:row>738</xdr:row>
      <xdr:rowOff>0</xdr:rowOff>
    </xdr:from>
    <xdr:ext cx="190500" cy="266700"/>
    <xdr:sp macro="" textlink="">
      <xdr:nvSpPr>
        <xdr:cNvPr id="7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CECF410-44B5-4E3D-8F55-5F97854B99B9}"/>
            </a:ext>
            <a:ext uri="{147F2762-F138-4A5C-976F-8EAC2B608ADB}">
              <a16:predDERef xmlns:a16="http://schemas.microsoft.com/office/drawing/2014/main" pred="{C041888F-F768-4CE7-AA21-C6EA8787E0FF}"/>
            </a:ext>
          </a:extLst>
        </xdr:cNvPr>
        <xdr:cNvSpPr>
          <a:spLocks noChangeAspect="1" noChangeArrowheads="1"/>
        </xdr:cNvSpPr>
      </xdr:nvSpPr>
      <xdr:spPr bwMode="auto">
        <a:xfrm>
          <a:off x="7531100" y="141484350"/>
          <a:ext cx="190500" cy="266700"/>
        </a:xfrm>
        <a:prstGeom prst="rect">
          <a:avLst/>
        </a:prstGeom>
        <a:noFill/>
      </xdr:spPr>
    </xdr:sp>
    <xdr:clientData/>
  </xdr:oneCellAnchor>
  <xdr:oneCellAnchor>
    <xdr:from>
      <xdr:col>4</xdr:col>
      <xdr:colOff>1657350</xdr:colOff>
      <xdr:row>740</xdr:row>
      <xdr:rowOff>0</xdr:rowOff>
    </xdr:from>
    <xdr:ext cx="190500" cy="266700"/>
    <xdr:sp macro="" textlink="">
      <xdr:nvSpPr>
        <xdr:cNvPr id="7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63BF698-26AA-4201-B950-E4013DAB7ED6}"/>
            </a:ext>
            <a:ext uri="{147F2762-F138-4A5C-976F-8EAC2B608ADB}">
              <a16:predDERef xmlns:a16="http://schemas.microsoft.com/office/drawing/2014/main" pred="{E8571539-1BC3-47E3-A920-ABC7DB1EE36E}"/>
            </a:ext>
          </a:extLst>
        </xdr:cNvPr>
        <xdr:cNvSpPr>
          <a:spLocks noChangeAspect="1" noChangeArrowheads="1"/>
        </xdr:cNvSpPr>
      </xdr:nvSpPr>
      <xdr:spPr bwMode="auto">
        <a:xfrm>
          <a:off x="7531100" y="141852650"/>
          <a:ext cx="190500" cy="266700"/>
        </a:xfrm>
        <a:prstGeom prst="rect">
          <a:avLst/>
        </a:prstGeom>
        <a:noFill/>
      </xdr:spPr>
    </xdr:sp>
    <xdr:clientData/>
  </xdr:oneCellAnchor>
  <xdr:oneCellAnchor>
    <xdr:from>
      <xdr:col>4</xdr:col>
      <xdr:colOff>1657350</xdr:colOff>
      <xdr:row>740</xdr:row>
      <xdr:rowOff>0</xdr:rowOff>
    </xdr:from>
    <xdr:ext cx="190500" cy="266700"/>
    <xdr:sp macro="" textlink="">
      <xdr:nvSpPr>
        <xdr:cNvPr id="7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B40ADB9-8C39-49CF-A40B-EFBA8376FBF9}"/>
            </a:ext>
            <a:ext uri="{147F2762-F138-4A5C-976F-8EAC2B608ADB}">
              <a16:predDERef xmlns:a16="http://schemas.microsoft.com/office/drawing/2014/main" pred="{2FD1A632-9915-426B-AE97-C9C44A0B519C}"/>
            </a:ext>
          </a:extLst>
        </xdr:cNvPr>
        <xdr:cNvSpPr>
          <a:spLocks noChangeAspect="1" noChangeArrowheads="1"/>
        </xdr:cNvSpPr>
      </xdr:nvSpPr>
      <xdr:spPr bwMode="auto">
        <a:xfrm>
          <a:off x="7531100" y="141852650"/>
          <a:ext cx="190500" cy="266700"/>
        </a:xfrm>
        <a:prstGeom prst="rect">
          <a:avLst/>
        </a:prstGeom>
        <a:noFill/>
      </xdr:spPr>
    </xdr:sp>
    <xdr:clientData/>
  </xdr:oneCellAnchor>
  <xdr:oneCellAnchor>
    <xdr:from>
      <xdr:col>4</xdr:col>
      <xdr:colOff>1657350</xdr:colOff>
      <xdr:row>742</xdr:row>
      <xdr:rowOff>0</xdr:rowOff>
    </xdr:from>
    <xdr:ext cx="190500" cy="266700"/>
    <xdr:sp macro="" textlink="">
      <xdr:nvSpPr>
        <xdr:cNvPr id="7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CC7201B-6104-4C3A-8294-E563F3A59C2C}"/>
            </a:ext>
            <a:ext uri="{147F2762-F138-4A5C-976F-8EAC2B608ADB}">
              <a16:predDERef xmlns:a16="http://schemas.microsoft.com/office/drawing/2014/main" pred="{B6E22309-E286-4068-817D-52C6CBC78A3E}"/>
            </a:ext>
          </a:extLst>
        </xdr:cNvPr>
        <xdr:cNvSpPr>
          <a:spLocks noChangeAspect="1" noChangeArrowheads="1"/>
        </xdr:cNvSpPr>
      </xdr:nvSpPr>
      <xdr:spPr bwMode="auto">
        <a:xfrm>
          <a:off x="7531100" y="142220950"/>
          <a:ext cx="190500" cy="266700"/>
        </a:xfrm>
        <a:prstGeom prst="rect">
          <a:avLst/>
        </a:prstGeom>
        <a:noFill/>
      </xdr:spPr>
    </xdr:sp>
    <xdr:clientData/>
  </xdr:oneCellAnchor>
  <xdr:oneCellAnchor>
    <xdr:from>
      <xdr:col>4</xdr:col>
      <xdr:colOff>1657350</xdr:colOff>
      <xdr:row>742</xdr:row>
      <xdr:rowOff>0</xdr:rowOff>
    </xdr:from>
    <xdr:ext cx="190500" cy="266700"/>
    <xdr:sp macro="" textlink="">
      <xdr:nvSpPr>
        <xdr:cNvPr id="7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3F72F65-45BD-4F5E-8B2B-8965C1462606}"/>
            </a:ext>
            <a:ext uri="{147F2762-F138-4A5C-976F-8EAC2B608ADB}">
              <a16:predDERef xmlns:a16="http://schemas.microsoft.com/office/drawing/2014/main" pred="{B036C0BB-1BD7-4914-BC50-E313BBD0C098}"/>
            </a:ext>
          </a:extLst>
        </xdr:cNvPr>
        <xdr:cNvSpPr>
          <a:spLocks noChangeAspect="1" noChangeArrowheads="1"/>
        </xdr:cNvSpPr>
      </xdr:nvSpPr>
      <xdr:spPr bwMode="auto">
        <a:xfrm>
          <a:off x="7531100" y="142220950"/>
          <a:ext cx="190500" cy="266700"/>
        </a:xfrm>
        <a:prstGeom prst="rect">
          <a:avLst/>
        </a:prstGeom>
        <a:noFill/>
      </xdr:spPr>
    </xdr:sp>
    <xdr:clientData/>
  </xdr:oneCellAnchor>
  <xdr:oneCellAnchor>
    <xdr:from>
      <xdr:col>4</xdr:col>
      <xdr:colOff>1657350</xdr:colOff>
      <xdr:row>744</xdr:row>
      <xdr:rowOff>0</xdr:rowOff>
    </xdr:from>
    <xdr:ext cx="190500" cy="266700"/>
    <xdr:sp macro="" textlink="">
      <xdr:nvSpPr>
        <xdr:cNvPr id="7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EFE047E-1CCC-49CE-8C93-58DEA242FB9C}"/>
            </a:ext>
            <a:ext uri="{147F2762-F138-4A5C-976F-8EAC2B608ADB}">
              <a16:predDERef xmlns:a16="http://schemas.microsoft.com/office/drawing/2014/main" pred="{2C544F70-C024-43AE-A2D8-823402E42996}"/>
            </a:ext>
          </a:extLst>
        </xdr:cNvPr>
        <xdr:cNvSpPr>
          <a:spLocks noChangeAspect="1" noChangeArrowheads="1"/>
        </xdr:cNvSpPr>
      </xdr:nvSpPr>
      <xdr:spPr bwMode="auto">
        <a:xfrm>
          <a:off x="7531100" y="142589250"/>
          <a:ext cx="190500" cy="266700"/>
        </a:xfrm>
        <a:prstGeom prst="rect">
          <a:avLst/>
        </a:prstGeom>
        <a:noFill/>
      </xdr:spPr>
    </xdr:sp>
    <xdr:clientData/>
  </xdr:oneCellAnchor>
  <xdr:oneCellAnchor>
    <xdr:from>
      <xdr:col>4</xdr:col>
      <xdr:colOff>1657350</xdr:colOff>
      <xdr:row>744</xdr:row>
      <xdr:rowOff>0</xdr:rowOff>
    </xdr:from>
    <xdr:ext cx="190500" cy="266700"/>
    <xdr:sp macro="" textlink="">
      <xdr:nvSpPr>
        <xdr:cNvPr id="7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DA94AEC-1BE7-4A24-AA6B-DB614CFBB5F4}"/>
            </a:ext>
            <a:ext uri="{147F2762-F138-4A5C-976F-8EAC2B608ADB}">
              <a16:predDERef xmlns:a16="http://schemas.microsoft.com/office/drawing/2014/main" pred="{EB8A5C57-5B6D-43F0-860F-724A4AA028FA}"/>
            </a:ext>
          </a:extLst>
        </xdr:cNvPr>
        <xdr:cNvSpPr>
          <a:spLocks noChangeAspect="1" noChangeArrowheads="1"/>
        </xdr:cNvSpPr>
      </xdr:nvSpPr>
      <xdr:spPr bwMode="auto">
        <a:xfrm>
          <a:off x="7531100" y="142589250"/>
          <a:ext cx="190500" cy="266700"/>
        </a:xfrm>
        <a:prstGeom prst="rect">
          <a:avLst/>
        </a:prstGeom>
        <a:noFill/>
      </xdr:spPr>
    </xdr:sp>
    <xdr:clientData/>
  </xdr:oneCellAnchor>
  <xdr:oneCellAnchor>
    <xdr:from>
      <xdr:col>4</xdr:col>
      <xdr:colOff>1657350</xdr:colOff>
      <xdr:row>746</xdr:row>
      <xdr:rowOff>0</xdr:rowOff>
    </xdr:from>
    <xdr:ext cx="190500" cy="266700"/>
    <xdr:sp macro="" textlink="">
      <xdr:nvSpPr>
        <xdr:cNvPr id="7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2EAA06A-725E-436A-ACF2-076724C4C6A7}"/>
            </a:ext>
            <a:ext uri="{147F2762-F138-4A5C-976F-8EAC2B608ADB}">
              <a16:predDERef xmlns:a16="http://schemas.microsoft.com/office/drawing/2014/main" pred="{5E246B2C-A972-44BB-A098-C3227ECA6CE5}"/>
            </a:ext>
          </a:extLst>
        </xdr:cNvPr>
        <xdr:cNvSpPr>
          <a:spLocks noChangeAspect="1" noChangeArrowheads="1"/>
        </xdr:cNvSpPr>
      </xdr:nvSpPr>
      <xdr:spPr bwMode="auto">
        <a:xfrm>
          <a:off x="7531100" y="142957550"/>
          <a:ext cx="190500" cy="266700"/>
        </a:xfrm>
        <a:prstGeom prst="rect">
          <a:avLst/>
        </a:prstGeom>
        <a:noFill/>
      </xdr:spPr>
    </xdr:sp>
    <xdr:clientData/>
  </xdr:oneCellAnchor>
  <xdr:oneCellAnchor>
    <xdr:from>
      <xdr:col>4</xdr:col>
      <xdr:colOff>1657350</xdr:colOff>
      <xdr:row>746</xdr:row>
      <xdr:rowOff>0</xdr:rowOff>
    </xdr:from>
    <xdr:ext cx="190500" cy="266700"/>
    <xdr:sp macro="" textlink="">
      <xdr:nvSpPr>
        <xdr:cNvPr id="7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60C272C-038E-41CB-9584-20D4B59DEED5}"/>
            </a:ext>
            <a:ext uri="{147F2762-F138-4A5C-976F-8EAC2B608ADB}">
              <a16:predDERef xmlns:a16="http://schemas.microsoft.com/office/drawing/2014/main" pred="{037B19FA-CEF0-4F22-87D8-311D053487E2}"/>
            </a:ext>
          </a:extLst>
        </xdr:cNvPr>
        <xdr:cNvSpPr>
          <a:spLocks noChangeAspect="1" noChangeArrowheads="1"/>
        </xdr:cNvSpPr>
      </xdr:nvSpPr>
      <xdr:spPr bwMode="auto">
        <a:xfrm>
          <a:off x="7531100" y="142957550"/>
          <a:ext cx="190500" cy="266700"/>
        </a:xfrm>
        <a:prstGeom prst="rect">
          <a:avLst/>
        </a:prstGeom>
        <a:noFill/>
      </xdr:spPr>
    </xdr:sp>
    <xdr:clientData/>
  </xdr:oneCellAnchor>
  <xdr:oneCellAnchor>
    <xdr:from>
      <xdr:col>4</xdr:col>
      <xdr:colOff>1657350</xdr:colOff>
      <xdr:row>748</xdr:row>
      <xdr:rowOff>0</xdr:rowOff>
    </xdr:from>
    <xdr:ext cx="190500" cy="266700"/>
    <xdr:sp macro="" textlink="">
      <xdr:nvSpPr>
        <xdr:cNvPr id="7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17B5B2-32F6-44BF-83FD-E6AEEA06D1CB}"/>
            </a:ext>
            <a:ext uri="{147F2762-F138-4A5C-976F-8EAC2B608ADB}">
              <a16:predDERef xmlns:a16="http://schemas.microsoft.com/office/drawing/2014/main" pred="{8B8C85E4-EE71-4040-9EA0-3720BAAC1FCB}"/>
            </a:ext>
          </a:extLst>
        </xdr:cNvPr>
        <xdr:cNvSpPr>
          <a:spLocks noChangeAspect="1" noChangeArrowheads="1"/>
        </xdr:cNvSpPr>
      </xdr:nvSpPr>
      <xdr:spPr bwMode="auto">
        <a:xfrm>
          <a:off x="7531100" y="143325850"/>
          <a:ext cx="190500" cy="266700"/>
        </a:xfrm>
        <a:prstGeom prst="rect">
          <a:avLst/>
        </a:prstGeom>
        <a:noFill/>
      </xdr:spPr>
    </xdr:sp>
    <xdr:clientData/>
  </xdr:oneCellAnchor>
  <xdr:oneCellAnchor>
    <xdr:from>
      <xdr:col>4</xdr:col>
      <xdr:colOff>1657350</xdr:colOff>
      <xdr:row>748</xdr:row>
      <xdr:rowOff>0</xdr:rowOff>
    </xdr:from>
    <xdr:ext cx="190500" cy="266700"/>
    <xdr:sp macro="" textlink="">
      <xdr:nvSpPr>
        <xdr:cNvPr id="7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D25E6D-C149-4937-963C-D59B0CAA45AA}"/>
            </a:ext>
            <a:ext uri="{147F2762-F138-4A5C-976F-8EAC2B608ADB}">
              <a16:predDERef xmlns:a16="http://schemas.microsoft.com/office/drawing/2014/main" pred="{9F50FB5C-8731-4845-BFD2-DF3144DAFC2A}"/>
            </a:ext>
          </a:extLst>
        </xdr:cNvPr>
        <xdr:cNvSpPr>
          <a:spLocks noChangeAspect="1" noChangeArrowheads="1"/>
        </xdr:cNvSpPr>
      </xdr:nvSpPr>
      <xdr:spPr bwMode="auto">
        <a:xfrm>
          <a:off x="7531100" y="143325850"/>
          <a:ext cx="190500" cy="266700"/>
        </a:xfrm>
        <a:prstGeom prst="rect">
          <a:avLst/>
        </a:prstGeom>
        <a:noFill/>
      </xdr:spPr>
    </xdr:sp>
    <xdr:clientData/>
  </xdr:oneCellAnchor>
  <xdr:oneCellAnchor>
    <xdr:from>
      <xdr:col>4</xdr:col>
      <xdr:colOff>1657350</xdr:colOff>
      <xdr:row>750</xdr:row>
      <xdr:rowOff>0</xdr:rowOff>
    </xdr:from>
    <xdr:ext cx="190500" cy="266700"/>
    <xdr:sp macro="" textlink="">
      <xdr:nvSpPr>
        <xdr:cNvPr id="7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B73E37-F508-4715-B7D4-2AFF66C17624}"/>
            </a:ext>
            <a:ext uri="{147F2762-F138-4A5C-976F-8EAC2B608ADB}">
              <a16:predDERef xmlns:a16="http://schemas.microsoft.com/office/drawing/2014/main" pred="{64D067FF-33A2-46C7-997D-043EE7AC3887}"/>
            </a:ext>
          </a:extLst>
        </xdr:cNvPr>
        <xdr:cNvSpPr>
          <a:spLocks noChangeAspect="1" noChangeArrowheads="1"/>
        </xdr:cNvSpPr>
      </xdr:nvSpPr>
      <xdr:spPr bwMode="auto">
        <a:xfrm>
          <a:off x="7531100" y="143986250"/>
          <a:ext cx="190500" cy="266700"/>
        </a:xfrm>
        <a:prstGeom prst="rect">
          <a:avLst/>
        </a:prstGeom>
        <a:noFill/>
      </xdr:spPr>
    </xdr:sp>
    <xdr:clientData/>
  </xdr:oneCellAnchor>
  <xdr:oneCellAnchor>
    <xdr:from>
      <xdr:col>4</xdr:col>
      <xdr:colOff>1657350</xdr:colOff>
      <xdr:row>750</xdr:row>
      <xdr:rowOff>0</xdr:rowOff>
    </xdr:from>
    <xdr:ext cx="190500" cy="266700"/>
    <xdr:sp macro="" textlink="">
      <xdr:nvSpPr>
        <xdr:cNvPr id="7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E54B6DF-0A25-4E30-8B13-22EF35B7C056}"/>
            </a:ext>
            <a:ext uri="{147F2762-F138-4A5C-976F-8EAC2B608ADB}">
              <a16:predDERef xmlns:a16="http://schemas.microsoft.com/office/drawing/2014/main" pred="{A873BA33-6D1D-4C46-9C25-0C07BBE27979}"/>
            </a:ext>
          </a:extLst>
        </xdr:cNvPr>
        <xdr:cNvSpPr>
          <a:spLocks noChangeAspect="1" noChangeArrowheads="1"/>
        </xdr:cNvSpPr>
      </xdr:nvSpPr>
      <xdr:spPr bwMode="auto">
        <a:xfrm>
          <a:off x="7531100" y="143986250"/>
          <a:ext cx="190500" cy="266700"/>
        </a:xfrm>
        <a:prstGeom prst="rect">
          <a:avLst/>
        </a:prstGeom>
        <a:noFill/>
      </xdr:spPr>
    </xdr:sp>
    <xdr:clientData/>
  </xdr:oneCellAnchor>
  <xdr:oneCellAnchor>
    <xdr:from>
      <xdr:col>4</xdr:col>
      <xdr:colOff>1657350</xdr:colOff>
      <xdr:row>752</xdr:row>
      <xdr:rowOff>0</xdr:rowOff>
    </xdr:from>
    <xdr:ext cx="190500" cy="266700"/>
    <xdr:sp macro="" textlink="">
      <xdr:nvSpPr>
        <xdr:cNvPr id="7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FD19C92-E913-4D11-A726-03955CCD5F77}"/>
            </a:ext>
            <a:ext uri="{147F2762-F138-4A5C-976F-8EAC2B608ADB}">
              <a16:predDERef xmlns:a16="http://schemas.microsoft.com/office/drawing/2014/main" pred="{2A22ED29-133B-43C3-A168-2D9D124FE197}"/>
            </a:ext>
          </a:extLst>
        </xdr:cNvPr>
        <xdr:cNvSpPr>
          <a:spLocks noChangeAspect="1" noChangeArrowheads="1"/>
        </xdr:cNvSpPr>
      </xdr:nvSpPr>
      <xdr:spPr bwMode="auto">
        <a:xfrm>
          <a:off x="7531100" y="144500600"/>
          <a:ext cx="190500" cy="266700"/>
        </a:xfrm>
        <a:prstGeom prst="rect">
          <a:avLst/>
        </a:prstGeom>
        <a:noFill/>
      </xdr:spPr>
    </xdr:sp>
    <xdr:clientData/>
  </xdr:oneCellAnchor>
  <xdr:oneCellAnchor>
    <xdr:from>
      <xdr:col>4</xdr:col>
      <xdr:colOff>1657350</xdr:colOff>
      <xdr:row>752</xdr:row>
      <xdr:rowOff>0</xdr:rowOff>
    </xdr:from>
    <xdr:ext cx="190500" cy="266700"/>
    <xdr:sp macro="" textlink="">
      <xdr:nvSpPr>
        <xdr:cNvPr id="7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7B80FCE-88BC-4952-9D63-D8E972466549}"/>
            </a:ext>
            <a:ext uri="{147F2762-F138-4A5C-976F-8EAC2B608ADB}">
              <a16:predDERef xmlns:a16="http://schemas.microsoft.com/office/drawing/2014/main" pred="{AE78EAF4-671C-40DE-A6DC-99D6C6F04B3D}"/>
            </a:ext>
          </a:extLst>
        </xdr:cNvPr>
        <xdr:cNvSpPr>
          <a:spLocks noChangeAspect="1" noChangeArrowheads="1"/>
        </xdr:cNvSpPr>
      </xdr:nvSpPr>
      <xdr:spPr bwMode="auto">
        <a:xfrm>
          <a:off x="7531100" y="144500600"/>
          <a:ext cx="190500" cy="266700"/>
        </a:xfrm>
        <a:prstGeom prst="rect">
          <a:avLst/>
        </a:prstGeom>
        <a:noFill/>
      </xdr:spPr>
    </xdr:sp>
    <xdr:clientData/>
  </xdr:oneCellAnchor>
  <xdr:oneCellAnchor>
    <xdr:from>
      <xdr:col>4</xdr:col>
      <xdr:colOff>1657350</xdr:colOff>
      <xdr:row>754</xdr:row>
      <xdr:rowOff>0</xdr:rowOff>
    </xdr:from>
    <xdr:ext cx="190500" cy="266700"/>
    <xdr:sp macro="" textlink="">
      <xdr:nvSpPr>
        <xdr:cNvPr id="7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C145084-DE78-402C-BE40-1FBECDAB1D3D}"/>
            </a:ext>
            <a:ext uri="{147F2762-F138-4A5C-976F-8EAC2B608ADB}">
              <a16:predDERef xmlns:a16="http://schemas.microsoft.com/office/drawing/2014/main" pred="{50ABFA31-891B-4A48-A6DE-23A7E8AB038C}"/>
            </a:ext>
          </a:extLst>
        </xdr:cNvPr>
        <xdr:cNvSpPr>
          <a:spLocks noChangeAspect="1" noChangeArrowheads="1"/>
        </xdr:cNvSpPr>
      </xdr:nvSpPr>
      <xdr:spPr bwMode="auto">
        <a:xfrm>
          <a:off x="7531100" y="144868900"/>
          <a:ext cx="190500" cy="266700"/>
        </a:xfrm>
        <a:prstGeom prst="rect">
          <a:avLst/>
        </a:prstGeom>
        <a:noFill/>
      </xdr:spPr>
    </xdr:sp>
    <xdr:clientData/>
  </xdr:oneCellAnchor>
  <xdr:oneCellAnchor>
    <xdr:from>
      <xdr:col>4</xdr:col>
      <xdr:colOff>1657350</xdr:colOff>
      <xdr:row>754</xdr:row>
      <xdr:rowOff>0</xdr:rowOff>
    </xdr:from>
    <xdr:ext cx="190500" cy="266700"/>
    <xdr:sp macro="" textlink="">
      <xdr:nvSpPr>
        <xdr:cNvPr id="7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4E9FE31-2A74-4DFC-A3AA-8625F342FA4A}"/>
            </a:ext>
            <a:ext uri="{147F2762-F138-4A5C-976F-8EAC2B608ADB}">
              <a16:predDERef xmlns:a16="http://schemas.microsoft.com/office/drawing/2014/main" pred="{AC1E1EB5-13D8-437D-8F99-053F3175C668}"/>
            </a:ext>
          </a:extLst>
        </xdr:cNvPr>
        <xdr:cNvSpPr>
          <a:spLocks noChangeAspect="1" noChangeArrowheads="1"/>
        </xdr:cNvSpPr>
      </xdr:nvSpPr>
      <xdr:spPr bwMode="auto">
        <a:xfrm>
          <a:off x="7531100" y="144868900"/>
          <a:ext cx="190500" cy="266700"/>
        </a:xfrm>
        <a:prstGeom prst="rect">
          <a:avLst/>
        </a:prstGeom>
        <a:noFill/>
      </xdr:spPr>
    </xdr:sp>
    <xdr:clientData/>
  </xdr:oneCellAnchor>
  <xdr:oneCellAnchor>
    <xdr:from>
      <xdr:col>4</xdr:col>
      <xdr:colOff>1657350</xdr:colOff>
      <xdr:row>756</xdr:row>
      <xdr:rowOff>0</xdr:rowOff>
    </xdr:from>
    <xdr:ext cx="190500" cy="266700"/>
    <xdr:sp macro="" textlink="">
      <xdr:nvSpPr>
        <xdr:cNvPr id="7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084B4E4-769F-470A-94B9-4CC5B31AC217}"/>
            </a:ext>
            <a:ext uri="{147F2762-F138-4A5C-976F-8EAC2B608ADB}">
              <a16:predDERef xmlns:a16="http://schemas.microsoft.com/office/drawing/2014/main" pred="{9DC02A40-04F3-46CC-87D1-22AA4D149351}"/>
            </a:ext>
          </a:extLst>
        </xdr:cNvPr>
        <xdr:cNvSpPr>
          <a:spLocks noChangeAspect="1" noChangeArrowheads="1"/>
        </xdr:cNvSpPr>
      </xdr:nvSpPr>
      <xdr:spPr bwMode="auto">
        <a:xfrm>
          <a:off x="7531100" y="145237200"/>
          <a:ext cx="190500" cy="266700"/>
        </a:xfrm>
        <a:prstGeom prst="rect">
          <a:avLst/>
        </a:prstGeom>
        <a:noFill/>
      </xdr:spPr>
    </xdr:sp>
    <xdr:clientData/>
  </xdr:oneCellAnchor>
  <xdr:oneCellAnchor>
    <xdr:from>
      <xdr:col>4</xdr:col>
      <xdr:colOff>1657350</xdr:colOff>
      <xdr:row>756</xdr:row>
      <xdr:rowOff>0</xdr:rowOff>
    </xdr:from>
    <xdr:ext cx="190500" cy="266700"/>
    <xdr:sp macro="" textlink="">
      <xdr:nvSpPr>
        <xdr:cNvPr id="7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F75C65-86C6-4BDC-B74C-A430EEC20EAE}"/>
            </a:ext>
            <a:ext uri="{147F2762-F138-4A5C-976F-8EAC2B608ADB}">
              <a16:predDERef xmlns:a16="http://schemas.microsoft.com/office/drawing/2014/main" pred="{9C28925C-3888-4DEE-B778-8FC6C54392C1}"/>
            </a:ext>
          </a:extLst>
        </xdr:cNvPr>
        <xdr:cNvSpPr>
          <a:spLocks noChangeAspect="1" noChangeArrowheads="1"/>
        </xdr:cNvSpPr>
      </xdr:nvSpPr>
      <xdr:spPr bwMode="auto">
        <a:xfrm>
          <a:off x="7531100" y="145237200"/>
          <a:ext cx="190500" cy="266700"/>
        </a:xfrm>
        <a:prstGeom prst="rect">
          <a:avLst/>
        </a:prstGeom>
        <a:noFill/>
      </xdr:spPr>
    </xdr:sp>
    <xdr:clientData/>
  </xdr:oneCellAnchor>
  <xdr:oneCellAnchor>
    <xdr:from>
      <xdr:col>4</xdr:col>
      <xdr:colOff>1657350</xdr:colOff>
      <xdr:row>758</xdr:row>
      <xdr:rowOff>0</xdr:rowOff>
    </xdr:from>
    <xdr:ext cx="190500" cy="266700"/>
    <xdr:sp macro="" textlink="">
      <xdr:nvSpPr>
        <xdr:cNvPr id="7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B289BB1-D423-4D5D-A315-E0195CD0669E}"/>
            </a:ext>
            <a:ext uri="{147F2762-F138-4A5C-976F-8EAC2B608ADB}">
              <a16:predDERef xmlns:a16="http://schemas.microsoft.com/office/drawing/2014/main" pred="{7DFA8564-0846-4AB0-B9DF-AC36E2479EAA}"/>
            </a:ext>
          </a:extLst>
        </xdr:cNvPr>
        <xdr:cNvSpPr>
          <a:spLocks noChangeAspect="1" noChangeArrowheads="1"/>
        </xdr:cNvSpPr>
      </xdr:nvSpPr>
      <xdr:spPr bwMode="auto">
        <a:xfrm>
          <a:off x="7531100" y="145605500"/>
          <a:ext cx="190500" cy="266700"/>
        </a:xfrm>
        <a:prstGeom prst="rect">
          <a:avLst/>
        </a:prstGeom>
        <a:noFill/>
      </xdr:spPr>
    </xdr:sp>
    <xdr:clientData/>
  </xdr:oneCellAnchor>
  <xdr:oneCellAnchor>
    <xdr:from>
      <xdr:col>4</xdr:col>
      <xdr:colOff>1657350</xdr:colOff>
      <xdr:row>758</xdr:row>
      <xdr:rowOff>0</xdr:rowOff>
    </xdr:from>
    <xdr:ext cx="190500" cy="266700"/>
    <xdr:sp macro="" textlink="">
      <xdr:nvSpPr>
        <xdr:cNvPr id="7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5646044-9905-489A-A81C-764136999C2D}"/>
            </a:ext>
            <a:ext uri="{147F2762-F138-4A5C-976F-8EAC2B608ADB}">
              <a16:predDERef xmlns:a16="http://schemas.microsoft.com/office/drawing/2014/main" pred="{9E701811-8317-4B8D-8246-43E64CAB6612}"/>
            </a:ext>
          </a:extLst>
        </xdr:cNvPr>
        <xdr:cNvSpPr>
          <a:spLocks noChangeAspect="1" noChangeArrowheads="1"/>
        </xdr:cNvSpPr>
      </xdr:nvSpPr>
      <xdr:spPr bwMode="auto">
        <a:xfrm>
          <a:off x="7531100" y="145605500"/>
          <a:ext cx="190500" cy="266700"/>
        </a:xfrm>
        <a:prstGeom prst="rect">
          <a:avLst/>
        </a:prstGeom>
        <a:noFill/>
      </xdr:spPr>
    </xdr:sp>
    <xdr:clientData/>
  </xdr:oneCellAnchor>
  <xdr:oneCellAnchor>
    <xdr:from>
      <xdr:col>4</xdr:col>
      <xdr:colOff>1657350</xdr:colOff>
      <xdr:row>760</xdr:row>
      <xdr:rowOff>0</xdr:rowOff>
    </xdr:from>
    <xdr:ext cx="190500" cy="266700"/>
    <xdr:sp macro="" textlink="">
      <xdr:nvSpPr>
        <xdr:cNvPr id="7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916DC07-6FFA-4683-89B9-150B727CF51E}"/>
            </a:ext>
            <a:ext uri="{147F2762-F138-4A5C-976F-8EAC2B608ADB}">
              <a16:predDERef xmlns:a16="http://schemas.microsoft.com/office/drawing/2014/main" pred="{5EE7E487-7A16-4828-B112-3F85FDCCAFF3}"/>
            </a:ext>
          </a:extLst>
        </xdr:cNvPr>
        <xdr:cNvSpPr>
          <a:spLocks noChangeAspect="1" noChangeArrowheads="1"/>
        </xdr:cNvSpPr>
      </xdr:nvSpPr>
      <xdr:spPr bwMode="auto">
        <a:xfrm>
          <a:off x="7531100" y="145973800"/>
          <a:ext cx="190500" cy="266700"/>
        </a:xfrm>
        <a:prstGeom prst="rect">
          <a:avLst/>
        </a:prstGeom>
        <a:noFill/>
      </xdr:spPr>
    </xdr:sp>
    <xdr:clientData/>
  </xdr:oneCellAnchor>
  <xdr:oneCellAnchor>
    <xdr:from>
      <xdr:col>4</xdr:col>
      <xdr:colOff>1657350</xdr:colOff>
      <xdr:row>760</xdr:row>
      <xdr:rowOff>0</xdr:rowOff>
    </xdr:from>
    <xdr:ext cx="190500" cy="266700"/>
    <xdr:sp macro="" textlink="">
      <xdr:nvSpPr>
        <xdr:cNvPr id="7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46194E6-B0AE-486D-948D-46A3530D40E6}"/>
            </a:ext>
            <a:ext uri="{147F2762-F138-4A5C-976F-8EAC2B608ADB}">
              <a16:predDERef xmlns:a16="http://schemas.microsoft.com/office/drawing/2014/main" pred="{A6973FBC-1482-42CD-898D-B3BC397CD437}"/>
            </a:ext>
          </a:extLst>
        </xdr:cNvPr>
        <xdr:cNvSpPr>
          <a:spLocks noChangeAspect="1" noChangeArrowheads="1"/>
        </xdr:cNvSpPr>
      </xdr:nvSpPr>
      <xdr:spPr bwMode="auto">
        <a:xfrm>
          <a:off x="7531100" y="145973800"/>
          <a:ext cx="190500" cy="266700"/>
        </a:xfrm>
        <a:prstGeom prst="rect">
          <a:avLst/>
        </a:prstGeom>
        <a:noFill/>
      </xdr:spPr>
    </xdr:sp>
    <xdr:clientData/>
  </xdr:oneCellAnchor>
  <xdr:oneCellAnchor>
    <xdr:from>
      <xdr:col>4</xdr:col>
      <xdr:colOff>1657350</xdr:colOff>
      <xdr:row>762</xdr:row>
      <xdr:rowOff>0</xdr:rowOff>
    </xdr:from>
    <xdr:ext cx="190500" cy="266700"/>
    <xdr:sp macro="" textlink="">
      <xdr:nvSpPr>
        <xdr:cNvPr id="7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E2F3A7-4534-4EBC-9242-595DAF7DA28E}"/>
            </a:ext>
            <a:ext uri="{147F2762-F138-4A5C-976F-8EAC2B608ADB}">
              <a16:predDERef xmlns:a16="http://schemas.microsoft.com/office/drawing/2014/main" pred="{6DEA418B-EDA3-4796-BC8C-FE21CB655764}"/>
            </a:ext>
          </a:extLst>
        </xdr:cNvPr>
        <xdr:cNvSpPr>
          <a:spLocks noChangeAspect="1" noChangeArrowheads="1"/>
        </xdr:cNvSpPr>
      </xdr:nvSpPr>
      <xdr:spPr bwMode="auto">
        <a:xfrm>
          <a:off x="7531100" y="146342100"/>
          <a:ext cx="190500" cy="266700"/>
        </a:xfrm>
        <a:prstGeom prst="rect">
          <a:avLst/>
        </a:prstGeom>
        <a:noFill/>
      </xdr:spPr>
    </xdr:sp>
    <xdr:clientData/>
  </xdr:oneCellAnchor>
  <xdr:oneCellAnchor>
    <xdr:from>
      <xdr:col>4</xdr:col>
      <xdr:colOff>1657350</xdr:colOff>
      <xdr:row>762</xdr:row>
      <xdr:rowOff>0</xdr:rowOff>
    </xdr:from>
    <xdr:ext cx="190500" cy="266700"/>
    <xdr:sp macro="" textlink="">
      <xdr:nvSpPr>
        <xdr:cNvPr id="7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983E60-AEA6-454D-8C8F-5A25E189FDCB}"/>
            </a:ext>
            <a:ext uri="{147F2762-F138-4A5C-976F-8EAC2B608ADB}">
              <a16:predDERef xmlns:a16="http://schemas.microsoft.com/office/drawing/2014/main" pred="{6DE76A47-4E67-4189-8A5C-76129E3E1626}"/>
            </a:ext>
          </a:extLst>
        </xdr:cNvPr>
        <xdr:cNvSpPr>
          <a:spLocks noChangeAspect="1" noChangeArrowheads="1"/>
        </xdr:cNvSpPr>
      </xdr:nvSpPr>
      <xdr:spPr bwMode="auto">
        <a:xfrm>
          <a:off x="7531100" y="146342100"/>
          <a:ext cx="190500" cy="266700"/>
        </a:xfrm>
        <a:prstGeom prst="rect">
          <a:avLst/>
        </a:prstGeom>
        <a:noFill/>
      </xdr:spPr>
    </xdr:sp>
    <xdr:clientData/>
  </xdr:oneCellAnchor>
  <xdr:oneCellAnchor>
    <xdr:from>
      <xdr:col>4</xdr:col>
      <xdr:colOff>1657350</xdr:colOff>
      <xdr:row>764</xdr:row>
      <xdr:rowOff>0</xdr:rowOff>
    </xdr:from>
    <xdr:ext cx="190500" cy="266700"/>
    <xdr:sp macro="" textlink="">
      <xdr:nvSpPr>
        <xdr:cNvPr id="7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7EF411D-BA67-4AB9-8BFE-4016227F1B46}"/>
            </a:ext>
            <a:ext uri="{147F2762-F138-4A5C-976F-8EAC2B608ADB}">
              <a16:predDERef xmlns:a16="http://schemas.microsoft.com/office/drawing/2014/main" pred="{2FEAB097-A75D-48EA-B030-665C8D87E2A5}"/>
            </a:ext>
          </a:extLst>
        </xdr:cNvPr>
        <xdr:cNvSpPr>
          <a:spLocks noChangeAspect="1" noChangeArrowheads="1"/>
        </xdr:cNvSpPr>
      </xdr:nvSpPr>
      <xdr:spPr bwMode="auto">
        <a:xfrm>
          <a:off x="7531100" y="146710400"/>
          <a:ext cx="190500" cy="266700"/>
        </a:xfrm>
        <a:prstGeom prst="rect">
          <a:avLst/>
        </a:prstGeom>
        <a:noFill/>
      </xdr:spPr>
    </xdr:sp>
    <xdr:clientData/>
  </xdr:oneCellAnchor>
  <xdr:oneCellAnchor>
    <xdr:from>
      <xdr:col>4</xdr:col>
      <xdr:colOff>1657350</xdr:colOff>
      <xdr:row>764</xdr:row>
      <xdr:rowOff>0</xdr:rowOff>
    </xdr:from>
    <xdr:ext cx="190500" cy="266700"/>
    <xdr:sp macro="" textlink="">
      <xdr:nvSpPr>
        <xdr:cNvPr id="7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ECAEA1C-7C81-429F-8D96-A723EC79B4ED}"/>
            </a:ext>
            <a:ext uri="{147F2762-F138-4A5C-976F-8EAC2B608ADB}">
              <a16:predDERef xmlns:a16="http://schemas.microsoft.com/office/drawing/2014/main" pred="{9DE10FC2-82CB-4CCE-9B83-64041A129CB1}"/>
            </a:ext>
          </a:extLst>
        </xdr:cNvPr>
        <xdr:cNvSpPr>
          <a:spLocks noChangeAspect="1" noChangeArrowheads="1"/>
        </xdr:cNvSpPr>
      </xdr:nvSpPr>
      <xdr:spPr bwMode="auto">
        <a:xfrm>
          <a:off x="7531100" y="146710400"/>
          <a:ext cx="190500" cy="266700"/>
        </a:xfrm>
        <a:prstGeom prst="rect">
          <a:avLst/>
        </a:prstGeom>
        <a:noFill/>
      </xdr:spPr>
    </xdr:sp>
    <xdr:clientData/>
  </xdr:oneCellAnchor>
  <xdr:oneCellAnchor>
    <xdr:from>
      <xdr:col>4</xdr:col>
      <xdr:colOff>1657350</xdr:colOff>
      <xdr:row>766</xdr:row>
      <xdr:rowOff>0</xdr:rowOff>
    </xdr:from>
    <xdr:ext cx="190500" cy="266700"/>
    <xdr:sp macro="" textlink="">
      <xdr:nvSpPr>
        <xdr:cNvPr id="7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8E43E38-7B9B-44FE-846F-5167256D86A4}"/>
            </a:ext>
            <a:ext uri="{147F2762-F138-4A5C-976F-8EAC2B608ADB}">
              <a16:predDERef xmlns:a16="http://schemas.microsoft.com/office/drawing/2014/main" pred="{8757DE17-4D62-4A3C-8AF5-82EF46BB2944}"/>
            </a:ext>
          </a:extLst>
        </xdr:cNvPr>
        <xdr:cNvSpPr>
          <a:spLocks noChangeAspect="1" noChangeArrowheads="1"/>
        </xdr:cNvSpPr>
      </xdr:nvSpPr>
      <xdr:spPr bwMode="auto">
        <a:xfrm>
          <a:off x="7531100" y="147078700"/>
          <a:ext cx="190500" cy="266700"/>
        </a:xfrm>
        <a:prstGeom prst="rect">
          <a:avLst/>
        </a:prstGeom>
        <a:noFill/>
      </xdr:spPr>
    </xdr:sp>
    <xdr:clientData/>
  </xdr:oneCellAnchor>
  <xdr:oneCellAnchor>
    <xdr:from>
      <xdr:col>4</xdr:col>
      <xdr:colOff>1657350</xdr:colOff>
      <xdr:row>766</xdr:row>
      <xdr:rowOff>0</xdr:rowOff>
    </xdr:from>
    <xdr:ext cx="190500" cy="266700"/>
    <xdr:sp macro="" textlink="">
      <xdr:nvSpPr>
        <xdr:cNvPr id="7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5175F00-88E4-4739-B517-2549AA6441BD}"/>
            </a:ext>
            <a:ext uri="{147F2762-F138-4A5C-976F-8EAC2B608ADB}">
              <a16:predDERef xmlns:a16="http://schemas.microsoft.com/office/drawing/2014/main" pred="{744EEDBD-6AD0-4C3E-880C-32E729C53A9C}"/>
            </a:ext>
          </a:extLst>
        </xdr:cNvPr>
        <xdr:cNvSpPr>
          <a:spLocks noChangeAspect="1" noChangeArrowheads="1"/>
        </xdr:cNvSpPr>
      </xdr:nvSpPr>
      <xdr:spPr bwMode="auto">
        <a:xfrm>
          <a:off x="7531100" y="147078700"/>
          <a:ext cx="190500" cy="266700"/>
        </a:xfrm>
        <a:prstGeom prst="rect">
          <a:avLst/>
        </a:prstGeom>
        <a:noFill/>
      </xdr:spPr>
    </xdr:sp>
    <xdr:clientData/>
  </xdr:oneCellAnchor>
  <xdr:oneCellAnchor>
    <xdr:from>
      <xdr:col>4</xdr:col>
      <xdr:colOff>1657350</xdr:colOff>
      <xdr:row>768</xdr:row>
      <xdr:rowOff>0</xdr:rowOff>
    </xdr:from>
    <xdr:ext cx="190500" cy="266700"/>
    <xdr:sp macro="" textlink="">
      <xdr:nvSpPr>
        <xdr:cNvPr id="7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2BC7C4E-0540-4397-9308-11E63A798027}"/>
            </a:ext>
            <a:ext uri="{147F2762-F138-4A5C-976F-8EAC2B608ADB}">
              <a16:predDERef xmlns:a16="http://schemas.microsoft.com/office/drawing/2014/main" pred="{BBD6833D-763C-4EA9-8EAD-E7EF5D10EFA8}"/>
            </a:ext>
          </a:extLst>
        </xdr:cNvPr>
        <xdr:cNvSpPr>
          <a:spLocks noChangeAspect="1" noChangeArrowheads="1"/>
        </xdr:cNvSpPr>
      </xdr:nvSpPr>
      <xdr:spPr bwMode="auto">
        <a:xfrm>
          <a:off x="7531100" y="147447000"/>
          <a:ext cx="190500" cy="266700"/>
        </a:xfrm>
        <a:prstGeom prst="rect">
          <a:avLst/>
        </a:prstGeom>
        <a:noFill/>
      </xdr:spPr>
    </xdr:sp>
    <xdr:clientData/>
  </xdr:oneCellAnchor>
  <xdr:oneCellAnchor>
    <xdr:from>
      <xdr:col>4</xdr:col>
      <xdr:colOff>1657350</xdr:colOff>
      <xdr:row>768</xdr:row>
      <xdr:rowOff>0</xdr:rowOff>
    </xdr:from>
    <xdr:ext cx="190500" cy="266700"/>
    <xdr:sp macro="" textlink="">
      <xdr:nvSpPr>
        <xdr:cNvPr id="7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5792081-716F-477B-9143-C5BC144B23D5}"/>
            </a:ext>
            <a:ext uri="{147F2762-F138-4A5C-976F-8EAC2B608ADB}">
              <a16:predDERef xmlns:a16="http://schemas.microsoft.com/office/drawing/2014/main" pred="{C634AD50-3330-44EA-A75B-99CDFCF897D4}"/>
            </a:ext>
          </a:extLst>
        </xdr:cNvPr>
        <xdr:cNvSpPr>
          <a:spLocks noChangeAspect="1" noChangeArrowheads="1"/>
        </xdr:cNvSpPr>
      </xdr:nvSpPr>
      <xdr:spPr bwMode="auto">
        <a:xfrm>
          <a:off x="7531100" y="147447000"/>
          <a:ext cx="190500" cy="266700"/>
        </a:xfrm>
        <a:prstGeom prst="rect">
          <a:avLst/>
        </a:prstGeom>
        <a:noFill/>
      </xdr:spPr>
    </xdr:sp>
    <xdr:clientData/>
  </xdr:oneCellAnchor>
  <xdr:oneCellAnchor>
    <xdr:from>
      <xdr:col>4</xdr:col>
      <xdr:colOff>1657350</xdr:colOff>
      <xdr:row>770</xdr:row>
      <xdr:rowOff>0</xdr:rowOff>
    </xdr:from>
    <xdr:ext cx="190500" cy="266700"/>
    <xdr:sp macro="" textlink="">
      <xdr:nvSpPr>
        <xdr:cNvPr id="7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CEEF7C1-3031-482F-8B1C-1E526D8DEDDE}"/>
            </a:ext>
            <a:ext uri="{147F2762-F138-4A5C-976F-8EAC2B608ADB}">
              <a16:predDERef xmlns:a16="http://schemas.microsoft.com/office/drawing/2014/main" pred="{C7B50E93-0379-4F80-9D13-546F6358B706}"/>
            </a:ext>
          </a:extLst>
        </xdr:cNvPr>
        <xdr:cNvSpPr>
          <a:spLocks noChangeAspect="1" noChangeArrowheads="1"/>
        </xdr:cNvSpPr>
      </xdr:nvSpPr>
      <xdr:spPr bwMode="auto">
        <a:xfrm>
          <a:off x="7531100" y="147815300"/>
          <a:ext cx="190500" cy="266700"/>
        </a:xfrm>
        <a:prstGeom prst="rect">
          <a:avLst/>
        </a:prstGeom>
        <a:noFill/>
      </xdr:spPr>
    </xdr:sp>
    <xdr:clientData/>
  </xdr:oneCellAnchor>
  <xdr:oneCellAnchor>
    <xdr:from>
      <xdr:col>4</xdr:col>
      <xdr:colOff>1657350</xdr:colOff>
      <xdr:row>770</xdr:row>
      <xdr:rowOff>0</xdr:rowOff>
    </xdr:from>
    <xdr:ext cx="190500" cy="266700"/>
    <xdr:sp macro="" textlink="">
      <xdr:nvSpPr>
        <xdr:cNvPr id="7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5953F5E-C728-4A43-B795-BA7339E27DD2}"/>
            </a:ext>
            <a:ext uri="{147F2762-F138-4A5C-976F-8EAC2B608ADB}">
              <a16:predDERef xmlns:a16="http://schemas.microsoft.com/office/drawing/2014/main" pred="{9FCDC522-FB72-442C-B4C5-D695F52AEDAC}"/>
            </a:ext>
          </a:extLst>
        </xdr:cNvPr>
        <xdr:cNvSpPr>
          <a:spLocks noChangeAspect="1" noChangeArrowheads="1"/>
        </xdr:cNvSpPr>
      </xdr:nvSpPr>
      <xdr:spPr bwMode="auto">
        <a:xfrm>
          <a:off x="7531100" y="147815300"/>
          <a:ext cx="190500" cy="266700"/>
        </a:xfrm>
        <a:prstGeom prst="rect">
          <a:avLst/>
        </a:prstGeom>
        <a:noFill/>
      </xdr:spPr>
    </xdr:sp>
    <xdr:clientData/>
  </xdr:oneCellAnchor>
  <xdr:oneCellAnchor>
    <xdr:from>
      <xdr:col>4</xdr:col>
      <xdr:colOff>1657350</xdr:colOff>
      <xdr:row>772</xdr:row>
      <xdr:rowOff>0</xdr:rowOff>
    </xdr:from>
    <xdr:ext cx="190500" cy="266700"/>
    <xdr:sp macro="" textlink="">
      <xdr:nvSpPr>
        <xdr:cNvPr id="7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CB506B-832A-4429-BCBE-A44C746589FA}"/>
            </a:ext>
            <a:ext uri="{147F2762-F138-4A5C-976F-8EAC2B608ADB}">
              <a16:predDERef xmlns:a16="http://schemas.microsoft.com/office/drawing/2014/main" pred="{1A0A5DD1-F7A8-496B-854A-B69D2FAD5553}"/>
            </a:ext>
          </a:extLst>
        </xdr:cNvPr>
        <xdr:cNvSpPr>
          <a:spLocks noChangeAspect="1" noChangeArrowheads="1"/>
        </xdr:cNvSpPr>
      </xdr:nvSpPr>
      <xdr:spPr bwMode="auto">
        <a:xfrm>
          <a:off x="7531100" y="148183600"/>
          <a:ext cx="190500" cy="266700"/>
        </a:xfrm>
        <a:prstGeom prst="rect">
          <a:avLst/>
        </a:prstGeom>
        <a:noFill/>
      </xdr:spPr>
    </xdr:sp>
    <xdr:clientData/>
  </xdr:oneCellAnchor>
  <xdr:oneCellAnchor>
    <xdr:from>
      <xdr:col>4</xdr:col>
      <xdr:colOff>1657350</xdr:colOff>
      <xdr:row>772</xdr:row>
      <xdr:rowOff>0</xdr:rowOff>
    </xdr:from>
    <xdr:ext cx="190500" cy="266700"/>
    <xdr:sp macro="" textlink="">
      <xdr:nvSpPr>
        <xdr:cNvPr id="7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1C6CCD8-0009-47FA-9A81-A64B1B126878}"/>
            </a:ext>
            <a:ext uri="{147F2762-F138-4A5C-976F-8EAC2B608ADB}">
              <a16:predDERef xmlns:a16="http://schemas.microsoft.com/office/drawing/2014/main" pred="{2CEE664D-68BD-4017-9432-8A70B01DDA91}"/>
            </a:ext>
          </a:extLst>
        </xdr:cNvPr>
        <xdr:cNvSpPr>
          <a:spLocks noChangeAspect="1" noChangeArrowheads="1"/>
        </xdr:cNvSpPr>
      </xdr:nvSpPr>
      <xdr:spPr bwMode="auto">
        <a:xfrm>
          <a:off x="7531100" y="148183600"/>
          <a:ext cx="190500" cy="266700"/>
        </a:xfrm>
        <a:prstGeom prst="rect">
          <a:avLst/>
        </a:prstGeom>
        <a:noFill/>
      </xdr:spPr>
    </xdr:sp>
    <xdr:clientData/>
  </xdr:oneCellAnchor>
  <xdr:oneCellAnchor>
    <xdr:from>
      <xdr:col>4</xdr:col>
      <xdr:colOff>1657350</xdr:colOff>
      <xdr:row>774</xdr:row>
      <xdr:rowOff>0</xdr:rowOff>
    </xdr:from>
    <xdr:ext cx="190500" cy="266700"/>
    <xdr:sp macro="" textlink="">
      <xdr:nvSpPr>
        <xdr:cNvPr id="7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8C5BCC2-8245-44A0-B032-97EFA5885D76}"/>
            </a:ext>
            <a:ext uri="{147F2762-F138-4A5C-976F-8EAC2B608ADB}">
              <a16:predDERef xmlns:a16="http://schemas.microsoft.com/office/drawing/2014/main" pred="{2D76A4CE-1A46-4E80-BEB3-56C5437A5908}"/>
            </a:ext>
          </a:extLst>
        </xdr:cNvPr>
        <xdr:cNvSpPr>
          <a:spLocks noChangeAspect="1" noChangeArrowheads="1"/>
        </xdr:cNvSpPr>
      </xdr:nvSpPr>
      <xdr:spPr bwMode="auto">
        <a:xfrm>
          <a:off x="7531100" y="148863050"/>
          <a:ext cx="190500" cy="266700"/>
        </a:xfrm>
        <a:prstGeom prst="rect">
          <a:avLst/>
        </a:prstGeom>
        <a:noFill/>
      </xdr:spPr>
    </xdr:sp>
    <xdr:clientData/>
  </xdr:oneCellAnchor>
  <xdr:oneCellAnchor>
    <xdr:from>
      <xdr:col>4</xdr:col>
      <xdr:colOff>1657350</xdr:colOff>
      <xdr:row>774</xdr:row>
      <xdr:rowOff>0</xdr:rowOff>
    </xdr:from>
    <xdr:ext cx="190500" cy="266700"/>
    <xdr:sp macro="" textlink="">
      <xdr:nvSpPr>
        <xdr:cNvPr id="7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EA42C28-0A06-4B65-8B4B-95A6E94C5B13}"/>
            </a:ext>
            <a:ext uri="{147F2762-F138-4A5C-976F-8EAC2B608ADB}">
              <a16:predDERef xmlns:a16="http://schemas.microsoft.com/office/drawing/2014/main" pred="{C18F815C-EA49-4C37-A519-68DD5D22A2D6}"/>
            </a:ext>
          </a:extLst>
        </xdr:cNvPr>
        <xdr:cNvSpPr>
          <a:spLocks noChangeAspect="1" noChangeArrowheads="1"/>
        </xdr:cNvSpPr>
      </xdr:nvSpPr>
      <xdr:spPr bwMode="auto">
        <a:xfrm>
          <a:off x="7531100" y="148863050"/>
          <a:ext cx="190500" cy="266700"/>
        </a:xfrm>
        <a:prstGeom prst="rect">
          <a:avLst/>
        </a:prstGeom>
        <a:noFill/>
      </xdr:spPr>
    </xdr:sp>
    <xdr:clientData/>
  </xdr:oneCellAnchor>
  <xdr:oneCellAnchor>
    <xdr:from>
      <xdr:col>4</xdr:col>
      <xdr:colOff>1657350</xdr:colOff>
      <xdr:row>776</xdr:row>
      <xdr:rowOff>0</xdr:rowOff>
    </xdr:from>
    <xdr:ext cx="190500" cy="266700"/>
    <xdr:sp macro="" textlink="">
      <xdr:nvSpPr>
        <xdr:cNvPr id="7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F9A77E6-CF6A-4620-BAC4-6930B8DD5512}"/>
            </a:ext>
            <a:ext uri="{147F2762-F138-4A5C-976F-8EAC2B608ADB}">
              <a16:predDERef xmlns:a16="http://schemas.microsoft.com/office/drawing/2014/main" pred="{59E61111-3809-41A9-A4F8-9398272F8836}"/>
            </a:ext>
          </a:extLst>
        </xdr:cNvPr>
        <xdr:cNvSpPr>
          <a:spLocks noChangeAspect="1" noChangeArrowheads="1"/>
        </xdr:cNvSpPr>
      </xdr:nvSpPr>
      <xdr:spPr bwMode="auto">
        <a:xfrm>
          <a:off x="7531100" y="149688550"/>
          <a:ext cx="190500" cy="266700"/>
        </a:xfrm>
        <a:prstGeom prst="rect">
          <a:avLst/>
        </a:prstGeom>
        <a:noFill/>
      </xdr:spPr>
    </xdr:sp>
    <xdr:clientData/>
  </xdr:oneCellAnchor>
  <xdr:oneCellAnchor>
    <xdr:from>
      <xdr:col>4</xdr:col>
      <xdr:colOff>1657350</xdr:colOff>
      <xdr:row>776</xdr:row>
      <xdr:rowOff>0</xdr:rowOff>
    </xdr:from>
    <xdr:ext cx="190500" cy="266700"/>
    <xdr:sp macro="" textlink="">
      <xdr:nvSpPr>
        <xdr:cNvPr id="7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48A6B75-3B13-473B-B321-AB9461A405D0}"/>
            </a:ext>
            <a:ext uri="{147F2762-F138-4A5C-976F-8EAC2B608ADB}">
              <a16:predDERef xmlns:a16="http://schemas.microsoft.com/office/drawing/2014/main" pred="{927A436E-444D-44D5-8A84-E826C35716AE}"/>
            </a:ext>
          </a:extLst>
        </xdr:cNvPr>
        <xdr:cNvSpPr>
          <a:spLocks noChangeAspect="1" noChangeArrowheads="1"/>
        </xdr:cNvSpPr>
      </xdr:nvSpPr>
      <xdr:spPr bwMode="auto">
        <a:xfrm>
          <a:off x="7531100" y="149688550"/>
          <a:ext cx="190500" cy="266700"/>
        </a:xfrm>
        <a:prstGeom prst="rect">
          <a:avLst/>
        </a:prstGeom>
        <a:noFill/>
      </xdr:spPr>
    </xdr:sp>
    <xdr:clientData/>
  </xdr:oneCellAnchor>
  <xdr:oneCellAnchor>
    <xdr:from>
      <xdr:col>4</xdr:col>
      <xdr:colOff>1657350</xdr:colOff>
      <xdr:row>778</xdr:row>
      <xdr:rowOff>0</xdr:rowOff>
    </xdr:from>
    <xdr:ext cx="190500" cy="266700"/>
    <xdr:sp macro="" textlink="">
      <xdr:nvSpPr>
        <xdr:cNvPr id="7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7D0263B-5110-4F5A-AC46-425799F2BF38}"/>
            </a:ext>
            <a:ext uri="{147F2762-F138-4A5C-976F-8EAC2B608ADB}">
              <a16:predDERef xmlns:a16="http://schemas.microsoft.com/office/drawing/2014/main" pred="{2DA6AA18-8D64-46DB-AA37-99CA6C0865F3}"/>
            </a:ext>
          </a:extLst>
        </xdr:cNvPr>
        <xdr:cNvSpPr>
          <a:spLocks noChangeAspect="1" noChangeArrowheads="1"/>
        </xdr:cNvSpPr>
      </xdr:nvSpPr>
      <xdr:spPr bwMode="auto">
        <a:xfrm>
          <a:off x="7531100" y="150056850"/>
          <a:ext cx="190500" cy="266700"/>
        </a:xfrm>
        <a:prstGeom prst="rect">
          <a:avLst/>
        </a:prstGeom>
        <a:noFill/>
      </xdr:spPr>
    </xdr:sp>
    <xdr:clientData/>
  </xdr:oneCellAnchor>
  <xdr:oneCellAnchor>
    <xdr:from>
      <xdr:col>4</xdr:col>
      <xdr:colOff>1657350</xdr:colOff>
      <xdr:row>778</xdr:row>
      <xdr:rowOff>0</xdr:rowOff>
    </xdr:from>
    <xdr:ext cx="190500" cy="266700"/>
    <xdr:sp macro="" textlink="">
      <xdr:nvSpPr>
        <xdr:cNvPr id="7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7E32FFA-6BC5-46E5-BD13-3F6F9F34C874}"/>
            </a:ext>
            <a:ext uri="{147F2762-F138-4A5C-976F-8EAC2B608ADB}">
              <a16:predDERef xmlns:a16="http://schemas.microsoft.com/office/drawing/2014/main" pred="{EBEE6A26-0FEF-42B3-B2E7-6FA20C04C9FF}"/>
            </a:ext>
          </a:extLst>
        </xdr:cNvPr>
        <xdr:cNvSpPr>
          <a:spLocks noChangeAspect="1" noChangeArrowheads="1"/>
        </xdr:cNvSpPr>
      </xdr:nvSpPr>
      <xdr:spPr bwMode="auto">
        <a:xfrm>
          <a:off x="7531100" y="150056850"/>
          <a:ext cx="190500" cy="266700"/>
        </a:xfrm>
        <a:prstGeom prst="rect">
          <a:avLst/>
        </a:prstGeom>
        <a:noFill/>
      </xdr:spPr>
    </xdr:sp>
    <xdr:clientData/>
  </xdr:oneCellAnchor>
  <xdr:oneCellAnchor>
    <xdr:from>
      <xdr:col>4</xdr:col>
      <xdr:colOff>1657350</xdr:colOff>
      <xdr:row>780</xdr:row>
      <xdr:rowOff>0</xdr:rowOff>
    </xdr:from>
    <xdr:ext cx="190500" cy="266700"/>
    <xdr:sp macro="" textlink="">
      <xdr:nvSpPr>
        <xdr:cNvPr id="7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8A13102-6852-42ED-B5D8-54DCA664AD2F}"/>
            </a:ext>
            <a:ext uri="{147F2762-F138-4A5C-976F-8EAC2B608ADB}">
              <a16:predDERef xmlns:a16="http://schemas.microsoft.com/office/drawing/2014/main" pred="{A2695092-E8C8-45D5-82B8-B6362E1416EB}"/>
            </a:ext>
          </a:extLst>
        </xdr:cNvPr>
        <xdr:cNvSpPr>
          <a:spLocks noChangeAspect="1" noChangeArrowheads="1"/>
        </xdr:cNvSpPr>
      </xdr:nvSpPr>
      <xdr:spPr bwMode="auto">
        <a:xfrm>
          <a:off x="7531100" y="151047450"/>
          <a:ext cx="190500" cy="266700"/>
        </a:xfrm>
        <a:prstGeom prst="rect">
          <a:avLst/>
        </a:prstGeom>
        <a:noFill/>
      </xdr:spPr>
    </xdr:sp>
    <xdr:clientData/>
  </xdr:oneCellAnchor>
  <xdr:oneCellAnchor>
    <xdr:from>
      <xdr:col>4</xdr:col>
      <xdr:colOff>1657350</xdr:colOff>
      <xdr:row>780</xdr:row>
      <xdr:rowOff>0</xdr:rowOff>
    </xdr:from>
    <xdr:ext cx="190500" cy="266700"/>
    <xdr:sp macro="" textlink="">
      <xdr:nvSpPr>
        <xdr:cNvPr id="7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48C39DD-5056-4376-8714-A55E847E284C}"/>
            </a:ext>
            <a:ext uri="{147F2762-F138-4A5C-976F-8EAC2B608ADB}">
              <a16:predDERef xmlns:a16="http://schemas.microsoft.com/office/drawing/2014/main" pred="{C7928553-DADD-479C-9310-B8A31F38CF58}"/>
            </a:ext>
          </a:extLst>
        </xdr:cNvPr>
        <xdr:cNvSpPr>
          <a:spLocks noChangeAspect="1" noChangeArrowheads="1"/>
        </xdr:cNvSpPr>
      </xdr:nvSpPr>
      <xdr:spPr bwMode="auto">
        <a:xfrm>
          <a:off x="7531100" y="151047450"/>
          <a:ext cx="190500" cy="266700"/>
        </a:xfrm>
        <a:prstGeom prst="rect">
          <a:avLst/>
        </a:prstGeom>
        <a:noFill/>
      </xdr:spPr>
    </xdr:sp>
    <xdr:clientData/>
  </xdr:oneCellAnchor>
  <xdr:oneCellAnchor>
    <xdr:from>
      <xdr:col>4</xdr:col>
      <xdr:colOff>1657350</xdr:colOff>
      <xdr:row>782</xdr:row>
      <xdr:rowOff>0</xdr:rowOff>
    </xdr:from>
    <xdr:ext cx="190500" cy="266700"/>
    <xdr:sp macro="" textlink="">
      <xdr:nvSpPr>
        <xdr:cNvPr id="7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91AD09B-F4D0-48FF-8471-BABC54ABEEEF}"/>
            </a:ext>
            <a:ext uri="{147F2762-F138-4A5C-976F-8EAC2B608ADB}">
              <a16:predDERef xmlns:a16="http://schemas.microsoft.com/office/drawing/2014/main" pred="{F278C9EB-3754-412D-91B1-7F22DBFFB96C}"/>
            </a:ext>
          </a:extLst>
        </xdr:cNvPr>
        <xdr:cNvSpPr>
          <a:spLocks noChangeAspect="1" noChangeArrowheads="1"/>
        </xdr:cNvSpPr>
      </xdr:nvSpPr>
      <xdr:spPr bwMode="auto">
        <a:xfrm>
          <a:off x="7531100" y="151707850"/>
          <a:ext cx="190500" cy="266700"/>
        </a:xfrm>
        <a:prstGeom prst="rect">
          <a:avLst/>
        </a:prstGeom>
        <a:noFill/>
      </xdr:spPr>
    </xdr:sp>
    <xdr:clientData/>
  </xdr:oneCellAnchor>
  <xdr:oneCellAnchor>
    <xdr:from>
      <xdr:col>4</xdr:col>
      <xdr:colOff>1657350</xdr:colOff>
      <xdr:row>782</xdr:row>
      <xdr:rowOff>0</xdr:rowOff>
    </xdr:from>
    <xdr:ext cx="190500" cy="266700"/>
    <xdr:sp macro="" textlink="">
      <xdr:nvSpPr>
        <xdr:cNvPr id="7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0720B97-F4EF-4379-9004-DEC2AFCB50EA}"/>
            </a:ext>
            <a:ext uri="{147F2762-F138-4A5C-976F-8EAC2B608ADB}">
              <a16:predDERef xmlns:a16="http://schemas.microsoft.com/office/drawing/2014/main" pred="{94795A99-2815-42EB-9545-F0729B60BFB6}"/>
            </a:ext>
          </a:extLst>
        </xdr:cNvPr>
        <xdr:cNvSpPr>
          <a:spLocks noChangeAspect="1" noChangeArrowheads="1"/>
        </xdr:cNvSpPr>
      </xdr:nvSpPr>
      <xdr:spPr bwMode="auto">
        <a:xfrm>
          <a:off x="7531100" y="151707850"/>
          <a:ext cx="190500" cy="266700"/>
        </a:xfrm>
        <a:prstGeom prst="rect">
          <a:avLst/>
        </a:prstGeom>
        <a:noFill/>
      </xdr:spPr>
    </xdr:sp>
    <xdr:clientData/>
  </xdr:oneCellAnchor>
  <xdr:oneCellAnchor>
    <xdr:from>
      <xdr:col>4</xdr:col>
      <xdr:colOff>1657350</xdr:colOff>
      <xdr:row>784</xdr:row>
      <xdr:rowOff>0</xdr:rowOff>
    </xdr:from>
    <xdr:ext cx="190500" cy="266700"/>
    <xdr:sp macro="" textlink="">
      <xdr:nvSpPr>
        <xdr:cNvPr id="7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748E09-90A9-47F5-B93F-C770853E500E}"/>
            </a:ext>
            <a:ext uri="{147F2762-F138-4A5C-976F-8EAC2B608ADB}">
              <a16:predDERef xmlns:a16="http://schemas.microsoft.com/office/drawing/2014/main" pred="{468AD1F9-BF46-4A59-AB3B-328B6010ACC6}"/>
            </a:ext>
          </a:extLst>
        </xdr:cNvPr>
        <xdr:cNvSpPr>
          <a:spLocks noChangeAspect="1" noChangeArrowheads="1"/>
        </xdr:cNvSpPr>
      </xdr:nvSpPr>
      <xdr:spPr bwMode="auto">
        <a:xfrm>
          <a:off x="7531100" y="152698450"/>
          <a:ext cx="190500" cy="266700"/>
        </a:xfrm>
        <a:prstGeom prst="rect">
          <a:avLst/>
        </a:prstGeom>
        <a:noFill/>
      </xdr:spPr>
    </xdr:sp>
    <xdr:clientData/>
  </xdr:oneCellAnchor>
  <xdr:oneCellAnchor>
    <xdr:from>
      <xdr:col>4</xdr:col>
      <xdr:colOff>1657350</xdr:colOff>
      <xdr:row>784</xdr:row>
      <xdr:rowOff>0</xdr:rowOff>
    </xdr:from>
    <xdr:ext cx="190500" cy="266700"/>
    <xdr:sp macro="" textlink="">
      <xdr:nvSpPr>
        <xdr:cNvPr id="7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BF56A5D-4EFB-4957-A2A0-D204DFF6AD88}"/>
            </a:ext>
            <a:ext uri="{147F2762-F138-4A5C-976F-8EAC2B608ADB}">
              <a16:predDERef xmlns:a16="http://schemas.microsoft.com/office/drawing/2014/main" pred="{33FB39BC-C00D-4EFE-BD44-EDBA2583C6C7}"/>
            </a:ext>
          </a:extLst>
        </xdr:cNvPr>
        <xdr:cNvSpPr>
          <a:spLocks noChangeAspect="1" noChangeArrowheads="1"/>
        </xdr:cNvSpPr>
      </xdr:nvSpPr>
      <xdr:spPr bwMode="auto">
        <a:xfrm>
          <a:off x="7531100" y="152698450"/>
          <a:ext cx="190500" cy="266700"/>
        </a:xfrm>
        <a:prstGeom prst="rect">
          <a:avLst/>
        </a:prstGeom>
        <a:noFill/>
      </xdr:spPr>
    </xdr:sp>
    <xdr:clientData/>
  </xdr:oneCellAnchor>
  <xdr:oneCellAnchor>
    <xdr:from>
      <xdr:col>4</xdr:col>
      <xdr:colOff>1657350</xdr:colOff>
      <xdr:row>786</xdr:row>
      <xdr:rowOff>0</xdr:rowOff>
    </xdr:from>
    <xdr:ext cx="190500" cy="266700"/>
    <xdr:sp macro="" textlink="">
      <xdr:nvSpPr>
        <xdr:cNvPr id="7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7B212BA-4ABD-4F2D-B0DA-2AA20A6110BD}"/>
            </a:ext>
            <a:ext uri="{147F2762-F138-4A5C-976F-8EAC2B608ADB}">
              <a16:predDERef xmlns:a16="http://schemas.microsoft.com/office/drawing/2014/main" pred="{8FC95610-9C66-4E50-A123-7170632E2180}"/>
            </a:ext>
          </a:extLst>
        </xdr:cNvPr>
        <xdr:cNvSpPr>
          <a:spLocks noChangeAspect="1" noChangeArrowheads="1"/>
        </xdr:cNvSpPr>
      </xdr:nvSpPr>
      <xdr:spPr bwMode="auto">
        <a:xfrm>
          <a:off x="7531100" y="153358850"/>
          <a:ext cx="190500" cy="266700"/>
        </a:xfrm>
        <a:prstGeom prst="rect">
          <a:avLst/>
        </a:prstGeom>
        <a:noFill/>
      </xdr:spPr>
    </xdr:sp>
    <xdr:clientData/>
  </xdr:oneCellAnchor>
  <xdr:oneCellAnchor>
    <xdr:from>
      <xdr:col>4</xdr:col>
      <xdr:colOff>1657350</xdr:colOff>
      <xdr:row>786</xdr:row>
      <xdr:rowOff>0</xdr:rowOff>
    </xdr:from>
    <xdr:ext cx="190500" cy="266700"/>
    <xdr:sp macro="" textlink="">
      <xdr:nvSpPr>
        <xdr:cNvPr id="7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7D330D4-0A44-4616-BE0E-A589E454E848}"/>
            </a:ext>
            <a:ext uri="{147F2762-F138-4A5C-976F-8EAC2B608ADB}">
              <a16:predDERef xmlns:a16="http://schemas.microsoft.com/office/drawing/2014/main" pred="{83BCB337-000F-46E9-9F26-C6F2B9DFD1F8}"/>
            </a:ext>
          </a:extLst>
        </xdr:cNvPr>
        <xdr:cNvSpPr>
          <a:spLocks noChangeAspect="1" noChangeArrowheads="1"/>
        </xdr:cNvSpPr>
      </xdr:nvSpPr>
      <xdr:spPr bwMode="auto">
        <a:xfrm>
          <a:off x="7531100" y="153358850"/>
          <a:ext cx="190500" cy="266700"/>
        </a:xfrm>
        <a:prstGeom prst="rect">
          <a:avLst/>
        </a:prstGeom>
        <a:noFill/>
      </xdr:spPr>
    </xdr:sp>
    <xdr:clientData/>
  </xdr:oneCellAnchor>
  <xdr:oneCellAnchor>
    <xdr:from>
      <xdr:col>4</xdr:col>
      <xdr:colOff>1657350</xdr:colOff>
      <xdr:row>788</xdr:row>
      <xdr:rowOff>0</xdr:rowOff>
    </xdr:from>
    <xdr:ext cx="190500" cy="266700"/>
    <xdr:sp macro="" textlink="">
      <xdr:nvSpPr>
        <xdr:cNvPr id="7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01E3F05-E7B7-4B1D-AD67-E7A0A49A832C}"/>
            </a:ext>
            <a:ext uri="{147F2762-F138-4A5C-976F-8EAC2B608ADB}">
              <a16:predDERef xmlns:a16="http://schemas.microsoft.com/office/drawing/2014/main" pred="{76EA75A9-EE1B-46E9-AC2B-3671A5392174}"/>
            </a:ext>
          </a:extLst>
        </xdr:cNvPr>
        <xdr:cNvSpPr>
          <a:spLocks noChangeAspect="1" noChangeArrowheads="1"/>
        </xdr:cNvSpPr>
      </xdr:nvSpPr>
      <xdr:spPr bwMode="auto">
        <a:xfrm>
          <a:off x="7531100" y="153727150"/>
          <a:ext cx="190500" cy="266700"/>
        </a:xfrm>
        <a:prstGeom prst="rect">
          <a:avLst/>
        </a:prstGeom>
        <a:noFill/>
      </xdr:spPr>
    </xdr:sp>
    <xdr:clientData/>
  </xdr:oneCellAnchor>
  <xdr:oneCellAnchor>
    <xdr:from>
      <xdr:col>4</xdr:col>
      <xdr:colOff>1657350</xdr:colOff>
      <xdr:row>788</xdr:row>
      <xdr:rowOff>0</xdr:rowOff>
    </xdr:from>
    <xdr:ext cx="190500" cy="266700"/>
    <xdr:sp macro="" textlink="">
      <xdr:nvSpPr>
        <xdr:cNvPr id="7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B3F52A6-BEA7-47E0-9B31-C22C0683C0FD}"/>
            </a:ext>
            <a:ext uri="{147F2762-F138-4A5C-976F-8EAC2B608ADB}">
              <a16:predDERef xmlns:a16="http://schemas.microsoft.com/office/drawing/2014/main" pred="{A081B9C5-0E10-477A-BE46-B1B4DA5B7348}"/>
            </a:ext>
          </a:extLst>
        </xdr:cNvPr>
        <xdr:cNvSpPr>
          <a:spLocks noChangeAspect="1" noChangeArrowheads="1"/>
        </xdr:cNvSpPr>
      </xdr:nvSpPr>
      <xdr:spPr bwMode="auto">
        <a:xfrm>
          <a:off x="7531100" y="153727150"/>
          <a:ext cx="190500" cy="266700"/>
        </a:xfrm>
        <a:prstGeom prst="rect">
          <a:avLst/>
        </a:prstGeom>
        <a:noFill/>
      </xdr:spPr>
    </xdr:sp>
    <xdr:clientData/>
  </xdr:oneCellAnchor>
  <xdr:oneCellAnchor>
    <xdr:from>
      <xdr:col>4</xdr:col>
      <xdr:colOff>1657350</xdr:colOff>
      <xdr:row>790</xdr:row>
      <xdr:rowOff>0</xdr:rowOff>
    </xdr:from>
    <xdr:ext cx="190500" cy="266700"/>
    <xdr:sp macro="" textlink="">
      <xdr:nvSpPr>
        <xdr:cNvPr id="7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5FB6167-0076-4CA6-972E-676E56D592AF}"/>
            </a:ext>
            <a:ext uri="{147F2762-F138-4A5C-976F-8EAC2B608ADB}">
              <a16:predDERef xmlns:a16="http://schemas.microsoft.com/office/drawing/2014/main" pred="{AD699E3D-73D7-49D4-8369-427E2D96A8DC}"/>
            </a:ext>
          </a:extLst>
        </xdr:cNvPr>
        <xdr:cNvSpPr>
          <a:spLocks noChangeAspect="1" noChangeArrowheads="1"/>
        </xdr:cNvSpPr>
      </xdr:nvSpPr>
      <xdr:spPr bwMode="auto">
        <a:xfrm>
          <a:off x="7531100" y="154095450"/>
          <a:ext cx="190500" cy="266700"/>
        </a:xfrm>
        <a:prstGeom prst="rect">
          <a:avLst/>
        </a:prstGeom>
        <a:noFill/>
      </xdr:spPr>
    </xdr:sp>
    <xdr:clientData/>
  </xdr:oneCellAnchor>
  <xdr:oneCellAnchor>
    <xdr:from>
      <xdr:col>4</xdr:col>
      <xdr:colOff>1657350</xdr:colOff>
      <xdr:row>790</xdr:row>
      <xdr:rowOff>0</xdr:rowOff>
    </xdr:from>
    <xdr:ext cx="190500" cy="266700"/>
    <xdr:sp macro="" textlink="">
      <xdr:nvSpPr>
        <xdr:cNvPr id="7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3779ACE-0310-4426-8AF3-24F8AA6A7837}"/>
            </a:ext>
            <a:ext uri="{147F2762-F138-4A5C-976F-8EAC2B608ADB}">
              <a16:predDERef xmlns:a16="http://schemas.microsoft.com/office/drawing/2014/main" pred="{D2A797BE-BDB3-45AB-9F8C-7CBDFEE6FCE2}"/>
            </a:ext>
          </a:extLst>
        </xdr:cNvPr>
        <xdr:cNvSpPr>
          <a:spLocks noChangeAspect="1" noChangeArrowheads="1"/>
        </xdr:cNvSpPr>
      </xdr:nvSpPr>
      <xdr:spPr bwMode="auto">
        <a:xfrm>
          <a:off x="7531100" y="154095450"/>
          <a:ext cx="190500" cy="266700"/>
        </a:xfrm>
        <a:prstGeom prst="rect">
          <a:avLst/>
        </a:prstGeom>
        <a:noFill/>
      </xdr:spPr>
    </xdr:sp>
    <xdr:clientData/>
  </xdr:oneCellAnchor>
  <xdr:oneCellAnchor>
    <xdr:from>
      <xdr:col>4</xdr:col>
      <xdr:colOff>1657350</xdr:colOff>
      <xdr:row>792</xdr:row>
      <xdr:rowOff>0</xdr:rowOff>
    </xdr:from>
    <xdr:ext cx="190500" cy="266700"/>
    <xdr:sp macro="" textlink="">
      <xdr:nvSpPr>
        <xdr:cNvPr id="7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037E813-7E92-4988-8C88-283510F3E17D}"/>
            </a:ext>
            <a:ext uri="{147F2762-F138-4A5C-976F-8EAC2B608ADB}">
              <a16:predDERef xmlns:a16="http://schemas.microsoft.com/office/drawing/2014/main" pred="{125253E1-6146-4A56-B875-42660BAB0585}"/>
            </a:ext>
          </a:extLst>
        </xdr:cNvPr>
        <xdr:cNvSpPr>
          <a:spLocks noChangeAspect="1" noChangeArrowheads="1"/>
        </xdr:cNvSpPr>
      </xdr:nvSpPr>
      <xdr:spPr bwMode="auto">
        <a:xfrm>
          <a:off x="7531100" y="154463750"/>
          <a:ext cx="190500" cy="266700"/>
        </a:xfrm>
        <a:prstGeom prst="rect">
          <a:avLst/>
        </a:prstGeom>
        <a:noFill/>
      </xdr:spPr>
    </xdr:sp>
    <xdr:clientData/>
  </xdr:oneCellAnchor>
  <xdr:oneCellAnchor>
    <xdr:from>
      <xdr:col>4</xdr:col>
      <xdr:colOff>1657350</xdr:colOff>
      <xdr:row>792</xdr:row>
      <xdr:rowOff>0</xdr:rowOff>
    </xdr:from>
    <xdr:ext cx="190500" cy="266700"/>
    <xdr:sp macro="" textlink="">
      <xdr:nvSpPr>
        <xdr:cNvPr id="7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073B3D7-7AF1-4237-96D2-9CC0B9E41AF4}"/>
            </a:ext>
            <a:ext uri="{147F2762-F138-4A5C-976F-8EAC2B608ADB}">
              <a16:predDERef xmlns:a16="http://schemas.microsoft.com/office/drawing/2014/main" pred="{C9811FDE-6D47-4E9F-9FE9-E869387E8D74}"/>
            </a:ext>
          </a:extLst>
        </xdr:cNvPr>
        <xdr:cNvSpPr>
          <a:spLocks noChangeAspect="1" noChangeArrowheads="1"/>
        </xdr:cNvSpPr>
      </xdr:nvSpPr>
      <xdr:spPr bwMode="auto">
        <a:xfrm>
          <a:off x="7531100" y="154463750"/>
          <a:ext cx="190500" cy="266700"/>
        </a:xfrm>
        <a:prstGeom prst="rect">
          <a:avLst/>
        </a:prstGeom>
        <a:noFill/>
      </xdr:spPr>
    </xdr:sp>
    <xdr:clientData/>
  </xdr:oneCellAnchor>
  <xdr:oneCellAnchor>
    <xdr:from>
      <xdr:col>4</xdr:col>
      <xdr:colOff>1657350</xdr:colOff>
      <xdr:row>794</xdr:row>
      <xdr:rowOff>0</xdr:rowOff>
    </xdr:from>
    <xdr:ext cx="190500" cy="266700"/>
    <xdr:sp macro="" textlink="">
      <xdr:nvSpPr>
        <xdr:cNvPr id="7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5FC2A58-5BBB-4B38-AFB9-D3B36CCB8501}"/>
            </a:ext>
            <a:ext uri="{147F2762-F138-4A5C-976F-8EAC2B608ADB}">
              <a16:predDERef xmlns:a16="http://schemas.microsoft.com/office/drawing/2014/main" pred="{0BD52A11-E54B-4C9F-9DDE-07931DEEF99E}"/>
            </a:ext>
          </a:extLst>
        </xdr:cNvPr>
        <xdr:cNvSpPr>
          <a:spLocks noChangeAspect="1" noChangeArrowheads="1"/>
        </xdr:cNvSpPr>
      </xdr:nvSpPr>
      <xdr:spPr bwMode="auto">
        <a:xfrm>
          <a:off x="7531100" y="154832050"/>
          <a:ext cx="190500" cy="266700"/>
        </a:xfrm>
        <a:prstGeom prst="rect">
          <a:avLst/>
        </a:prstGeom>
        <a:noFill/>
      </xdr:spPr>
    </xdr:sp>
    <xdr:clientData/>
  </xdr:oneCellAnchor>
  <xdr:oneCellAnchor>
    <xdr:from>
      <xdr:col>4</xdr:col>
      <xdr:colOff>1657350</xdr:colOff>
      <xdr:row>794</xdr:row>
      <xdr:rowOff>0</xdr:rowOff>
    </xdr:from>
    <xdr:ext cx="190500" cy="266700"/>
    <xdr:sp macro="" textlink="">
      <xdr:nvSpPr>
        <xdr:cNvPr id="7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A76DBBB-51FD-4D67-B3A0-3C03D9BB4E4A}"/>
            </a:ext>
            <a:ext uri="{147F2762-F138-4A5C-976F-8EAC2B608ADB}">
              <a16:predDERef xmlns:a16="http://schemas.microsoft.com/office/drawing/2014/main" pred="{855144BF-0ABE-41E0-B77F-4A9EF23D960A}"/>
            </a:ext>
          </a:extLst>
        </xdr:cNvPr>
        <xdr:cNvSpPr>
          <a:spLocks noChangeAspect="1" noChangeArrowheads="1"/>
        </xdr:cNvSpPr>
      </xdr:nvSpPr>
      <xdr:spPr bwMode="auto">
        <a:xfrm>
          <a:off x="7531100" y="154832050"/>
          <a:ext cx="190500" cy="266700"/>
        </a:xfrm>
        <a:prstGeom prst="rect">
          <a:avLst/>
        </a:prstGeom>
        <a:noFill/>
      </xdr:spPr>
    </xdr:sp>
    <xdr:clientData/>
  </xdr:oneCellAnchor>
  <xdr:oneCellAnchor>
    <xdr:from>
      <xdr:col>4</xdr:col>
      <xdr:colOff>1657350</xdr:colOff>
      <xdr:row>796</xdr:row>
      <xdr:rowOff>0</xdr:rowOff>
    </xdr:from>
    <xdr:ext cx="190500" cy="266700"/>
    <xdr:sp macro="" textlink="">
      <xdr:nvSpPr>
        <xdr:cNvPr id="7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82DD946-92A7-4C21-8369-0B2C6BEE2E72}"/>
            </a:ext>
            <a:ext uri="{147F2762-F138-4A5C-976F-8EAC2B608ADB}">
              <a16:predDERef xmlns:a16="http://schemas.microsoft.com/office/drawing/2014/main" pred="{BBB7C659-A187-4905-8D52-9811B8AF6791}"/>
            </a:ext>
          </a:extLst>
        </xdr:cNvPr>
        <xdr:cNvSpPr>
          <a:spLocks noChangeAspect="1" noChangeArrowheads="1"/>
        </xdr:cNvSpPr>
      </xdr:nvSpPr>
      <xdr:spPr bwMode="auto">
        <a:xfrm>
          <a:off x="7531100" y="155200350"/>
          <a:ext cx="190500" cy="266700"/>
        </a:xfrm>
        <a:prstGeom prst="rect">
          <a:avLst/>
        </a:prstGeom>
        <a:noFill/>
      </xdr:spPr>
    </xdr:sp>
    <xdr:clientData/>
  </xdr:oneCellAnchor>
  <xdr:oneCellAnchor>
    <xdr:from>
      <xdr:col>4</xdr:col>
      <xdr:colOff>1657350</xdr:colOff>
      <xdr:row>796</xdr:row>
      <xdr:rowOff>0</xdr:rowOff>
    </xdr:from>
    <xdr:ext cx="190500" cy="266700"/>
    <xdr:sp macro="" textlink="">
      <xdr:nvSpPr>
        <xdr:cNvPr id="7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2AA7586-10D1-41DC-9E15-F68946F703B7}"/>
            </a:ext>
            <a:ext uri="{147F2762-F138-4A5C-976F-8EAC2B608ADB}">
              <a16:predDERef xmlns:a16="http://schemas.microsoft.com/office/drawing/2014/main" pred="{00AD502E-7053-498D-AAAD-2A307E9FA9E2}"/>
            </a:ext>
          </a:extLst>
        </xdr:cNvPr>
        <xdr:cNvSpPr>
          <a:spLocks noChangeAspect="1" noChangeArrowheads="1"/>
        </xdr:cNvSpPr>
      </xdr:nvSpPr>
      <xdr:spPr bwMode="auto">
        <a:xfrm>
          <a:off x="7531100" y="155200350"/>
          <a:ext cx="190500" cy="266700"/>
        </a:xfrm>
        <a:prstGeom prst="rect">
          <a:avLst/>
        </a:prstGeom>
        <a:noFill/>
      </xdr:spPr>
    </xdr:sp>
    <xdr:clientData/>
  </xdr:oneCellAnchor>
  <xdr:oneCellAnchor>
    <xdr:from>
      <xdr:col>4</xdr:col>
      <xdr:colOff>1657350</xdr:colOff>
      <xdr:row>798</xdr:row>
      <xdr:rowOff>0</xdr:rowOff>
    </xdr:from>
    <xdr:ext cx="190500" cy="266700"/>
    <xdr:sp macro="" textlink="">
      <xdr:nvSpPr>
        <xdr:cNvPr id="8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A796329-60F8-4431-8B8C-27395AFB071E}"/>
            </a:ext>
            <a:ext uri="{147F2762-F138-4A5C-976F-8EAC2B608ADB}">
              <a16:predDERef xmlns:a16="http://schemas.microsoft.com/office/drawing/2014/main" pred="{7B02D67E-CA62-4319-BD8F-6263EDDC243E}"/>
            </a:ext>
          </a:extLst>
        </xdr:cNvPr>
        <xdr:cNvSpPr>
          <a:spLocks noChangeAspect="1" noChangeArrowheads="1"/>
        </xdr:cNvSpPr>
      </xdr:nvSpPr>
      <xdr:spPr bwMode="auto">
        <a:xfrm>
          <a:off x="7531100" y="155568650"/>
          <a:ext cx="190500" cy="266700"/>
        </a:xfrm>
        <a:prstGeom prst="rect">
          <a:avLst/>
        </a:prstGeom>
        <a:noFill/>
      </xdr:spPr>
    </xdr:sp>
    <xdr:clientData/>
  </xdr:oneCellAnchor>
  <xdr:oneCellAnchor>
    <xdr:from>
      <xdr:col>4</xdr:col>
      <xdr:colOff>1657350</xdr:colOff>
      <xdr:row>798</xdr:row>
      <xdr:rowOff>0</xdr:rowOff>
    </xdr:from>
    <xdr:ext cx="190500" cy="266700"/>
    <xdr:sp macro="" textlink="">
      <xdr:nvSpPr>
        <xdr:cNvPr id="8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A8BFC0A-007C-4666-9FB4-AADF7C5E7158}"/>
            </a:ext>
            <a:ext uri="{147F2762-F138-4A5C-976F-8EAC2B608ADB}">
              <a16:predDERef xmlns:a16="http://schemas.microsoft.com/office/drawing/2014/main" pred="{15CDEBA0-9E84-44DF-8ED1-FDD97CE24337}"/>
            </a:ext>
          </a:extLst>
        </xdr:cNvPr>
        <xdr:cNvSpPr>
          <a:spLocks noChangeAspect="1" noChangeArrowheads="1"/>
        </xdr:cNvSpPr>
      </xdr:nvSpPr>
      <xdr:spPr bwMode="auto">
        <a:xfrm>
          <a:off x="7531100" y="155568650"/>
          <a:ext cx="190500" cy="266700"/>
        </a:xfrm>
        <a:prstGeom prst="rect">
          <a:avLst/>
        </a:prstGeom>
        <a:noFill/>
      </xdr:spPr>
    </xdr:sp>
    <xdr:clientData/>
  </xdr:oneCellAnchor>
  <xdr:oneCellAnchor>
    <xdr:from>
      <xdr:col>4</xdr:col>
      <xdr:colOff>1657350</xdr:colOff>
      <xdr:row>800</xdr:row>
      <xdr:rowOff>0</xdr:rowOff>
    </xdr:from>
    <xdr:ext cx="190500" cy="266700"/>
    <xdr:sp macro="" textlink="">
      <xdr:nvSpPr>
        <xdr:cNvPr id="8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9802878-12F8-45FF-8739-427B762B8EB9}"/>
            </a:ext>
            <a:ext uri="{147F2762-F138-4A5C-976F-8EAC2B608ADB}">
              <a16:predDERef xmlns:a16="http://schemas.microsoft.com/office/drawing/2014/main" pred="{A10C9F00-94F6-4A5D-808D-19005243D8A1}"/>
            </a:ext>
          </a:extLst>
        </xdr:cNvPr>
        <xdr:cNvSpPr>
          <a:spLocks noChangeAspect="1" noChangeArrowheads="1"/>
        </xdr:cNvSpPr>
      </xdr:nvSpPr>
      <xdr:spPr bwMode="auto">
        <a:xfrm>
          <a:off x="7531100" y="155936950"/>
          <a:ext cx="190500" cy="266700"/>
        </a:xfrm>
        <a:prstGeom prst="rect">
          <a:avLst/>
        </a:prstGeom>
        <a:noFill/>
      </xdr:spPr>
    </xdr:sp>
    <xdr:clientData/>
  </xdr:oneCellAnchor>
  <xdr:oneCellAnchor>
    <xdr:from>
      <xdr:col>4</xdr:col>
      <xdr:colOff>1657350</xdr:colOff>
      <xdr:row>800</xdr:row>
      <xdr:rowOff>0</xdr:rowOff>
    </xdr:from>
    <xdr:ext cx="190500" cy="266700"/>
    <xdr:sp macro="" textlink="">
      <xdr:nvSpPr>
        <xdr:cNvPr id="8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AD3EC39-B5AD-4F41-92E6-016C15E3896C}"/>
            </a:ext>
            <a:ext uri="{147F2762-F138-4A5C-976F-8EAC2B608ADB}">
              <a16:predDERef xmlns:a16="http://schemas.microsoft.com/office/drawing/2014/main" pred="{CA1E4E26-6067-4804-B4CE-B7A942D917AF}"/>
            </a:ext>
          </a:extLst>
        </xdr:cNvPr>
        <xdr:cNvSpPr>
          <a:spLocks noChangeAspect="1" noChangeArrowheads="1"/>
        </xdr:cNvSpPr>
      </xdr:nvSpPr>
      <xdr:spPr bwMode="auto">
        <a:xfrm>
          <a:off x="7531100" y="155936950"/>
          <a:ext cx="190500" cy="266700"/>
        </a:xfrm>
        <a:prstGeom prst="rect">
          <a:avLst/>
        </a:prstGeom>
        <a:noFill/>
      </xdr:spPr>
    </xdr:sp>
    <xdr:clientData/>
  </xdr:oneCellAnchor>
  <xdr:oneCellAnchor>
    <xdr:from>
      <xdr:col>4</xdr:col>
      <xdr:colOff>1657350</xdr:colOff>
      <xdr:row>802</xdr:row>
      <xdr:rowOff>0</xdr:rowOff>
    </xdr:from>
    <xdr:ext cx="190500" cy="266700"/>
    <xdr:sp macro="" textlink="">
      <xdr:nvSpPr>
        <xdr:cNvPr id="8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A2B1305-8669-45F6-A262-8D1DC234DBFD}"/>
            </a:ext>
            <a:ext uri="{147F2762-F138-4A5C-976F-8EAC2B608ADB}">
              <a16:predDERef xmlns:a16="http://schemas.microsoft.com/office/drawing/2014/main" pred="{2A1C5985-53A1-4061-BC84-C54AB890281D}"/>
            </a:ext>
          </a:extLst>
        </xdr:cNvPr>
        <xdr:cNvSpPr>
          <a:spLocks noChangeAspect="1" noChangeArrowheads="1"/>
        </xdr:cNvSpPr>
      </xdr:nvSpPr>
      <xdr:spPr bwMode="auto">
        <a:xfrm>
          <a:off x="7531100" y="156305250"/>
          <a:ext cx="190500" cy="266700"/>
        </a:xfrm>
        <a:prstGeom prst="rect">
          <a:avLst/>
        </a:prstGeom>
        <a:noFill/>
      </xdr:spPr>
    </xdr:sp>
    <xdr:clientData/>
  </xdr:oneCellAnchor>
  <xdr:oneCellAnchor>
    <xdr:from>
      <xdr:col>4</xdr:col>
      <xdr:colOff>1657350</xdr:colOff>
      <xdr:row>802</xdr:row>
      <xdr:rowOff>0</xdr:rowOff>
    </xdr:from>
    <xdr:ext cx="190500" cy="266700"/>
    <xdr:sp macro="" textlink="">
      <xdr:nvSpPr>
        <xdr:cNvPr id="8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DA68075-D22C-42FC-A284-52EA9BFC2252}"/>
            </a:ext>
            <a:ext uri="{147F2762-F138-4A5C-976F-8EAC2B608ADB}">
              <a16:predDERef xmlns:a16="http://schemas.microsoft.com/office/drawing/2014/main" pred="{8F9E4EB7-1D0D-408F-AFC0-2F9F53E1FE2F}"/>
            </a:ext>
          </a:extLst>
        </xdr:cNvPr>
        <xdr:cNvSpPr>
          <a:spLocks noChangeAspect="1" noChangeArrowheads="1"/>
        </xdr:cNvSpPr>
      </xdr:nvSpPr>
      <xdr:spPr bwMode="auto">
        <a:xfrm>
          <a:off x="7531100" y="156305250"/>
          <a:ext cx="190500" cy="266700"/>
        </a:xfrm>
        <a:prstGeom prst="rect">
          <a:avLst/>
        </a:prstGeom>
        <a:noFill/>
      </xdr:spPr>
    </xdr:sp>
    <xdr:clientData/>
  </xdr:oneCellAnchor>
  <xdr:oneCellAnchor>
    <xdr:from>
      <xdr:col>4</xdr:col>
      <xdr:colOff>1657350</xdr:colOff>
      <xdr:row>804</xdr:row>
      <xdr:rowOff>0</xdr:rowOff>
    </xdr:from>
    <xdr:ext cx="190500" cy="266700"/>
    <xdr:sp macro="" textlink="">
      <xdr:nvSpPr>
        <xdr:cNvPr id="8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D0570D-BAA0-4019-9849-876B8F099048}"/>
            </a:ext>
            <a:ext uri="{147F2762-F138-4A5C-976F-8EAC2B608ADB}">
              <a16:predDERef xmlns:a16="http://schemas.microsoft.com/office/drawing/2014/main" pred="{876A4A88-576C-4B0E-8AB8-CF10012C2627}"/>
            </a:ext>
          </a:extLst>
        </xdr:cNvPr>
        <xdr:cNvSpPr>
          <a:spLocks noChangeAspect="1" noChangeArrowheads="1"/>
        </xdr:cNvSpPr>
      </xdr:nvSpPr>
      <xdr:spPr bwMode="auto">
        <a:xfrm>
          <a:off x="7531100" y="156673550"/>
          <a:ext cx="190500" cy="266700"/>
        </a:xfrm>
        <a:prstGeom prst="rect">
          <a:avLst/>
        </a:prstGeom>
        <a:noFill/>
      </xdr:spPr>
    </xdr:sp>
    <xdr:clientData/>
  </xdr:oneCellAnchor>
  <xdr:oneCellAnchor>
    <xdr:from>
      <xdr:col>4</xdr:col>
      <xdr:colOff>1657350</xdr:colOff>
      <xdr:row>804</xdr:row>
      <xdr:rowOff>0</xdr:rowOff>
    </xdr:from>
    <xdr:ext cx="190500" cy="266700"/>
    <xdr:sp macro="" textlink="">
      <xdr:nvSpPr>
        <xdr:cNvPr id="8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E8E742-833D-4384-8085-5921B084BCCD}"/>
            </a:ext>
            <a:ext uri="{147F2762-F138-4A5C-976F-8EAC2B608ADB}">
              <a16:predDERef xmlns:a16="http://schemas.microsoft.com/office/drawing/2014/main" pred="{71C9F1FF-00B3-40A8-8387-1AC3CDB035A7}"/>
            </a:ext>
          </a:extLst>
        </xdr:cNvPr>
        <xdr:cNvSpPr>
          <a:spLocks noChangeAspect="1" noChangeArrowheads="1"/>
        </xdr:cNvSpPr>
      </xdr:nvSpPr>
      <xdr:spPr bwMode="auto">
        <a:xfrm>
          <a:off x="7531100" y="156673550"/>
          <a:ext cx="190500" cy="266700"/>
        </a:xfrm>
        <a:prstGeom prst="rect">
          <a:avLst/>
        </a:prstGeom>
        <a:noFill/>
      </xdr:spPr>
    </xdr:sp>
    <xdr:clientData/>
  </xdr:oneCellAnchor>
  <xdr:oneCellAnchor>
    <xdr:from>
      <xdr:col>4</xdr:col>
      <xdr:colOff>1657350</xdr:colOff>
      <xdr:row>806</xdr:row>
      <xdr:rowOff>0</xdr:rowOff>
    </xdr:from>
    <xdr:ext cx="190500" cy="266700"/>
    <xdr:sp macro="" textlink="">
      <xdr:nvSpPr>
        <xdr:cNvPr id="8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FE7C6E3-2D95-4C0E-A5A3-6EBF8F1BCFA6}"/>
            </a:ext>
            <a:ext uri="{147F2762-F138-4A5C-976F-8EAC2B608ADB}">
              <a16:predDERef xmlns:a16="http://schemas.microsoft.com/office/drawing/2014/main" pred="{A8D63126-5BC3-4390-9730-D6E14EFCA931}"/>
            </a:ext>
          </a:extLst>
        </xdr:cNvPr>
        <xdr:cNvSpPr>
          <a:spLocks noChangeAspect="1" noChangeArrowheads="1"/>
        </xdr:cNvSpPr>
      </xdr:nvSpPr>
      <xdr:spPr bwMode="auto">
        <a:xfrm>
          <a:off x="7531100" y="157041850"/>
          <a:ext cx="190500" cy="266700"/>
        </a:xfrm>
        <a:prstGeom prst="rect">
          <a:avLst/>
        </a:prstGeom>
        <a:noFill/>
      </xdr:spPr>
    </xdr:sp>
    <xdr:clientData/>
  </xdr:oneCellAnchor>
  <xdr:oneCellAnchor>
    <xdr:from>
      <xdr:col>4</xdr:col>
      <xdr:colOff>1657350</xdr:colOff>
      <xdr:row>806</xdr:row>
      <xdr:rowOff>0</xdr:rowOff>
    </xdr:from>
    <xdr:ext cx="190500" cy="266700"/>
    <xdr:sp macro="" textlink="">
      <xdr:nvSpPr>
        <xdr:cNvPr id="8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884AAB-C570-4E5B-AF19-84C56D1B462E}"/>
            </a:ext>
            <a:ext uri="{147F2762-F138-4A5C-976F-8EAC2B608ADB}">
              <a16:predDERef xmlns:a16="http://schemas.microsoft.com/office/drawing/2014/main" pred="{675F2D46-68DA-46AE-89A1-65D96FC42F16}"/>
            </a:ext>
          </a:extLst>
        </xdr:cNvPr>
        <xdr:cNvSpPr>
          <a:spLocks noChangeAspect="1" noChangeArrowheads="1"/>
        </xdr:cNvSpPr>
      </xdr:nvSpPr>
      <xdr:spPr bwMode="auto">
        <a:xfrm>
          <a:off x="7531100" y="157041850"/>
          <a:ext cx="190500" cy="266700"/>
        </a:xfrm>
        <a:prstGeom prst="rect">
          <a:avLst/>
        </a:prstGeom>
        <a:noFill/>
      </xdr:spPr>
    </xdr:sp>
    <xdr:clientData/>
  </xdr:oneCellAnchor>
  <xdr:oneCellAnchor>
    <xdr:from>
      <xdr:col>4</xdr:col>
      <xdr:colOff>1657350</xdr:colOff>
      <xdr:row>808</xdr:row>
      <xdr:rowOff>0</xdr:rowOff>
    </xdr:from>
    <xdr:ext cx="190500" cy="266700"/>
    <xdr:sp macro="" textlink="">
      <xdr:nvSpPr>
        <xdr:cNvPr id="8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64E4B6-2F79-42C0-82D1-756DCF1FA55E}"/>
            </a:ext>
            <a:ext uri="{147F2762-F138-4A5C-976F-8EAC2B608ADB}">
              <a16:predDERef xmlns:a16="http://schemas.microsoft.com/office/drawing/2014/main" pred="{D5079B91-55C7-4FCC-949A-1D0D85040513}"/>
            </a:ext>
          </a:extLst>
        </xdr:cNvPr>
        <xdr:cNvSpPr>
          <a:spLocks noChangeAspect="1" noChangeArrowheads="1"/>
        </xdr:cNvSpPr>
      </xdr:nvSpPr>
      <xdr:spPr bwMode="auto">
        <a:xfrm>
          <a:off x="7531100" y="157410150"/>
          <a:ext cx="190500" cy="266700"/>
        </a:xfrm>
        <a:prstGeom prst="rect">
          <a:avLst/>
        </a:prstGeom>
        <a:noFill/>
      </xdr:spPr>
    </xdr:sp>
    <xdr:clientData/>
  </xdr:oneCellAnchor>
  <xdr:oneCellAnchor>
    <xdr:from>
      <xdr:col>4</xdr:col>
      <xdr:colOff>1657350</xdr:colOff>
      <xdr:row>808</xdr:row>
      <xdr:rowOff>0</xdr:rowOff>
    </xdr:from>
    <xdr:ext cx="190500" cy="266700"/>
    <xdr:sp macro="" textlink="">
      <xdr:nvSpPr>
        <xdr:cNvPr id="8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79F6879-69FA-4DA0-A85B-D8DF3DD5E68E}"/>
            </a:ext>
            <a:ext uri="{147F2762-F138-4A5C-976F-8EAC2B608ADB}">
              <a16:predDERef xmlns:a16="http://schemas.microsoft.com/office/drawing/2014/main" pred="{28C8DED2-6DAC-4573-8054-3BF9457B2094}"/>
            </a:ext>
          </a:extLst>
        </xdr:cNvPr>
        <xdr:cNvSpPr>
          <a:spLocks noChangeAspect="1" noChangeArrowheads="1"/>
        </xdr:cNvSpPr>
      </xdr:nvSpPr>
      <xdr:spPr bwMode="auto">
        <a:xfrm>
          <a:off x="7531100" y="157410150"/>
          <a:ext cx="190500" cy="266700"/>
        </a:xfrm>
        <a:prstGeom prst="rect">
          <a:avLst/>
        </a:prstGeom>
        <a:noFill/>
      </xdr:spPr>
    </xdr:sp>
    <xdr:clientData/>
  </xdr:oneCellAnchor>
  <xdr:oneCellAnchor>
    <xdr:from>
      <xdr:col>4</xdr:col>
      <xdr:colOff>1657350</xdr:colOff>
      <xdr:row>810</xdr:row>
      <xdr:rowOff>0</xdr:rowOff>
    </xdr:from>
    <xdr:ext cx="190500" cy="266700"/>
    <xdr:sp macro="" textlink="">
      <xdr:nvSpPr>
        <xdr:cNvPr id="8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3E3618E-8F65-4C2B-9E1A-8A9333EF413C}"/>
            </a:ext>
            <a:ext uri="{147F2762-F138-4A5C-976F-8EAC2B608ADB}">
              <a16:predDERef xmlns:a16="http://schemas.microsoft.com/office/drawing/2014/main" pred="{1441478D-8C64-45DA-9999-50C5C07618D7}"/>
            </a:ext>
          </a:extLst>
        </xdr:cNvPr>
        <xdr:cNvSpPr>
          <a:spLocks noChangeAspect="1" noChangeArrowheads="1"/>
        </xdr:cNvSpPr>
      </xdr:nvSpPr>
      <xdr:spPr bwMode="auto">
        <a:xfrm>
          <a:off x="7531100" y="157778450"/>
          <a:ext cx="190500" cy="266700"/>
        </a:xfrm>
        <a:prstGeom prst="rect">
          <a:avLst/>
        </a:prstGeom>
        <a:noFill/>
      </xdr:spPr>
    </xdr:sp>
    <xdr:clientData/>
  </xdr:oneCellAnchor>
  <xdr:oneCellAnchor>
    <xdr:from>
      <xdr:col>4</xdr:col>
      <xdr:colOff>1657350</xdr:colOff>
      <xdr:row>810</xdr:row>
      <xdr:rowOff>0</xdr:rowOff>
    </xdr:from>
    <xdr:ext cx="190500" cy="266700"/>
    <xdr:sp macro="" textlink="">
      <xdr:nvSpPr>
        <xdr:cNvPr id="8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6F7AA98-7175-4304-BCF9-4EBF6BB56010}"/>
            </a:ext>
            <a:ext uri="{147F2762-F138-4A5C-976F-8EAC2B608ADB}">
              <a16:predDERef xmlns:a16="http://schemas.microsoft.com/office/drawing/2014/main" pred="{1EE2E863-952A-4993-8276-E1F3177EF0E5}"/>
            </a:ext>
          </a:extLst>
        </xdr:cNvPr>
        <xdr:cNvSpPr>
          <a:spLocks noChangeAspect="1" noChangeArrowheads="1"/>
        </xdr:cNvSpPr>
      </xdr:nvSpPr>
      <xdr:spPr bwMode="auto">
        <a:xfrm>
          <a:off x="7531100" y="157778450"/>
          <a:ext cx="190500" cy="266700"/>
        </a:xfrm>
        <a:prstGeom prst="rect">
          <a:avLst/>
        </a:prstGeom>
        <a:noFill/>
      </xdr:spPr>
    </xdr:sp>
    <xdr:clientData/>
  </xdr:oneCellAnchor>
  <xdr:oneCellAnchor>
    <xdr:from>
      <xdr:col>4</xdr:col>
      <xdr:colOff>1657350</xdr:colOff>
      <xdr:row>812</xdr:row>
      <xdr:rowOff>0</xdr:rowOff>
    </xdr:from>
    <xdr:ext cx="190500" cy="266700"/>
    <xdr:sp macro="" textlink="">
      <xdr:nvSpPr>
        <xdr:cNvPr id="8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3EDEF58-D74C-4659-BB41-6EEFE67058D3}"/>
            </a:ext>
            <a:ext uri="{147F2762-F138-4A5C-976F-8EAC2B608ADB}">
              <a16:predDERef xmlns:a16="http://schemas.microsoft.com/office/drawing/2014/main" pred="{A29C371F-801A-4007-A38F-A343B0971714}"/>
            </a:ext>
          </a:extLst>
        </xdr:cNvPr>
        <xdr:cNvSpPr>
          <a:spLocks noChangeAspect="1" noChangeArrowheads="1"/>
        </xdr:cNvSpPr>
      </xdr:nvSpPr>
      <xdr:spPr bwMode="auto">
        <a:xfrm>
          <a:off x="7531100" y="158146750"/>
          <a:ext cx="190500" cy="266700"/>
        </a:xfrm>
        <a:prstGeom prst="rect">
          <a:avLst/>
        </a:prstGeom>
        <a:noFill/>
      </xdr:spPr>
    </xdr:sp>
    <xdr:clientData/>
  </xdr:oneCellAnchor>
  <xdr:oneCellAnchor>
    <xdr:from>
      <xdr:col>4</xdr:col>
      <xdr:colOff>1657350</xdr:colOff>
      <xdr:row>812</xdr:row>
      <xdr:rowOff>0</xdr:rowOff>
    </xdr:from>
    <xdr:ext cx="190500" cy="266700"/>
    <xdr:sp macro="" textlink="">
      <xdr:nvSpPr>
        <xdr:cNvPr id="8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4A46190-412C-4AB6-9538-D4B7FA8EE55F}"/>
            </a:ext>
            <a:ext uri="{147F2762-F138-4A5C-976F-8EAC2B608ADB}">
              <a16:predDERef xmlns:a16="http://schemas.microsoft.com/office/drawing/2014/main" pred="{B48A3678-FD35-4C13-9347-89552BB9A775}"/>
            </a:ext>
          </a:extLst>
        </xdr:cNvPr>
        <xdr:cNvSpPr>
          <a:spLocks noChangeAspect="1" noChangeArrowheads="1"/>
        </xdr:cNvSpPr>
      </xdr:nvSpPr>
      <xdr:spPr bwMode="auto">
        <a:xfrm>
          <a:off x="7531100" y="158146750"/>
          <a:ext cx="190500" cy="266700"/>
        </a:xfrm>
        <a:prstGeom prst="rect">
          <a:avLst/>
        </a:prstGeom>
        <a:noFill/>
      </xdr:spPr>
    </xdr:sp>
    <xdr:clientData/>
  </xdr:oneCellAnchor>
  <xdr:oneCellAnchor>
    <xdr:from>
      <xdr:col>4</xdr:col>
      <xdr:colOff>1657350</xdr:colOff>
      <xdr:row>814</xdr:row>
      <xdr:rowOff>0</xdr:rowOff>
    </xdr:from>
    <xdr:ext cx="190500" cy="266700"/>
    <xdr:sp macro="" textlink="">
      <xdr:nvSpPr>
        <xdr:cNvPr id="8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BE83226-2BF8-47BE-97BB-D130F7B77F3C}"/>
            </a:ext>
            <a:ext uri="{147F2762-F138-4A5C-976F-8EAC2B608ADB}">
              <a16:predDERef xmlns:a16="http://schemas.microsoft.com/office/drawing/2014/main" pred="{8FC39636-DC7B-47CE-991E-A29D2A3552E8}"/>
            </a:ext>
          </a:extLst>
        </xdr:cNvPr>
        <xdr:cNvSpPr>
          <a:spLocks noChangeAspect="1" noChangeArrowheads="1"/>
        </xdr:cNvSpPr>
      </xdr:nvSpPr>
      <xdr:spPr bwMode="auto">
        <a:xfrm>
          <a:off x="7531100" y="158515050"/>
          <a:ext cx="190500" cy="266700"/>
        </a:xfrm>
        <a:prstGeom prst="rect">
          <a:avLst/>
        </a:prstGeom>
        <a:noFill/>
      </xdr:spPr>
    </xdr:sp>
    <xdr:clientData/>
  </xdr:oneCellAnchor>
  <xdr:oneCellAnchor>
    <xdr:from>
      <xdr:col>4</xdr:col>
      <xdr:colOff>1657350</xdr:colOff>
      <xdr:row>814</xdr:row>
      <xdr:rowOff>0</xdr:rowOff>
    </xdr:from>
    <xdr:ext cx="190500" cy="266700"/>
    <xdr:sp macro="" textlink="">
      <xdr:nvSpPr>
        <xdr:cNvPr id="8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93E4155-9FA9-42A9-8047-EE9B6B28EC09}"/>
            </a:ext>
            <a:ext uri="{147F2762-F138-4A5C-976F-8EAC2B608ADB}">
              <a16:predDERef xmlns:a16="http://schemas.microsoft.com/office/drawing/2014/main" pred="{D28A7280-0FF9-4D27-9BB8-53CF1BE66F5F}"/>
            </a:ext>
          </a:extLst>
        </xdr:cNvPr>
        <xdr:cNvSpPr>
          <a:spLocks noChangeAspect="1" noChangeArrowheads="1"/>
        </xdr:cNvSpPr>
      </xdr:nvSpPr>
      <xdr:spPr bwMode="auto">
        <a:xfrm>
          <a:off x="7531100" y="158515050"/>
          <a:ext cx="190500" cy="266700"/>
        </a:xfrm>
        <a:prstGeom prst="rect">
          <a:avLst/>
        </a:prstGeom>
        <a:noFill/>
      </xdr:spPr>
    </xdr:sp>
    <xdr:clientData/>
  </xdr:oneCellAnchor>
  <xdr:oneCellAnchor>
    <xdr:from>
      <xdr:col>4</xdr:col>
      <xdr:colOff>1657350</xdr:colOff>
      <xdr:row>816</xdr:row>
      <xdr:rowOff>0</xdr:rowOff>
    </xdr:from>
    <xdr:ext cx="190500" cy="266700"/>
    <xdr:sp macro="" textlink="">
      <xdr:nvSpPr>
        <xdr:cNvPr id="8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BAB0947-66BF-474A-A05D-9707B9DB163D}"/>
            </a:ext>
            <a:ext uri="{147F2762-F138-4A5C-976F-8EAC2B608ADB}">
              <a16:predDERef xmlns:a16="http://schemas.microsoft.com/office/drawing/2014/main" pred="{DC8F0BBC-7F63-46BC-BC7F-C7A2B573731D}"/>
            </a:ext>
          </a:extLst>
        </xdr:cNvPr>
        <xdr:cNvSpPr>
          <a:spLocks noChangeAspect="1" noChangeArrowheads="1"/>
        </xdr:cNvSpPr>
      </xdr:nvSpPr>
      <xdr:spPr bwMode="auto">
        <a:xfrm>
          <a:off x="7531100" y="158883350"/>
          <a:ext cx="190500" cy="266700"/>
        </a:xfrm>
        <a:prstGeom prst="rect">
          <a:avLst/>
        </a:prstGeom>
        <a:noFill/>
      </xdr:spPr>
    </xdr:sp>
    <xdr:clientData/>
  </xdr:oneCellAnchor>
  <xdr:oneCellAnchor>
    <xdr:from>
      <xdr:col>4</xdr:col>
      <xdr:colOff>1657350</xdr:colOff>
      <xdr:row>816</xdr:row>
      <xdr:rowOff>0</xdr:rowOff>
    </xdr:from>
    <xdr:ext cx="190500" cy="266700"/>
    <xdr:sp macro="" textlink="">
      <xdr:nvSpPr>
        <xdr:cNvPr id="8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EDBC84D-D299-45A6-ABC0-D9F755D2CB4D}"/>
            </a:ext>
            <a:ext uri="{147F2762-F138-4A5C-976F-8EAC2B608ADB}">
              <a16:predDERef xmlns:a16="http://schemas.microsoft.com/office/drawing/2014/main" pred="{5F4F8208-C0DF-4A19-978D-92B5464B5F20}"/>
            </a:ext>
          </a:extLst>
        </xdr:cNvPr>
        <xdr:cNvSpPr>
          <a:spLocks noChangeAspect="1" noChangeArrowheads="1"/>
        </xdr:cNvSpPr>
      </xdr:nvSpPr>
      <xdr:spPr bwMode="auto">
        <a:xfrm>
          <a:off x="7531100" y="158883350"/>
          <a:ext cx="190500" cy="266700"/>
        </a:xfrm>
        <a:prstGeom prst="rect">
          <a:avLst/>
        </a:prstGeom>
        <a:noFill/>
      </xdr:spPr>
    </xdr:sp>
    <xdr:clientData/>
  </xdr:oneCellAnchor>
  <xdr:oneCellAnchor>
    <xdr:from>
      <xdr:col>4</xdr:col>
      <xdr:colOff>1657350</xdr:colOff>
      <xdr:row>818</xdr:row>
      <xdr:rowOff>0</xdr:rowOff>
    </xdr:from>
    <xdr:ext cx="190500" cy="266700"/>
    <xdr:sp macro="" textlink="">
      <xdr:nvSpPr>
        <xdr:cNvPr id="8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E11AD8E-DCDB-4A5B-8021-04FB87B22ACF}"/>
            </a:ext>
            <a:ext uri="{147F2762-F138-4A5C-976F-8EAC2B608ADB}">
              <a16:predDERef xmlns:a16="http://schemas.microsoft.com/office/drawing/2014/main" pred="{EB6D077B-1EDC-4BB3-8D62-577C6936BEAE}"/>
            </a:ext>
          </a:extLst>
        </xdr:cNvPr>
        <xdr:cNvSpPr>
          <a:spLocks noChangeAspect="1" noChangeArrowheads="1"/>
        </xdr:cNvSpPr>
      </xdr:nvSpPr>
      <xdr:spPr bwMode="auto">
        <a:xfrm>
          <a:off x="7531100" y="159251650"/>
          <a:ext cx="190500" cy="266700"/>
        </a:xfrm>
        <a:prstGeom prst="rect">
          <a:avLst/>
        </a:prstGeom>
        <a:noFill/>
      </xdr:spPr>
    </xdr:sp>
    <xdr:clientData/>
  </xdr:oneCellAnchor>
  <xdr:oneCellAnchor>
    <xdr:from>
      <xdr:col>4</xdr:col>
      <xdr:colOff>1657350</xdr:colOff>
      <xdr:row>818</xdr:row>
      <xdr:rowOff>0</xdr:rowOff>
    </xdr:from>
    <xdr:ext cx="190500" cy="266700"/>
    <xdr:sp macro="" textlink="">
      <xdr:nvSpPr>
        <xdr:cNvPr id="8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C7935F7-575D-4535-9E66-1B752F11CD96}"/>
            </a:ext>
            <a:ext uri="{147F2762-F138-4A5C-976F-8EAC2B608ADB}">
              <a16:predDERef xmlns:a16="http://schemas.microsoft.com/office/drawing/2014/main" pred="{81811275-378D-4079-A73A-0BB52DFDE521}"/>
            </a:ext>
          </a:extLst>
        </xdr:cNvPr>
        <xdr:cNvSpPr>
          <a:spLocks noChangeAspect="1" noChangeArrowheads="1"/>
        </xdr:cNvSpPr>
      </xdr:nvSpPr>
      <xdr:spPr bwMode="auto">
        <a:xfrm>
          <a:off x="7531100" y="159251650"/>
          <a:ext cx="190500" cy="266700"/>
        </a:xfrm>
        <a:prstGeom prst="rect">
          <a:avLst/>
        </a:prstGeom>
        <a:noFill/>
      </xdr:spPr>
    </xdr:sp>
    <xdr:clientData/>
  </xdr:oneCellAnchor>
  <xdr:oneCellAnchor>
    <xdr:from>
      <xdr:col>4</xdr:col>
      <xdr:colOff>1657350</xdr:colOff>
      <xdr:row>820</xdr:row>
      <xdr:rowOff>0</xdr:rowOff>
    </xdr:from>
    <xdr:ext cx="190500" cy="266700"/>
    <xdr:sp macro="" textlink="">
      <xdr:nvSpPr>
        <xdr:cNvPr id="8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F0B6670-FF08-46F2-9083-40A72C336F37}"/>
            </a:ext>
            <a:ext uri="{147F2762-F138-4A5C-976F-8EAC2B608ADB}">
              <a16:predDERef xmlns:a16="http://schemas.microsoft.com/office/drawing/2014/main" pred="{51F1E72E-2599-452F-A88A-81D2DC0068B5}"/>
            </a:ext>
          </a:extLst>
        </xdr:cNvPr>
        <xdr:cNvSpPr>
          <a:spLocks noChangeAspect="1" noChangeArrowheads="1"/>
        </xdr:cNvSpPr>
      </xdr:nvSpPr>
      <xdr:spPr bwMode="auto">
        <a:xfrm>
          <a:off x="7531100" y="159619950"/>
          <a:ext cx="190500" cy="266700"/>
        </a:xfrm>
        <a:prstGeom prst="rect">
          <a:avLst/>
        </a:prstGeom>
        <a:noFill/>
      </xdr:spPr>
    </xdr:sp>
    <xdr:clientData/>
  </xdr:oneCellAnchor>
  <xdr:oneCellAnchor>
    <xdr:from>
      <xdr:col>4</xdr:col>
      <xdr:colOff>1657350</xdr:colOff>
      <xdr:row>820</xdr:row>
      <xdr:rowOff>0</xdr:rowOff>
    </xdr:from>
    <xdr:ext cx="190500" cy="266700"/>
    <xdr:sp macro="" textlink="">
      <xdr:nvSpPr>
        <xdr:cNvPr id="8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910150C-32CD-4BD4-8E09-DBDF2BA25A01}"/>
            </a:ext>
            <a:ext uri="{147F2762-F138-4A5C-976F-8EAC2B608ADB}">
              <a16:predDERef xmlns:a16="http://schemas.microsoft.com/office/drawing/2014/main" pred="{7AF63354-BB34-4297-BB0C-C285E2AC5D13}"/>
            </a:ext>
          </a:extLst>
        </xdr:cNvPr>
        <xdr:cNvSpPr>
          <a:spLocks noChangeAspect="1" noChangeArrowheads="1"/>
        </xdr:cNvSpPr>
      </xdr:nvSpPr>
      <xdr:spPr bwMode="auto">
        <a:xfrm>
          <a:off x="7531100" y="159619950"/>
          <a:ext cx="190500" cy="266700"/>
        </a:xfrm>
        <a:prstGeom prst="rect">
          <a:avLst/>
        </a:prstGeom>
        <a:noFill/>
      </xdr:spPr>
    </xdr:sp>
    <xdr:clientData/>
  </xdr:oneCellAnchor>
  <xdr:oneCellAnchor>
    <xdr:from>
      <xdr:col>4</xdr:col>
      <xdr:colOff>1657350</xdr:colOff>
      <xdr:row>822</xdr:row>
      <xdr:rowOff>0</xdr:rowOff>
    </xdr:from>
    <xdr:ext cx="190500" cy="266700"/>
    <xdr:sp macro="" textlink="">
      <xdr:nvSpPr>
        <xdr:cNvPr id="8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F504EDD-021C-4A14-9527-3DEADC76502F}"/>
            </a:ext>
            <a:ext uri="{147F2762-F138-4A5C-976F-8EAC2B608ADB}">
              <a16:predDERef xmlns:a16="http://schemas.microsoft.com/office/drawing/2014/main" pred="{9AE876D1-59F4-4ADE-914B-5D2D6961B9B4}"/>
            </a:ext>
          </a:extLst>
        </xdr:cNvPr>
        <xdr:cNvSpPr>
          <a:spLocks noChangeAspect="1" noChangeArrowheads="1"/>
        </xdr:cNvSpPr>
      </xdr:nvSpPr>
      <xdr:spPr bwMode="auto">
        <a:xfrm>
          <a:off x="7531100" y="159988250"/>
          <a:ext cx="190500" cy="266700"/>
        </a:xfrm>
        <a:prstGeom prst="rect">
          <a:avLst/>
        </a:prstGeom>
        <a:noFill/>
      </xdr:spPr>
    </xdr:sp>
    <xdr:clientData/>
  </xdr:oneCellAnchor>
  <xdr:oneCellAnchor>
    <xdr:from>
      <xdr:col>4</xdr:col>
      <xdr:colOff>1657350</xdr:colOff>
      <xdr:row>822</xdr:row>
      <xdr:rowOff>0</xdr:rowOff>
    </xdr:from>
    <xdr:ext cx="190500" cy="266700"/>
    <xdr:sp macro="" textlink="">
      <xdr:nvSpPr>
        <xdr:cNvPr id="8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40F6E20-9666-43D3-AA1E-06D99B8B2457}"/>
            </a:ext>
            <a:ext uri="{147F2762-F138-4A5C-976F-8EAC2B608ADB}">
              <a16:predDERef xmlns:a16="http://schemas.microsoft.com/office/drawing/2014/main" pred="{8D0F9AD8-FF0D-40D6-A5A0-17FD06AE3E76}"/>
            </a:ext>
          </a:extLst>
        </xdr:cNvPr>
        <xdr:cNvSpPr>
          <a:spLocks noChangeAspect="1" noChangeArrowheads="1"/>
        </xdr:cNvSpPr>
      </xdr:nvSpPr>
      <xdr:spPr bwMode="auto">
        <a:xfrm>
          <a:off x="7531100" y="159988250"/>
          <a:ext cx="190500" cy="266700"/>
        </a:xfrm>
        <a:prstGeom prst="rect">
          <a:avLst/>
        </a:prstGeom>
        <a:noFill/>
      </xdr:spPr>
    </xdr:sp>
    <xdr:clientData/>
  </xdr:oneCellAnchor>
  <xdr:oneCellAnchor>
    <xdr:from>
      <xdr:col>4</xdr:col>
      <xdr:colOff>1657350</xdr:colOff>
      <xdr:row>824</xdr:row>
      <xdr:rowOff>0</xdr:rowOff>
    </xdr:from>
    <xdr:ext cx="190500" cy="266700"/>
    <xdr:sp macro="" textlink="">
      <xdr:nvSpPr>
        <xdr:cNvPr id="8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26477B9-B8CE-4E23-A9CF-EF14C8F85B57}"/>
            </a:ext>
            <a:ext uri="{147F2762-F138-4A5C-976F-8EAC2B608ADB}">
              <a16:predDERef xmlns:a16="http://schemas.microsoft.com/office/drawing/2014/main" pred="{C8A2E263-E08C-4202-B918-CCC119122E3D}"/>
            </a:ext>
          </a:extLst>
        </xdr:cNvPr>
        <xdr:cNvSpPr>
          <a:spLocks noChangeAspect="1" noChangeArrowheads="1"/>
        </xdr:cNvSpPr>
      </xdr:nvSpPr>
      <xdr:spPr bwMode="auto">
        <a:xfrm>
          <a:off x="7531100" y="160648650"/>
          <a:ext cx="190500" cy="266700"/>
        </a:xfrm>
        <a:prstGeom prst="rect">
          <a:avLst/>
        </a:prstGeom>
        <a:noFill/>
      </xdr:spPr>
    </xdr:sp>
    <xdr:clientData/>
  </xdr:oneCellAnchor>
  <xdr:oneCellAnchor>
    <xdr:from>
      <xdr:col>4</xdr:col>
      <xdr:colOff>1657350</xdr:colOff>
      <xdr:row>824</xdr:row>
      <xdr:rowOff>0</xdr:rowOff>
    </xdr:from>
    <xdr:ext cx="190500" cy="266700"/>
    <xdr:sp macro="" textlink="">
      <xdr:nvSpPr>
        <xdr:cNvPr id="8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4252A8-0889-49CC-99F0-580D80CFB43F}"/>
            </a:ext>
            <a:ext uri="{147F2762-F138-4A5C-976F-8EAC2B608ADB}">
              <a16:predDERef xmlns:a16="http://schemas.microsoft.com/office/drawing/2014/main" pred="{8BDAB1D6-0A50-404A-91C6-FC31030E75D0}"/>
            </a:ext>
          </a:extLst>
        </xdr:cNvPr>
        <xdr:cNvSpPr>
          <a:spLocks noChangeAspect="1" noChangeArrowheads="1"/>
        </xdr:cNvSpPr>
      </xdr:nvSpPr>
      <xdr:spPr bwMode="auto">
        <a:xfrm>
          <a:off x="7531100" y="160648650"/>
          <a:ext cx="190500" cy="266700"/>
        </a:xfrm>
        <a:prstGeom prst="rect">
          <a:avLst/>
        </a:prstGeom>
        <a:noFill/>
      </xdr:spPr>
    </xdr:sp>
    <xdr:clientData/>
  </xdr:oneCellAnchor>
  <xdr:oneCellAnchor>
    <xdr:from>
      <xdr:col>4</xdr:col>
      <xdr:colOff>1657350</xdr:colOff>
      <xdr:row>826</xdr:row>
      <xdr:rowOff>0</xdr:rowOff>
    </xdr:from>
    <xdr:ext cx="190500" cy="266700"/>
    <xdr:sp macro="" textlink="">
      <xdr:nvSpPr>
        <xdr:cNvPr id="8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D19ACE7-FBB3-44EE-B409-047DFA514179}"/>
            </a:ext>
            <a:ext uri="{147F2762-F138-4A5C-976F-8EAC2B608ADB}">
              <a16:predDERef xmlns:a16="http://schemas.microsoft.com/office/drawing/2014/main" pred="{AF55A890-D1C6-4FB5-8580-A67DEAE9AAAE}"/>
            </a:ext>
          </a:extLst>
        </xdr:cNvPr>
        <xdr:cNvSpPr>
          <a:spLocks noChangeAspect="1" noChangeArrowheads="1"/>
        </xdr:cNvSpPr>
      </xdr:nvSpPr>
      <xdr:spPr bwMode="auto">
        <a:xfrm>
          <a:off x="7531100" y="161163000"/>
          <a:ext cx="190500" cy="266700"/>
        </a:xfrm>
        <a:prstGeom prst="rect">
          <a:avLst/>
        </a:prstGeom>
        <a:noFill/>
      </xdr:spPr>
    </xdr:sp>
    <xdr:clientData/>
  </xdr:oneCellAnchor>
  <xdr:oneCellAnchor>
    <xdr:from>
      <xdr:col>4</xdr:col>
      <xdr:colOff>1657350</xdr:colOff>
      <xdr:row>826</xdr:row>
      <xdr:rowOff>0</xdr:rowOff>
    </xdr:from>
    <xdr:ext cx="190500" cy="266700"/>
    <xdr:sp macro="" textlink="">
      <xdr:nvSpPr>
        <xdr:cNvPr id="8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6C1AC6-BF13-406A-907A-8B77ABDE271B}"/>
            </a:ext>
            <a:ext uri="{147F2762-F138-4A5C-976F-8EAC2B608ADB}">
              <a16:predDERef xmlns:a16="http://schemas.microsoft.com/office/drawing/2014/main" pred="{616F2BA4-6BC0-4D95-B8E7-3D26E0631A00}"/>
            </a:ext>
          </a:extLst>
        </xdr:cNvPr>
        <xdr:cNvSpPr>
          <a:spLocks noChangeAspect="1" noChangeArrowheads="1"/>
        </xdr:cNvSpPr>
      </xdr:nvSpPr>
      <xdr:spPr bwMode="auto">
        <a:xfrm>
          <a:off x="7531100" y="161163000"/>
          <a:ext cx="190500" cy="266700"/>
        </a:xfrm>
        <a:prstGeom prst="rect">
          <a:avLst/>
        </a:prstGeom>
        <a:noFill/>
      </xdr:spPr>
    </xdr:sp>
    <xdr:clientData/>
  </xdr:oneCellAnchor>
  <xdr:oneCellAnchor>
    <xdr:from>
      <xdr:col>4</xdr:col>
      <xdr:colOff>1657350</xdr:colOff>
      <xdr:row>828</xdr:row>
      <xdr:rowOff>0</xdr:rowOff>
    </xdr:from>
    <xdr:ext cx="190500" cy="266700"/>
    <xdr:sp macro="" textlink="">
      <xdr:nvSpPr>
        <xdr:cNvPr id="8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D98342B-6201-4CCC-934A-EC8415A3D1B2}"/>
            </a:ext>
            <a:ext uri="{147F2762-F138-4A5C-976F-8EAC2B608ADB}">
              <a16:predDERef xmlns:a16="http://schemas.microsoft.com/office/drawing/2014/main" pred="{9F14A81D-D995-4912-94D5-384800DA5426}"/>
            </a:ext>
          </a:extLst>
        </xdr:cNvPr>
        <xdr:cNvSpPr>
          <a:spLocks noChangeAspect="1" noChangeArrowheads="1"/>
        </xdr:cNvSpPr>
      </xdr:nvSpPr>
      <xdr:spPr bwMode="auto">
        <a:xfrm>
          <a:off x="7531100" y="161531300"/>
          <a:ext cx="190500" cy="266700"/>
        </a:xfrm>
        <a:prstGeom prst="rect">
          <a:avLst/>
        </a:prstGeom>
        <a:noFill/>
      </xdr:spPr>
    </xdr:sp>
    <xdr:clientData/>
  </xdr:oneCellAnchor>
  <xdr:oneCellAnchor>
    <xdr:from>
      <xdr:col>4</xdr:col>
      <xdr:colOff>1657350</xdr:colOff>
      <xdr:row>828</xdr:row>
      <xdr:rowOff>0</xdr:rowOff>
    </xdr:from>
    <xdr:ext cx="190500" cy="266700"/>
    <xdr:sp macro="" textlink="">
      <xdr:nvSpPr>
        <xdr:cNvPr id="8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C1E8248-1C2A-4105-B48A-8547F11E5D73}"/>
            </a:ext>
            <a:ext uri="{147F2762-F138-4A5C-976F-8EAC2B608ADB}">
              <a16:predDERef xmlns:a16="http://schemas.microsoft.com/office/drawing/2014/main" pred="{4E3E5713-1CA3-4E97-9D77-E4EEE5332CB5}"/>
            </a:ext>
          </a:extLst>
        </xdr:cNvPr>
        <xdr:cNvSpPr>
          <a:spLocks noChangeAspect="1" noChangeArrowheads="1"/>
        </xdr:cNvSpPr>
      </xdr:nvSpPr>
      <xdr:spPr bwMode="auto">
        <a:xfrm>
          <a:off x="7531100" y="161531300"/>
          <a:ext cx="190500" cy="266700"/>
        </a:xfrm>
        <a:prstGeom prst="rect">
          <a:avLst/>
        </a:prstGeom>
        <a:noFill/>
      </xdr:spPr>
    </xdr:sp>
    <xdr:clientData/>
  </xdr:oneCellAnchor>
  <xdr:oneCellAnchor>
    <xdr:from>
      <xdr:col>4</xdr:col>
      <xdr:colOff>1657350</xdr:colOff>
      <xdr:row>830</xdr:row>
      <xdr:rowOff>0</xdr:rowOff>
    </xdr:from>
    <xdr:ext cx="190500" cy="266700"/>
    <xdr:sp macro="" textlink="">
      <xdr:nvSpPr>
        <xdr:cNvPr id="8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DADA642-826D-4737-A8A8-98EAB34EC193}"/>
            </a:ext>
            <a:ext uri="{147F2762-F138-4A5C-976F-8EAC2B608ADB}">
              <a16:predDERef xmlns:a16="http://schemas.microsoft.com/office/drawing/2014/main" pred="{DBC89BA9-12B3-4674-A5DC-56627052FF86}"/>
            </a:ext>
          </a:extLst>
        </xdr:cNvPr>
        <xdr:cNvSpPr>
          <a:spLocks noChangeAspect="1" noChangeArrowheads="1"/>
        </xdr:cNvSpPr>
      </xdr:nvSpPr>
      <xdr:spPr bwMode="auto">
        <a:xfrm>
          <a:off x="7531100" y="161899600"/>
          <a:ext cx="190500" cy="266700"/>
        </a:xfrm>
        <a:prstGeom prst="rect">
          <a:avLst/>
        </a:prstGeom>
        <a:noFill/>
      </xdr:spPr>
    </xdr:sp>
    <xdr:clientData/>
  </xdr:oneCellAnchor>
  <xdr:oneCellAnchor>
    <xdr:from>
      <xdr:col>4</xdr:col>
      <xdr:colOff>1657350</xdr:colOff>
      <xdr:row>830</xdr:row>
      <xdr:rowOff>0</xdr:rowOff>
    </xdr:from>
    <xdr:ext cx="190500" cy="266700"/>
    <xdr:sp macro="" textlink="">
      <xdr:nvSpPr>
        <xdr:cNvPr id="8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4D57DC8-6F80-46B7-847C-837D685FB11C}"/>
            </a:ext>
            <a:ext uri="{147F2762-F138-4A5C-976F-8EAC2B608ADB}">
              <a16:predDERef xmlns:a16="http://schemas.microsoft.com/office/drawing/2014/main" pred="{0D5CC2CC-9F7B-4305-B616-840CF8D0FAB7}"/>
            </a:ext>
          </a:extLst>
        </xdr:cNvPr>
        <xdr:cNvSpPr>
          <a:spLocks noChangeAspect="1" noChangeArrowheads="1"/>
        </xdr:cNvSpPr>
      </xdr:nvSpPr>
      <xdr:spPr bwMode="auto">
        <a:xfrm>
          <a:off x="7531100" y="161899600"/>
          <a:ext cx="190500" cy="266700"/>
        </a:xfrm>
        <a:prstGeom prst="rect">
          <a:avLst/>
        </a:prstGeom>
        <a:noFill/>
      </xdr:spPr>
    </xdr:sp>
    <xdr:clientData/>
  </xdr:oneCellAnchor>
  <xdr:oneCellAnchor>
    <xdr:from>
      <xdr:col>4</xdr:col>
      <xdr:colOff>1657350</xdr:colOff>
      <xdr:row>832</xdr:row>
      <xdr:rowOff>0</xdr:rowOff>
    </xdr:from>
    <xdr:ext cx="190500" cy="266700"/>
    <xdr:sp macro="" textlink="">
      <xdr:nvSpPr>
        <xdr:cNvPr id="8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5F87254-1FCF-47CF-99DC-2614D3E0EEFA}"/>
            </a:ext>
            <a:ext uri="{147F2762-F138-4A5C-976F-8EAC2B608ADB}">
              <a16:predDERef xmlns:a16="http://schemas.microsoft.com/office/drawing/2014/main" pred="{40D43770-496E-4918-8D57-4A5FA80D1BBA}"/>
            </a:ext>
          </a:extLst>
        </xdr:cNvPr>
        <xdr:cNvSpPr>
          <a:spLocks noChangeAspect="1" noChangeArrowheads="1"/>
        </xdr:cNvSpPr>
      </xdr:nvSpPr>
      <xdr:spPr bwMode="auto">
        <a:xfrm>
          <a:off x="7531100" y="162267900"/>
          <a:ext cx="190500" cy="266700"/>
        </a:xfrm>
        <a:prstGeom prst="rect">
          <a:avLst/>
        </a:prstGeom>
        <a:noFill/>
      </xdr:spPr>
    </xdr:sp>
    <xdr:clientData/>
  </xdr:oneCellAnchor>
  <xdr:oneCellAnchor>
    <xdr:from>
      <xdr:col>4</xdr:col>
      <xdr:colOff>1657350</xdr:colOff>
      <xdr:row>832</xdr:row>
      <xdr:rowOff>0</xdr:rowOff>
    </xdr:from>
    <xdr:ext cx="190500" cy="266700"/>
    <xdr:sp macro="" textlink="">
      <xdr:nvSpPr>
        <xdr:cNvPr id="8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A5A169A-FD1B-4694-BD31-F78EF71296AA}"/>
            </a:ext>
            <a:ext uri="{147F2762-F138-4A5C-976F-8EAC2B608ADB}">
              <a16:predDERef xmlns:a16="http://schemas.microsoft.com/office/drawing/2014/main" pred="{0BC3E422-25CC-45C2-8173-4889FDEB5FD7}"/>
            </a:ext>
          </a:extLst>
        </xdr:cNvPr>
        <xdr:cNvSpPr>
          <a:spLocks noChangeAspect="1" noChangeArrowheads="1"/>
        </xdr:cNvSpPr>
      </xdr:nvSpPr>
      <xdr:spPr bwMode="auto">
        <a:xfrm>
          <a:off x="7531100" y="162267900"/>
          <a:ext cx="190500" cy="266700"/>
        </a:xfrm>
        <a:prstGeom prst="rect">
          <a:avLst/>
        </a:prstGeom>
        <a:noFill/>
      </xdr:spPr>
    </xdr:sp>
    <xdr:clientData/>
  </xdr:oneCellAnchor>
  <xdr:oneCellAnchor>
    <xdr:from>
      <xdr:col>4</xdr:col>
      <xdr:colOff>1657350</xdr:colOff>
      <xdr:row>834</xdr:row>
      <xdr:rowOff>0</xdr:rowOff>
    </xdr:from>
    <xdr:ext cx="190500" cy="266700"/>
    <xdr:sp macro="" textlink="">
      <xdr:nvSpPr>
        <xdr:cNvPr id="8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D9A2B38-7DFA-409B-B6CE-FD755C3D4DF8}"/>
            </a:ext>
            <a:ext uri="{147F2762-F138-4A5C-976F-8EAC2B608ADB}">
              <a16:predDERef xmlns:a16="http://schemas.microsoft.com/office/drawing/2014/main" pred="{EC17E7A6-A795-44F9-8458-A755BE2B314E}"/>
            </a:ext>
          </a:extLst>
        </xdr:cNvPr>
        <xdr:cNvSpPr>
          <a:spLocks noChangeAspect="1" noChangeArrowheads="1"/>
        </xdr:cNvSpPr>
      </xdr:nvSpPr>
      <xdr:spPr bwMode="auto">
        <a:xfrm>
          <a:off x="7531100" y="162636200"/>
          <a:ext cx="190500" cy="266700"/>
        </a:xfrm>
        <a:prstGeom prst="rect">
          <a:avLst/>
        </a:prstGeom>
        <a:noFill/>
      </xdr:spPr>
    </xdr:sp>
    <xdr:clientData/>
  </xdr:oneCellAnchor>
  <xdr:oneCellAnchor>
    <xdr:from>
      <xdr:col>4</xdr:col>
      <xdr:colOff>1657350</xdr:colOff>
      <xdr:row>834</xdr:row>
      <xdr:rowOff>0</xdr:rowOff>
    </xdr:from>
    <xdr:ext cx="190500" cy="266700"/>
    <xdr:sp macro="" textlink="">
      <xdr:nvSpPr>
        <xdr:cNvPr id="8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06BC56C-7278-4191-BC8C-B1F501466705}"/>
            </a:ext>
            <a:ext uri="{147F2762-F138-4A5C-976F-8EAC2B608ADB}">
              <a16:predDERef xmlns:a16="http://schemas.microsoft.com/office/drawing/2014/main" pred="{0BE42930-C62B-4EC9-A3C0-C801A9AD09C7}"/>
            </a:ext>
          </a:extLst>
        </xdr:cNvPr>
        <xdr:cNvSpPr>
          <a:spLocks noChangeAspect="1" noChangeArrowheads="1"/>
        </xdr:cNvSpPr>
      </xdr:nvSpPr>
      <xdr:spPr bwMode="auto">
        <a:xfrm>
          <a:off x="7531100" y="162636200"/>
          <a:ext cx="190500" cy="266700"/>
        </a:xfrm>
        <a:prstGeom prst="rect">
          <a:avLst/>
        </a:prstGeom>
        <a:noFill/>
      </xdr:spPr>
    </xdr:sp>
    <xdr:clientData/>
  </xdr:oneCellAnchor>
  <xdr:oneCellAnchor>
    <xdr:from>
      <xdr:col>4</xdr:col>
      <xdr:colOff>1657350</xdr:colOff>
      <xdr:row>836</xdr:row>
      <xdr:rowOff>0</xdr:rowOff>
    </xdr:from>
    <xdr:ext cx="190500" cy="266700"/>
    <xdr:sp macro="" textlink="">
      <xdr:nvSpPr>
        <xdr:cNvPr id="8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61702B-520C-44C0-8FCA-8F2B504C446C}"/>
            </a:ext>
            <a:ext uri="{147F2762-F138-4A5C-976F-8EAC2B608ADB}">
              <a16:predDERef xmlns:a16="http://schemas.microsoft.com/office/drawing/2014/main" pred="{D969528A-F2C2-487B-9611-4C5CF169E6C5}"/>
            </a:ext>
          </a:extLst>
        </xdr:cNvPr>
        <xdr:cNvSpPr>
          <a:spLocks noChangeAspect="1" noChangeArrowheads="1"/>
        </xdr:cNvSpPr>
      </xdr:nvSpPr>
      <xdr:spPr bwMode="auto">
        <a:xfrm>
          <a:off x="7531100" y="163004500"/>
          <a:ext cx="190500" cy="266700"/>
        </a:xfrm>
        <a:prstGeom prst="rect">
          <a:avLst/>
        </a:prstGeom>
        <a:noFill/>
      </xdr:spPr>
    </xdr:sp>
    <xdr:clientData/>
  </xdr:oneCellAnchor>
  <xdr:oneCellAnchor>
    <xdr:from>
      <xdr:col>4</xdr:col>
      <xdr:colOff>1657350</xdr:colOff>
      <xdr:row>836</xdr:row>
      <xdr:rowOff>0</xdr:rowOff>
    </xdr:from>
    <xdr:ext cx="190500" cy="266700"/>
    <xdr:sp macro="" textlink="">
      <xdr:nvSpPr>
        <xdr:cNvPr id="8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0B52169-2FD8-4F2F-B1F2-A81B8AE340EF}"/>
            </a:ext>
            <a:ext uri="{147F2762-F138-4A5C-976F-8EAC2B608ADB}">
              <a16:predDERef xmlns:a16="http://schemas.microsoft.com/office/drawing/2014/main" pred="{3C51FB39-13F5-4D4C-936C-3C158644FDA9}"/>
            </a:ext>
          </a:extLst>
        </xdr:cNvPr>
        <xdr:cNvSpPr>
          <a:spLocks noChangeAspect="1" noChangeArrowheads="1"/>
        </xdr:cNvSpPr>
      </xdr:nvSpPr>
      <xdr:spPr bwMode="auto">
        <a:xfrm>
          <a:off x="7531100" y="163004500"/>
          <a:ext cx="190500" cy="266700"/>
        </a:xfrm>
        <a:prstGeom prst="rect">
          <a:avLst/>
        </a:prstGeom>
        <a:noFill/>
      </xdr:spPr>
    </xdr:sp>
    <xdr:clientData/>
  </xdr:oneCellAnchor>
  <xdr:oneCellAnchor>
    <xdr:from>
      <xdr:col>4</xdr:col>
      <xdr:colOff>1657350</xdr:colOff>
      <xdr:row>838</xdr:row>
      <xdr:rowOff>0</xdr:rowOff>
    </xdr:from>
    <xdr:ext cx="190500" cy="266700"/>
    <xdr:sp macro="" textlink="">
      <xdr:nvSpPr>
        <xdr:cNvPr id="8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B0D66F7-394F-4428-A66C-5925F6BD7FBA}"/>
            </a:ext>
            <a:ext uri="{147F2762-F138-4A5C-976F-8EAC2B608ADB}">
              <a16:predDERef xmlns:a16="http://schemas.microsoft.com/office/drawing/2014/main" pred="{B011C6E7-0F51-4943-B61F-0F8308CB773A}"/>
            </a:ext>
          </a:extLst>
        </xdr:cNvPr>
        <xdr:cNvSpPr>
          <a:spLocks noChangeAspect="1" noChangeArrowheads="1"/>
        </xdr:cNvSpPr>
      </xdr:nvSpPr>
      <xdr:spPr bwMode="auto">
        <a:xfrm>
          <a:off x="7531100" y="163372800"/>
          <a:ext cx="190500" cy="266700"/>
        </a:xfrm>
        <a:prstGeom prst="rect">
          <a:avLst/>
        </a:prstGeom>
        <a:noFill/>
      </xdr:spPr>
    </xdr:sp>
    <xdr:clientData/>
  </xdr:oneCellAnchor>
  <xdr:oneCellAnchor>
    <xdr:from>
      <xdr:col>4</xdr:col>
      <xdr:colOff>1657350</xdr:colOff>
      <xdr:row>838</xdr:row>
      <xdr:rowOff>0</xdr:rowOff>
    </xdr:from>
    <xdr:ext cx="190500" cy="266700"/>
    <xdr:sp macro="" textlink="">
      <xdr:nvSpPr>
        <xdr:cNvPr id="8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6DA537D-40A8-42D3-B1A5-837A2ADEE496}"/>
            </a:ext>
            <a:ext uri="{147F2762-F138-4A5C-976F-8EAC2B608ADB}">
              <a16:predDERef xmlns:a16="http://schemas.microsoft.com/office/drawing/2014/main" pred="{0C054295-6353-4ECE-BAB3-5BD40316CDC1}"/>
            </a:ext>
          </a:extLst>
        </xdr:cNvPr>
        <xdr:cNvSpPr>
          <a:spLocks noChangeAspect="1" noChangeArrowheads="1"/>
        </xdr:cNvSpPr>
      </xdr:nvSpPr>
      <xdr:spPr bwMode="auto">
        <a:xfrm>
          <a:off x="7531100" y="163372800"/>
          <a:ext cx="190500" cy="266700"/>
        </a:xfrm>
        <a:prstGeom prst="rect">
          <a:avLst/>
        </a:prstGeom>
        <a:noFill/>
      </xdr:spPr>
    </xdr:sp>
    <xdr:clientData/>
  </xdr:oneCellAnchor>
  <xdr:oneCellAnchor>
    <xdr:from>
      <xdr:col>4</xdr:col>
      <xdr:colOff>1657350</xdr:colOff>
      <xdr:row>840</xdr:row>
      <xdr:rowOff>0</xdr:rowOff>
    </xdr:from>
    <xdr:ext cx="190500" cy="266700"/>
    <xdr:sp macro="" textlink="">
      <xdr:nvSpPr>
        <xdr:cNvPr id="8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080574-D2F6-4176-B78B-F921F40A9909}"/>
            </a:ext>
            <a:ext uri="{147F2762-F138-4A5C-976F-8EAC2B608ADB}">
              <a16:predDERef xmlns:a16="http://schemas.microsoft.com/office/drawing/2014/main" pred="{CCB93951-E97A-4214-B057-36828AEDF4D5}"/>
            </a:ext>
          </a:extLst>
        </xdr:cNvPr>
        <xdr:cNvSpPr>
          <a:spLocks noChangeAspect="1" noChangeArrowheads="1"/>
        </xdr:cNvSpPr>
      </xdr:nvSpPr>
      <xdr:spPr bwMode="auto">
        <a:xfrm>
          <a:off x="7531100" y="163887150"/>
          <a:ext cx="190500" cy="266700"/>
        </a:xfrm>
        <a:prstGeom prst="rect">
          <a:avLst/>
        </a:prstGeom>
        <a:noFill/>
      </xdr:spPr>
    </xdr:sp>
    <xdr:clientData/>
  </xdr:oneCellAnchor>
  <xdr:oneCellAnchor>
    <xdr:from>
      <xdr:col>4</xdr:col>
      <xdr:colOff>1657350</xdr:colOff>
      <xdr:row>840</xdr:row>
      <xdr:rowOff>0</xdr:rowOff>
    </xdr:from>
    <xdr:ext cx="190500" cy="266700"/>
    <xdr:sp macro="" textlink="">
      <xdr:nvSpPr>
        <xdr:cNvPr id="8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F3BEE13-96C1-499A-89E3-A4F084AC47C0}"/>
            </a:ext>
            <a:ext uri="{147F2762-F138-4A5C-976F-8EAC2B608ADB}">
              <a16:predDERef xmlns:a16="http://schemas.microsoft.com/office/drawing/2014/main" pred="{8D0A966A-060A-490F-BC0B-F9FD31CF013E}"/>
            </a:ext>
          </a:extLst>
        </xdr:cNvPr>
        <xdr:cNvSpPr>
          <a:spLocks noChangeAspect="1" noChangeArrowheads="1"/>
        </xdr:cNvSpPr>
      </xdr:nvSpPr>
      <xdr:spPr bwMode="auto">
        <a:xfrm>
          <a:off x="7531100" y="163887150"/>
          <a:ext cx="190500" cy="266700"/>
        </a:xfrm>
        <a:prstGeom prst="rect">
          <a:avLst/>
        </a:prstGeom>
        <a:noFill/>
      </xdr:spPr>
    </xdr:sp>
    <xdr:clientData/>
  </xdr:oneCellAnchor>
  <xdr:oneCellAnchor>
    <xdr:from>
      <xdr:col>4</xdr:col>
      <xdr:colOff>1657350</xdr:colOff>
      <xdr:row>842</xdr:row>
      <xdr:rowOff>0</xdr:rowOff>
    </xdr:from>
    <xdr:ext cx="190500" cy="266700"/>
    <xdr:sp macro="" textlink="">
      <xdr:nvSpPr>
        <xdr:cNvPr id="8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AC2A08C-7851-43A2-A472-6CFE7E1E891F}"/>
            </a:ext>
            <a:ext uri="{147F2762-F138-4A5C-976F-8EAC2B608ADB}">
              <a16:predDERef xmlns:a16="http://schemas.microsoft.com/office/drawing/2014/main" pred="{F1E3EA3C-86AF-4FE6-B0DE-AD57B8F87613}"/>
            </a:ext>
          </a:extLst>
        </xdr:cNvPr>
        <xdr:cNvSpPr>
          <a:spLocks noChangeAspect="1" noChangeArrowheads="1"/>
        </xdr:cNvSpPr>
      </xdr:nvSpPr>
      <xdr:spPr bwMode="auto">
        <a:xfrm>
          <a:off x="7531100" y="164401500"/>
          <a:ext cx="190500" cy="266700"/>
        </a:xfrm>
        <a:prstGeom prst="rect">
          <a:avLst/>
        </a:prstGeom>
        <a:noFill/>
      </xdr:spPr>
    </xdr:sp>
    <xdr:clientData/>
  </xdr:oneCellAnchor>
  <xdr:oneCellAnchor>
    <xdr:from>
      <xdr:col>4</xdr:col>
      <xdr:colOff>1657350</xdr:colOff>
      <xdr:row>842</xdr:row>
      <xdr:rowOff>0</xdr:rowOff>
    </xdr:from>
    <xdr:ext cx="190500" cy="266700"/>
    <xdr:sp macro="" textlink="">
      <xdr:nvSpPr>
        <xdr:cNvPr id="8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DF25EE3-4C8D-4DCF-AB43-E3E669D59A80}"/>
            </a:ext>
            <a:ext uri="{147F2762-F138-4A5C-976F-8EAC2B608ADB}">
              <a16:predDERef xmlns:a16="http://schemas.microsoft.com/office/drawing/2014/main" pred="{A59525F5-D927-400E-8ADF-B22698395D20}"/>
            </a:ext>
          </a:extLst>
        </xdr:cNvPr>
        <xdr:cNvSpPr>
          <a:spLocks noChangeAspect="1" noChangeArrowheads="1"/>
        </xdr:cNvSpPr>
      </xdr:nvSpPr>
      <xdr:spPr bwMode="auto">
        <a:xfrm>
          <a:off x="7531100" y="164401500"/>
          <a:ext cx="190500" cy="266700"/>
        </a:xfrm>
        <a:prstGeom prst="rect">
          <a:avLst/>
        </a:prstGeom>
        <a:noFill/>
      </xdr:spPr>
    </xdr:sp>
    <xdr:clientData/>
  </xdr:oneCellAnchor>
  <xdr:oneCellAnchor>
    <xdr:from>
      <xdr:col>4</xdr:col>
      <xdr:colOff>1657350</xdr:colOff>
      <xdr:row>844</xdr:row>
      <xdr:rowOff>0</xdr:rowOff>
    </xdr:from>
    <xdr:ext cx="190500" cy="266700"/>
    <xdr:sp macro="" textlink="">
      <xdr:nvSpPr>
        <xdr:cNvPr id="8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7B52D8E-B0A4-4E61-8604-FEA7E7B341B6}"/>
            </a:ext>
            <a:ext uri="{147F2762-F138-4A5C-976F-8EAC2B608ADB}">
              <a16:predDERef xmlns:a16="http://schemas.microsoft.com/office/drawing/2014/main" pred="{4437E9BD-D62E-42B6-A599-F1744F2636ED}"/>
            </a:ext>
          </a:extLst>
        </xdr:cNvPr>
        <xdr:cNvSpPr>
          <a:spLocks noChangeAspect="1" noChangeArrowheads="1"/>
        </xdr:cNvSpPr>
      </xdr:nvSpPr>
      <xdr:spPr bwMode="auto">
        <a:xfrm>
          <a:off x="7531100" y="164769800"/>
          <a:ext cx="190500" cy="266700"/>
        </a:xfrm>
        <a:prstGeom prst="rect">
          <a:avLst/>
        </a:prstGeom>
        <a:noFill/>
      </xdr:spPr>
    </xdr:sp>
    <xdr:clientData/>
  </xdr:oneCellAnchor>
  <xdr:oneCellAnchor>
    <xdr:from>
      <xdr:col>4</xdr:col>
      <xdr:colOff>1657350</xdr:colOff>
      <xdr:row>844</xdr:row>
      <xdr:rowOff>0</xdr:rowOff>
    </xdr:from>
    <xdr:ext cx="190500" cy="266700"/>
    <xdr:sp macro="" textlink="">
      <xdr:nvSpPr>
        <xdr:cNvPr id="8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D2A6C1D-042D-4ABE-9511-D5DFFC7D53B6}"/>
            </a:ext>
            <a:ext uri="{147F2762-F138-4A5C-976F-8EAC2B608ADB}">
              <a16:predDERef xmlns:a16="http://schemas.microsoft.com/office/drawing/2014/main" pred="{95252B56-B123-40F9-A6E5-BB98AB72EF7E}"/>
            </a:ext>
          </a:extLst>
        </xdr:cNvPr>
        <xdr:cNvSpPr>
          <a:spLocks noChangeAspect="1" noChangeArrowheads="1"/>
        </xdr:cNvSpPr>
      </xdr:nvSpPr>
      <xdr:spPr bwMode="auto">
        <a:xfrm>
          <a:off x="7531100" y="164769800"/>
          <a:ext cx="190500" cy="266700"/>
        </a:xfrm>
        <a:prstGeom prst="rect">
          <a:avLst/>
        </a:prstGeom>
        <a:noFill/>
      </xdr:spPr>
    </xdr:sp>
    <xdr:clientData/>
  </xdr:oneCellAnchor>
  <xdr:oneCellAnchor>
    <xdr:from>
      <xdr:col>4</xdr:col>
      <xdr:colOff>1657350</xdr:colOff>
      <xdr:row>846</xdr:row>
      <xdr:rowOff>0</xdr:rowOff>
    </xdr:from>
    <xdr:ext cx="190500" cy="266700"/>
    <xdr:sp macro="" textlink="">
      <xdr:nvSpPr>
        <xdr:cNvPr id="8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46E4597-6C4F-438F-8059-CE9F5583163C}"/>
            </a:ext>
            <a:ext uri="{147F2762-F138-4A5C-976F-8EAC2B608ADB}">
              <a16:predDERef xmlns:a16="http://schemas.microsoft.com/office/drawing/2014/main" pred="{15F15C0D-DADA-4AA3-A922-916ADC8720E7}"/>
            </a:ext>
          </a:extLst>
        </xdr:cNvPr>
        <xdr:cNvSpPr>
          <a:spLocks noChangeAspect="1" noChangeArrowheads="1"/>
        </xdr:cNvSpPr>
      </xdr:nvSpPr>
      <xdr:spPr bwMode="auto">
        <a:xfrm>
          <a:off x="7531100" y="165430200"/>
          <a:ext cx="190500" cy="266700"/>
        </a:xfrm>
        <a:prstGeom prst="rect">
          <a:avLst/>
        </a:prstGeom>
        <a:noFill/>
      </xdr:spPr>
    </xdr:sp>
    <xdr:clientData/>
  </xdr:oneCellAnchor>
  <xdr:oneCellAnchor>
    <xdr:from>
      <xdr:col>4</xdr:col>
      <xdr:colOff>1657350</xdr:colOff>
      <xdr:row>846</xdr:row>
      <xdr:rowOff>0</xdr:rowOff>
    </xdr:from>
    <xdr:ext cx="190500" cy="266700"/>
    <xdr:sp macro="" textlink="">
      <xdr:nvSpPr>
        <xdr:cNvPr id="8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1008F0B-C419-4D59-BF8D-01CECC0CD11E}"/>
            </a:ext>
            <a:ext uri="{147F2762-F138-4A5C-976F-8EAC2B608ADB}">
              <a16:predDERef xmlns:a16="http://schemas.microsoft.com/office/drawing/2014/main" pred="{6489B559-0979-4511-8BE1-0E8A58FE2C05}"/>
            </a:ext>
          </a:extLst>
        </xdr:cNvPr>
        <xdr:cNvSpPr>
          <a:spLocks noChangeAspect="1" noChangeArrowheads="1"/>
        </xdr:cNvSpPr>
      </xdr:nvSpPr>
      <xdr:spPr bwMode="auto">
        <a:xfrm>
          <a:off x="7531100" y="165430200"/>
          <a:ext cx="190500" cy="266700"/>
        </a:xfrm>
        <a:prstGeom prst="rect">
          <a:avLst/>
        </a:prstGeom>
        <a:noFill/>
      </xdr:spPr>
    </xdr:sp>
    <xdr:clientData/>
  </xdr:oneCellAnchor>
  <xdr:oneCellAnchor>
    <xdr:from>
      <xdr:col>4</xdr:col>
      <xdr:colOff>1657350</xdr:colOff>
      <xdr:row>848</xdr:row>
      <xdr:rowOff>0</xdr:rowOff>
    </xdr:from>
    <xdr:ext cx="190500" cy="266700"/>
    <xdr:sp macro="" textlink="">
      <xdr:nvSpPr>
        <xdr:cNvPr id="8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A542386-AC83-43EF-93C7-FB8000BD4014}"/>
            </a:ext>
            <a:ext uri="{147F2762-F138-4A5C-976F-8EAC2B608ADB}">
              <a16:predDERef xmlns:a16="http://schemas.microsoft.com/office/drawing/2014/main" pred="{068CB28C-06FD-42E8-8FFD-9281F3956369}"/>
            </a:ext>
          </a:extLst>
        </xdr:cNvPr>
        <xdr:cNvSpPr>
          <a:spLocks noChangeAspect="1" noChangeArrowheads="1"/>
        </xdr:cNvSpPr>
      </xdr:nvSpPr>
      <xdr:spPr bwMode="auto">
        <a:xfrm>
          <a:off x="7531100" y="165944550"/>
          <a:ext cx="190500" cy="266700"/>
        </a:xfrm>
        <a:prstGeom prst="rect">
          <a:avLst/>
        </a:prstGeom>
        <a:noFill/>
      </xdr:spPr>
    </xdr:sp>
    <xdr:clientData/>
  </xdr:oneCellAnchor>
  <xdr:oneCellAnchor>
    <xdr:from>
      <xdr:col>4</xdr:col>
      <xdr:colOff>1657350</xdr:colOff>
      <xdr:row>848</xdr:row>
      <xdr:rowOff>0</xdr:rowOff>
    </xdr:from>
    <xdr:ext cx="190500" cy="266700"/>
    <xdr:sp macro="" textlink="">
      <xdr:nvSpPr>
        <xdr:cNvPr id="8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813187-3D62-4058-B801-F9AD40CC3155}"/>
            </a:ext>
            <a:ext uri="{147F2762-F138-4A5C-976F-8EAC2B608ADB}">
              <a16:predDERef xmlns:a16="http://schemas.microsoft.com/office/drawing/2014/main" pred="{CD9A6751-EC08-4BFE-BEAD-77510B64EDBA}"/>
            </a:ext>
          </a:extLst>
        </xdr:cNvPr>
        <xdr:cNvSpPr>
          <a:spLocks noChangeAspect="1" noChangeArrowheads="1"/>
        </xdr:cNvSpPr>
      </xdr:nvSpPr>
      <xdr:spPr bwMode="auto">
        <a:xfrm>
          <a:off x="7531100" y="165944550"/>
          <a:ext cx="190500" cy="266700"/>
        </a:xfrm>
        <a:prstGeom prst="rect">
          <a:avLst/>
        </a:prstGeom>
        <a:noFill/>
      </xdr:spPr>
    </xdr:sp>
    <xdr:clientData/>
  </xdr:oneCellAnchor>
  <xdr:oneCellAnchor>
    <xdr:from>
      <xdr:col>4</xdr:col>
      <xdr:colOff>1657350</xdr:colOff>
      <xdr:row>850</xdr:row>
      <xdr:rowOff>0</xdr:rowOff>
    </xdr:from>
    <xdr:ext cx="190500" cy="266700"/>
    <xdr:sp macro="" textlink="">
      <xdr:nvSpPr>
        <xdr:cNvPr id="8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3D17982-7442-4003-9928-D8072F1D0ACD}"/>
            </a:ext>
            <a:ext uri="{147F2762-F138-4A5C-976F-8EAC2B608ADB}">
              <a16:predDERef xmlns:a16="http://schemas.microsoft.com/office/drawing/2014/main" pred="{23B9AAD1-D4CE-4619-B86E-8EFCABA2DCAC}"/>
            </a:ext>
          </a:extLst>
        </xdr:cNvPr>
        <xdr:cNvSpPr>
          <a:spLocks noChangeAspect="1" noChangeArrowheads="1"/>
        </xdr:cNvSpPr>
      </xdr:nvSpPr>
      <xdr:spPr bwMode="auto">
        <a:xfrm>
          <a:off x="7531100" y="166312850"/>
          <a:ext cx="190500" cy="266700"/>
        </a:xfrm>
        <a:prstGeom prst="rect">
          <a:avLst/>
        </a:prstGeom>
        <a:noFill/>
      </xdr:spPr>
    </xdr:sp>
    <xdr:clientData/>
  </xdr:oneCellAnchor>
  <xdr:oneCellAnchor>
    <xdr:from>
      <xdr:col>4</xdr:col>
      <xdr:colOff>1657350</xdr:colOff>
      <xdr:row>850</xdr:row>
      <xdr:rowOff>0</xdr:rowOff>
    </xdr:from>
    <xdr:ext cx="190500" cy="266700"/>
    <xdr:sp macro="" textlink="">
      <xdr:nvSpPr>
        <xdr:cNvPr id="8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36F4C4D-323E-43B3-93B8-B8E2CFDA69B3}"/>
            </a:ext>
            <a:ext uri="{147F2762-F138-4A5C-976F-8EAC2B608ADB}">
              <a16:predDERef xmlns:a16="http://schemas.microsoft.com/office/drawing/2014/main" pred="{D8766036-6333-4A35-A21E-FB94B2F4525E}"/>
            </a:ext>
          </a:extLst>
        </xdr:cNvPr>
        <xdr:cNvSpPr>
          <a:spLocks noChangeAspect="1" noChangeArrowheads="1"/>
        </xdr:cNvSpPr>
      </xdr:nvSpPr>
      <xdr:spPr bwMode="auto">
        <a:xfrm>
          <a:off x="7531100" y="166312850"/>
          <a:ext cx="190500" cy="266700"/>
        </a:xfrm>
        <a:prstGeom prst="rect">
          <a:avLst/>
        </a:prstGeom>
        <a:noFill/>
      </xdr:spPr>
    </xdr:sp>
    <xdr:clientData/>
  </xdr:oneCellAnchor>
  <xdr:oneCellAnchor>
    <xdr:from>
      <xdr:col>4</xdr:col>
      <xdr:colOff>1657350</xdr:colOff>
      <xdr:row>852</xdr:row>
      <xdr:rowOff>0</xdr:rowOff>
    </xdr:from>
    <xdr:ext cx="190500" cy="266700"/>
    <xdr:sp macro="" textlink="">
      <xdr:nvSpPr>
        <xdr:cNvPr id="8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9837B80-27EB-4C3B-9D50-D780650A42C3}"/>
            </a:ext>
            <a:ext uri="{147F2762-F138-4A5C-976F-8EAC2B608ADB}">
              <a16:predDERef xmlns:a16="http://schemas.microsoft.com/office/drawing/2014/main" pred="{4AD7FEE2-22D7-48B5-B135-3171F981885B}"/>
            </a:ext>
          </a:extLst>
        </xdr:cNvPr>
        <xdr:cNvSpPr>
          <a:spLocks noChangeAspect="1" noChangeArrowheads="1"/>
        </xdr:cNvSpPr>
      </xdr:nvSpPr>
      <xdr:spPr bwMode="auto">
        <a:xfrm>
          <a:off x="7531100" y="166681150"/>
          <a:ext cx="190500" cy="266700"/>
        </a:xfrm>
        <a:prstGeom prst="rect">
          <a:avLst/>
        </a:prstGeom>
        <a:noFill/>
      </xdr:spPr>
    </xdr:sp>
    <xdr:clientData/>
  </xdr:oneCellAnchor>
  <xdr:oneCellAnchor>
    <xdr:from>
      <xdr:col>4</xdr:col>
      <xdr:colOff>1657350</xdr:colOff>
      <xdr:row>852</xdr:row>
      <xdr:rowOff>0</xdr:rowOff>
    </xdr:from>
    <xdr:ext cx="190500" cy="266700"/>
    <xdr:sp macro="" textlink="">
      <xdr:nvSpPr>
        <xdr:cNvPr id="8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7613CC-F0A0-4EEB-BF1E-10FDC33C7F44}"/>
            </a:ext>
            <a:ext uri="{147F2762-F138-4A5C-976F-8EAC2B608ADB}">
              <a16:predDERef xmlns:a16="http://schemas.microsoft.com/office/drawing/2014/main" pred="{0C4C2462-8C12-4CE3-BE25-49107097A715}"/>
            </a:ext>
          </a:extLst>
        </xdr:cNvPr>
        <xdr:cNvSpPr>
          <a:spLocks noChangeAspect="1" noChangeArrowheads="1"/>
        </xdr:cNvSpPr>
      </xdr:nvSpPr>
      <xdr:spPr bwMode="auto">
        <a:xfrm>
          <a:off x="7531100" y="166681150"/>
          <a:ext cx="190500" cy="266700"/>
        </a:xfrm>
        <a:prstGeom prst="rect">
          <a:avLst/>
        </a:prstGeom>
        <a:noFill/>
      </xdr:spPr>
    </xdr:sp>
    <xdr:clientData/>
  </xdr:oneCellAnchor>
  <xdr:oneCellAnchor>
    <xdr:from>
      <xdr:col>4</xdr:col>
      <xdr:colOff>1657350</xdr:colOff>
      <xdr:row>854</xdr:row>
      <xdr:rowOff>0</xdr:rowOff>
    </xdr:from>
    <xdr:ext cx="190500" cy="266700"/>
    <xdr:sp macro="" textlink="">
      <xdr:nvSpPr>
        <xdr:cNvPr id="8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8AC5B6-165D-4B9C-B11F-8B17E3F31FDD}"/>
            </a:ext>
            <a:ext uri="{147F2762-F138-4A5C-976F-8EAC2B608ADB}">
              <a16:predDERef xmlns:a16="http://schemas.microsoft.com/office/drawing/2014/main" pred="{A7ADDA45-ED6C-4BE4-974B-96140CE3A170}"/>
            </a:ext>
          </a:extLst>
        </xdr:cNvPr>
        <xdr:cNvSpPr>
          <a:spLocks noChangeAspect="1" noChangeArrowheads="1"/>
        </xdr:cNvSpPr>
      </xdr:nvSpPr>
      <xdr:spPr bwMode="auto">
        <a:xfrm>
          <a:off x="7531100" y="167049450"/>
          <a:ext cx="190500" cy="266700"/>
        </a:xfrm>
        <a:prstGeom prst="rect">
          <a:avLst/>
        </a:prstGeom>
        <a:noFill/>
      </xdr:spPr>
    </xdr:sp>
    <xdr:clientData/>
  </xdr:oneCellAnchor>
  <xdr:oneCellAnchor>
    <xdr:from>
      <xdr:col>4</xdr:col>
      <xdr:colOff>1657350</xdr:colOff>
      <xdr:row>854</xdr:row>
      <xdr:rowOff>0</xdr:rowOff>
    </xdr:from>
    <xdr:ext cx="190500" cy="266700"/>
    <xdr:sp macro="" textlink="">
      <xdr:nvSpPr>
        <xdr:cNvPr id="8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9EA0DC3-331D-496F-8712-894938D07F3C}"/>
            </a:ext>
            <a:ext uri="{147F2762-F138-4A5C-976F-8EAC2B608ADB}">
              <a16:predDERef xmlns:a16="http://schemas.microsoft.com/office/drawing/2014/main" pred="{51EEC773-3C55-4B1E-84C0-7BFF9D2DAA36}"/>
            </a:ext>
          </a:extLst>
        </xdr:cNvPr>
        <xdr:cNvSpPr>
          <a:spLocks noChangeAspect="1" noChangeArrowheads="1"/>
        </xdr:cNvSpPr>
      </xdr:nvSpPr>
      <xdr:spPr bwMode="auto">
        <a:xfrm>
          <a:off x="7531100" y="167049450"/>
          <a:ext cx="190500" cy="266700"/>
        </a:xfrm>
        <a:prstGeom prst="rect">
          <a:avLst/>
        </a:prstGeom>
        <a:noFill/>
      </xdr:spPr>
    </xdr:sp>
    <xdr:clientData/>
  </xdr:oneCellAnchor>
  <xdr:oneCellAnchor>
    <xdr:from>
      <xdr:col>4</xdr:col>
      <xdr:colOff>1657350</xdr:colOff>
      <xdr:row>856</xdr:row>
      <xdr:rowOff>0</xdr:rowOff>
    </xdr:from>
    <xdr:ext cx="190500" cy="266700"/>
    <xdr:sp macro="" textlink="">
      <xdr:nvSpPr>
        <xdr:cNvPr id="8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D3E71BF-1C0C-40FB-881B-6B86FD3ED063}"/>
            </a:ext>
            <a:ext uri="{147F2762-F138-4A5C-976F-8EAC2B608ADB}">
              <a16:predDERef xmlns:a16="http://schemas.microsoft.com/office/drawing/2014/main" pred="{B96B9E0F-9340-4368-855F-72BAB6897FC8}"/>
            </a:ext>
          </a:extLst>
        </xdr:cNvPr>
        <xdr:cNvSpPr>
          <a:spLocks noChangeAspect="1" noChangeArrowheads="1"/>
        </xdr:cNvSpPr>
      </xdr:nvSpPr>
      <xdr:spPr bwMode="auto">
        <a:xfrm>
          <a:off x="7531100" y="167417750"/>
          <a:ext cx="190500" cy="266700"/>
        </a:xfrm>
        <a:prstGeom prst="rect">
          <a:avLst/>
        </a:prstGeom>
        <a:noFill/>
      </xdr:spPr>
    </xdr:sp>
    <xdr:clientData/>
  </xdr:oneCellAnchor>
  <xdr:oneCellAnchor>
    <xdr:from>
      <xdr:col>4</xdr:col>
      <xdr:colOff>1657350</xdr:colOff>
      <xdr:row>856</xdr:row>
      <xdr:rowOff>0</xdr:rowOff>
    </xdr:from>
    <xdr:ext cx="190500" cy="266700"/>
    <xdr:sp macro="" textlink="">
      <xdr:nvSpPr>
        <xdr:cNvPr id="8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3F3BD81-CA1A-4582-9497-82C97BBA1665}"/>
            </a:ext>
            <a:ext uri="{147F2762-F138-4A5C-976F-8EAC2B608ADB}">
              <a16:predDERef xmlns:a16="http://schemas.microsoft.com/office/drawing/2014/main" pred="{FD26076B-85AE-4203-ABFD-35CECDFD1439}"/>
            </a:ext>
          </a:extLst>
        </xdr:cNvPr>
        <xdr:cNvSpPr>
          <a:spLocks noChangeAspect="1" noChangeArrowheads="1"/>
        </xdr:cNvSpPr>
      </xdr:nvSpPr>
      <xdr:spPr bwMode="auto">
        <a:xfrm>
          <a:off x="7531100" y="167417750"/>
          <a:ext cx="190500" cy="266700"/>
        </a:xfrm>
        <a:prstGeom prst="rect">
          <a:avLst/>
        </a:prstGeom>
        <a:noFill/>
      </xdr:spPr>
    </xdr:sp>
    <xdr:clientData/>
  </xdr:oneCellAnchor>
  <xdr:oneCellAnchor>
    <xdr:from>
      <xdr:col>4</xdr:col>
      <xdr:colOff>1657350</xdr:colOff>
      <xdr:row>858</xdr:row>
      <xdr:rowOff>0</xdr:rowOff>
    </xdr:from>
    <xdr:ext cx="190500" cy="266700"/>
    <xdr:sp macro="" textlink="">
      <xdr:nvSpPr>
        <xdr:cNvPr id="8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7D3D2BF-34F4-412E-A3AC-172CBC6E7336}"/>
            </a:ext>
            <a:ext uri="{147F2762-F138-4A5C-976F-8EAC2B608ADB}">
              <a16:predDERef xmlns:a16="http://schemas.microsoft.com/office/drawing/2014/main" pred="{37C9194F-6073-48DD-BBE1-4A3434520E68}"/>
            </a:ext>
          </a:extLst>
        </xdr:cNvPr>
        <xdr:cNvSpPr>
          <a:spLocks noChangeAspect="1" noChangeArrowheads="1"/>
        </xdr:cNvSpPr>
      </xdr:nvSpPr>
      <xdr:spPr bwMode="auto">
        <a:xfrm>
          <a:off x="7531100" y="167786050"/>
          <a:ext cx="190500" cy="266700"/>
        </a:xfrm>
        <a:prstGeom prst="rect">
          <a:avLst/>
        </a:prstGeom>
        <a:noFill/>
      </xdr:spPr>
    </xdr:sp>
    <xdr:clientData/>
  </xdr:oneCellAnchor>
  <xdr:oneCellAnchor>
    <xdr:from>
      <xdr:col>4</xdr:col>
      <xdr:colOff>1657350</xdr:colOff>
      <xdr:row>858</xdr:row>
      <xdr:rowOff>0</xdr:rowOff>
    </xdr:from>
    <xdr:ext cx="190500" cy="266700"/>
    <xdr:sp macro="" textlink="">
      <xdr:nvSpPr>
        <xdr:cNvPr id="8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B828A38-794D-44F4-87C4-6DF1FF1A8559}"/>
            </a:ext>
            <a:ext uri="{147F2762-F138-4A5C-976F-8EAC2B608ADB}">
              <a16:predDERef xmlns:a16="http://schemas.microsoft.com/office/drawing/2014/main" pred="{E00366D8-E3DB-4085-9B14-2B0EBABEB6F6}"/>
            </a:ext>
          </a:extLst>
        </xdr:cNvPr>
        <xdr:cNvSpPr>
          <a:spLocks noChangeAspect="1" noChangeArrowheads="1"/>
        </xdr:cNvSpPr>
      </xdr:nvSpPr>
      <xdr:spPr bwMode="auto">
        <a:xfrm>
          <a:off x="7531100" y="167786050"/>
          <a:ext cx="190500" cy="266700"/>
        </a:xfrm>
        <a:prstGeom prst="rect">
          <a:avLst/>
        </a:prstGeom>
        <a:noFill/>
      </xdr:spPr>
    </xdr:sp>
    <xdr:clientData/>
  </xdr:oneCellAnchor>
  <xdr:oneCellAnchor>
    <xdr:from>
      <xdr:col>4</xdr:col>
      <xdr:colOff>1657350</xdr:colOff>
      <xdr:row>860</xdr:row>
      <xdr:rowOff>0</xdr:rowOff>
    </xdr:from>
    <xdr:ext cx="190500" cy="266700"/>
    <xdr:sp macro="" textlink="">
      <xdr:nvSpPr>
        <xdr:cNvPr id="8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0FEC892-FB13-49FE-B392-BF5C805BD0F0}"/>
            </a:ext>
            <a:ext uri="{147F2762-F138-4A5C-976F-8EAC2B608ADB}">
              <a16:predDERef xmlns:a16="http://schemas.microsoft.com/office/drawing/2014/main" pred="{3935B73A-B1BF-48B5-8D80-BD6F4443085E}"/>
            </a:ext>
          </a:extLst>
        </xdr:cNvPr>
        <xdr:cNvSpPr>
          <a:spLocks noChangeAspect="1" noChangeArrowheads="1"/>
        </xdr:cNvSpPr>
      </xdr:nvSpPr>
      <xdr:spPr bwMode="auto">
        <a:xfrm>
          <a:off x="7531100" y="168154350"/>
          <a:ext cx="190500" cy="266700"/>
        </a:xfrm>
        <a:prstGeom prst="rect">
          <a:avLst/>
        </a:prstGeom>
        <a:noFill/>
      </xdr:spPr>
    </xdr:sp>
    <xdr:clientData/>
  </xdr:oneCellAnchor>
  <xdr:oneCellAnchor>
    <xdr:from>
      <xdr:col>4</xdr:col>
      <xdr:colOff>1657350</xdr:colOff>
      <xdr:row>860</xdr:row>
      <xdr:rowOff>0</xdr:rowOff>
    </xdr:from>
    <xdr:ext cx="190500" cy="266700"/>
    <xdr:sp macro="" textlink="">
      <xdr:nvSpPr>
        <xdr:cNvPr id="8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743950-3CFF-483E-8BCA-151E24AEA496}"/>
            </a:ext>
            <a:ext uri="{147F2762-F138-4A5C-976F-8EAC2B608ADB}">
              <a16:predDERef xmlns:a16="http://schemas.microsoft.com/office/drawing/2014/main" pred="{78894543-7692-4D30-AD19-EA0653F7D653}"/>
            </a:ext>
          </a:extLst>
        </xdr:cNvPr>
        <xdr:cNvSpPr>
          <a:spLocks noChangeAspect="1" noChangeArrowheads="1"/>
        </xdr:cNvSpPr>
      </xdr:nvSpPr>
      <xdr:spPr bwMode="auto">
        <a:xfrm>
          <a:off x="7531100" y="168154350"/>
          <a:ext cx="190500" cy="266700"/>
        </a:xfrm>
        <a:prstGeom prst="rect">
          <a:avLst/>
        </a:prstGeom>
        <a:noFill/>
      </xdr:spPr>
    </xdr:sp>
    <xdr:clientData/>
  </xdr:oneCellAnchor>
  <xdr:oneCellAnchor>
    <xdr:from>
      <xdr:col>4</xdr:col>
      <xdr:colOff>1657350</xdr:colOff>
      <xdr:row>862</xdr:row>
      <xdr:rowOff>0</xdr:rowOff>
    </xdr:from>
    <xdr:ext cx="190500" cy="266700"/>
    <xdr:sp macro="" textlink="">
      <xdr:nvSpPr>
        <xdr:cNvPr id="8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E63FAA9-0EEF-48E0-8D74-874148D6E735}"/>
            </a:ext>
            <a:ext uri="{147F2762-F138-4A5C-976F-8EAC2B608ADB}">
              <a16:predDERef xmlns:a16="http://schemas.microsoft.com/office/drawing/2014/main" pred="{AB724212-2105-4BCA-9264-305281571E0B}"/>
            </a:ext>
          </a:extLst>
        </xdr:cNvPr>
        <xdr:cNvSpPr>
          <a:spLocks noChangeAspect="1" noChangeArrowheads="1"/>
        </xdr:cNvSpPr>
      </xdr:nvSpPr>
      <xdr:spPr bwMode="auto">
        <a:xfrm>
          <a:off x="7531100" y="168522650"/>
          <a:ext cx="190500" cy="266700"/>
        </a:xfrm>
        <a:prstGeom prst="rect">
          <a:avLst/>
        </a:prstGeom>
        <a:noFill/>
      </xdr:spPr>
    </xdr:sp>
    <xdr:clientData/>
  </xdr:oneCellAnchor>
  <xdr:oneCellAnchor>
    <xdr:from>
      <xdr:col>4</xdr:col>
      <xdr:colOff>1657350</xdr:colOff>
      <xdr:row>862</xdr:row>
      <xdr:rowOff>0</xdr:rowOff>
    </xdr:from>
    <xdr:ext cx="190500" cy="266700"/>
    <xdr:sp macro="" textlink="">
      <xdr:nvSpPr>
        <xdr:cNvPr id="8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CEA9B3E-BE36-44FB-A0AE-0E9F1E486429}"/>
            </a:ext>
            <a:ext uri="{147F2762-F138-4A5C-976F-8EAC2B608ADB}">
              <a16:predDERef xmlns:a16="http://schemas.microsoft.com/office/drawing/2014/main" pred="{E7529282-67D0-409D-B1E6-98DF4792F6F6}"/>
            </a:ext>
          </a:extLst>
        </xdr:cNvPr>
        <xdr:cNvSpPr>
          <a:spLocks noChangeAspect="1" noChangeArrowheads="1"/>
        </xdr:cNvSpPr>
      </xdr:nvSpPr>
      <xdr:spPr bwMode="auto">
        <a:xfrm>
          <a:off x="7531100" y="168522650"/>
          <a:ext cx="190500" cy="266700"/>
        </a:xfrm>
        <a:prstGeom prst="rect">
          <a:avLst/>
        </a:prstGeom>
        <a:noFill/>
      </xdr:spPr>
    </xdr:sp>
    <xdr:clientData/>
  </xdr:oneCellAnchor>
  <xdr:oneCellAnchor>
    <xdr:from>
      <xdr:col>4</xdr:col>
      <xdr:colOff>1657350</xdr:colOff>
      <xdr:row>864</xdr:row>
      <xdr:rowOff>0</xdr:rowOff>
    </xdr:from>
    <xdr:ext cx="190500" cy="266700"/>
    <xdr:sp macro="" textlink="">
      <xdr:nvSpPr>
        <xdr:cNvPr id="8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D91A11-68D6-4649-8CB9-D5E81821DB77}"/>
            </a:ext>
            <a:ext uri="{147F2762-F138-4A5C-976F-8EAC2B608ADB}">
              <a16:predDERef xmlns:a16="http://schemas.microsoft.com/office/drawing/2014/main" pred="{1D2ECF4C-2B98-475F-B724-961380D9D731}"/>
            </a:ext>
          </a:extLst>
        </xdr:cNvPr>
        <xdr:cNvSpPr>
          <a:spLocks noChangeAspect="1" noChangeArrowheads="1"/>
        </xdr:cNvSpPr>
      </xdr:nvSpPr>
      <xdr:spPr bwMode="auto">
        <a:xfrm>
          <a:off x="7531100" y="168890950"/>
          <a:ext cx="190500" cy="266700"/>
        </a:xfrm>
        <a:prstGeom prst="rect">
          <a:avLst/>
        </a:prstGeom>
        <a:noFill/>
      </xdr:spPr>
    </xdr:sp>
    <xdr:clientData/>
  </xdr:oneCellAnchor>
  <xdr:oneCellAnchor>
    <xdr:from>
      <xdr:col>4</xdr:col>
      <xdr:colOff>1657350</xdr:colOff>
      <xdr:row>864</xdr:row>
      <xdr:rowOff>0</xdr:rowOff>
    </xdr:from>
    <xdr:ext cx="190500" cy="266700"/>
    <xdr:sp macro="" textlink="">
      <xdr:nvSpPr>
        <xdr:cNvPr id="8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6858CD7-4B9D-405C-B39F-EA89DCF806A5}"/>
            </a:ext>
            <a:ext uri="{147F2762-F138-4A5C-976F-8EAC2B608ADB}">
              <a16:predDERef xmlns:a16="http://schemas.microsoft.com/office/drawing/2014/main" pred="{39731D73-1FF3-4096-890D-E36BA45EF7E3}"/>
            </a:ext>
          </a:extLst>
        </xdr:cNvPr>
        <xdr:cNvSpPr>
          <a:spLocks noChangeAspect="1" noChangeArrowheads="1"/>
        </xdr:cNvSpPr>
      </xdr:nvSpPr>
      <xdr:spPr bwMode="auto">
        <a:xfrm>
          <a:off x="7531100" y="168890950"/>
          <a:ext cx="190500" cy="266700"/>
        </a:xfrm>
        <a:prstGeom prst="rect">
          <a:avLst/>
        </a:prstGeom>
        <a:noFill/>
      </xdr:spPr>
    </xdr:sp>
    <xdr:clientData/>
  </xdr:oneCellAnchor>
  <xdr:oneCellAnchor>
    <xdr:from>
      <xdr:col>4</xdr:col>
      <xdr:colOff>1657350</xdr:colOff>
      <xdr:row>866</xdr:row>
      <xdr:rowOff>0</xdr:rowOff>
    </xdr:from>
    <xdr:ext cx="190500" cy="266700"/>
    <xdr:sp macro="" textlink="">
      <xdr:nvSpPr>
        <xdr:cNvPr id="8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44586BE-F3D7-4609-803D-6BE394082B13}"/>
            </a:ext>
            <a:ext uri="{147F2762-F138-4A5C-976F-8EAC2B608ADB}">
              <a16:predDERef xmlns:a16="http://schemas.microsoft.com/office/drawing/2014/main" pred="{2C317C7F-1FFF-46AD-A398-39EACB03695B}"/>
            </a:ext>
          </a:extLst>
        </xdr:cNvPr>
        <xdr:cNvSpPr>
          <a:spLocks noChangeAspect="1" noChangeArrowheads="1"/>
        </xdr:cNvSpPr>
      </xdr:nvSpPr>
      <xdr:spPr bwMode="auto">
        <a:xfrm>
          <a:off x="7531100" y="169259250"/>
          <a:ext cx="190500" cy="266700"/>
        </a:xfrm>
        <a:prstGeom prst="rect">
          <a:avLst/>
        </a:prstGeom>
        <a:noFill/>
      </xdr:spPr>
    </xdr:sp>
    <xdr:clientData/>
  </xdr:oneCellAnchor>
  <xdr:oneCellAnchor>
    <xdr:from>
      <xdr:col>4</xdr:col>
      <xdr:colOff>1657350</xdr:colOff>
      <xdr:row>866</xdr:row>
      <xdr:rowOff>0</xdr:rowOff>
    </xdr:from>
    <xdr:ext cx="190500" cy="266700"/>
    <xdr:sp macro="" textlink="">
      <xdr:nvSpPr>
        <xdr:cNvPr id="8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D6F8C43-A0BA-46A4-9647-75352B629E33}"/>
            </a:ext>
            <a:ext uri="{147F2762-F138-4A5C-976F-8EAC2B608ADB}">
              <a16:predDERef xmlns:a16="http://schemas.microsoft.com/office/drawing/2014/main" pred="{8A664A79-45E1-431D-B542-D46111E5FEE2}"/>
            </a:ext>
          </a:extLst>
        </xdr:cNvPr>
        <xdr:cNvSpPr>
          <a:spLocks noChangeAspect="1" noChangeArrowheads="1"/>
        </xdr:cNvSpPr>
      </xdr:nvSpPr>
      <xdr:spPr bwMode="auto">
        <a:xfrm>
          <a:off x="7531100" y="169259250"/>
          <a:ext cx="190500" cy="266700"/>
        </a:xfrm>
        <a:prstGeom prst="rect">
          <a:avLst/>
        </a:prstGeom>
        <a:noFill/>
      </xdr:spPr>
    </xdr:sp>
    <xdr:clientData/>
  </xdr:oneCellAnchor>
  <xdr:oneCellAnchor>
    <xdr:from>
      <xdr:col>4</xdr:col>
      <xdr:colOff>1657350</xdr:colOff>
      <xdr:row>868</xdr:row>
      <xdr:rowOff>0</xdr:rowOff>
    </xdr:from>
    <xdr:ext cx="190500" cy="266700"/>
    <xdr:sp macro="" textlink="">
      <xdr:nvSpPr>
        <xdr:cNvPr id="8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B7DEDB-7FE9-4F90-BC6E-5EBBE72304DE}"/>
            </a:ext>
            <a:ext uri="{147F2762-F138-4A5C-976F-8EAC2B608ADB}">
              <a16:predDERef xmlns:a16="http://schemas.microsoft.com/office/drawing/2014/main" pred="{7E099A35-9C87-40D9-A225-665421EE2755}"/>
            </a:ext>
          </a:extLst>
        </xdr:cNvPr>
        <xdr:cNvSpPr>
          <a:spLocks noChangeAspect="1" noChangeArrowheads="1"/>
        </xdr:cNvSpPr>
      </xdr:nvSpPr>
      <xdr:spPr bwMode="auto">
        <a:xfrm>
          <a:off x="7531100" y="169627550"/>
          <a:ext cx="190500" cy="266700"/>
        </a:xfrm>
        <a:prstGeom prst="rect">
          <a:avLst/>
        </a:prstGeom>
        <a:noFill/>
      </xdr:spPr>
    </xdr:sp>
    <xdr:clientData/>
  </xdr:oneCellAnchor>
  <xdr:oneCellAnchor>
    <xdr:from>
      <xdr:col>4</xdr:col>
      <xdr:colOff>1657350</xdr:colOff>
      <xdr:row>868</xdr:row>
      <xdr:rowOff>0</xdr:rowOff>
    </xdr:from>
    <xdr:ext cx="190500" cy="266700"/>
    <xdr:sp macro="" textlink="">
      <xdr:nvSpPr>
        <xdr:cNvPr id="8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01514B6-201A-4064-B6E1-C245386D4468}"/>
            </a:ext>
            <a:ext uri="{147F2762-F138-4A5C-976F-8EAC2B608ADB}">
              <a16:predDERef xmlns:a16="http://schemas.microsoft.com/office/drawing/2014/main" pred="{382217C2-59BC-4302-9B26-7228271BEF23}"/>
            </a:ext>
          </a:extLst>
        </xdr:cNvPr>
        <xdr:cNvSpPr>
          <a:spLocks noChangeAspect="1" noChangeArrowheads="1"/>
        </xdr:cNvSpPr>
      </xdr:nvSpPr>
      <xdr:spPr bwMode="auto">
        <a:xfrm>
          <a:off x="7531100" y="169627550"/>
          <a:ext cx="190500" cy="266700"/>
        </a:xfrm>
        <a:prstGeom prst="rect">
          <a:avLst/>
        </a:prstGeom>
        <a:noFill/>
      </xdr:spPr>
    </xdr:sp>
    <xdr:clientData/>
  </xdr:oneCellAnchor>
  <xdr:oneCellAnchor>
    <xdr:from>
      <xdr:col>4</xdr:col>
      <xdr:colOff>1657350</xdr:colOff>
      <xdr:row>870</xdr:row>
      <xdr:rowOff>0</xdr:rowOff>
    </xdr:from>
    <xdr:ext cx="190500" cy="266700"/>
    <xdr:sp macro="" textlink="">
      <xdr:nvSpPr>
        <xdr:cNvPr id="8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C27137E-3384-4F67-9640-D63663297FB2}"/>
            </a:ext>
            <a:ext uri="{147F2762-F138-4A5C-976F-8EAC2B608ADB}">
              <a16:predDERef xmlns:a16="http://schemas.microsoft.com/office/drawing/2014/main" pred="{B17FCDF5-2FA0-4855-A97C-A85E68C06C98}"/>
            </a:ext>
          </a:extLst>
        </xdr:cNvPr>
        <xdr:cNvSpPr>
          <a:spLocks noChangeAspect="1" noChangeArrowheads="1"/>
        </xdr:cNvSpPr>
      </xdr:nvSpPr>
      <xdr:spPr bwMode="auto">
        <a:xfrm>
          <a:off x="7531100" y="169995850"/>
          <a:ext cx="190500" cy="266700"/>
        </a:xfrm>
        <a:prstGeom prst="rect">
          <a:avLst/>
        </a:prstGeom>
        <a:noFill/>
      </xdr:spPr>
    </xdr:sp>
    <xdr:clientData/>
  </xdr:oneCellAnchor>
  <xdr:oneCellAnchor>
    <xdr:from>
      <xdr:col>4</xdr:col>
      <xdr:colOff>1657350</xdr:colOff>
      <xdr:row>870</xdr:row>
      <xdr:rowOff>0</xdr:rowOff>
    </xdr:from>
    <xdr:ext cx="190500" cy="266700"/>
    <xdr:sp macro="" textlink="">
      <xdr:nvSpPr>
        <xdr:cNvPr id="8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9756226-4036-450C-AFC1-85A4D29273F2}"/>
            </a:ext>
            <a:ext uri="{147F2762-F138-4A5C-976F-8EAC2B608ADB}">
              <a16:predDERef xmlns:a16="http://schemas.microsoft.com/office/drawing/2014/main" pred="{53D7DF05-93FA-434F-8AD6-087660ECF2D9}"/>
            </a:ext>
          </a:extLst>
        </xdr:cNvPr>
        <xdr:cNvSpPr>
          <a:spLocks noChangeAspect="1" noChangeArrowheads="1"/>
        </xdr:cNvSpPr>
      </xdr:nvSpPr>
      <xdr:spPr bwMode="auto">
        <a:xfrm>
          <a:off x="7531100" y="169995850"/>
          <a:ext cx="190500" cy="266700"/>
        </a:xfrm>
        <a:prstGeom prst="rect">
          <a:avLst/>
        </a:prstGeom>
        <a:noFill/>
      </xdr:spPr>
    </xdr:sp>
    <xdr:clientData/>
  </xdr:oneCellAnchor>
  <xdr:oneCellAnchor>
    <xdr:from>
      <xdr:col>4</xdr:col>
      <xdr:colOff>1657350</xdr:colOff>
      <xdr:row>872</xdr:row>
      <xdr:rowOff>0</xdr:rowOff>
    </xdr:from>
    <xdr:ext cx="190500" cy="266700"/>
    <xdr:sp macro="" textlink="">
      <xdr:nvSpPr>
        <xdr:cNvPr id="8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E8835B0-DFBD-45D8-AB8F-FE1490103388}"/>
            </a:ext>
            <a:ext uri="{147F2762-F138-4A5C-976F-8EAC2B608ADB}">
              <a16:predDERef xmlns:a16="http://schemas.microsoft.com/office/drawing/2014/main" pred="{8F3180D9-6E9B-4CCF-8983-F7CBDD939A2D}"/>
            </a:ext>
          </a:extLst>
        </xdr:cNvPr>
        <xdr:cNvSpPr>
          <a:spLocks noChangeAspect="1" noChangeArrowheads="1"/>
        </xdr:cNvSpPr>
      </xdr:nvSpPr>
      <xdr:spPr bwMode="auto">
        <a:xfrm>
          <a:off x="7531100" y="170364150"/>
          <a:ext cx="190500" cy="266700"/>
        </a:xfrm>
        <a:prstGeom prst="rect">
          <a:avLst/>
        </a:prstGeom>
        <a:noFill/>
      </xdr:spPr>
    </xdr:sp>
    <xdr:clientData/>
  </xdr:oneCellAnchor>
  <xdr:oneCellAnchor>
    <xdr:from>
      <xdr:col>4</xdr:col>
      <xdr:colOff>1657350</xdr:colOff>
      <xdr:row>872</xdr:row>
      <xdr:rowOff>0</xdr:rowOff>
    </xdr:from>
    <xdr:ext cx="190500" cy="266700"/>
    <xdr:sp macro="" textlink="">
      <xdr:nvSpPr>
        <xdr:cNvPr id="8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2C73BEE-7F42-4C9F-80A1-0A9580B6F37D}"/>
            </a:ext>
            <a:ext uri="{147F2762-F138-4A5C-976F-8EAC2B608ADB}">
              <a16:predDERef xmlns:a16="http://schemas.microsoft.com/office/drawing/2014/main" pred="{C5D326F3-2602-4CC9-94F7-66A60F362668}"/>
            </a:ext>
          </a:extLst>
        </xdr:cNvPr>
        <xdr:cNvSpPr>
          <a:spLocks noChangeAspect="1" noChangeArrowheads="1"/>
        </xdr:cNvSpPr>
      </xdr:nvSpPr>
      <xdr:spPr bwMode="auto">
        <a:xfrm>
          <a:off x="7531100" y="170364150"/>
          <a:ext cx="190500" cy="266700"/>
        </a:xfrm>
        <a:prstGeom prst="rect">
          <a:avLst/>
        </a:prstGeom>
        <a:noFill/>
      </xdr:spPr>
    </xdr:sp>
    <xdr:clientData/>
  </xdr:oneCellAnchor>
  <xdr:oneCellAnchor>
    <xdr:from>
      <xdr:col>4</xdr:col>
      <xdr:colOff>1657350</xdr:colOff>
      <xdr:row>874</xdr:row>
      <xdr:rowOff>0</xdr:rowOff>
    </xdr:from>
    <xdr:ext cx="190500" cy="266700"/>
    <xdr:sp macro="" textlink="">
      <xdr:nvSpPr>
        <xdr:cNvPr id="8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1598D50-C1C7-4A93-B4A3-EB22450D5CDA}"/>
            </a:ext>
            <a:ext uri="{147F2762-F138-4A5C-976F-8EAC2B608ADB}">
              <a16:predDERef xmlns:a16="http://schemas.microsoft.com/office/drawing/2014/main" pred="{746B612E-0419-4A73-8E87-73000D3669D1}"/>
            </a:ext>
          </a:extLst>
        </xdr:cNvPr>
        <xdr:cNvSpPr>
          <a:spLocks noChangeAspect="1" noChangeArrowheads="1"/>
        </xdr:cNvSpPr>
      </xdr:nvSpPr>
      <xdr:spPr bwMode="auto">
        <a:xfrm>
          <a:off x="7531100" y="170732450"/>
          <a:ext cx="190500" cy="266700"/>
        </a:xfrm>
        <a:prstGeom prst="rect">
          <a:avLst/>
        </a:prstGeom>
        <a:noFill/>
      </xdr:spPr>
    </xdr:sp>
    <xdr:clientData/>
  </xdr:oneCellAnchor>
  <xdr:oneCellAnchor>
    <xdr:from>
      <xdr:col>4</xdr:col>
      <xdr:colOff>1657350</xdr:colOff>
      <xdr:row>874</xdr:row>
      <xdr:rowOff>0</xdr:rowOff>
    </xdr:from>
    <xdr:ext cx="190500" cy="266700"/>
    <xdr:sp macro="" textlink="">
      <xdr:nvSpPr>
        <xdr:cNvPr id="8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25A912E-8F77-40E3-AE76-33F3066641FA}"/>
            </a:ext>
            <a:ext uri="{147F2762-F138-4A5C-976F-8EAC2B608ADB}">
              <a16:predDERef xmlns:a16="http://schemas.microsoft.com/office/drawing/2014/main" pred="{6112827B-7D81-495C-B766-023E7073F0D6}"/>
            </a:ext>
          </a:extLst>
        </xdr:cNvPr>
        <xdr:cNvSpPr>
          <a:spLocks noChangeAspect="1" noChangeArrowheads="1"/>
        </xdr:cNvSpPr>
      </xdr:nvSpPr>
      <xdr:spPr bwMode="auto">
        <a:xfrm>
          <a:off x="7531100" y="170732450"/>
          <a:ext cx="190500" cy="266700"/>
        </a:xfrm>
        <a:prstGeom prst="rect">
          <a:avLst/>
        </a:prstGeom>
        <a:noFill/>
      </xdr:spPr>
    </xdr:sp>
    <xdr:clientData/>
  </xdr:oneCellAnchor>
  <xdr:oneCellAnchor>
    <xdr:from>
      <xdr:col>4</xdr:col>
      <xdr:colOff>1657350</xdr:colOff>
      <xdr:row>876</xdr:row>
      <xdr:rowOff>0</xdr:rowOff>
    </xdr:from>
    <xdr:ext cx="190500" cy="266700"/>
    <xdr:sp macro="" textlink="">
      <xdr:nvSpPr>
        <xdr:cNvPr id="8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674FCBE-680B-4E39-BED8-18038349C18D}"/>
            </a:ext>
            <a:ext uri="{147F2762-F138-4A5C-976F-8EAC2B608ADB}">
              <a16:predDERef xmlns:a16="http://schemas.microsoft.com/office/drawing/2014/main" pred="{1B795B84-C7CE-4B00-8BBB-8A4A086EB6F1}"/>
            </a:ext>
          </a:extLst>
        </xdr:cNvPr>
        <xdr:cNvSpPr>
          <a:spLocks noChangeAspect="1" noChangeArrowheads="1"/>
        </xdr:cNvSpPr>
      </xdr:nvSpPr>
      <xdr:spPr bwMode="auto">
        <a:xfrm>
          <a:off x="7531100" y="171100750"/>
          <a:ext cx="190500" cy="266700"/>
        </a:xfrm>
        <a:prstGeom prst="rect">
          <a:avLst/>
        </a:prstGeom>
        <a:noFill/>
      </xdr:spPr>
    </xdr:sp>
    <xdr:clientData/>
  </xdr:oneCellAnchor>
  <xdr:oneCellAnchor>
    <xdr:from>
      <xdr:col>4</xdr:col>
      <xdr:colOff>1657350</xdr:colOff>
      <xdr:row>876</xdr:row>
      <xdr:rowOff>0</xdr:rowOff>
    </xdr:from>
    <xdr:ext cx="190500" cy="266700"/>
    <xdr:sp macro="" textlink="">
      <xdr:nvSpPr>
        <xdr:cNvPr id="8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5C2D437-A684-4652-9D51-3A215D22A229}"/>
            </a:ext>
            <a:ext uri="{147F2762-F138-4A5C-976F-8EAC2B608ADB}">
              <a16:predDERef xmlns:a16="http://schemas.microsoft.com/office/drawing/2014/main" pred="{C55772FF-7ADF-4572-BA36-7086A3256A64}"/>
            </a:ext>
          </a:extLst>
        </xdr:cNvPr>
        <xdr:cNvSpPr>
          <a:spLocks noChangeAspect="1" noChangeArrowheads="1"/>
        </xdr:cNvSpPr>
      </xdr:nvSpPr>
      <xdr:spPr bwMode="auto">
        <a:xfrm>
          <a:off x="7531100" y="171100750"/>
          <a:ext cx="190500" cy="266700"/>
        </a:xfrm>
        <a:prstGeom prst="rect">
          <a:avLst/>
        </a:prstGeom>
        <a:noFill/>
      </xdr:spPr>
    </xdr:sp>
    <xdr:clientData/>
  </xdr:oneCellAnchor>
  <xdr:oneCellAnchor>
    <xdr:from>
      <xdr:col>4</xdr:col>
      <xdr:colOff>1657350</xdr:colOff>
      <xdr:row>878</xdr:row>
      <xdr:rowOff>0</xdr:rowOff>
    </xdr:from>
    <xdr:ext cx="190500" cy="266700"/>
    <xdr:sp macro="" textlink="">
      <xdr:nvSpPr>
        <xdr:cNvPr id="8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C3CC29F-D53A-421B-9EBA-CCD64EA2ED68}"/>
            </a:ext>
            <a:ext uri="{147F2762-F138-4A5C-976F-8EAC2B608ADB}">
              <a16:predDERef xmlns:a16="http://schemas.microsoft.com/office/drawing/2014/main" pred="{E17CC049-8C42-4F86-8E37-44861AF9E1F3}"/>
            </a:ext>
          </a:extLst>
        </xdr:cNvPr>
        <xdr:cNvSpPr>
          <a:spLocks noChangeAspect="1" noChangeArrowheads="1"/>
        </xdr:cNvSpPr>
      </xdr:nvSpPr>
      <xdr:spPr bwMode="auto">
        <a:xfrm>
          <a:off x="7531100" y="171469050"/>
          <a:ext cx="190500" cy="266700"/>
        </a:xfrm>
        <a:prstGeom prst="rect">
          <a:avLst/>
        </a:prstGeom>
        <a:noFill/>
      </xdr:spPr>
    </xdr:sp>
    <xdr:clientData/>
  </xdr:oneCellAnchor>
  <xdr:oneCellAnchor>
    <xdr:from>
      <xdr:col>4</xdr:col>
      <xdr:colOff>1657350</xdr:colOff>
      <xdr:row>878</xdr:row>
      <xdr:rowOff>0</xdr:rowOff>
    </xdr:from>
    <xdr:ext cx="190500" cy="266700"/>
    <xdr:sp macro="" textlink="">
      <xdr:nvSpPr>
        <xdr:cNvPr id="8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C3AD851-7D9F-4643-9825-16269ACCB2FA}"/>
            </a:ext>
            <a:ext uri="{147F2762-F138-4A5C-976F-8EAC2B608ADB}">
              <a16:predDERef xmlns:a16="http://schemas.microsoft.com/office/drawing/2014/main" pred="{5DA1DF96-180E-48AF-BEEE-B249AC3A2C1D}"/>
            </a:ext>
          </a:extLst>
        </xdr:cNvPr>
        <xdr:cNvSpPr>
          <a:spLocks noChangeAspect="1" noChangeArrowheads="1"/>
        </xdr:cNvSpPr>
      </xdr:nvSpPr>
      <xdr:spPr bwMode="auto">
        <a:xfrm>
          <a:off x="7531100" y="171469050"/>
          <a:ext cx="190500" cy="266700"/>
        </a:xfrm>
        <a:prstGeom prst="rect">
          <a:avLst/>
        </a:prstGeom>
        <a:noFill/>
      </xdr:spPr>
    </xdr:sp>
    <xdr:clientData/>
  </xdr:oneCellAnchor>
  <xdr:oneCellAnchor>
    <xdr:from>
      <xdr:col>4</xdr:col>
      <xdr:colOff>1657350</xdr:colOff>
      <xdr:row>880</xdr:row>
      <xdr:rowOff>0</xdr:rowOff>
    </xdr:from>
    <xdr:ext cx="190500" cy="266700"/>
    <xdr:sp macro="" textlink="">
      <xdr:nvSpPr>
        <xdr:cNvPr id="8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6918DDB-A5C2-4A5C-9EA9-9315197F0B4F}"/>
            </a:ext>
            <a:ext uri="{147F2762-F138-4A5C-976F-8EAC2B608ADB}">
              <a16:predDERef xmlns:a16="http://schemas.microsoft.com/office/drawing/2014/main" pred="{38442238-5E94-4C11-92BB-6A5A7C27F13E}"/>
            </a:ext>
          </a:extLst>
        </xdr:cNvPr>
        <xdr:cNvSpPr>
          <a:spLocks noChangeAspect="1" noChangeArrowheads="1"/>
        </xdr:cNvSpPr>
      </xdr:nvSpPr>
      <xdr:spPr bwMode="auto">
        <a:xfrm>
          <a:off x="7531100" y="171837350"/>
          <a:ext cx="190500" cy="266700"/>
        </a:xfrm>
        <a:prstGeom prst="rect">
          <a:avLst/>
        </a:prstGeom>
        <a:noFill/>
      </xdr:spPr>
    </xdr:sp>
    <xdr:clientData/>
  </xdr:oneCellAnchor>
  <xdr:oneCellAnchor>
    <xdr:from>
      <xdr:col>4</xdr:col>
      <xdr:colOff>1657350</xdr:colOff>
      <xdr:row>880</xdr:row>
      <xdr:rowOff>0</xdr:rowOff>
    </xdr:from>
    <xdr:ext cx="190500" cy="266700"/>
    <xdr:sp macro="" textlink="">
      <xdr:nvSpPr>
        <xdr:cNvPr id="8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7851DA-5E46-481F-A636-AAD5D01E0B45}"/>
            </a:ext>
            <a:ext uri="{147F2762-F138-4A5C-976F-8EAC2B608ADB}">
              <a16:predDERef xmlns:a16="http://schemas.microsoft.com/office/drawing/2014/main" pred="{DEDF125C-F26D-4A23-B684-ACB0F47D00D4}"/>
            </a:ext>
          </a:extLst>
        </xdr:cNvPr>
        <xdr:cNvSpPr>
          <a:spLocks noChangeAspect="1" noChangeArrowheads="1"/>
        </xdr:cNvSpPr>
      </xdr:nvSpPr>
      <xdr:spPr bwMode="auto">
        <a:xfrm>
          <a:off x="7531100" y="171837350"/>
          <a:ext cx="190500" cy="266700"/>
        </a:xfrm>
        <a:prstGeom prst="rect">
          <a:avLst/>
        </a:prstGeom>
        <a:noFill/>
      </xdr:spPr>
    </xdr:sp>
    <xdr:clientData/>
  </xdr:oneCellAnchor>
  <xdr:oneCellAnchor>
    <xdr:from>
      <xdr:col>4</xdr:col>
      <xdr:colOff>1657350</xdr:colOff>
      <xdr:row>882</xdr:row>
      <xdr:rowOff>0</xdr:rowOff>
    </xdr:from>
    <xdr:ext cx="190500" cy="266700"/>
    <xdr:sp macro="" textlink="">
      <xdr:nvSpPr>
        <xdr:cNvPr id="8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820EB9B-A1D6-40B8-A267-A534C800BD6C}"/>
            </a:ext>
            <a:ext uri="{147F2762-F138-4A5C-976F-8EAC2B608ADB}">
              <a16:predDERef xmlns:a16="http://schemas.microsoft.com/office/drawing/2014/main" pred="{0E5816A6-46CD-4A96-8942-5179177596F1}"/>
            </a:ext>
          </a:extLst>
        </xdr:cNvPr>
        <xdr:cNvSpPr>
          <a:spLocks noChangeAspect="1" noChangeArrowheads="1"/>
        </xdr:cNvSpPr>
      </xdr:nvSpPr>
      <xdr:spPr bwMode="auto">
        <a:xfrm>
          <a:off x="7531100" y="172205650"/>
          <a:ext cx="190500" cy="266700"/>
        </a:xfrm>
        <a:prstGeom prst="rect">
          <a:avLst/>
        </a:prstGeom>
        <a:noFill/>
      </xdr:spPr>
    </xdr:sp>
    <xdr:clientData/>
  </xdr:oneCellAnchor>
  <xdr:oneCellAnchor>
    <xdr:from>
      <xdr:col>4</xdr:col>
      <xdr:colOff>1657350</xdr:colOff>
      <xdr:row>882</xdr:row>
      <xdr:rowOff>0</xdr:rowOff>
    </xdr:from>
    <xdr:ext cx="190500" cy="266700"/>
    <xdr:sp macro="" textlink="">
      <xdr:nvSpPr>
        <xdr:cNvPr id="8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77889C4-0F78-429C-BA99-77DD08E288F5}"/>
            </a:ext>
            <a:ext uri="{147F2762-F138-4A5C-976F-8EAC2B608ADB}">
              <a16:predDERef xmlns:a16="http://schemas.microsoft.com/office/drawing/2014/main" pred="{1D696BB0-5C35-413B-877C-E4A7CC2F4349}"/>
            </a:ext>
          </a:extLst>
        </xdr:cNvPr>
        <xdr:cNvSpPr>
          <a:spLocks noChangeAspect="1" noChangeArrowheads="1"/>
        </xdr:cNvSpPr>
      </xdr:nvSpPr>
      <xdr:spPr bwMode="auto">
        <a:xfrm>
          <a:off x="7531100" y="172205650"/>
          <a:ext cx="190500" cy="266700"/>
        </a:xfrm>
        <a:prstGeom prst="rect">
          <a:avLst/>
        </a:prstGeom>
        <a:noFill/>
      </xdr:spPr>
    </xdr:sp>
    <xdr:clientData/>
  </xdr:oneCellAnchor>
  <xdr:oneCellAnchor>
    <xdr:from>
      <xdr:col>4</xdr:col>
      <xdr:colOff>1657350</xdr:colOff>
      <xdr:row>884</xdr:row>
      <xdr:rowOff>0</xdr:rowOff>
    </xdr:from>
    <xdr:ext cx="190500" cy="266700"/>
    <xdr:sp macro="" textlink="">
      <xdr:nvSpPr>
        <xdr:cNvPr id="8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36676C7-D020-434C-A55A-3B77D97959D5}"/>
            </a:ext>
            <a:ext uri="{147F2762-F138-4A5C-976F-8EAC2B608ADB}">
              <a16:predDERef xmlns:a16="http://schemas.microsoft.com/office/drawing/2014/main" pred="{FA25E89A-6C58-467C-BB92-85AC8BA247C7}"/>
            </a:ext>
          </a:extLst>
        </xdr:cNvPr>
        <xdr:cNvSpPr>
          <a:spLocks noChangeAspect="1" noChangeArrowheads="1"/>
        </xdr:cNvSpPr>
      </xdr:nvSpPr>
      <xdr:spPr bwMode="auto">
        <a:xfrm>
          <a:off x="7531100" y="172573950"/>
          <a:ext cx="190500" cy="266700"/>
        </a:xfrm>
        <a:prstGeom prst="rect">
          <a:avLst/>
        </a:prstGeom>
        <a:noFill/>
      </xdr:spPr>
    </xdr:sp>
    <xdr:clientData/>
  </xdr:oneCellAnchor>
  <xdr:oneCellAnchor>
    <xdr:from>
      <xdr:col>4</xdr:col>
      <xdr:colOff>1657350</xdr:colOff>
      <xdr:row>884</xdr:row>
      <xdr:rowOff>0</xdr:rowOff>
    </xdr:from>
    <xdr:ext cx="190500" cy="266700"/>
    <xdr:sp macro="" textlink="">
      <xdr:nvSpPr>
        <xdr:cNvPr id="8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7A5C1C2-A8F6-4C16-9BDC-02F150A46838}"/>
            </a:ext>
            <a:ext uri="{147F2762-F138-4A5C-976F-8EAC2B608ADB}">
              <a16:predDERef xmlns:a16="http://schemas.microsoft.com/office/drawing/2014/main" pred="{CAF05072-2AF0-47DB-A198-3EF07A2A5C36}"/>
            </a:ext>
          </a:extLst>
        </xdr:cNvPr>
        <xdr:cNvSpPr>
          <a:spLocks noChangeAspect="1" noChangeArrowheads="1"/>
        </xdr:cNvSpPr>
      </xdr:nvSpPr>
      <xdr:spPr bwMode="auto">
        <a:xfrm>
          <a:off x="7531100" y="172573950"/>
          <a:ext cx="190500" cy="266700"/>
        </a:xfrm>
        <a:prstGeom prst="rect">
          <a:avLst/>
        </a:prstGeom>
        <a:noFill/>
      </xdr:spPr>
    </xdr:sp>
    <xdr:clientData/>
  </xdr:oneCellAnchor>
  <xdr:oneCellAnchor>
    <xdr:from>
      <xdr:col>4</xdr:col>
      <xdr:colOff>1657350</xdr:colOff>
      <xdr:row>886</xdr:row>
      <xdr:rowOff>0</xdr:rowOff>
    </xdr:from>
    <xdr:ext cx="190500" cy="266700"/>
    <xdr:sp macro="" textlink="">
      <xdr:nvSpPr>
        <xdr:cNvPr id="8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A5E44A-A0F0-4729-AC1F-5A22BD0F98E4}"/>
            </a:ext>
            <a:ext uri="{147F2762-F138-4A5C-976F-8EAC2B608ADB}">
              <a16:predDERef xmlns:a16="http://schemas.microsoft.com/office/drawing/2014/main" pred="{80E6E2A4-4A45-4BC6-82FA-389DB80720B1}"/>
            </a:ext>
          </a:extLst>
        </xdr:cNvPr>
        <xdr:cNvSpPr>
          <a:spLocks noChangeAspect="1" noChangeArrowheads="1"/>
        </xdr:cNvSpPr>
      </xdr:nvSpPr>
      <xdr:spPr bwMode="auto">
        <a:xfrm>
          <a:off x="7531100" y="172942250"/>
          <a:ext cx="190500" cy="266700"/>
        </a:xfrm>
        <a:prstGeom prst="rect">
          <a:avLst/>
        </a:prstGeom>
        <a:noFill/>
      </xdr:spPr>
    </xdr:sp>
    <xdr:clientData/>
  </xdr:oneCellAnchor>
  <xdr:oneCellAnchor>
    <xdr:from>
      <xdr:col>4</xdr:col>
      <xdr:colOff>1657350</xdr:colOff>
      <xdr:row>886</xdr:row>
      <xdr:rowOff>0</xdr:rowOff>
    </xdr:from>
    <xdr:ext cx="190500" cy="266700"/>
    <xdr:sp macro="" textlink="">
      <xdr:nvSpPr>
        <xdr:cNvPr id="8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8A345D4-DEE0-4D36-BE88-1F9691F25019}"/>
            </a:ext>
            <a:ext uri="{147F2762-F138-4A5C-976F-8EAC2B608ADB}">
              <a16:predDERef xmlns:a16="http://schemas.microsoft.com/office/drawing/2014/main" pred="{7BD6B021-870F-480C-95F4-831F5D8240C5}"/>
            </a:ext>
          </a:extLst>
        </xdr:cNvPr>
        <xdr:cNvSpPr>
          <a:spLocks noChangeAspect="1" noChangeArrowheads="1"/>
        </xdr:cNvSpPr>
      </xdr:nvSpPr>
      <xdr:spPr bwMode="auto">
        <a:xfrm>
          <a:off x="7531100" y="172942250"/>
          <a:ext cx="190500" cy="266700"/>
        </a:xfrm>
        <a:prstGeom prst="rect">
          <a:avLst/>
        </a:prstGeom>
        <a:noFill/>
      </xdr:spPr>
    </xdr:sp>
    <xdr:clientData/>
  </xdr:oneCellAnchor>
  <xdr:oneCellAnchor>
    <xdr:from>
      <xdr:col>4</xdr:col>
      <xdr:colOff>1657350</xdr:colOff>
      <xdr:row>888</xdr:row>
      <xdr:rowOff>0</xdr:rowOff>
    </xdr:from>
    <xdr:ext cx="190500" cy="266700"/>
    <xdr:sp macro="" textlink="">
      <xdr:nvSpPr>
        <xdr:cNvPr id="8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2251557-80C3-4093-808D-FFBD0EA06B6C}"/>
            </a:ext>
            <a:ext uri="{147F2762-F138-4A5C-976F-8EAC2B608ADB}">
              <a16:predDERef xmlns:a16="http://schemas.microsoft.com/office/drawing/2014/main" pred="{8B97152B-E4EC-448F-B710-D9287B5305BB}"/>
            </a:ext>
          </a:extLst>
        </xdr:cNvPr>
        <xdr:cNvSpPr>
          <a:spLocks noChangeAspect="1" noChangeArrowheads="1"/>
        </xdr:cNvSpPr>
      </xdr:nvSpPr>
      <xdr:spPr bwMode="auto">
        <a:xfrm>
          <a:off x="7531100" y="173310550"/>
          <a:ext cx="190500" cy="266700"/>
        </a:xfrm>
        <a:prstGeom prst="rect">
          <a:avLst/>
        </a:prstGeom>
        <a:noFill/>
      </xdr:spPr>
    </xdr:sp>
    <xdr:clientData/>
  </xdr:oneCellAnchor>
  <xdr:oneCellAnchor>
    <xdr:from>
      <xdr:col>4</xdr:col>
      <xdr:colOff>1657350</xdr:colOff>
      <xdr:row>888</xdr:row>
      <xdr:rowOff>0</xdr:rowOff>
    </xdr:from>
    <xdr:ext cx="190500" cy="266700"/>
    <xdr:sp macro="" textlink="">
      <xdr:nvSpPr>
        <xdr:cNvPr id="8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F53C928-19E1-448E-9062-AA18025D70E4}"/>
            </a:ext>
            <a:ext uri="{147F2762-F138-4A5C-976F-8EAC2B608ADB}">
              <a16:predDERef xmlns:a16="http://schemas.microsoft.com/office/drawing/2014/main" pred="{BEE407F4-6079-4CF4-887D-C27CF8A44967}"/>
            </a:ext>
          </a:extLst>
        </xdr:cNvPr>
        <xdr:cNvSpPr>
          <a:spLocks noChangeAspect="1" noChangeArrowheads="1"/>
        </xdr:cNvSpPr>
      </xdr:nvSpPr>
      <xdr:spPr bwMode="auto">
        <a:xfrm>
          <a:off x="7531100" y="173310550"/>
          <a:ext cx="190500" cy="266700"/>
        </a:xfrm>
        <a:prstGeom prst="rect">
          <a:avLst/>
        </a:prstGeom>
        <a:noFill/>
      </xdr:spPr>
    </xdr:sp>
    <xdr:clientData/>
  </xdr:oneCellAnchor>
  <xdr:oneCellAnchor>
    <xdr:from>
      <xdr:col>4</xdr:col>
      <xdr:colOff>1657350</xdr:colOff>
      <xdr:row>890</xdr:row>
      <xdr:rowOff>0</xdr:rowOff>
    </xdr:from>
    <xdr:ext cx="190500" cy="266700"/>
    <xdr:sp macro="" textlink="">
      <xdr:nvSpPr>
        <xdr:cNvPr id="8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BC0A6B8-B417-43EA-933D-9BDAEDA682EC}"/>
            </a:ext>
            <a:ext uri="{147F2762-F138-4A5C-976F-8EAC2B608ADB}">
              <a16:predDERef xmlns:a16="http://schemas.microsoft.com/office/drawing/2014/main" pred="{B2C9B0F3-19A2-4BAC-B909-69C6BDC2B1FD}"/>
            </a:ext>
          </a:extLst>
        </xdr:cNvPr>
        <xdr:cNvSpPr>
          <a:spLocks noChangeAspect="1" noChangeArrowheads="1"/>
        </xdr:cNvSpPr>
      </xdr:nvSpPr>
      <xdr:spPr bwMode="auto">
        <a:xfrm>
          <a:off x="7531100" y="173678850"/>
          <a:ext cx="190500" cy="266700"/>
        </a:xfrm>
        <a:prstGeom prst="rect">
          <a:avLst/>
        </a:prstGeom>
        <a:noFill/>
      </xdr:spPr>
    </xdr:sp>
    <xdr:clientData/>
  </xdr:oneCellAnchor>
  <xdr:oneCellAnchor>
    <xdr:from>
      <xdr:col>4</xdr:col>
      <xdr:colOff>1657350</xdr:colOff>
      <xdr:row>890</xdr:row>
      <xdr:rowOff>0</xdr:rowOff>
    </xdr:from>
    <xdr:ext cx="190500" cy="266700"/>
    <xdr:sp macro="" textlink="">
      <xdr:nvSpPr>
        <xdr:cNvPr id="8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59D42FC-821C-48E9-91EB-78B3131B6686}"/>
            </a:ext>
            <a:ext uri="{147F2762-F138-4A5C-976F-8EAC2B608ADB}">
              <a16:predDERef xmlns:a16="http://schemas.microsoft.com/office/drawing/2014/main" pred="{223BF7CF-DDD7-4CD2-A288-889187FC87A7}"/>
            </a:ext>
          </a:extLst>
        </xdr:cNvPr>
        <xdr:cNvSpPr>
          <a:spLocks noChangeAspect="1" noChangeArrowheads="1"/>
        </xdr:cNvSpPr>
      </xdr:nvSpPr>
      <xdr:spPr bwMode="auto">
        <a:xfrm>
          <a:off x="7531100" y="173678850"/>
          <a:ext cx="190500" cy="266700"/>
        </a:xfrm>
        <a:prstGeom prst="rect">
          <a:avLst/>
        </a:prstGeom>
        <a:noFill/>
      </xdr:spPr>
    </xdr:sp>
    <xdr:clientData/>
  </xdr:oneCellAnchor>
  <xdr:oneCellAnchor>
    <xdr:from>
      <xdr:col>4</xdr:col>
      <xdr:colOff>1657350</xdr:colOff>
      <xdr:row>892</xdr:row>
      <xdr:rowOff>0</xdr:rowOff>
    </xdr:from>
    <xdr:ext cx="190500" cy="266700"/>
    <xdr:sp macro="" textlink="">
      <xdr:nvSpPr>
        <xdr:cNvPr id="8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AB66D3-2801-4468-8D0D-AE4D751E6420}"/>
            </a:ext>
            <a:ext uri="{147F2762-F138-4A5C-976F-8EAC2B608ADB}">
              <a16:predDERef xmlns:a16="http://schemas.microsoft.com/office/drawing/2014/main" pred="{68857623-611B-4498-A3F3-1F5F3AE61A80}"/>
            </a:ext>
          </a:extLst>
        </xdr:cNvPr>
        <xdr:cNvSpPr>
          <a:spLocks noChangeAspect="1" noChangeArrowheads="1"/>
        </xdr:cNvSpPr>
      </xdr:nvSpPr>
      <xdr:spPr bwMode="auto">
        <a:xfrm>
          <a:off x="7531100" y="174047150"/>
          <a:ext cx="190500" cy="266700"/>
        </a:xfrm>
        <a:prstGeom prst="rect">
          <a:avLst/>
        </a:prstGeom>
        <a:noFill/>
      </xdr:spPr>
    </xdr:sp>
    <xdr:clientData/>
  </xdr:oneCellAnchor>
  <xdr:oneCellAnchor>
    <xdr:from>
      <xdr:col>4</xdr:col>
      <xdr:colOff>1657350</xdr:colOff>
      <xdr:row>892</xdr:row>
      <xdr:rowOff>0</xdr:rowOff>
    </xdr:from>
    <xdr:ext cx="190500" cy="266700"/>
    <xdr:sp macro="" textlink="">
      <xdr:nvSpPr>
        <xdr:cNvPr id="8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5E0BFC6-791A-4ADA-93F0-452557BE5611}"/>
            </a:ext>
            <a:ext uri="{147F2762-F138-4A5C-976F-8EAC2B608ADB}">
              <a16:predDERef xmlns:a16="http://schemas.microsoft.com/office/drawing/2014/main" pred="{8D594B69-BA33-4188-8737-1ECC660134C0}"/>
            </a:ext>
          </a:extLst>
        </xdr:cNvPr>
        <xdr:cNvSpPr>
          <a:spLocks noChangeAspect="1" noChangeArrowheads="1"/>
        </xdr:cNvSpPr>
      </xdr:nvSpPr>
      <xdr:spPr bwMode="auto">
        <a:xfrm>
          <a:off x="7531100" y="174047150"/>
          <a:ext cx="190500" cy="266700"/>
        </a:xfrm>
        <a:prstGeom prst="rect">
          <a:avLst/>
        </a:prstGeom>
        <a:noFill/>
      </xdr:spPr>
    </xdr:sp>
    <xdr:clientData/>
  </xdr:oneCellAnchor>
  <xdr:oneCellAnchor>
    <xdr:from>
      <xdr:col>4</xdr:col>
      <xdr:colOff>1657350</xdr:colOff>
      <xdr:row>894</xdr:row>
      <xdr:rowOff>0</xdr:rowOff>
    </xdr:from>
    <xdr:ext cx="190500" cy="266700"/>
    <xdr:sp macro="" textlink="">
      <xdr:nvSpPr>
        <xdr:cNvPr id="8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E62825F-4F35-4F0E-AB3E-AC10A04AA72D}"/>
            </a:ext>
            <a:ext uri="{147F2762-F138-4A5C-976F-8EAC2B608ADB}">
              <a16:predDERef xmlns:a16="http://schemas.microsoft.com/office/drawing/2014/main" pred="{1B8E56CC-04F1-48CF-8663-EDCD4AEAF904}"/>
            </a:ext>
          </a:extLst>
        </xdr:cNvPr>
        <xdr:cNvSpPr>
          <a:spLocks noChangeAspect="1" noChangeArrowheads="1"/>
        </xdr:cNvSpPr>
      </xdr:nvSpPr>
      <xdr:spPr bwMode="auto">
        <a:xfrm>
          <a:off x="7531100" y="174415450"/>
          <a:ext cx="190500" cy="266700"/>
        </a:xfrm>
        <a:prstGeom prst="rect">
          <a:avLst/>
        </a:prstGeom>
        <a:noFill/>
      </xdr:spPr>
    </xdr:sp>
    <xdr:clientData/>
  </xdr:oneCellAnchor>
  <xdr:oneCellAnchor>
    <xdr:from>
      <xdr:col>4</xdr:col>
      <xdr:colOff>1657350</xdr:colOff>
      <xdr:row>894</xdr:row>
      <xdr:rowOff>0</xdr:rowOff>
    </xdr:from>
    <xdr:ext cx="190500" cy="266700"/>
    <xdr:sp macro="" textlink="">
      <xdr:nvSpPr>
        <xdr:cNvPr id="8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0ED319B-DA98-41E6-A257-A47C505B48D9}"/>
            </a:ext>
            <a:ext uri="{147F2762-F138-4A5C-976F-8EAC2B608ADB}">
              <a16:predDERef xmlns:a16="http://schemas.microsoft.com/office/drawing/2014/main" pred="{1419F029-D18E-4473-92DA-B2E7F4CA2CE9}"/>
            </a:ext>
          </a:extLst>
        </xdr:cNvPr>
        <xdr:cNvSpPr>
          <a:spLocks noChangeAspect="1" noChangeArrowheads="1"/>
        </xdr:cNvSpPr>
      </xdr:nvSpPr>
      <xdr:spPr bwMode="auto">
        <a:xfrm>
          <a:off x="7531100" y="174415450"/>
          <a:ext cx="190500" cy="266700"/>
        </a:xfrm>
        <a:prstGeom prst="rect">
          <a:avLst/>
        </a:prstGeom>
        <a:noFill/>
      </xdr:spPr>
    </xdr:sp>
    <xdr:clientData/>
  </xdr:oneCellAnchor>
  <xdr:oneCellAnchor>
    <xdr:from>
      <xdr:col>4</xdr:col>
      <xdr:colOff>1657350</xdr:colOff>
      <xdr:row>896</xdr:row>
      <xdr:rowOff>0</xdr:rowOff>
    </xdr:from>
    <xdr:ext cx="190500" cy="266700"/>
    <xdr:sp macro="" textlink="">
      <xdr:nvSpPr>
        <xdr:cNvPr id="8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6286228-9AF3-4C99-B4AE-CAE4E8017EB7}"/>
            </a:ext>
            <a:ext uri="{147F2762-F138-4A5C-976F-8EAC2B608ADB}">
              <a16:predDERef xmlns:a16="http://schemas.microsoft.com/office/drawing/2014/main" pred="{E78DD783-67FE-44BB-A6EB-91F267EAF7CE}"/>
            </a:ext>
          </a:extLst>
        </xdr:cNvPr>
        <xdr:cNvSpPr>
          <a:spLocks noChangeAspect="1" noChangeArrowheads="1"/>
        </xdr:cNvSpPr>
      </xdr:nvSpPr>
      <xdr:spPr bwMode="auto">
        <a:xfrm>
          <a:off x="7531100" y="174783750"/>
          <a:ext cx="190500" cy="266700"/>
        </a:xfrm>
        <a:prstGeom prst="rect">
          <a:avLst/>
        </a:prstGeom>
        <a:noFill/>
      </xdr:spPr>
    </xdr:sp>
    <xdr:clientData/>
  </xdr:oneCellAnchor>
  <xdr:oneCellAnchor>
    <xdr:from>
      <xdr:col>4</xdr:col>
      <xdr:colOff>1657350</xdr:colOff>
      <xdr:row>896</xdr:row>
      <xdr:rowOff>0</xdr:rowOff>
    </xdr:from>
    <xdr:ext cx="190500" cy="266700"/>
    <xdr:sp macro="" textlink="">
      <xdr:nvSpPr>
        <xdr:cNvPr id="8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9041853-65C6-45C0-A2C4-0EDD772229F6}"/>
            </a:ext>
            <a:ext uri="{147F2762-F138-4A5C-976F-8EAC2B608ADB}">
              <a16:predDERef xmlns:a16="http://schemas.microsoft.com/office/drawing/2014/main" pred="{5056942B-5C28-433D-9D90-7714C260BCBF}"/>
            </a:ext>
          </a:extLst>
        </xdr:cNvPr>
        <xdr:cNvSpPr>
          <a:spLocks noChangeAspect="1" noChangeArrowheads="1"/>
        </xdr:cNvSpPr>
      </xdr:nvSpPr>
      <xdr:spPr bwMode="auto">
        <a:xfrm>
          <a:off x="7531100" y="174783750"/>
          <a:ext cx="190500" cy="266700"/>
        </a:xfrm>
        <a:prstGeom prst="rect">
          <a:avLst/>
        </a:prstGeom>
        <a:noFill/>
      </xdr:spPr>
    </xdr:sp>
    <xdr:clientData/>
  </xdr:oneCellAnchor>
  <xdr:oneCellAnchor>
    <xdr:from>
      <xdr:col>4</xdr:col>
      <xdr:colOff>1657350</xdr:colOff>
      <xdr:row>898</xdr:row>
      <xdr:rowOff>0</xdr:rowOff>
    </xdr:from>
    <xdr:ext cx="190500" cy="266700"/>
    <xdr:sp macro="" textlink="">
      <xdr:nvSpPr>
        <xdr:cNvPr id="9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BCB1B6A-A2AB-4696-95C6-F192B758C5CC}"/>
            </a:ext>
            <a:ext uri="{147F2762-F138-4A5C-976F-8EAC2B608ADB}">
              <a16:predDERef xmlns:a16="http://schemas.microsoft.com/office/drawing/2014/main" pred="{C96B0D08-A68D-41A3-81D5-0C02136944C8}"/>
            </a:ext>
          </a:extLst>
        </xdr:cNvPr>
        <xdr:cNvSpPr>
          <a:spLocks noChangeAspect="1" noChangeArrowheads="1"/>
        </xdr:cNvSpPr>
      </xdr:nvSpPr>
      <xdr:spPr bwMode="auto">
        <a:xfrm>
          <a:off x="7531100" y="175152050"/>
          <a:ext cx="190500" cy="266700"/>
        </a:xfrm>
        <a:prstGeom prst="rect">
          <a:avLst/>
        </a:prstGeom>
        <a:noFill/>
      </xdr:spPr>
    </xdr:sp>
    <xdr:clientData/>
  </xdr:oneCellAnchor>
  <xdr:oneCellAnchor>
    <xdr:from>
      <xdr:col>4</xdr:col>
      <xdr:colOff>1657350</xdr:colOff>
      <xdr:row>898</xdr:row>
      <xdr:rowOff>0</xdr:rowOff>
    </xdr:from>
    <xdr:ext cx="190500" cy="266700"/>
    <xdr:sp macro="" textlink="">
      <xdr:nvSpPr>
        <xdr:cNvPr id="9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FC67C99-4690-4FF9-8323-DA278A425E10}"/>
            </a:ext>
            <a:ext uri="{147F2762-F138-4A5C-976F-8EAC2B608ADB}">
              <a16:predDERef xmlns:a16="http://schemas.microsoft.com/office/drawing/2014/main" pred="{158F1EC6-401E-4AAA-AE5E-7F75BFEB5EAD}"/>
            </a:ext>
          </a:extLst>
        </xdr:cNvPr>
        <xdr:cNvSpPr>
          <a:spLocks noChangeAspect="1" noChangeArrowheads="1"/>
        </xdr:cNvSpPr>
      </xdr:nvSpPr>
      <xdr:spPr bwMode="auto">
        <a:xfrm>
          <a:off x="7531100" y="175152050"/>
          <a:ext cx="190500" cy="266700"/>
        </a:xfrm>
        <a:prstGeom prst="rect">
          <a:avLst/>
        </a:prstGeom>
        <a:noFill/>
      </xdr:spPr>
    </xdr:sp>
    <xdr:clientData/>
  </xdr:oneCellAnchor>
  <xdr:oneCellAnchor>
    <xdr:from>
      <xdr:col>4</xdr:col>
      <xdr:colOff>1657350</xdr:colOff>
      <xdr:row>900</xdr:row>
      <xdr:rowOff>0</xdr:rowOff>
    </xdr:from>
    <xdr:ext cx="190500" cy="266700"/>
    <xdr:sp macro="" textlink="">
      <xdr:nvSpPr>
        <xdr:cNvPr id="9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B1F010D-A44D-4511-8FE4-600E3D1853EC}"/>
            </a:ext>
            <a:ext uri="{147F2762-F138-4A5C-976F-8EAC2B608ADB}">
              <a16:predDERef xmlns:a16="http://schemas.microsoft.com/office/drawing/2014/main" pred="{2E6F6EB2-A6AB-4BD4-AC68-743C50C070C2}"/>
            </a:ext>
          </a:extLst>
        </xdr:cNvPr>
        <xdr:cNvSpPr>
          <a:spLocks noChangeAspect="1" noChangeArrowheads="1"/>
        </xdr:cNvSpPr>
      </xdr:nvSpPr>
      <xdr:spPr bwMode="auto">
        <a:xfrm>
          <a:off x="7531100" y="175520350"/>
          <a:ext cx="190500" cy="266700"/>
        </a:xfrm>
        <a:prstGeom prst="rect">
          <a:avLst/>
        </a:prstGeom>
        <a:noFill/>
      </xdr:spPr>
    </xdr:sp>
    <xdr:clientData/>
  </xdr:oneCellAnchor>
  <xdr:oneCellAnchor>
    <xdr:from>
      <xdr:col>4</xdr:col>
      <xdr:colOff>1657350</xdr:colOff>
      <xdr:row>900</xdr:row>
      <xdr:rowOff>0</xdr:rowOff>
    </xdr:from>
    <xdr:ext cx="190500" cy="266700"/>
    <xdr:sp macro="" textlink="">
      <xdr:nvSpPr>
        <xdr:cNvPr id="9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4C8E5F8-F719-4FF5-84DA-AB58CCEB98CE}"/>
            </a:ext>
            <a:ext uri="{147F2762-F138-4A5C-976F-8EAC2B608ADB}">
              <a16:predDERef xmlns:a16="http://schemas.microsoft.com/office/drawing/2014/main" pred="{64F1CDE0-4E7E-4DBD-9F04-4A624FBB9030}"/>
            </a:ext>
          </a:extLst>
        </xdr:cNvPr>
        <xdr:cNvSpPr>
          <a:spLocks noChangeAspect="1" noChangeArrowheads="1"/>
        </xdr:cNvSpPr>
      </xdr:nvSpPr>
      <xdr:spPr bwMode="auto">
        <a:xfrm>
          <a:off x="7531100" y="175520350"/>
          <a:ext cx="190500" cy="266700"/>
        </a:xfrm>
        <a:prstGeom prst="rect">
          <a:avLst/>
        </a:prstGeom>
        <a:noFill/>
      </xdr:spPr>
    </xdr:sp>
    <xdr:clientData/>
  </xdr:oneCellAnchor>
  <xdr:oneCellAnchor>
    <xdr:from>
      <xdr:col>4</xdr:col>
      <xdr:colOff>1657350</xdr:colOff>
      <xdr:row>902</xdr:row>
      <xdr:rowOff>0</xdr:rowOff>
    </xdr:from>
    <xdr:ext cx="190500" cy="266700"/>
    <xdr:sp macro="" textlink="">
      <xdr:nvSpPr>
        <xdr:cNvPr id="9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38D0702-B541-4851-BE7A-CDE125255EB5}"/>
            </a:ext>
            <a:ext uri="{147F2762-F138-4A5C-976F-8EAC2B608ADB}">
              <a16:predDERef xmlns:a16="http://schemas.microsoft.com/office/drawing/2014/main" pred="{9E8B1A8D-57B8-435E-B788-3EDB48F6BD46}"/>
            </a:ext>
          </a:extLst>
        </xdr:cNvPr>
        <xdr:cNvSpPr>
          <a:spLocks noChangeAspect="1" noChangeArrowheads="1"/>
        </xdr:cNvSpPr>
      </xdr:nvSpPr>
      <xdr:spPr bwMode="auto">
        <a:xfrm>
          <a:off x="7531100" y="175888650"/>
          <a:ext cx="190500" cy="266700"/>
        </a:xfrm>
        <a:prstGeom prst="rect">
          <a:avLst/>
        </a:prstGeom>
        <a:noFill/>
      </xdr:spPr>
    </xdr:sp>
    <xdr:clientData/>
  </xdr:oneCellAnchor>
  <xdr:oneCellAnchor>
    <xdr:from>
      <xdr:col>4</xdr:col>
      <xdr:colOff>1657350</xdr:colOff>
      <xdr:row>902</xdr:row>
      <xdr:rowOff>0</xdr:rowOff>
    </xdr:from>
    <xdr:ext cx="190500" cy="266700"/>
    <xdr:sp macro="" textlink="">
      <xdr:nvSpPr>
        <xdr:cNvPr id="9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DDF8950-04A4-4B72-AB1B-F52B5A862734}"/>
            </a:ext>
            <a:ext uri="{147F2762-F138-4A5C-976F-8EAC2B608ADB}">
              <a16:predDERef xmlns:a16="http://schemas.microsoft.com/office/drawing/2014/main" pred="{2289BC9A-1EF2-485C-B9F1-4DA2F64B4F3A}"/>
            </a:ext>
          </a:extLst>
        </xdr:cNvPr>
        <xdr:cNvSpPr>
          <a:spLocks noChangeAspect="1" noChangeArrowheads="1"/>
        </xdr:cNvSpPr>
      </xdr:nvSpPr>
      <xdr:spPr bwMode="auto">
        <a:xfrm>
          <a:off x="7531100" y="175888650"/>
          <a:ext cx="190500" cy="266700"/>
        </a:xfrm>
        <a:prstGeom prst="rect">
          <a:avLst/>
        </a:prstGeom>
        <a:noFill/>
      </xdr:spPr>
    </xdr:sp>
    <xdr:clientData/>
  </xdr:oneCellAnchor>
  <xdr:oneCellAnchor>
    <xdr:from>
      <xdr:col>4</xdr:col>
      <xdr:colOff>1657350</xdr:colOff>
      <xdr:row>904</xdr:row>
      <xdr:rowOff>0</xdr:rowOff>
    </xdr:from>
    <xdr:ext cx="190500" cy="266700"/>
    <xdr:sp macro="" textlink="">
      <xdr:nvSpPr>
        <xdr:cNvPr id="9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B0B4507-2B22-4AB0-8819-78BC8BC4007E}"/>
            </a:ext>
            <a:ext uri="{147F2762-F138-4A5C-976F-8EAC2B608ADB}">
              <a16:predDERef xmlns:a16="http://schemas.microsoft.com/office/drawing/2014/main" pred="{6DC79F10-C3CA-4D31-868E-2AD1B04D79D3}"/>
            </a:ext>
          </a:extLst>
        </xdr:cNvPr>
        <xdr:cNvSpPr>
          <a:spLocks noChangeAspect="1" noChangeArrowheads="1"/>
        </xdr:cNvSpPr>
      </xdr:nvSpPr>
      <xdr:spPr bwMode="auto">
        <a:xfrm>
          <a:off x="7531100" y="176256950"/>
          <a:ext cx="190500" cy="266700"/>
        </a:xfrm>
        <a:prstGeom prst="rect">
          <a:avLst/>
        </a:prstGeom>
        <a:noFill/>
      </xdr:spPr>
    </xdr:sp>
    <xdr:clientData/>
  </xdr:oneCellAnchor>
  <xdr:oneCellAnchor>
    <xdr:from>
      <xdr:col>4</xdr:col>
      <xdr:colOff>1657350</xdr:colOff>
      <xdr:row>904</xdr:row>
      <xdr:rowOff>0</xdr:rowOff>
    </xdr:from>
    <xdr:ext cx="190500" cy="266700"/>
    <xdr:sp macro="" textlink="">
      <xdr:nvSpPr>
        <xdr:cNvPr id="9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549CBFB-D62E-4C02-86AF-22A8B777A0FF}"/>
            </a:ext>
            <a:ext uri="{147F2762-F138-4A5C-976F-8EAC2B608ADB}">
              <a16:predDERef xmlns:a16="http://schemas.microsoft.com/office/drawing/2014/main" pred="{DC342E34-626F-4F30-BC99-8558B5F321C8}"/>
            </a:ext>
          </a:extLst>
        </xdr:cNvPr>
        <xdr:cNvSpPr>
          <a:spLocks noChangeAspect="1" noChangeArrowheads="1"/>
        </xdr:cNvSpPr>
      </xdr:nvSpPr>
      <xdr:spPr bwMode="auto">
        <a:xfrm>
          <a:off x="7531100" y="176256950"/>
          <a:ext cx="190500" cy="266700"/>
        </a:xfrm>
        <a:prstGeom prst="rect">
          <a:avLst/>
        </a:prstGeom>
        <a:noFill/>
      </xdr:spPr>
    </xdr:sp>
    <xdr:clientData/>
  </xdr:oneCellAnchor>
  <xdr:oneCellAnchor>
    <xdr:from>
      <xdr:col>4</xdr:col>
      <xdr:colOff>1657350</xdr:colOff>
      <xdr:row>906</xdr:row>
      <xdr:rowOff>0</xdr:rowOff>
    </xdr:from>
    <xdr:ext cx="190500" cy="266700"/>
    <xdr:sp macro="" textlink="">
      <xdr:nvSpPr>
        <xdr:cNvPr id="9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ABA1317-0205-4A90-8757-C393883DC329}"/>
            </a:ext>
            <a:ext uri="{147F2762-F138-4A5C-976F-8EAC2B608ADB}">
              <a16:predDERef xmlns:a16="http://schemas.microsoft.com/office/drawing/2014/main" pred="{BBA23F60-798A-43AC-986D-E69186F36BB7}"/>
            </a:ext>
          </a:extLst>
        </xdr:cNvPr>
        <xdr:cNvSpPr>
          <a:spLocks noChangeAspect="1" noChangeArrowheads="1"/>
        </xdr:cNvSpPr>
      </xdr:nvSpPr>
      <xdr:spPr bwMode="auto">
        <a:xfrm>
          <a:off x="7531100" y="176625250"/>
          <a:ext cx="190500" cy="266700"/>
        </a:xfrm>
        <a:prstGeom prst="rect">
          <a:avLst/>
        </a:prstGeom>
        <a:noFill/>
      </xdr:spPr>
    </xdr:sp>
    <xdr:clientData/>
  </xdr:oneCellAnchor>
  <xdr:oneCellAnchor>
    <xdr:from>
      <xdr:col>4</xdr:col>
      <xdr:colOff>1657350</xdr:colOff>
      <xdr:row>906</xdr:row>
      <xdr:rowOff>0</xdr:rowOff>
    </xdr:from>
    <xdr:ext cx="190500" cy="266700"/>
    <xdr:sp macro="" textlink="">
      <xdr:nvSpPr>
        <xdr:cNvPr id="9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2A014A5-E84F-413C-9000-929CC52DAE07}"/>
            </a:ext>
            <a:ext uri="{147F2762-F138-4A5C-976F-8EAC2B608ADB}">
              <a16:predDERef xmlns:a16="http://schemas.microsoft.com/office/drawing/2014/main" pred="{79C84AB2-4020-4BB3-8F87-C5FCC7CE137E}"/>
            </a:ext>
          </a:extLst>
        </xdr:cNvPr>
        <xdr:cNvSpPr>
          <a:spLocks noChangeAspect="1" noChangeArrowheads="1"/>
        </xdr:cNvSpPr>
      </xdr:nvSpPr>
      <xdr:spPr bwMode="auto">
        <a:xfrm>
          <a:off x="7531100" y="176625250"/>
          <a:ext cx="190500" cy="266700"/>
        </a:xfrm>
        <a:prstGeom prst="rect">
          <a:avLst/>
        </a:prstGeom>
        <a:noFill/>
      </xdr:spPr>
    </xdr:sp>
    <xdr:clientData/>
  </xdr:oneCellAnchor>
  <xdr:oneCellAnchor>
    <xdr:from>
      <xdr:col>4</xdr:col>
      <xdr:colOff>1657350</xdr:colOff>
      <xdr:row>908</xdr:row>
      <xdr:rowOff>0</xdr:rowOff>
    </xdr:from>
    <xdr:ext cx="190500" cy="266700"/>
    <xdr:sp macro="" textlink="">
      <xdr:nvSpPr>
        <xdr:cNvPr id="9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E7024B3-0225-49E6-853F-3399A123BA71}"/>
            </a:ext>
            <a:ext uri="{147F2762-F138-4A5C-976F-8EAC2B608ADB}">
              <a16:predDERef xmlns:a16="http://schemas.microsoft.com/office/drawing/2014/main" pred="{5B77687C-7771-4F8F-BB87-B5F9FBB056B2}"/>
            </a:ext>
          </a:extLst>
        </xdr:cNvPr>
        <xdr:cNvSpPr>
          <a:spLocks noChangeAspect="1" noChangeArrowheads="1"/>
        </xdr:cNvSpPr>
      </xdr:nvSpPr>
      <xdr:spPr bwMode="auto">
        <a:xfrm>
          <a:off x="7531100" y="176993550"/>
          <a:ext cx="190500" cy="266700"/>
        </a:xfrm>
        <a:prstGeom prst="rect">
          <a:avLst/>
        </a:prstGeom>
        <a:noFill/>
      </xdr:spPr>
    </xdr:sp>
    <xdr:clientData/>
  </xdr:oneCellAnchor>
  <xdr:oneCellAnchor>
    <xdr:from>
      <xdr:col>4</xdr:col>
      <xdr:colOff>1657350</xdr:colOff>
      <xdr:row>908</xdr:row>
      <xdr:rowOff>0</xdr:rowOff>
    </xdr:from>
    <xdr:ext cx="190500" cy="266700"/>
    <xdr:sp macro="" textlink="">
      <xdr:nvSpPr>
        <xdr:cNvPr id="9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1F2DBD4-5D1E-4A02-81FB-52D9CC770DE9}"/>
            </a:ext>
            <a:ext uri="{147F2762-F138-4A5C-976F-8EAC2B608ADB}">
              <a16:predDERef xmlns:a16="http://schemas.microsoft.com/office/drawing/2014/main" pred="{819A88B8-A049-447E-AB9D-B60ADD3B33CE}"/>
            </a:ext>
          </a:extLst>
        </xdr:cNvPr>
        <xdr:cNvSpPr>
          <a:spLocks noChangeAspect="1" noChangeArrowheads="1"/>
        </xdr:cNvSpPr>
      </xdr:nvSpPr>
      <xdr:spPr bwMode="auto">
        <a:xfrm>
          <a:off x="7531100" y="176993550"/>
          <a:ext cx="190500" cy="266700"/>
        </a:xfrm>
        <a:prstGeom prst="rect">
          <a:avLst/>
        </a:prstGeom>
        <a:noFill/>
      </xdr:spPr>
    </xdr:sp>
    <xdr:clientData/>
  </xdr:oneCellAnchor>
  <xdr:oneCellAnchor>
    <xdr:from>
      <xdr:col>4</xdr:col>
      <xdr:colOff>1657350</xdr:colOff>
      <xdr:row>910</xdr:row>
      <xdr:rowOff>0</xdr:rowOff>
    </xdr:from>
    <xdr:ext cx="190500" cy="266700"/>
    <xdr:sp macro="" textlink="">
      <xdr:nvSpPr>
        <xdr:cNvPr id="9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3A7336-BEFF-4B78-BFF1-F4F63A971831}"/>
            </a:ext>
            <a:ext uri="{147F2762-F138-4A5C-976F-8EAC2B608ADB}">
              <a16:predDERef xmlns:a16="http://schemas.microsoft.com/office/drawing/2014/main" pred="{E1BC6DD5-6EC8-4B80-9AB7-73E106D3A6C3}"/>
            </a:ext>
          </a:extLst>
        </xdr:cNvPr>
        <xdr:cNvSpPr>
          <a:spLocks noChangeAspect="1" noChangeArrowheads="1"/>
        </xdr:cNvSpPr>
      </xdr:nvSpPr>
      <xdr:spPr bwMode="auto">
        <a:xfrm>
          <a:off x="7531100" y="177361850"/>
          <a:ext cx="190500" cy="266700"/>
        </a:xfrm>
        <a:prstGeom prst="rect">
          <a:avLst/>
        </a:prstGeom>
        <a:noFill/>
      </xdr:spPr>
    </xdr:sp>
    <xdr:clientData/>
  </xdr:oneCellAnchor>
  <xdr:oneCellAnchor>
    <xdr:from>
      <xdr:col>4</xdr:col>
      <xdr:colOff>1657350</xdr:colOff>
      <xdr:row>910</xdr:row>
      <xdr:rowOff>0</xdr:rowOff>
    </xdr:from>
    <xdr:ext cx="190500" cy="266700"/>
    <xdr:sp macro="" textlink="">
      <xdr:nvSpPr>
        <xdr:cNvPr id="9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50DDE5A-4983-44FD-B305-5144263912B9}"/>
            </a:ext>
            <a:ext uri="{147F2762-F138-4A5C-976F-8EAC2B608ADB}">
              <a16:predDERef xmlns:a16="http://schemas.microsoft.com/office/drawing/2014/main" pred="{C6244DAB-6011-4834-9CBF-CFC8859C7756}"/>
            </a:ext>
          </a:extLst>
        </xdr:cNvPr>
        <xdr:cNvSpPr>
          <a:spLocks noChangeAspect="1" noChangeArrowheads="1"/>
        </xdr:cNvSpPr>
      </xdr:nvSpPr>
      <xdr:spPr bwMode="auto">
        <a:xfrm>
          <a:off x="7531100" y="177361850"/>
          <a:ext cx="190500" cy="266700"/>
        </a:xfrm>
        <a:prstGeom prst="rect">
          <a:avLst/>
        </a:prstGeom>
        <a:noFill/>
      </xdr:spPr>
    </xdr:sp>
    <xdr:clientData/>
  </xdr:oneCellAnchor>
  <xdr:oneCellAnchor>
    <xdr:from>
      <xdr:col>4</xdr:col>
      <xdr:colOff>1657350</xdr:colOff>
      <xdr:row>912</xdr:row>
      <xdr:rowOff>0</xdr:rowOff>
    </xdr:from>
    <xdr:ext cx="190500" cy="266700"/>
    <xdr:sp macro="" textlink="">
      <xdr:nvSpPr>
        <xdr:cNvPr id="9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B97AEE0-7AE2-4C77-9F3F-2F9B69E2D723}"/>
            </a:ext>
            <a:ext uri="{147F2762-F138-4A5C-976F-8EAC2B608ADB}">
              <a16:predDERef xmlns:a16="http://schemas.microsoft.com/office/drawing/2014/main" pred="{C5D7EEB1-4C0A-4E0F-8C41-9679E100DF84}"/>
            </a:ext>
          </a:extLst>
        </xdr:cNvPr>
        <xdr:cNvSpPr>
          <a:spLocks noChangeAspect="1" noChangeArrowheads="1"/>
        </xdr:cNvSpPr>
      </xdr:nvSpPr>
      <xdr:spPr bwMode="auto">
        <a:xfrm>
          <a:off x="7531100" y="177730150"/>
          <a:ext cx="190500" cy="266700"/>
        </a:xfrm>
        <a:prstGeom prst="rect">
          <a:avLst/>
        </a:prstGeom>
        <a:noFill/>
      </xdr:spPr>
    </xdr:sp>
    <xdr:clientData/>
  </xdr:oneCellAnchor>
  <xdr:oneCellAnchor>
    <xdr:from>
      <xdr:col>4</xdr:col>
      <xdr:colOff>1657350</xdr:colOff>
      <xdr:row>912</xdr:row>
      <xdr:rowOff>0</xdr:rowOff>
    </xdr:from>
    <xdr:ext cx="190500" cy="266700"/>
    <xdr:sp macro="" textlink="">
      <xdr:nvSpPr>
        <xdr:cNvPr id="9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FBA2A44-CEBF-4734-A4ED-14C209874D64}"/>
            </a:ext>
            <a:ext uri="{147F2762-F138-4A5C-976F-8EAC2B608ADB}">
              <a16:predDERef xmlns:a16="http://schemas.microsoft.com/office/drawing/2014/main" pred="{0291FA1B-10F7-407E-B27D-2B2813D22132}"/>
            </a:ext>
          </a:extLst>
        </xdr:cNvPr>
        <xdr:cNvSpPr>
          <a:spLocks noChangeAspect="1" noChangeArrowheads="1"/>
        </xdr:cNvSpPr>
      </xdr:nvSpPr>
      <xdr:spPr bwMode="auto">
        <a:xfrm>
          <a:off x="7531100" y="177730150"/>
          <a:ext cx="190500" cy="266700"/>
        </a:xfrm>
        <a:prstGeom prst="rect">
          <a:avLst/>
        </a:prstGeom>
        <a:noFill/>
      </xdr:spPr>
    </xdr:sp>
    <xdr:clientData/>
  </xdr:oneCellAnchor>
  <xdr:oneCellAnchor>
    <xdr:from>
      <xdr:col>4</xdr:col>
      <xdr:colOff>1657350</xdr:colOff>
      <xdr:row>914</xdr:row>
      <xdr:rowOff>0</xdr:rowOff>
    </xdr:from>
    <xdr:ext cx="190500" cy="266700"/>
    <xdr:sp macro="" textlink="">
      <xdr:nvSpPr>
        <xdr:cNvPr id="9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C8F0DA-9CE2-492E-8FFF-99283E26EEE4}"/>
            </a:ext>
            <a:ext uri="{147F2762-F138-4A5C-976F-8EAC2B608ADB}">
              <a16:predDERef xmlns:a16="http://schemas.microsoft.com/office/drawing/2014/main" pred="{464F8F0F-622A-421E-93A2-5B27D425C732}"/>
            </a:ext>
          </a:extLst>
        </xdr:cNvPr>
        <xdr:cNvSpPr>
          <a:spLocks noChangeAspect="1" noChangeArrowheads="1"/>
        </xdr:cNvSpPr>
      </xdr:nvSpPr>
      <xdr:spPr bwMode="auto">
        <a:xfrm>
          <a:off x="7531100" y="178098450"/>
          <a:ext cx="190500" cy="266700"/>
        </a:xfrm>
        <a:prstGeom prst="rect">
          <a:avLst/>
        </a:prstGeom>
        <a:noFill/>
      </xdr:spPr>
    </xdr:sp>
    <xdr:clientData/>
  </xdr:oneCellAnchor>
  <xdr:oneCellAnchor>
    <xdr:from>
      <xdr:col>4</xdr:col>
      <xdr:colOff>1657350</xdr:colOff>
      <xdr:row>914</xdr:row>
      <xdr:rowOff>0</xdr:rowOff>
    </xdr:from>
    <xdr:ext cx="190500" cy="266700"/>
    <xdr:sp macro="" textlink="">
      <xdr:nvSpPr>
        <xdr:cNvPr id="9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ECBFB61-E9E2-46DA-AF09-986384BC55D5}"/>
            </a:ext>
            <a:ext uri="{147F2762-F138-4A5C-976F-8EAC2B608ADB}">
              <a16:predDERef xmlns:a16="http://schemas.microsoft.com/office/drawing/2014/main" pred="{71D520B1-C01A-4338-97A3-E97FCF4F334A}"/>
            </a:ext>
          </a:extLst>
        </xdr:cNvPr>
        <xdr:cNvSpPr>
          <a:spLocks noChangeAspect="1" noChangeArrowheads="1"/>
        </xdr:cNvSpPr>
      </xdr:nvSpPr>
      <xdr:spPr bwMode="auto">
        <a:xfrm>
          <a:off x="7531100" y="178098450"/>
          <a:ext cx="190500" cy="266700"/>
        </a:xfrm>
        <a:prstGeom prst="rect">
          <a:avLst/>
        </a:prstGeom>
        <a:noFill/>
      </xdr:spPr>
    </xdr:sp>
    <xdr:clientData/>
  </xdr:oneCellAnchor>
  <xdr:oneCellAnchor>
    <xdr:from>
      <xdr:col>4</xdr:col>
      <xdr:colOff>1657350</xdr:colOff>
      <xdr:row>916</xdr:row>
      <xdr:rowOff>0</xdr:rowOff>
    </xdr:from>
    <xdr:ext cx="190500" cy="266700"/>
    <xdr:sp macro="" textlink="">
      <xdr:nvSpPr>
        <xdr:cNvPr id="9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10C1420-9DA9-49E2-A696-0D9FA6C5C3E3}"/>
            </a:ext>
            <a:ext uri="{147F2762-F138-4A5C-976F-8EAC2B608ADB}">
              <a16:predDERef xmlns:a16="http://schemas.microsoft.com/office/drawing/2014/main" pred="{1E8A9A15-7052-430B-8163-6D07C5CA0AE3}"/>
            </a:ext>
          </a:extLst>
        </xdr:cNvPr>
        <xdr:cNvSpPr>
          <a:spLocks noChangeAspect="1" noChangeArrowheads="1"/>
        </xdr:cNvSpPr>
      </xdr:nvSpPr>
      <xdr:spPr bwMode="auto">
        <a:xfrm>
          <a:off x="7531100" y="178466750"/>
          <a:ext cx="190500" cy="266700"/>
        </a:xfrm>
        <a:prstGeom prst="rect">
          <a:avLst/>
        </a:prstGeom>
        <a:noFill/>
      </xdr:spPr>
    </xdr:sp>
    <xdr:clientData/>
  </xdr:oneCellAnchor>
  <xdr:oneCellAnchor>
    <xdr:from>
      <xdr:col>4</xdr:col>
      <xdr:colOff>1657350</xdr:colOff>
      <xdr:row>916</xdr:row>
      <xdr:rowOff>0</xdr:rowOff>
    </xdr:from>
    <xdr:ext cx="190500" cy="266700"/>
    <xdr:sp macro="" textlink="">
      <xdr:nvSpPr>
        <xdr:cNvPr id="9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B99CDC-ABB1-41E7-BA39-1374A9637046}"/>
            </a:ext>
            <a:ext uri="{147F2762-F138-4A5C-976F-8EAC2B608ADB}">
              <a16:predDERef xmlns:a16="http://schemas.microsoft.com/office/drawing/2014/main" pred="{871B2F5D-8CCB-4F3D-B4A7-391EF42E0687}"/>
            </a:ext>
          </a:extLst>
        </xdr:cNvPr>
        <xdr:cNvSpPr>
          <a:spLocks noChangeAspect="1" noChangeArrowheads="1"/>
        </xdr:cNvSpPr>
      </xdr:nvSpPr>
      <xdr:spPr bwMode="auto">
        <a:xfrm>
          <a:off x="7531100" y="178466750"/>
          <a:ext cx="190500" cy="266700"/>
        </a:xfrm>
        <a:prstGeom prst="rect">
          <a:avLst/>
        </a:prstGeom>
        <a:noFill/>
      </xdr:spPr>
    </xdr:sp>
    <xdr:clientData/>
  </xdr:oneCellAnchor>
  <xdr:oneCellAnchor>
    <xdr:from>
      <xdr:col>4</xdr:col>
      <xdr:colOff>1657350</xdr:colOff>
      <xdr:row>918</xdr:row>
      <xdr:rowOff>0</xdr:rowOff>
    </xdr:from>
    <xdr:ext cx="190500" cy="266700"/>
    <xdr:sp macro="" textlink="">
      <xdr:nvSpPr>
        <xdr:cNvPr id="9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8B94584-6402-42EA-8B9C-44DDA4C2BC08}"/>
            </a:ext>
            <a:ext uri="{147F2762-F138-4A5C-976F-8EAC2B608ADB}">
              <a16:predDERef xmlns:a16="http://schemas.microsoft.com/office/drawing/2014/main" pred="{0A9F75E9-2ECF-48D1-AC89-950692040698}"/>
            </a:ext>
          </a:extLst>
        </xdr:cNvPr>
        <xdr:cNvSpPr>
          <a:spLocks noChangeAspect="1" noChangeArrowheads="1"/>
        </xdr:cNvSpPr>
      </xdr:nvSpPr>
      <xdr:spPr bwMode="auto">
        <a:xfrm>
          <a:off x="7531100" y="178835050"/>
          <a:ext cx="190500" cy="266700"/>
        </a:xfrm>
        <a:prstGeom prst="rect">
          <a:avLst/>
        </a:prstGeom>
        <a:noFill/>
      </xdr:spPr>
    </xdr:sp>
    <xdr:clientData/>
  </xdr:oneCellAnchor>
  <xdr:oneCellAnchor>
    <xdr:from>
      <xdr:col>4</xdr:col>
      <xdr:colOff>1657350</xdr:colOff>
      <xdr:row>918</xdr:row>
      <xdr:rowOff>0</xdr:rowOff>
    </xdr:from>
    <xdr:ext cx="190500" cy="266700"/>
    <xdr:sp macro="" textlink="">
      <xdr:nvSpPr>
        <xdr:cNvPr id="9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328F66D-67D4-40B2-AB07-50B000F5A3A5}"/>
            </a:ext>
            <a:ext uri="{147F2762-F138-4A5C-976F-8EAC2B608ADB}">
              <a16:predDERef xmlns:a16="http://schemas.microsoft.com/office/drawing/2014/main" pred="{F94FB249-8BA0-4FFD-BA6A-EF004B211557}"/>
            </a:ext>
          </a:extLst>
        </xdr:cNvPr>
        <xdr:cNvSpPr>
          <a:spLocks noChangeAspect="1" noChangeArrowheads="1"/>
        </xdr:cNvSpPr>
      </xdr:nvSpPr>
      <xdr:spPr bwMode="auto">
        <a:xfrm>
          <a:off x="7531100" y="178835050"/>
          <a:ext cx="190500" cy="266700"/>
        </a:xfrm>
        <a:prstGeom prst="rect">
          <a:avLst/>
        </a:prstGeom>
        <a:noFill/>
      </xdr:spPr>
    </xdr:sp>
    <xdr:clientData/>
  </xdr:oneCellAnchor>
  <xdr:oneCellAnchor>
    <xdr:from>
      <xdr:col>4</xdr:col>
      <xdr:colOff>1657350</xdr:colOff>
      <xdr:row>920</xdr:row>
      <xdr:rowOff>0</xdr:rowOff>
    </xdr:from>
    <xdr:ext cx="190500" cy="266700"/>
    <xdr:sp macro="" textlink="">
      <xdr:nvSpPr>
        <xdr:cNvPr id="9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1592F3-D012-485E-A326-0E83281867D4}"/>
            </a:ext>
            <a:ext uri="{147F2762-F138-4A5C-976F-8EAC2B608ADB}">
              <a16:predDERef xmlns:a16="http://schemas.microsoft.com/office/drawing/2014/main" pred="{B353A16D-3150-4DD0-9CC6-CE09A4907180}"/>
            </a:ext>
          </a:extLst>
        </xdr:cNvPr>
        <xdr:cNvSpPr>
          <a:spLocks noChangeAspect="1" noChangeArrowheads="1"/>
        </xdr:cNvSpPr>
      </xdr:nvSpPr>
      <xdr:spPr bwMode="auto">
        <a:xfrm>
          <a:off x="7531100" y="179203350"/>
          <a:ext cx="190500" cy="266700"/>
        </a:xfrm>
        <a:prstGeom prst="rect">
          <a:avLst/>
        </a:prstGeom>
        <a:noFill/>
      </xdr:spPr>
    </xdr:sp>
    <xdr:clientData/>
  </xdr:oneCellAnchor>
  <xdr:oneCellAnchor>
    <xdr:from>
      <xdr:col>4</xdr:col>
      <xdr:colOff>1657350</xdr:colOff>
      <xdr:row>920</xdr:row>
      <xdr:rowOff>0</xdr:rowOff>
    </xdr:from>
    <xdr:ext cx="190500" cy="266700"/>
    <xdr:sp macro="" textlink="">
      <xdr:nvSpPr>
        <xdr:cNvPr id="9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D57B3D-0491-41AF-9B87-FEA752BC81A1}"/>
            </a:ext>
            <a:ext uri="{147F2762-F138-4A5C-976F-8EAC2B608ADB}">
              <a16:predDERef xmlns:a16="http://schemas.microsoft.com/office/drawing/2014/main" pred="{6B5C7A6D-E7B0-4FCA-A6D5-177C208044FB}"/>
            </a:ext>
          </a:extLst>
        </xdr:cNvPr>
        <xdr:cNvSpPr>
          <a:spLocks noChangeAspect="1" noChangeArrowheads="1"/>
        </xdr:cNvSpPr>
      </xdr:nvSpPr>
      <xdr:spPr bwMode="auto">
        <a:xfrm>
          <a:off x="7531100" y="179203350"/>
          <a:ext cx="190500" cy="266700"/>
        </a:xfrm>
        <a:prstGeom prst="rect">
          <a:avLst/>
        </a:prstGeom>
        <a:noFill/>
      </xdr:spPr>
    </xdr:sp>
    <xdr:clientData/>
  </xdr:oneCellAnchor>
  <xdr:oneCellAnchor>
    <xdr:from>
      <xdr:col>4</xdr:col>
      <xdr:colOff>1657350</xdr:colOff>
      <xdr:row>922</xdr:row>
      <xdr:rowOff>0</xdr:rowOff>
    </xdr:from>
    <xdr:ext cx="190500" cy="266700"/>
    <xdr:sp macro="" textlink="">
      <xdr:nvSpPr>
        <xdr:cNvPr id="9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8914A11-3CDF-466E-A865-05F62D0843E3}"/>
            </a:ext>
            <a:ext uri="{147F2762-F138-4A5C-976F-8EAC2B608ADB}">
              <a16:predDERef xmlns:a16="http://schemas.microsoft.com/office/drawing/2014/main" pred="{AB871AC3-FDE9-48F7-819E-F517A8630C03}"/>
            </a:ext>
          </a:extLst>
        </xdr:cNvPr>
        <xdr:cNvSpPr>
          <a:spLocks noChangeAspect="1" noChangeArrowheads="1"/>
        </xdr:cNvSpPr>
      </xdr:nvSpPr>
      <xdr:spPr bwMode="auto">
        <a:xfrm>
          <a:off x="7531100" y="179571650"/>
          <a:ext cx="190500" cy="266700"/>
        </a:xfrm>
        <a:prstGeom prst="rect">
          <a:avLst/>
        </a:prstGeom>
        <a:noFill/>
      </xdr:spPr>
    </xdr:sp>
    <xdr:clientData/>
  </xdr:oneCellAnchor>
  <xdr:oneCellAnchor>
    <xdr:from>
      <xdr:col>4</xdr:col>
      <xdr:colOff>1657350</xdr:colOff>
      <xdr:row>922</xdr:row>
      <xdr:rowOff>0</xdr:rowOff>
    </xdr:from>
    <xdr:ext cx="190500" cy="266700"/>
    <xdr:sp macro="" textlink="">
      <xdr:nvSpPr>
        <xdr:cNvPr id="9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40B7557-E0CC-42D1-A706-16C088BC6FA6}"/>
            </a:ext>
            <a:ext uri="{147F2762-F138-4A5C-976F-8EAC2B608ADB}">
              <a16:predDERef xmlns:a16="http://schemas.microsoft.com/office/drawing/2014/main" pred="{7629C127-B813-4F2C-A982-0CDE164C32A6}"/>
            </a:ext>
          </a:extLst>
        </xdr:cNvPr>
        <xdr:cNvSpPr>
          <a:spLocks noChangeAspect="1" noChangeArrowheads="1"/>
        </xdr:cNvSpPr>
      </xdr:nvSpPr>
      <xdr:spPr bwMode="auto">
        <a:xfrm>
          <a:off x="7531100" y="179571650"/>
          <a:ext cx="190500" cy="266700"/>
        </a:xfrm>
        <a:prstGeom prst="rect">
          <a:avLst/>
        </a:prstGeom>
        <a:noFill/>
      </xdr:spPr>
    </xdr:sp>
    <xdr:clientData/>
  </xdr:oneCellAnchor>
  <xdr:oneCellAnchor>
    <xdr:from>
      <xdr:col>4</xdr:col>
      <xdr:colOff>1657350</xdr:colOff>
      <xdr:row>924</xdr:row>
      <xdr:rowOff>0</xdr:rowOff>
    </xdr:from>
    <xdr:ext cx="190500" cy="266700"/>
    <xdr:sp macro="" textlink="">
      <xdr:nvSpPr>
        <xdr:cNvPr id="9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002892C-E05B-43CA-B029-E410E0B3CC35}"/>
            </a:ext>
            <a:ext uri="{147F2762-F138-4A5C-976F-8EAC2B608ADB}">
              <a16:predDERef xmlns:a16="http://schemas.microsoft.com/office/drawing/2014/main" pred="{70C8AB7D-372E-47E9-8AC2-BFB1C098D681}"/>
            </a:ext>
          </a:extLst>
        </xdr:cNvPr>
        <xdr:cNvSpPr>
          <a:spLocks noChangeAspect="1" noChangeArrowheads="1"/>
        </xdr:cNvSpPr>
      </xdr:nvSpPr>
      <xdr:spPr bwMode="auto">
        <a:xfrm>
          <a:off x="7531100" y="179939950"/>
          <a:ext cx="190500" cy="266700"/>
        </a:xfrm>
        <a:prstGeom prst="rect">
          <a:avLst/>
        </a:prstGeom>
        <a:noFill/>
      </xdr:spPr>
    </xdr:sp>
    <xdr:clientData/>
  </xdr:oneCellAnchor>
  <xdr:oneCellAnchor>
    <xdr:from>
      <xdr:col>4</xdr:col>
      <xdr:colOff>1657350</xdr:colOff>
      <xdr:row>924</xdr:row>
      <xdr:rowOff>0</xdr:rowOff>
    </xdr:from>
    <xdr:ext cx="190500" cy="266700"/>
    <xdr:sp macro="" textlink="">
      <xdr:nvSpPr>
        <xdr:cNvPr id="9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709B15B-19C8-498E-9607-F875B577A361}"/>
            </a:ext>
            <a:ext uri="{147F2762-F138-4A5C-976F-8EAC2B608ADB}">
              <a16:predDERef xmlns:a16="http://schemas.microsoft.com/office/drawing/2014/main" pred="{9D6C4B8E-3CC1-4FC5-BEC8-EE59BC87EC3F}"/>
            </a:ext>
          </a:extLst>
        </xdr:cNvPr>
        <xdr:cNvSpPr>
          <a:spLocks noChangeAspect="1" noChangeArrowheads="1"/>
        </xdr:cNvSpPr>
      </xdr:nvSpPr>
      <xdr:spPr bwMode="auto">
        <a:xfrm>
          <a:off x="7531100" y="179939950"/>
          <a:ext cx="190500" cy="266700"/>
        </a:xfrm>
        <a:prstGeom prst="rect">
          <a:avLst/>
        </a:prstGeom>
        <a:noFill/>
      </xdr:spPr>
    </xdr:sp>
    <xdr:clientData/>
  </xdr:oneCellAnchor>
  <xdr:oneCellAnchor>
    <xdr:from>
      <xdr:col>4</xdr:col>
      <xdr:colOff>1657350</xdr:colOff>
      <xdr:row>926</xdr:row>
      <xdr:rowOff>0</xdr:rowOff>
    </xdr:from>
    <xdr:ext cx="190500" cy="266700"/>
    <xdr:sp macro="" textlink="">
      <xdr:nvSpPr>
        <xdr:cNvPr id="9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2421806-B61B-4E19-BA9D-A6BBCD5920AA}"/>
            </a:ext>
            <a:ext uri="{147F2762-F138-4A5C-976F-8EAC2B608ADB}">
              <a16:predDERef xmlns:a16="http://schemas.microsoft.com/office/drawing/2014/main" pred="{40D2C7CB-833B-40C7-A8EF-BB99F76EBD77}"/>
            </a:ext>
          </a:extLst>
        </xdr:cNvPr>
        <xdr:cNvSpPr>
          <a:spLocks noChangeAspect="1" noChangeArrowheads="1"/>
        </xdr:cNvSpPr>
      </xdr:nvSpPr>
      <xdr:spPr bwMode="auto">
        <a:xfrm>
          <a:off x="7531100" y="180308250"/>
          <a:ext cx="190500" cy="266700"/>
        </a:xfrm>
        <a:prstGeom prst="rect">
          <a:avLst/>
        </a:prstGeom>
        <a:noFill/>
      </xdr:spPr>
    </xdr:sp>
    <xdr:clientData/>
  </xdr:oneCellAnchor>
  <xdr:oneCellAnchor>
    <xdr:from>
      <xdr:col>4</xdr:col>
      <xdr:colOff>1657350</xdr:colOff>
      <xdr:row>926</xdr:row>
      <xdr:rowOff>0</xdr:rowOff>
    </xdr:from>
    <xdr:ext cx="190500" cy="266700"/>
    <xdr:sp macro="" textlink="">
      <xdr:nvSpPr>
        <xdr:cNvPr id="9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58F3CF1-6366-4DE3-9D20-4B78B89A9FE5}"/>
            </a:ext>
            <a:ext uri="{147F2762-F138-4A5C-976F-8EAC2B608ADB}">
              <a16:predDERef xmlns:a16="http://schemas.microsoft.com/office/drawing/2014/main" pred="{B2301308-8AA1-455A-9FDD-2972346C55B9}"/>
            </a:ext>
          </a:extLst>
        </xdr:cNvPr>
        <xdr:cNvSpPr>
          <a:spLocks noChangeAspect="1" noChangeArrowheads="1"/>
        </xdr:cNvSpPr>
      </xdr:nvSpPr>
      <xdr:spPr bwMode="auto">
        <a:xfrm>
          <a:off x="7531100" y="180308250"/>
          <a:ext cx="190500" cy="266700"/>
        </a:xfrm>
        <a:prstGeom prst="rect">
          <a:avLst/>
        </a:prstGeom>
        <a:noFill/>
      </xdr:spPr>
    </xdr:sp>
    <xdr:clientData/>
  </xdr:oneCellAnchor>
  <xdr:oneCellAnchor>
    <xdr:from>
      <xdr:col>4</xdr:col>
      <xdr:colOff>1657350</xdr:colOff>
      <xdr:row>928</xdr:row>
      <xdr:rowOff>0</xdr:rowOff>
    </xdr:from>
    <xdr:ext cx="190500" cy="266700"/>
    <xdr:sp macro="" textlink="">
      <xdr:nvSpPr>
        <xdr:cNvPr id="9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A792EAB-2C0B-4B42-B59C-DEA36FE0BE53}"/>
            </a:ext>
            <a:ext uri="{147F2762-F138-4A5C-976F-8EAC2B608ADB}">
              <a16:predDERef xmlns:a16="http://schemas.microsoft.com/office/drawing/2014/main" pred="{49AE69FD-5661-46C3-A0B5-8AF3046C030B}"/>
            </a:ext>
          </a:extLst>
        </xdr:cNvPr>
        <xdr:cNvSpPr>
          <a:spLocks noChangeAspect="1" noChangeArrowheads="1"/>
        </xdr:cNvSpPr>
      </xdr:nvSpPr>
      <xdr:spPr bwMode="auto">
        <a:xfrm>
          <a:off x="7531100" y="180676550"/>
          <a:ext cx="190500" cy="266700"/>
        </a:xfrm>
        <a:prstGeom prst="rect">
          <a:avLst/>
        </a:prstGeom>
        <a:noFill/>
      </xdr:spPr>
    </xdr:sp>
    <xdr:clientData/>
  </xdr:oneCellAnchor>
  <xdr:oneCellAnchor>
    <xdr:from>
      <xdr:col>4</xdr:col>
      <xdr:colOff>1657350</xdr:colOff>
      <xdr:row>928</xdr:row>
      <xdr:rowOff>0</xdr:rowOff>
    </xdr:from>
    <xdr:ext cx="190500" cy="266700"/>
    <xdr:sp macro="" textlink="">
      <xdr:nvSpPr>
        <xdr:cNvPr id="9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06B231F-45AE-4733-9E0A-BF8F25BD8549}"/>
            </a:ext>
            <a:ext uri="{147F2762-F138-4A5C-976F-8EAC2B608ADB}">
              <a16:predDERef xmlns:a16="http://schemas.microsoft.com/office/drawing/2014/main" pred="{9F5FFD1D-F56B-4C94-9FAA-94676B12538E}"/>
            </a:ext>
          </a:extLst>
        </xdr:cNvPr>
        <xdr:cNvSpPr>
          <a:spLocks noChangeAspect="1" noChangeArrowheads="1"/>
        </xdr:cNvSpPr>
      </xdr:nvSpPr>
      <xdr:spPr bwMode="auto">
        <a:xfrm>
          <a:off x="7531100" y="180676550"/>
          <a:ext cx="190500" cy="266700"/>
        </a:xfrm>
        <a:prstGeom prst="rect">
          <a:avLst/>
        </a:prstGeom>
        <a:noFill/>
      </xdr:spPr>
    </xdr:sp>
    <xdr:clientData/>
  </xdr:oneCellAnchor>
  <xdr:oneCellAnchor>
    <xdr:from>
      <xdr:col>4</xdr:col>
      <xdr:colOff>1657350</xdr:colOff>
      <xdr:row>930</xdr:row>
      <xdr:rowOff>0</xdr:rowOff>
    </xdr:from>
    <xdr:ext cx="190500" cy="266700"/>
    <xdr:sp macro="" textlink="">
      <xdr:nvSpPr>
        <xdr:cNvPr id="9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9BCEA17-FD6E-4BE2-8AC2-F5B4A57CDF8C}"/>
            </a:ext>
            <a:ext uri="{147F2762-F138-4A5C-976F-8EAC2B608ADB}">
              <a16:predDERef xmlns:a16="http://schemas.microsoft.com/office/drawing/2014/main" pred="{CAA9F68F-DBB2-4AC6-A9CB-564CDED70101}"/>
            </a:ext>
          </a:extLst>
        </xdr:cNvPr>
        <xdr:cNvSpPr>
          <a:spLocks noChangeAspect="1" noChangeArrowheads="1"/>
        </xdr:cNvSpPr>
      </xdr:nvSpPr>
      <xdr:spPr bwMode="auto">
        <a:xfrm>
          <a:off x="7531100" y="181044850"/>
          <a:ext cx="190500" cy="266700"/>
        </a:xfrm>
        <a:prstGeom prst="rect">
          <a:avLst/>
        </a:prstGeom>
        <a:noFill/>
      </xdr:spPr>
    </xdr:sp>
    <xdr:clientData/>
  </xdr:oneCellAnchor>
  <xdr:oneCellAnchor>
    <xdr:from>
      <xdr:col>4</xdr:col>
      <xdr:colOff>1657350</xdr:colOff>
      <xdr:row>930</xdr:row>
      <xdr:rowOff>0</xdr:rowOff>
    </xdr:from>
    <xdr:ext cx="190500" cy="266700"/>
    <xdr:sp macro="" textlink="">
      <xdr:nvSpPr>
        <xdr:cNvPr id="9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2007CC4-0FB4-4EF3-AE28-E15A8FBE1346}"/>
            </a:ext>
            <a:ext uri="{147F2762-F138-4A5C-976F-8EAC2B608ADB}">
              <a16:predDERef xmlns:a16="http://schemas.microsoft.com/office/drawing/2014/main" pred="{F9044F7C-4571-4892-A720-7F42B10969DB}"/>
            </a:ext>
          </a:extLst>
        </xdr:cNvPr>
        <xdr:cNvSpPr>
          <a:spLocks noChangeAspect="1" noChangeArrowheads="1"/>
        </xdr:cNvSpPr>
      </xdr:nvSpPr>
      <xdr:spPr bwMode="auto">
        <a:xfrm>
          <a:off x="7531100" y="181044850"/>
          <a:ext cx="190500" cy="266700"/>
        </a:xfrm>
        <a:prstGeom prst="rect">
          <a:avLst/>
        </a:prstGeom>
        <a:noFill/>
      </xdr:spPr>
    </xdr:sp>
    <xdr:clientData/>
  </xdr:oneCellAnchor>
  <xdr:oneCellAnchor>
    <xdr:from>
      <xdr:col>4</xdr:col>
      <xdr:colOff>1657350</xdr:colOff>
      <xdr:row>932</xdr:row>
      <xdr:rowOff>0</xdr:rowOff>
    </xdr:from>
    <xdr:ext cx="190500" cy="266700"/>
    <xdr:sp macro="" textlink="">
      <xdr:nvSpPr>
        <xdr:cNvPr id="9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22991B8-1095-4370-953D-EFB9891C5373}"/>
            </a:ext>
            <a:ext uri="{147F2762-F138-4A5C-976F-8EAC2B608ADB}">
              <a16:predDERef xmlns:a16="http://schemas.microsoft.com/office/drawing/2014/main" pred="{723B4230-A6D7-4095-A8F9-F03C682049BD}"/>
            </a:ext>
          </a:extLst>
        </xdr:cNvPr>
        <xdr:cNvSpPr>
          <a:spLocks noChangeAspect="1" noChangeArrowheads="1"/>
        </xdr:cNvSpPr>
      </xdr:nvSpPr>
      <xdr:spPr bwMode="auto">
        <a:xfrm>
          <a:off x="7531100" y="181413150"/>
          <a:ext cx="190500" cy="266700"/>
        </a:xfrm>
        <a:prstGeom prst="rect">
          <a:avLst/>
        </a:prstGeom>
        <a:noFill/>
      </xdr:spPr>
    </xdr:sp>
    <xdr:clientData/>
  </xdr:oneCellAnchor>
  <xdr:oneCellAnchor>
    <xdr:from>
      <xdr:col>4</xdr:col>
      <xdr:colOff>1657350</xdr:colOff>
      <xdr:row>932</xdr:row>
      <xdr:rowOff>0</xdr:rowOff>
    </xdr:from>
    <xdr:ext cx="190500" cy="266700"/>
    <xdr:sp macro="" textlink="">
      <xdr:nvSpPr>
        <xdr:cNvPr id="9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3712E63-35F7-4E45-BD4A-105C7ED1A3AB}"/>
            </a:ext>
            <a:ext uri="{147F2762-F138-4A5C-976F-8EAC2B608ADB}">
              <a16:predDERef xmlns:a16="http://schemas.microsoft.com/office/drawing/2014/main" pred="{02496309-14FC-4159-9605-C857DF131E9B}"/>
            </a:ext>
          </a:extLst>
        </xdr:cNvPr>
        <xdr:cNvSpPr>
          <a:spLocks noChangeAspect="1" noChangeArrowheads="1"/>
        </xdr:cNvSpPr>
      </xdr:nvSpPr>
      <xdr:spPr bwMode="auto">
        <a:xfrm>
          <a:off x="7531100" y="181413150"/>
          <a:ext cx="190500" cy="266700"/>
        </a:xfrm>
        <a:prstGeom prst="rect">
          <a:avLst/>
        </a:prstGeom>
        <a:noFill/>
      </xdr:spPr>
    </xdr:sp>
    <xdr:clientData/>
  </xdr:oneCellAnchor>
  <xdr:oneCellAnchor>
    <xdr:from>
      <xdr:col>4</xdr:col>
      <xdr:colOff>1657350</xdr:colOff>
      <xdr:row>934</xdr:row>
      <xdr:rowOff>0</xdr:rowOff>
    </xdr:from>
    <xdr:ext cx="190500" cy="266700"/>
    <xdr:sp macro="" textlink="">
      <xdr:nvSpPr>
        <xdr:cNvPr id="9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191AF14-BD06-48B7-A5D6-F3D21660EAFF}"/>
            </a:ext>
            <a:ext uri="{147F2762-F138-4A5C-976F-8EAC2B608ADB}">
              <a16:predDERef xmlns:a16="http://schemas.microsoft.com/office/drawing/2014/main" pred="{E825A6D2-175B-466B-A0D9-4A89F5C367C7}"/>
            </a:ext>
          </a:extLst>
        </xdr:cNvPr>
        <xdr:cNvSpPr>
          <a:spLocks noChangeAspect="1" noChangeArrowheads="1"/>
        </xdr:cNvSpPr>
      </xdr:nvSpPr>
      <xdr:spPr bwMode="auto">
        <a:xfrm>
          <a:off x="7531100" y="181781450"/>
          <a:ext cx="190500" cy="266700"/>
        </a:xfrm>
        <a:prstGeom prst="rect">
          <a:avLst/>
        </a:prstGeom>
        <a:noFill/>
      </xdr:spPr>
    </xdr:sp>
    <xdr:clientData/>
  </xdr:oneCellAnchor>
  <xdr:oneCellAnchor>
    <xdr:from>
      <xdr:col>4</xdr:col>
      <xdr:colOff>1657350</xdr:colOff>
      <xdr:row>934</xdr:row>
      <xdr:rowOff>0</xdr:rowOff>
    </xdr:from>
    <xdr:ext cx="190500" cy="266700"/>
    <xdr:sp macro="" textlink="">
      <xdr:nvSpPr>
        <xdr:cNvPr id="9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93708A1-B995-47D9-91B5-260D4870F2BA}"/>
            </a:ext>
            <a:ext uri="{147F2762-F138-4A5C-976F-8EAC2B608ADB}">
              <a16:predDERef xmlns:a16="http://schemas.microsoft.com/office/drawing/2014/main" pred="{5361F49A-6402-4B67-89DF-FFAA9ECF88B3}"/>
            </a:ext>
          </a:extLst>
        </xdr:cNvPr>
        <xdr:cNvSpPr>
          <a:spLocks noChangeAspect="1" noChangeArrowheads="1"/>
        </xdr:cNvSpPr>
      </xdr:nvSpPr>
      <xdr:spPr bwMode="auto">
        <a:xfrm>
          <a:off x="7531100" y="181781450"/>
          <a:ext cx="190500" cy="266700"/>
        </a:xfrm>
        <a:prstGeom prst="rect">
          <a:avLst/>
        </a:prstGeom>
        <a:noFill/>
      </xdr:spPr>
    </xdr:sp>
    <xdr:clientData/>
  </xdr:oneCellAnchor>
  <xdr:oneCellAnchor>
    <xdr:from>
      <xdr:col>4</xdr:col>
      <xdr:colOff>1657350</xdr:colOff>
      <xdr:row>936</xdr:row>
      <xdr:rowOff>0</xdr:rowOff>
    </xdr:from>
    <xdr:ext cx="190500" cy="266700"/>
    <xdr:sp macro="" textlink="">
      <xdr:nvSpPr>
        <xdr:cNvPr id="9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15403B-ABC3-4A7C-A102-2845CC2DF278}"/>
            </a:ext>
            <a:ext uri="{147F2762-F138-4A5C-976F-8EAC2B608ADB}">
              <a16:predDERef xmlns:a16="http://schemas.microsoft.com/office/drawing/2014/main" pred="{3901F473-7A09-4DA6-AABF-217EAC487233}"/>
            </a:ext>
          </a:extLst>
        </xdr:cNvPr>
        <xdr:cNvSpPr>
          <a:spLocks noChangeAspect="1" noChangeArrowheads="1"/>
        </xdr:cNvSpPr>
      </xdr:nvSpPr>
      <xdr:spPr bwMode="auto">
        <a:xfrm>
          <a:off x="7531100" y="182149750"/>
          <a:ext cx="190500" cy="266700"/>
        </a:xfrm>
        <a:prstGeom prst="rect">
          <a:avLst/>
        </a:prstGeom>
        <a:noFill/>
      </xdr:spPr>
    </xdr:sp>
    <xdr:clientData/>
  </xdr:oneCellAnchor>
  <xdr:oneCellAnchor>
    <xdr:from>
      <xdr:col>4</xdr:col>
      <xdr:colOff>1657350</xdr:colOff>
      <xdr:row>936</xdr:row>
      <xdr:rowOff>0</xdr:rowOff>
    </xdr:from>
    <xdr:ext cx="190500" cy="266700"/>
    <xdr:sp macro="" textlink="">
      <xdr:nvSpPr>
        <xdr:cNvPr id="9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C28485F-F1C0-40C8-8B57-46691FD42117}"/>
            </a:ext>
            <a:ext uri="{147F2762-F138-4A5C-976F-8EAC2B608ADB}">
              <a16:predDERef xmlns:a16="http://schemas.microsoft.com/office/drawing/2014/main" pred="{7015196E-A39C-44BE-A0AB-F5F593F9F054}"/>
            </a:ext>
          </a:extLst>
        </xdr:cNvPr>
        <xdr:cNvSpPr>
          <a:spLocks noChangeAspect="1" noChangeArrowheads="1"/>
        </xdr:cNvSpPr>
      </xdr:nvSpPr>
      <xdr:spPr bwMode="auto">
        <a:xfrm>
          <a:off x="7531100" y="182149750"/>
          <a:ext cx="190500" cy="266700"/>
        </a:xfrm>
        <a:prstGeom prst="rect">
          <a:avLst/>
        </a:prstGeom>
        <a:noFill/>
      </xdr:spPr>
    </xdr:sp>
    <xdr:clientData/>
  </xdr:oneCellAnchor>
  <xdr:oneCellAnchor>
    <xdr:from>
      <xdr:col>4</xdr:col>
      <xdr:colOff>1657350</xdr:colOff>
      <xdr:row>938</xdr:row>
      <xdr:rowOff>0</xdr:rowOff>
    </xdr:from>
    <xdr:ext cx="190500" cy="266700"/>
    <xdr:sp macro="" textlink="">
      <xdr:nvSpPr>
        <xdr:cNvPr id="9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04CA029-74AB-487B-A189-6C6E0A248EDD}"/>
            </a:ext>
            <a:ext uri="{147F2762-F138-4A5C-976F-8EAC2B608ADB}">
              <a16:predDERef xmlns:a16="http://schemas.microsoft.com/office/drawing/2014/main" pred="{2B8A1744-C949-429B-9A67-E3AFC5D28495}"/>
            </a:ext>
          </a:extLst>
        </xdr:cNvPr>
        <xdr:cNvSpPr>
          <a:spLocks noChangeAspect="1" noChangeArrowheads="1"/>
        </xdr:cNvSpPr>
      </xdr:nvSpPr>
      <xdr:spPr bwMode="auto">
        <a:xfrm>
          <a:off x="7531100" y="182518050"/>
          <a:ext cx="190500" cy="266700"/>
        </a:xfrm>
        <a:prstGeom prst="rect">
          <a:avLst/>
        </a:prstGeom>
        <a:noFill/>
      </xdr:spPr>
    </xdr:sp>
    <xdr:clientData/>
  </xdr:oneCellAnchor>
  <xdr:oneCellAnchor>
    <xdr:from>
      <xdr:col>4</xdr:col>
      <xdr:colOff>1657350</xdr:colOff>
      <xdr:row>938</xdr:row>
      <xdr:rowOff>0</xdr:rowOff>
    </xdr:from>
    <xdr:ext cx="190500" cy="266700"/>
    <xdr:sp macro="" textlink="">
      <xdr:nvSpPr>
        <xdr:cNvPr id="9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6A18C28-B3C7-4A5C-A3FD-1276E5BC4023}"/>
            </a:ext>
            <a:ext uri="{147F2762-F138-4A5C-976F-8EAC2B608ADB}">
              <a16:predDERef xmlns:a16="http://schemas.microsoft.com/office/drawing/2014/main" pred="{9A47AAAC-3B2C-4E56-8094-58D496D9AB4D}"/>
            </a:ext>
          </a:extLst>
        </xdr:cNvPr>
        <xdr:cNvSpPr>
          <a:spLocks noChangeAspect="1" noChangeArrowheads="1"/>
        </xdr:cNvSpPr>
      </xdr:nvSpPr>
      <xdr:spPr bwMode="auto">
        <a:xfrm>
          <a:off x="7531100" y="182518050"/>
          <a:ext cx="190500" cy="266700"/>
        </a:xfrm>
        <a:prstGeom prst="rect">
          <a:avLst/>
        </a:prstGeom>
        <a:noFill/>
      </xdr:spPr>
    </xdr:sp>
    <xdr:clientData/>
  </xdr:oneCellAnchor>
  <xdr:oneCellAnchor>
    <xdr:from>
      <xdr:col>4</xdr:col>
      <xdr:colOff>1657350</xdr:colOff>
      <xdr:row>940</xdr:row>
      <xdr:rowOff>0</xdr:rowOff>
    </xdr:from>
    <xdr:ext cx="190500" cy="266700"/>
    <xdr:sp macro="" textlink="">
      <xdr:nvSpPr>
        <xdr:cNvPr id="9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8DFFE6B-3A13-4300-B913-BE38545839EC}"/>
            </a:ext>
            <a:ext uri="{147F2762-F138-4A5C-976F-8EAC2B608ADB}">
              <a16:predDERef xmlns:a16="http://schemas.microsoft.com/office/drawing/2014/main" pred="{20C61F3D-0377-4E78-BE78-EC802388D1E9}"/>
            </a:ext>
          </a:extLst>
        </xdr:cNvPr>
        <xdr:cNvSpPr>
          <a:spLocks noChangeAspect="1" noChangeArrowheads="1"/>
        </xdr:cNvSpPr>
      </xdr:nvSpPr>
      <xdr:spPr bwMode="auto">
        <a:xfrm>
          <a:off x="7531100" y="182886350"/>
          <a:ext cx="190500" cy="266700"/>
        </a:xfrm>
        <a:prstGeom prst="rect">
          <a:avLst/>
        </a:prstGeom>
        <a:noFill/>
      </xdr:spPr>
    </xdr:sp>
    <xdr:clientData/>
  </xdr:oneCellAnchor>
  <xdr:oneCellAnchor>
    <xdr:from>
      <xdr:col>4</xdr:col>
      <xdr:colOff>1657350</xdr:colOff>
      <xdr:row>940</xdr:row>
      <xdr:rowOff>0</xdr:rowOff>
    </xdr:from>
    <xdr:ext cx="190500" cy="266700"/>
    <xdr:sp macro="" textlink="">
      <xdr:nvSpPr>
        <xdr:cNvPr id="9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E36A722-F623-49E4-A922-5C29B94B0395}"/>
            </a:ext>
            <a:ext uri="{147F2762-F138-4A5C-976F-8EAC2B608ADB}">
              <a16:predDERef xmlns:a16="http://schemas.microsoft.com/office/drawing/2014/main" pred="{95C766A2-5D18-438E-AB37-5164978A4C31}"/>
            </a:ext>
          </a:extLst>
        </xdr:cNvPr>
        <xdr:cNvSpPr>
          <a:spLocks noChangeAspect="1" noChangeArrowheads="1"/>
        </xdr:cNvSpPr>
      </xdr:nvSpPr>
      <xdr:spPr bwMode="auto">
        <a:xfrm>
          <a:off x="7531100" y="182886350"/>
          <a:ext cx="190500" cy="266700"/>
        </a:xfrm>
        <a:prstGeom prst="rect">
          <a:avLst/>
        </a:prstGeom>
        <a:noFill/>
      </xdr:spPr>
    </xdr:sp>
    <xdr:clientData/>
  </xdr:oneCellAnchor>
  <xdr:oneCellAnchor>
    <xdr:from>
      <xdr:col>4</xdr:col>
      <xdr:colOff>1657350</xdr:colOff>
      <xdr:row>942</xdr:row>
      <xdr:rowOff>0</xdr:rowOff>
    </xdr:from>
    <xdr:ext cx="190500" cy="266700"/>
    <xdr:sp macro="" textlink="">
      <xdr:nvSpPr>
        <xdr:cNvPr id="9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9E85EF9-AC72-4DD1-AFC4-032C22EBCB72}"/>
            </a:ext>
            <a:ext uri="{147F2762-F138-4A5C-976F-8EAC2B608ADB}">
              <a16:predDERef xmlns:a16="http://schemas.microsoft.com/office/drawing/2014/main" pred="{585C281A-AE97-4AC3-BD85-501D5326C401}"/>
            </a:ext>
          </a:extLst>
        </xdr:cNvPr>
        <xdr:cNvSpPr>
          <a:spLocks noChangeAspect="1" noChangeArrowheads="1"/>
        </xdr:cNvSpPr>
      </xdr:nvSpPr>
      <xdr:spPr bwMode="auto">
        <a:xfrm>
          <a:off x="7531100" y="183254650"/>
          <a:ext cx="190500" cy="266700"/>
        </a:xfrm>
        <a:prstGeom prst="rect">
          <a:avLst/>
        </a:prstGeom>
        <a:noFill/>
      </xdr:spPr>
    </xdr:sp>
    <xdr:clientData/>
  </xdr:oneCellAnchor>
  <xdr:oneCellAnchor>
    <xdr:from>
      <xdr:col>4</xdr:col>
      <xdr:colOff>1657350</xdr:colOff>
      <xdr:row>942</xdr:row>
      <xdr:rowOff>0</xdr:rowOff>
    </xdr:from>
    <xdr:ext cx="190500" cy="266700"/>
    <xdr:sp macro="" textlink="">
      <xdr:nvSpPr>
        <xdr:cNvPr id="9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D05E21E-7400-453B-9D1E-C37CC7E637B2}"/>
            </a:ext>
            <a:ext uri="{147F2762-F138-4A5C-976F-8EAC2B608ADB}">
              <a16:predDERef xmlns:a16="http://schemas.microsoft.com/office/drawing/2014/main" pred="{327D72EE-A6F8-4DB6-9FFD-F3DC671B6BF9}"/>
            </a:ext>
          </a:extLst>
        </xdr:cNvPr>
        <xdr:cNvSpPr>
          <a:spLocks noChangeAspect="1" noChangeArrowheads="1"/>
        </xdr:cNvSpPr>
      </xdr:nvSpPr>
      <xdr:spPr bwMode="auto">
        <a:xfrm>
          <a:off x="7531100" y="183254650"/>
          <a:ext cx="190500" cy="266700"/>
        </a:xfrm>
        <a:prstGeom prst="rect">
          <a:avLst/>
        </a:prstGeom>
        <a:noFill/>
      </xdr:spPr>
    </xdr:sp>
    <xdr:clientData/>
  </xdr:oneCellAnchor>
  <xdr:oneCellAnchor>
    <xdr:from>
      <xdr:col>4</xdr:col>
      <xdr:colOff>1657350</xdr:colOff>
      <xdr:row>944</xdr:row>
      <xdr:rowOff>0</xdr:rowOff>
    </xdr:from>
    <xdr:ext cx="190500" cy="266700"/>
    <xdr:sp macro="" textlink="">
      <xdr:nvSpPr>
        <xdr:cNvPr id="9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9A047EF-DAA5-4EEC-B6A9-7ED985378E44}"/>
            </a:ext>
            <a:ext uri="{147F2762-F138-4A5C-976F-8EAC2B608ADB}">
              <a16:predDERef xmlns:a16="http://schemas.microsoft.com/office/drawing/2014/main" pred="{64636A28-1C4E-41E1-8E90-77BF9AB4539E}"/>
            </a:ext>
          </a:extLst>
        </xdr:cNvPr>
        <xdr:cNvSpPr>
          <a:spLocks noChangeAspect="1" noChangeArrowheads="1"/>
        </xdr:cNvSpPr>
      </xdr:nvSpPr>
      <xdr:spPr bwMode="auto">
        <a:xfrm>
          <a:off x="7531100" y="183622950"/>
          <a:ext cx="190500" cy="266700"/>
        </a:xfrm>
        <a:prstGeom prst="rect">
          <a:avLst/>
        </a:prstGeom>
        <a:noFill/>
      </xdr:spPr>
    </xdr:sp>
    <xdr:clientData/>
  </xdr:oneCellAnchor>
  <xdr:oneCellAnchor>
    <xdr:from>
      <xdr:col>4</xdr:col>
      <xdr:colOff>1657350</xdr:colOff>
      <xdr:row>944</xdr:row>
      <xdr:rowOff>0</xdr:rowOff>
    </xdr:from>
    <xdr:ext cx="190500" cy="266700"/>
    <xdr:sp macro="" textlink="">
      <xdr:nvSpPr>
        <xdr:cNvPr id="9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930797B-897F-47D3-A077-1EE56AF05D17}"/>
            </a:ext>
            <a:ext uri="{147F2762-F138-4A5C-976F-8EAC2B608ADB}">
              <a16:predDERef xmlns:a16="http://schemas.microsoft.com/office/drawing/2014/main" pred="{581189AC-168C-443F-ABAA-B43C46032D5A}"/>
            </a:ext>
          </a:extLst>
        </xdr:cNvPr>
        <xdr:cNvSpPr>
          <a:spLocks noChangeAspect="1" noChangeArrowheads="1"/>
        </xdr:cNvSpPr>
      </xdr:nvSpPr>
      <xdr:spPr bwMode="auto">
        <a:xfrm>
          <a:off x="7531100" y="183622950"/>
          <a:ext cx="190500" cy="266700"/>
        </a:xfrm>
        <a:prstGeom prst="rect">
          <a:avLst/>
        </a:prstGeom>
        <a:noFill/>
      </xdr:spPr>
    </xdr:sp>
    <xdr:clientData/>
  </xdr:oneCellAnchor>
  <xdr:oneCellAnchor>
    <xdr:from>
      <xdr:col>4</xdr:col>
      <xdr:colOff>1657350</xdr:colOff>
      <xdr:row>946</xdr:row>
      <xdr:rowOff>0</xdr:rowOff>
    </xdr:from>
    <xdr:ext cx="190500" cy="266700"/>
    <xdr:sp macro="" textlink="">
      <xdr:nvSpPr>
        <xdr:cNvPr id="9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3485E9B-ADB5-47E5-AA15-A5AAFEBA104D}"/>
            </a:ext>
            <a:ext uri="{147F2762-F138-4A5C-976F-8EAC2B608ADB}">
              <a16:predDERef xmlns:a16="http://schemas.microsoft.com/office/drawing/2014/main" pred="{47700F66-DBE6-4650-BA2C-AD41445BBD20}"/>
            </a:ext>
          </a:extLst>
        </xdr:cNvPr>
        <xdr:cNvSpPr>
          <a:spLocks noChangeAspect="1" noChangeArrowheads="1"/>
        </xdr:cNvSpPr>
      </xdr:nvSpPr>
      <xdr:spPr bwMode="auto">
        <a:xfrm>
          <a:off x="7531100" y="183991250"/>
          <a:ext cx="190500" cy="266700"/>
        </a:xfrm>
        <a:prstGeom prst="rect">
          <a:avLst/>
        </a:prstGeom>
        <a:noFill/>
      </xdr:spPr>
    </xdr:sp>
    <xdr:clientData/>
  </xdr:oneCellAnchor>
  <xdr:oneCellAnchor>
    <xdr:from>
      <xdr:col>4</xdr:col>
      <xdr:colOff>1657350</xdr:colOff>
      <xdr:row>946</xdr:row>
      <xdr:rowOff>0</xdr:rowOff>
    </xdr:from>
    <xdr:ext cx="190500" cy="266700"/>
    <xdr:sp macro="" textlink="">
      <xdr:nvSpPr>
        <xdr:cNvPr id="9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8C142C-67BB-494C-9F8C-DFFC2A45A036}"/>
            </a:ext>
            <a:ext uri="{147F2762-F138-4A5C-976F-8EAC2B608ADB}">
              <a16:predDERef xmlns:a16="http://schemas.microsoft.com/office/drawing/2014/main" pred="{DDE859AF-FA68-40BD-8FA4-01B9010D8F9B}"/>
            </a:ext>
          </a:extLst>
        </xdr:cNvPr>
        <xdr:cNvSpPr>
          <a:spLocks noChangeAspect="1" noChangeArrowheads="1"/>
        </xdr:cNvSpPr>
      </xdr:nvSpPr>
      <xdr:spPr bwMode="auto">
        <a:xfrm>
          <a:off x="7531100" y="183991250"/>
          <a:ext cx="190500" cy="266700"/>
        </a:xfrm>
        <a:prstGeom prst="rect">
          <a:avLst/>
        </a:prstGeom>
        <a:noFill/>
      </xdr:spPr>
    </xdr:sp>
    <xdr:clientData/>
  </xdr:oneCellAnchor>
  <xdr:oneCellAnchor>
    <xdr:from>
      <xdr:col>4</xdr:col>
      <xdr:colOff>1657350</xdr:colOff>
      <xdr:row>948</xdr:row>
      <xdr:rowOff>0</xdr:rowOff>
    </xdr:from>
    <xdr:ext cx="190500" cy="266700"/>
    <xdr:sp macro="" textlink="">
      <xdr:nvSpPr>
        <xdr:cNvPr id="9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AB667C8-83C9-4523-B856-8F8613A10293}"/>
            </a:ext>
            <a:ext uri="{147F2762-F138-4A5C-976F-8EAC2B608ADB}">
              <a16:predDERef xmlns:a16="http://schemas.microsoft.com/office/drawing/2014/main" pred="{9CAE13AE-031E-431B-BFFF-C10CB0D9D550}"/>
            </a:ext>
          </a:extLst>
        </xdr:cNvPr>
        <xdr:cNvSpPr>
          <a:spLocks noChangeAspect="1" noChangeArrowheads="1"/>
        </xdr:cNvSpPr>
      </xdr:nvSpPr>
      <xdr:spPr bwMode="auto">
        <a:xfrm>
          <a:off x="7531100" y="184359550"/>
          <a:ext cx="190500" cy="266700"/>
        </a:xfrm>
        <a:prstGeom prst="rect">
          <a:avLst/>
        </a:prstGeom>
        <a:noFill/>
      </xdr:spPr>
    </xdr:sp>
    <xdr:clientData/>
  </xdr:oneCellAnchor>
  <xdr:oneCellAnchor>
    <xdr:from>
      <xdr:col>4</xdr:col>
      <xdr:colOff>1657350</xdr:colOff>
      <xdr:row>948</xdr:row>
      <xdr:rowOff>0</xdr:rowOff>
    </xdr:from>
    <xdr:ext cx="190500" cy="266700"/>
    <xdr:sp macro="" textlink="">
      <xdr:nvSpPr>
        <xdr:cNvPr id="9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D2A57AA-7299-4F7D-AA55-47D6D8FF6A50}"/>
            </a:ext>
            <a:ext uri="{147F2762-F138-4A5C-976F-8EAC2B608ADB}">
              <a16:predDERef xmlns:a16="http://schemas.microsoft.com/office/drawing/2014/main" pred="{6245674C-3B1B-4114-B0E5-BAD19785E017}"/>
            </a:ext>
          </a:extLst>
        </xdr:cNvPr>
        <xdr:cNvSpPr>
          <a:spLocks noChangeAspect="1" noChangeArrowheads="1"/>
        </xdr:cNvSpPr>
      </xdr:nvSpPr>
      <xdr:spPr bwMode="auto">
        <a:xfrm>
          <a:off x="7531100" y="184359550"/>
          <a:ext cx="190500" cy="266700"/>
        </a:xfrm>
        <a:prstGeom prst="rect">
          <a:avLst/>
        </a:prstGeom>
        <a:noFill/>
      </xdr:spPr>
    </xdr:sp>
    <xdr:clientData/>
  </xdr:oneCellAnchor>
  <xdr:oneCellAnchor>
    <xdr:from>
      <xdr:col>4</xdr:col>
      <xdr:colOff>1657350</xdr:colOff>
      <xdr:row>950</xdr:row>
      <xdr:rowOff>0</xdr:rowOff>
    </xdr:from>
    <xdr:ext cx="190500" cy="266700"/>
    <xdr:sp macro="" textlink="">
      <xdr:nvSpPr>
        <xdr:cNvPr id="9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DBD2FB7-7774-43D2-A5CF-A1A1182F1E8D}"/>
            </a:ext>
            <a:ext uri="{147F2762-F138-4A5C-976F-8EAC2B608ADB}">
              <a16:predDERef xmlns:a16="http://schemas.microsoft.com/office/drawing/2014/main" pred="{7526C899-EF6F-4F6C-9112-AB63689063E2}"/>
            </a:ext>
          </a:extLst>
        </xdr:cNvPr>
        <xdr:cNvSpPr>
          <a:spLocks noChangeAspect="1" noChangeArrowheads="1"/>
        </xdr:cNvSpPr>
      </xdr:nvSpPr>
      <xdr:spPr bwMode="auto">
        <a:xfrm>
          <a:off x="7531100" y="184727850"/>
          <a:ext cx="190500" cy="266700"/>
        </a:xfrm>
        <a:prstGeom prst="rect">
          <a:avLst/>
        </a:prstGeom>
        <a:noFill/>
      </xdr:spPr>
    </xdr:sp>
    <xdr:clientData/>
  </xdr:oneCellAnchor>
  <xdr:oneCellAnchor>
    <xdr:from>
      <xdr:col>4</xdr:col>
      <xdr:colOff>1657350</xdr:colOff>
      <xdr:row>950</xdr:row>
      <xdr:rowOff>0</xdr:rowOff>
    </xdr:from>
    <xdr:ext cx="190500" cy="266700"/>
    <xdr:sp macro="" textlink="">
      <xdr:nvSpPr>
        <xdr:cNvPr id="9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70D5B47-3C02-4788-93D5-34B66E659A9D}"/>
            </a:ext>
            <a:ext uri="{147F2762-F138-4A5C-976F-8EAC2B608ADB}">
              <a16:predDERef xmlns:a16="http://schemas.microsoft.com/office/drawing/2014/main" pred="{A0C269D2-D8A1-434C-A225-EEF410A2C2A1}"/>
            </a:ext>
          </a:extLst>
        </xdr:cNvPr>
        <xdr:cNvSpPr>
          <a:spLocks noChangeAspect="1" noChangeArrowheads="1"/>
        </xdr:cNvSpPr>
      </xdr:nvSpPr>
      <xdr:spPr bwMode="auto">
        <a:xfrm>
          <a:off x="7531100" y="184727850"/>
          <a:ext cx="190500" cy="266700"/>
        </a:xfrm>
        <a:prstGeom prst="rect">
          <a:avLst/>
        </a:prstGeom>
        <a:noFill/>
      </xdr:spPr>
    </xdr:sp>
    <xdr:clientData/>
  </xdr:oneCellAnchor>
  <xdr:oneCellAnchor>
    <xdr:from>
      <xdr:col>4</xdr:col>
      <xdr:colOff>1657350</xdr:colOff>
      <xdr:row>952</xdr:row>
      <xdr:rowOff>0</xdr:rowOff>
    </xdr:from>
    <xdr:ext cx="190500" cy="266700"/>
    <xdr:sp macro="" textlink="">
      <xdr:nvSpPr>
        <xdr:cNvPr id="9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5873E17-B0AD-4D26-AD2C-D9770580B1EB}"/>
            </a:ext>
            <a:ext uri="{147F2762-F138-4A5C-976F-8EAC2B608ADB}">
              <a16:predDERef xmlns:a16="http://schemas.microsoft.com/office/drawing/2014/main" pred="{8E8DCB82-8B3D-4608-AE7E-EFFDC6E27433}"/>
            </a:ext>
          </a:extLst>
        </xdr:cNvPr>
        <xdr:cNvSpPr>
          <a:spLocks noChangeAspect="1" noChangeArrowheads="1"/>
        </xdr:cNvSpPr>
      </xdr:nvSpPr>
      <xdr:spPr bwMode="auto">
        <a:xfrm>
          <a:off x="7531100" y="185096150"/>
          <a:ext cx="190500" cy="266700"/>
        </a:xfrm>
        <a:prstGeom prst="rect">
          <a:avLst/>
        </a:prstGeom>
        <a:noFill/>
      </xdr:spPr>
    </xdr:sp>
    <xdr:clientData/>
  </xdr:oneCellAnchor>
  <xdr:oneCellAnchor>
    <xdr:from>
      <xdr:col>4</xdr:col>
      <xdr:colOff>1657350</xdr:colOff>
      <xdr:row>952</xdr:row>
      <xdr:rowOff>0</xdr:rowOff>
    </xdr:from>
    <xdr:ext cx="190500" cy="266700"/>
    <xdr:sp macro="" textlink="">
      <xdr:nvSpPr>
        <xdr:cNvPr id="9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14DB7D1-6E7E-49D8-B5A3-3B2C12A8674D}"/>
            </a:ext>
            <a:ext uri="{147F2762-F138-4A5C-976F-8EAC2B608ADB}">
              <a16:predDERef xmlns:a16="http://schemas.microsoft.com/office/drawing/2014/main" pred="{E9F2054A-3617-4E03-B75F-F1EC9DB305CA}"/>
            </a:ext>
          </a:extLst>
        </xdr:cNvPr>
        <xdr:cNvSpPr>
          <a:spLocks noChangeAspect="1" noChangeArrowheads="1"/>
        </xdr:cNvSpPr>
      </xdr:nvSpPr>
      <xdr:spPr bwMode="auto">
        <a:xfrm>
          <a:off x="7531100" y="185096150"/>
          <a:ext cx="190500" cy="266700"/>
        </a:xfrm>
        <a:prstGeom prst="rect">
          <a:avLst/>
        </a:prstGeom>
        <a:noFill/>
      </xdr:spPr>
    </xdr:sp>
    <xdr:clientData/>
  </xdr:oneCellAnchor>
  <xdr:oneCellAnchor>
    <xdr:from>
      <xdr:col>4</xdr:col>
      <xdr:colOff>1657350</xdr:colOff>
      <xdr:row>954</xdr:row>
      <xdr:rowOff>0</xdr:rowOff>
    </xdr:from>
    <xdr:ext cx="190500" cy="266700"/>
    <xdr:sp macro="" textlink="">
      <xdr:nvSpPr>
        <xdr:cNvPr id="9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6B9EDD1-8919-4C60-AB47-CB9EA5B6E912}"/>
            </a:ext>
            <a:ext uri="{147F2762-F138-4A5C-976F-8EAC2B608ADB}">
              <a16:predDERef xmlns:a16="http://schemas.microsoft.com/office/drawing/2014/main" pred="{A8EB82D1-7EB9-444D-BD4E-043BD5EFC31C}"/>
            </a:ext>
          </a:extLst>
        </xdr:cNvPr>
        <xdr:cNvSpPr>
          <a:spLocks noChangeAspect="1" noChangeArrowheads="1"/>
        </xdr:cNvSpPr>
      </xdr:nvSpPr>
      <xdr:spPr bwMode="auto">
        <a:xfrm>
          <a:off x="7531100" y="185464450"/>
          <a:ext cx="190500" cy="266700"/>
        </a:xfrm>
        <a:prstGeom prst="rect">
          <a:avLst/>
        </a:prstGeom>
        <a:noFill/>
      </xdr:spPr>
    </xdr:sp>
    <xdr:clientData/>
  </xdr:oneCellAnchor>
  <xdr:oneCellAnchor>
    <xdr:from>
      <xdr:col>4</xdr:col>
      <xdr:colOff>1657350</xdr:colOff>
      <xdr:row>954</xdr:row>
      <xdr:rowOff>0</xdr:rowOff>
    </xdr:from>
    <xdr:ext cx="190500" cy="266700"/>
    <xdr:sp macro="" textlink="">
      <xdr:nvSpPr>
        <xdr:cNvPr id="9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BC6472B-64A9-4236-B42B-A50AF7711DDE}"/>
            </a:ext>
            <a:ext uri="{147F2762-F138-4A5C-976F-8EAC2B608ADB}">
              <a16:predDERef xmlns:a16="http://schemas.microsoft.com/office/drawing/2014/main" pred="{35AE991C-8F16-490B-8F95-526BA0B38ACA}"/>
            </a:ext>
          </a:extLst>
        </xdr:cNvPr>
        <xdr:cNvSpPr>
          <a:spLocks noChangeAspect="1" noChangeArrowheads="1"/>
        </xdr:cNvSpPr>
      </xdr:nvSpPr>
      <xdr:spPr bwMode="auto">
        <a:xfrm>
          <a:off x="7531100" y="185464450"/>
          <a:ext cx="190500" cy="266700"/>
        </a:xfrm>
        <a:prstGeom prst="rect">
          <a:avLst/>
        </a:prstGeom>
        <a:noFill/>
      </xdr:spPr>
    </xdr:sp>
    <xdr:clientData/>
  </xdr:oneCellAnchor>
  <xdr:oneCellAnchor>
    <xdr:from>
      <xdr:col>4</xdr:col>
      <xdr:colOff>1657350</xdr:colOff>
      <xdr:row>956</xdr:row>
      <xdr:rowOff>0</xdr:rowOff>
    </xdr:from>
    <xdr:ext cx="190500" cy="266700"/>
    <xdr:sp macro="" textlink="">
      <xdr:nvSpPr>
        <xdr:cNvPr id="9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E81BBDD-751F-4EBA-8C4F-4F7105D2CFB4}"/>
            </a:ext>
            <a:ext uri="{147F2762-F138-4A5C-976F-8EAC2B608ADB}">
              <a16:predDERef xmlns:a16="http://schemas.microsoft.com/office/drawing/2014/main" pred="{4DF7C021-8437-43AB-A37F-80BDCBC3F905}"/>
            </a:ext>
          </a:extLst>
        </xdr:cNvPr>
        <xdr:cNvSpPr>
          <a:spLocks noChangeAspect="1" noChangeArrowheads="1"/>
        </xdr:cNvSpPr>
      </xdr:nvSpPr>
      <xdr:spPr bwMode="auto">
        <a:xfrm>
          <a:off x="7531100" y="185832750"/>
          <a:ext cx="190500" cy="266700"/>
        </a:xfrm>
        <a:prstGeom prst="rect">
          <a:avLst/>
        </a:prstGeom>
        <a:noFill/>
      </xdr:spPr>
    </xdr:sp>
    <xdr:clientData/>
  </xdr:oneCellAnchor>
  <xdr:oneCellAnchor>
    <xdr:from>
      <xdr:col>4</xdr:col>
      <xdr:colOff>1657350</xdr:colOff>
      <xdr:row>956</xdr:row>
      <xdr:rowOff>0</xdr:rowOff>
    </xdr:from>
    <xdr:ext cx="190500" cy="266700"/>
    <xdr:sp macro="" textlink="">
      <xdr:nvSpPr>
        <xdr:cNvPr id="9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D3DD8CC-1B18-495F-A39D-A5E03B997EA2}"/>
            </a:ext>
            <a:ext uri="{147F2762-F138-4A5C-976F-8EAC2B608ADB}">
              <a16:predDERef xmlns:a16="http://schemas.microsoft.com/office/drawing/2014/main" pred="{783FDE8A-0394-4FC8-B155-DD5812CE5280}"/>
            </a:ext>
          </a:extLst>
        </xdr:cNvPr>
        <xdr:cNvSpPr>
          <a:spLocks noChangeAspect="1" noChangeArrowheads="1"/>
        </xdr:cNvSpPr>
      </xdr:nvSpPr>
      <xdr:spPr bwMode="auto">
        <a:xfrm>
          <a:off x="7531100" y="185832750"/>
          <a:ext cx="190500" cy="266700"/>
        </a:xfrm>
        <a:prstGeom prst="rect">
          <a:avLst/>
        </a:prstGeom>
        <a:noFill/>
      </xdr:spPr>
    </xdr:sp>
    <xdr:clientData/>
  </xdr:oneCellAnchor>
  <xdr:oneCellAnchor>
    <xdr:from>
      <xdr:col>4</xdr:col>
      <xdr:colOff>1657350</xdr:colOff>
      <xdr:row>958</xdr:row>
      <xdr:rowOff>0</xdr:rowOff>
    </xdr:from>
    <xdr:ext cx="190500" cy="266700"/>
    <xdr:sp macro="" textlink="">
      <xdr:nvSpPr>
        <xdr:cNvPr id="9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FFC85C1-D633-413D-A8B0-34ACB676A6DA}"/>
            </a:ext>
            <a:ext uri="{147F2762-F138-4A5C-976F-8EAC2B608ADB}">
              <a16:predDERef xmlns:a16="http://schemas.microsoft.com/office/drawing/2014/main" pred="{1E69A78D-5579-4044-AC8C-24D13813D83E}"/>
            </a:ext>
          </a:extLst>
        </xdr:cNvPr>
        <xdr:cNvSpPr>
          <a:spLocks noChangeAspect="1" noChangeArrowheads="1"/>
        </xdr:cNvSpPr>
      </xdr:nvSpPr>
      <xdr:spPr bwMode="auto">
        <a:xfrm>
          <a:off x="7531100" y="186201050"/>
          <a:ext cx="190500" cy="266700"/>
        </a:xfrm>
        <a:prstGeom prst="rect">
          <a:avLst/>
        </a:prstGeom>
        <a:noFill/>
      </xdr:spPr>
    </xdr:sp>
    <xdr:clientData/>
  </xdr:oneCellAnchor>
  <xdr:oneCellAnchor>
    <xdr:from>
      <xdr:col>4</xdr:col>
      <xdr:colOff>1657350</xdr:colOff>
      <xdr:row>958</xdr:row>
      <xdr:rowOff>0</xdr:rowOff>
    </xdr:from>
    <xdr:ext cx="190500" cy="266700"/>
    <xdr:sp macro="" textlink="">
      <xdr:nvSpPr>
        <xdr:cNvPr id="9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B7D6BB9-FBE5-4208-A9D8-4D68719D4877}"/>
            </a:ext>
            <a:ext uri="{147F2762-F138-4A5C-976F-8EAC2B608ADB}">
              <a16:predDERef xmlns:a16="http://schemas.microsoft.com/office/drawing/2014/main" pred="{9C2F5283-C777-40E3-99C5-C41B8B56D6A8}"/>
            </a:ext>
          </a:extLst>
        </xdr:cNvPr>
        <xdr:cNvSpPr>
          <a:spLocks noChangeAspect="1" noChangeArrowheads="1"/>
        </xdr:cNvSpPr>
      </xdr:nvSpPr>
      <xdr:spPr bwMode="auto">
        <a:xfrm>
          <a:off x="7531100" y="186201050"/>
          <a:ext cx="190500" cy="266700"/>
        </a:xfrm>
        <a:prstGeom prst="rect">
          <a:avLst/>
        </a:prstGeom>
        <a:noFill/>
      </xdr:spPr>
    </xdr:sp>
    <xdr:clientData/>
  </xdr:oneCellAnchor>
  <xdr:oneCellAnchor>
    <xdr:from>
      <xdr:col>4</xdr:col>
      <xdr:colOff>1657350</xdr:colOff>
      <xdr:row>960</xdr:row>
      <xdr:rowOff>0</xdr:rowOff>
    </xdr:from>
    <xdr:ext cx="190500" cy="266700"/>
    <xdr:sp macro="" textlink="">
      <xdr:nvSpPr>
        <xdr:cNvPr id="9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D5EEFF0-FA80-4546-AEC2-77A52D225C81}"/>
            </a:ext>
            <a:ext uri="{147F2762-F138-4A5C-976F-8EAC2B608ADB}">
              <a16:predDERef xmlns:a16="http://schemas.microsoft.com/office/drawing/2014/main" pred="{4CEB6A85-5156-4E00-AF8F-8EDCB5BF3404}"/>
            </a:ext>
          </a:extLst>
        </xdr:cNvPr>
        <xdr:cNvSpPr>
          <a:spLocks noChangeAspect="1" noChangeArrowheads="1"/>
        </xdr:cNvSpPr>
      </xdr:nvSpPr>
      <xdr:spPr bwMode="auto">
        <a:xfrm>
          <a:off x="7531100" y="186569350"/>
          <a:ext cx="190500" cy="266700"/>
        </a:xfrm>
        <a:prstGeom prst="rect">
          <a:avLst/>
        </a:prstGeom>
        <a:noFill/>
      </xdr:spPr>
    </xdr:sp>
    <xdr:clientData/>
  </xdr:oneCellAnchor>
  <xdr:oneCellAnchor>
    <xdr:from>
      <xdr:col>4</xdr:col>
      <xdr:colOff>1657350</xdr:colOff>
      <xdr:row>960</xdr:row>
      <xdr:rowOff>0</xdr:rowOff>
    </xdr:from>
    <xdr:ext cx="190500" cy="266700"/>
    <xdr:sp macro="" textlink="">
      <xdr:nvSpPr>
        <xdr:cNvPr id="9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93A12A9-7755-4F07-B0F0-B34BD23C7A31}"/>
            </a:ext>
            <a:ext uri="{147F2762-F138-4A5C-976F-8EAC2B608ADB}">
              <a16:predDERef xmlns:a16="http://schemas.microsoft.com/office/drawing/2014/main" pred="{D58B66CF-447B-4295-BD7B-539976C8CD3B}"/>
            </a:ext>
          </a:extLst>
        </xdr:cNvPr>
        <xdr:cNvSpPr>
          <a:spLocks noChangeAspect="1" noChangeArrowheads="1"/>
        </xdr:cNvSpPr>
      </xdr:nvSpPr>
      <xdr:spPr bwMode="auto">
        <a:xfrm>
          <a:off x="7531100" y="186569350"/>
          <a:ext cx="190500" cy="266700"/>
        </a:xfrm>
        <a:prstGeom prst="rect">
          <a:avLst/>
        </a:prstGeom>
        <a:noFill/>
      </xdr:spPr>
    </xdr:sp>
    <xdr:clientData/>
  </xdr:oneCellAnchor>
  <xdr:oneCellAnchor>
    <xdr:from>
      <xdr:col>4</xdr:col>
      <xdr:colOff>1657350</xdr:colOff>
      <xdr:row>962</xdr:row>
      <xdr:rowOff>0</xdr:rowOff>
    </xdr:from>
    <xdr:ext cx="190500" cy="266700"/>
    <xdr:sp macro="" textlink="">
      <xdr:nvSpPr>
        <xdr:cNvPr id="9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312D082-9771-40B1-B2DC-130D3D69567C}"/>
            </a:ext>
            <a:ext uri="{147F2762-F138-4A5C-976F-8EAC2B608ADB}">
              <a16:predDERef xmlns:a16="http://schemas.microsoft.com/office/drawing/2014/main" pred="{9C3A66FD-BDFC-4758-BE87-4A407FFB778F}"/>
            </a:ext>
          </a:extLst>
        </xdr:cNvPr>
        <xdr:cNvSpPr>
          <a:spLocks noChangeAspect="1" noChangeArrowheads="1"/>
        </xdr:cNvSpPr>
      </xdr:nvSpPr>
      <xdr:spPr bwMode="auto">
        <a:xfrm>
          <a:off x="7531100" y="186937650"/>
          <a:ext cx="190500" cy="266700"/>
        </a:xfrm>
        <a:prstGeom prst="rect">
          <a:avLst/>
        </a:prstGeom>
        <a:noFill/>
      </xdr:spPr>
    </xdr:sp>
    <xdr:clientData/>
  </xdr:oneCellAnchor>
  <xdr:oneCellAnchor>
    <xdr:from>
      <xdr:col>4</xdr:col>
      <xdr:colOff>1657350</xdr:colOff>
      <xdr:row>962</xdr:row>
      <xdr:rowOff>0</xdr:rowOff>
    </xdr:from>
    <xdr:ext cx="190500" cy="266700"/>
    <xdr:sp macro="" textlink="">
      <xdr:nvSpPr>
        <xdr:cNvPr id="9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F58011-8BDA-4FB2-807A-BF7BD507F6B8}"/>
            </a:ext>
            <a:ext uri="{147F2762-F138-4A5C-976F-8EAC2B608ADB}">
              <a16:predDERef xmlns:a16="http://schemas.microsoft.com/office/drawing/2014/main" pred="{5DA9EDEE-67D0-429D-9CF9-9EAAFE67EB95}"/>
            </a:ext>
          </a:extLst>
        </xdr:cNvPr>
        <xdr:cNvSpPr>
          <a:spLocks noChangeAspect="1" noChangeArrowheads="1"/>
        </xdr:cNvSpPr>
      </xdr:nvSpPr>
      <xdr:spPr bwMode="auto">
        <a:xfrm>
          <a:off x="7531100" y="186937650"/>
          <a:ext cx="190500" cy="266700"/>
        </a:xfrm>
        <a:prstGeom prst="rect">
          <a:avLst/>
        </a:prstGeom>
        <a:noFill/>
      </xdr:spPr>
    </xdr:sp>
    <xdr:clientData/>
  </xdr:oneCellAnchor>
  <xdr:oneCellAnchor>
    <xdr:from>
      <xdr:col>4</xdr:col>
      <xdr:colOff>1657350</xdr:colOff>
      <xdr:row>964</xdr:row>
      <xdr:rowOff>0</xdr:rowOff>
    </xdr:from>
    <xdr:ext cx="190500" cy="266700"/>
    <xdr:sp macro="" textlink="">
      <xdr:nvSpPr>
        <xdr:cNvPr id="9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B1C8AC9-AA58-44E3-B90B-3262BA7E757E}"/>
            </a:ext>
            <a:ext uri="{147F2762-F138-4A5C-976F-8EAC2B608ADB}">
              <a16:predDERef xmlns:a16="http://schemas.microsoft.com/office/drawing/2014/main" pred="{3E878B9F-F21F-4A2E-AF57-6E144F1EE0A8}"/>
            </a:ext>
          </a:extLst>
        </xdr:cNvPr>
        <xdr:cNvSpPr>
          <a:spLocks noChangeAspect="1" noChangeArrowheads="1"/>
        </xdr:cNvSpPr>
      </xdr:nvSpPr>
      <xdr:spPr bwMode="auto">
        <a:xfrm>
          <a:off x="7531100" y="187305950"/>
          <a:ext cx="190500" cy="266700"/>
        </a:xfrm>
        <a:prstGeom prst="rect">
          <a:avLst/>
        </a:prstGeom>
        <a:noFill/>
      </xdr:spPr>
    </xdr:sp>
    <xdr:clientData/>
  </xdr:oneCellAnchor>
  <xdr:oneCellAnchor>
    <xdr:from>
      <xdr:col>4</xdr:col>
      <xdr:colOff>1657350</xdr:colOff>
      <xdr:row>964</xdr:row>
      <xdr:rowOff>0</xdr:rowOff>
    </xdr:from>
    <xdr:ext cx="190500" cy="266700"/>
    <xdr:sp macro="" textlink="">
      <xdr:nvSpPr>
        <xdr:cNvPr id="9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5A15F1D-EF66-4907-827E-C9743A030D55}"/>
            </a:ext>
            <a:ext uri="{147F2762-F138-4A5C-976F-8EAC2B608ADB}">
              <a16:predDERef xmlns:a16="http://schemas.microsoft.com/office/drawing/2014/main" pred="{B53F299D-9441-42FD-A8FF-FF1B8FD383D4}"/>
            </a:ext>
          </a:extLst>
        </xdr:cNvPr>
        <xdr:cNvSpPr>
          <a:spLocks noChangeAspect="1" noChangeArrowheads="1"/>
        </xdr:cNvSpPr>
      </xdr:nvSpPr>
      <xdr:spPr bwMode="auto">
        <a:xfrm>
          <a:off x="7531100" y="187305950"/>
          <a:ext cx="190500" cy="266700"/>
        </a:xfrm>
        <a:prstGeom prst="rect">
          <a:avLst/>
        </a:prstGeom>
        <a:noFill/>
      </xdr:spPr>
    </xdr:sp>
    <xdr:clientData/>
  </xdr:oneCellAnchor>
  <xdr:oneCellAnchor>
    <xdr:from>
      <xdr:col>4</xdr:col>
      <xdr:colOff>1657350</xdr:colOff>
      <xdr:row>966</xdr:row>
      <xdr:rowOff>0</xdr:rowOff>
    </xdr:from>
    <xdr:ext cx="190500" cy="266700"/>
    <xdr:sp macro="" textlink="">
      <xdr:nvSpPr>
        <xdr:cNvPr id="9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53185FB-1E11-4A61-BAF0-AC6E70827DD1}"/>
            </a:ext>
            <a:ext uri="{147F2762-F138-4A5C-976F-8EAC2B608ADB}">
              <a16:predDERef xmlns:a16="http://schemas.microsoft.com/office/drawing/2014/main" pred="{B8AA2F9D-54F8-40B6-BEDF-BDB840BC2573}"/>
            </a:ext>
          </a:extLst>
        </xdr:cNvPr>
        <xdr:cNvSpPr>
          <a:spLocks noChangeAspect="1" noChangeArrowheads="1"/>
        </xdr:cNvSpPr>
      </xdr:nvSpPr>
      <xdr:spPr bwMode="auto">
        <a:xfrm>
          <a:off x="7531100" y="187820300"/>
          <a:ext cx="190500" cy="266700"/>
        </a:xfrm>
        <a:prstGeom prst="rect">
          <a:avLst/>
        </a:prstGeom>
        <a:noFill/>
      </xdr:spPr>
    </xdr:sp>
    <xdr:clientData/>
  </xdr:oneCellAnchor>
  <xdr:oneCellAnchor>
    <xdr:from>
      <xdr:col>4</xdr:col>
      <xdr:colOff>1657350</xdr:colOff>
      <xdr:row>966</xdr:row>
      <xdr:rowOff>0</xdr:rowOff>
    </xdr:from>
    <xdr:ext cx="190500" cy="266700"/>
    <xdr:sp macro="" textlink="">
      <xdr:nvSpPr>
        <xdr:cNvPr id="9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988803B-03D7-4E9E-BA3F-C65D7241DE29}"/>
            </a:ext>
            <a:ext uri="{147F2762-F138-4A5C-976F-8EAC2B608ADB}">
              <a16:predDERef xmlns:a16="http://schemas.microsoft.com/office/drawing/2014/main" pred="{DDB7A1C4-B976-4191-A3DB-94B7C8F2CF87}"/>
            </a:ext>
          </a:extLst>
        </xdr:cNvPr>
        <xdr:cNvSpPr>
          <a:spLocks noChangeAspect="1" noChangeArrowheads="1"/>
        </xdr:cNvSpPr>
      </xdr:nvSpPr>
      <xdr:spPr bwMode="auto">
        <a:xfrm>
          <a:off x="7531100" y="187820300"/>
          <a:ext cx="190500" cy="266700"/>
        </a:xfrm>
        <a:prstGeom prst="rect">
          <a:avLst/>
        </a:prstGeom>
        <a:noFill/>
      </xdr:spPr>
    </xdr:sp>
    <xdr:clientData/>
  </xdr:oneCellAnchor>
  <xdr:oneCellAnchor>
    <xdr:from>
      <xdr:col>4</xdr:col>
      <xdr:colOff>1657350</xdr:colOff>
      <xdr:row>968</xdr:row>
      <xdr:rowOff>0</xdr:rowOff>
    </xdr:from>
    <xdr:ext cx="190500" cy="266700"/>
    <xdr:sp macro="" textlink="">
      <xdr:nvSpPr>
        <xdr:cNvPr id="9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40BA6AF-E531-4577-9153-9E31B7A0E199}"/>
            </a:ext>
            <a:ext uri="{147F2762-F138-4A5C-976F-8EAC2B608ADB}">
              <a16:predDERef xmlns:a16="http://schemas.microsoft.com/office/drawing/2014/main" pred="{3405123E-16D4-43C3-9A73-6F03A3A0A6C8}"/>
            </a:ext>
          </a:extLst>
        </xdr:cNvPr>
        <xdr:cNvSpPr>
          <a:spLocks noChangeAspect="1" noChangeArrowheads="1"/>
        </xdr:cNvSpPr>
      </xdr:nvSpPr>
      <xdr:spPr bwMode="auto">
        <a:xfrm>
          <a:off x="7531100" y="188480700"/>
          <a:ext cx="190500" cy="266700"/>
        </a:xfrm>
        <a:prstGeom prst="rect">
          <a:avLst/>
        </a:prstGeom>
        <a:noFill/>
      </xdr:spPr>
    </xdr:sp>
    <xdr:clientData/>
  </xdr:oneCellAnchor>
  <xdr:oneCellAnchor>
    <xdr:from>
      <xdr:col>4</xdr:col>
      <xdr:colOff>1657350</xdr:colOff>
      <xdr:row>968</xdr:row>
      <xdr:rowOff>0</xdr:rowOff>
    </xdr:from>
    <xdr:ext cx="190500" cy="266700"/>
    <xdr:sp macro="" textlink="">
      <xdr:nvSpPr>
        <xdr:cNvPr id="9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9B4FF15-CB2A-482F-9F23-AAF70F889493}"/>
            </a:ext>
            <a:ext uri="{147F2762-F138-4A5C-976F-8EAC2B608ADB}">
              <a16:predDERef xmlns:a16="http://schemas.microsoft.com/office/drawing/2014/main" pred="{1E531316-5067-4F24-88D8-9DA6536A7283}"/>
            </a:ext>
          </a:extLst>
        </xdr:cNvPr>
        <xdr:cNvSpPr>
          <a:spLocks noChangeAspect="1" noChangeArrowheads="1"/>
        </xdr:cNvSpPr>
      </xdr:nvSpPr>
      <xdr:spPr bwMode="auto">
        <a:xfrm>
          <a:off x="7531100" y="188480700"/>
          <a:ext cx="190500" cy="266700"/>
        </a:xfrm>
        <a:prstGeom prst="rect">
          <a:avLst/>
        </a:prstGeom>
        <a:noFill/>
      </xdr:spPr>
    </xdr:sp>
    <xdr:clientData/>
  </xdr:oneCellAnchor>
  <xdr:oneCellAnchor>
    <xdr:from>
      <xdr:col>4</xdr:col>
      <xdr:colOff>1657350</xdr:colOff>
      <xdr:row>970</xdr:row>
      <xdr:rowOff>0</xdr:rowOff>
    </xdr:from>
    <xdr:ext cx="190500" cy="266700"/>
    <xdr:sp macro="" textlink="">
      <xdr:nvSpPr>
        <xdr:cNvPr id="9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58A303F-CCED-4BBE-A354-F422167DA99A}"/>
            </a:ext>
            <a:ext uri="{147F2762-F138-4A5C-976F-8EAC2B608ADB}">
              <a16:predDERef xmlns:a16="http://schemas.microsoft.com/office/drawing/2014/main" pred="{746B2E6F-A74D-4626-ACCD-1786F6E5A788}"/>
            </a:ext>
          </a:extLst>
        </xdr:cNvPr>
        <xdr:cNvSpPr>
          <a:spLocks noChangeAspect="1" noChangeArrowheads="1"/>
        </xdr:cNvSpPr>
      </xdr:nvSpPr>
      <xdr:spPr bwMode="auto">
        <a:xfrm>
          <a:off x="7531100" y="188849000"/>
          <a:ext cx="190500" cy="266700"/>
        </a:xfrm>
        <a:prstGeom prst="rect">
          <a:avLst/>
        </a:prstGeom>
        <a:noFill/>
      </xdr:spPr>
    </xdr:sp>
    <xdr:clientData/>
  </xdr:oneCellAnchor>
  <xdr:oneCellAnchor>
    <xdr:from>
      <xdr:col>4</xdr:col>
      <xdr:colOff>1657350</xdr:colOff>
      <xdr:row>970</xdr:row>
      <xdr:rowOff>0</xdr:rowOff>
    </xdr:from>
    <xdr:ext cx="190500" cy="266700"/>
    <xdr:sp macro="" textlink="">
      <xdr:nvSpPr>
        <xdr:cNvPr id="9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FBCA906-C159-4EBE-B899-B9418D17010A}"/>
            </a:ext>
            <a:ext uri="{147F2762-F138-4A5C-976F-8EAC2B608ADB}">
              <a16:predDERef xmlns:a16="http://schemas.microsoft.com/office/drawing/2014/main" pred="{38476B16-E942-4668-BAFA-7BFC9AA4240D}"/>
            </a:ext>
          </a:extLst>
        </xdr:cNvPr>
        <xdr:cNvSpPr>
          <a:spLocks noChangeAspect="1" noChangeArrowheads="1"/>
        </xdr:cNvSpPr>
      </xdr:nvSpPr>
      <xdr:spPr bwMode="auto">
        <a:xfrm>
          <a:off x="7531100" y="188849000"/>
          <a:ext cx="190500" cy="266700"/>
        </a:xfrm>
        <a:prstGeom prst="rect">
          <a:avLst/>
        </a:prstGeom>
        <a:noFill/>
      </xdr:spPr>
    </xdr:sp>
    <xdr:clientData/>
  </xdr:oneCellAnchor>
  <xdr:oneCellAnchor>
    <xdr:from>
      <xdr:col>4</xdr:col>
      <xdr:colOff>1657350</xdr:colOff>
      <xdr:row>972</xdr:row>
      <xdr:rowOff>0</xdr:rowOff>
    </xdr:from>
    <xdr:ext cx="190500" cy="266700"/>
    <xdr:sp macro="" textlink="">
      <xdr:nvSpPr>
        <xdr:cNvPr id="9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74E2C48-E3B8-42AF-ABE9-D0C381537256}"/>
            </a:ext>
            <a:ext uri="{147F2762-F138-4A5C-976F-8EAC2B608ADB}">
              <a16:predDERef xmlns:a16="http://schemas.microsoft.com/office/drawing/2014/main" pred="{247E32EE-ED0D-4CF6-B445-A1416F852148}"/>
            </a:ext>
          </a:extLst>
        </xdr:cNvPr>
        <xdr:cNvSpPr>
          <a:spLocks noChangeAspect="1" noChangeArrowheads="1"/>
        </xdr:cNvSpPr>
      </xdr:nvSpPr>
      <xdr:spPr bwMode="auto">
        <a:xfrm>
          <a:off x="7531100" y="189363350"/>
          <a:ext cx="190500" cy="266700"/>
        </a:xfrm>
        <a:prstGeom prst="rect">
          <a:avLst/>
        </a:prstGeom>
        <a:noFill/>
      </xdr:spPr>
    </xdr:sp>
    <xdr:clientData/>
  </xdr:oneCellAnchor>
  <xdr:oneCellAnchor>
    <xdr:from>
      <xdr:col>4</xdr:col>
      <xdr:colOff>1657350</xdr:colOff>
      <xdr:row>972</xdr:row>
      <xdr:rowOff>0</xdr:rowOff>
    </xdr:from>
    <xdr:ext cx="190500" cy="266700"/>
    <xdr:sp macro="" textlink="">
      <xdr:nvSpPr>
        <xdr:cNvPr id="9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7475C03-CF60-4D45-A811-76545EB60352}"/>
            </a:ext>
            <a:ext uri="{147F2762-F138-4A5C-976F-8EAC2B608ADB}">
              <a16:predDERef xmlns:a16="http://schemas.microsoft.com/office/drawing/2014/main" pred="{F4068454-43BA-4110-839A-8D7A2BBE5A07}"/>
            </a:ext>
          </a:extLst>
        </xdr:cNvPr>
        <xdr:cNvSpPr>
          <a:spLocks noChangeAspect="1" noChangeArrowheads="1"/>
        </xdr:cNvSpPr>
      </xdr:nvSpPr>
      <xdr:spPr bwMode="auto">
        <a:xfrm>
          <a:off x="7531100" y="189363350"/>
          <a:ext cx="190500" cy="266700"/>
        </a:xfrm>
        <a:prstGeom prst="rect">
          <a:avLst/>
        </a:prstGeom>
        <a:noFill/>
      </xdr:spPr>
    </xdr:sp>
    <xdr:clientData/>
  </xdr:oneCellAnchor>
  <xdr:oneCellAnchor>
    <xdr:from>
      <xdr:col>4</xdr:col>
      <xdr:colOff>1657350</xdr:colOff>
      <xdr:row>974</xdr:row>
      <xdr:rowOff>0</xdr:rowOff>
    </xdr:from>
    <xdr:ext cx="190500" cy="266700"/>
    <xdr:sp macro="" textlink="">
      <xdr:nvSpPr>
        <xdr:cNvPr id="9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9C77F1C-BE67-4200-9269-54C6F6EBB2B9}"/>
            </a:ext>
            <a:ext uri="{147F2762-F138-4A5C-976F-8EAC2B608ADB}">
              <a16:predDERef xmlns:a16="http://schemas.microsoft.com/office/drawing/2014/main" pred="{B3CB1261-E415-4C9C-BAAC-0690FD52D982}"/>
            </a:ext>
          </a:extLst>
        </xdr:cNvPr>
        <xdr:cNvSpPr>
          <a:spLocks noChangeAspect="1" noChangeArrowheads="1"/>
        </xdr:cNvSpPr>
      </xdr:nvSpPr>
      <xdr:spPr bwMode="auto">
        <a:xfrm>
          <a:off x="7531100" y="190023750"/>
          <a:ext cx="190500" cy="266700"/>
        </a:xfrm>
        <a:prstGeom prst="rect">
          <a:avLst/>
        </a:prstGeom>
        <a:noFill/>
      </xdr:spPr>
    </xdr:sp>
    <xdr:clientData/>
  </xdr:oneCellAnchor>
  <xdr:oneCellAnchor>
    <xdr:from>
      <xdr:col>4</xdr:col>
      <xdr:colOff>1657350</xdr:colOff>
      <xdr:row>974</xdr:row>
      <xdr:rowOff>0</xdr:rowOff>
    </xdr:from>
    <xdr:ext cx="190500" cy="266700"/>
    <xdr:sp macro="" textlink="">
      <xdr:nvSpPr>
        <xdr:cNvPr id="9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2DF1B14-DA80-4368-B5D8-7F89D2C16873}"/>
            </a:ext>
            <a:ext uri="{147F2762-F138-4A5C-976F-8EAC2B608ADB}">
              <a16:predDERef xmlns:a16="http://schemas.microsoft.com/office/drawing/2014/main" pred="{45C61EC2-1FFB-4F1D-ACDF-2283945E0D33}"/>
            </a:ext>
          </a:extLst>
        </xdr:cNvPr>
        <xdr:cNvSpPr>
          <a:spLocks noChangeAspect="1" noChangeArrowheads="1"/>
        </xdr:cNvSpPr>
      </xdr:nvSpPr>
      <xdr:spPr bwMode="auto">
        <a:xfrm>
          <a:off x="7531100" y="190023750"/>
          <a:ext cx="190500" cy="266700"/>
        </a:xfrm>
        <a:prstGeom prst="rect">
          <a:avLst/>
        </a:prstGeom>
        <a:noFill/>
      </xdr:spPr>
    </xdr:sp>
    <xdr:clientData/>
  </xdr:oneCellAnchor>
  <xdr:oneCellAnchor>
    <xdr:from>
      <xdr:col>4</xdr:col>
      <xdr:colOff>1657350</xdr:colOff>
      <xdr:row>976</xdr:row>
      <xdr:rowOff>0</xdr:rowOff>
    </xdr:from>
    <xdr:ext cx="190500" cy="266700"/>
    <xdr:sp macro="" textlink="">
      <xdr:nvSpPr>
        <xdr:cNvPr id="9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6509AE-5469-42E3-961B-F6CED70D2AE9}"/>
            </a:ext>
            <a:ext uri="{147F2762-F138-4A5C-976F-8EAC2B608ADB}">
              <a16:predDERef xmlns:a16="http://schemas.microsoft.com/office/drawing/2014/main" pred="{87107D0D-DF13-4620-B8B7-37CBBE5B965A}"/>
            </a:ext>
          </a:extLst>
        </xdr:cNvPr>
        <xdr:cNvSpPr>
          <a:spLocks noChangeAspect="1" noChangeArrowheads="1"/>
        </xdr:cNvSpPr>
      </xdr:nvSpPr>
      <xdr:spPr bwMode="auto">
        <a:xfrm>
          <a:off x="7531100" y="190684150"/>
          <a:ext cx="190500" cy="266700"/>
        </a:xfrm>
        <a:prstGeom prst="rect">
          <a:avLst/>
        </a:prstGeom>
        <a:noFill/>
      </xdr:spPr>
    </xdr:sp>
    <xdr:clientData/>
  </xdr:oneCellAnchor>
  <xdr:oneCellAnchor>
    <xdr:from>
      <xdr:col>4</xdr:col>
      <xdr:colOff>1657350</xdr:colOff>
      <xdr:row>976</xdr:row>
      <xdr:rowOff>0</xdr:rowOff>
    </xdr:from>
    <xdr:ext cx="190500" cy="266700"/>
    <xdr:sp macro="" textlink="">
      <xdr:nvSpPr>
        <xdr:cNvPr id="9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AAC0030-26D7-4463-B330-3999658C2D7B}"/>
            </a:ext>
            <a:ext uri="{147F2762-F138-4A5C-976F-8EAC2B608ADB}">
              <a16:predDERef xmlns:a16="http://schemas.microsoft.com/office/drawing/2014/main" pred="{A4476D74-6B4E-46CF-B605-DE9884C3416E}"/>
            </a:ext>
          </a:extLst>
        </xdr:cNvPr>
        <xdr:cNvSpPr>
          <a:spLocks noChangeAspect="1" noChangeArrowheads="1"/>
        </xdr:cNvSpPr>
      </xdr:nvSpPr>
      <xdr:spPr bwMode="auto">
        <a:xfrm>
          <a:off x="7531100" y="190684150"/>
          <a:ext cx="190500" cy="266700"/>
        </a:xfrm>
        <a:prstGeom prst="rect">
          <a:avLst/>
        </a:prstGeom>
        <a:noFill/>
      </xdr:spPr>
    </xdr:sp>
    <xdr:clientData/>
  </xdr:oneCellAnchor>
  <xdr:oneCellAnchor>
    <xdr:from>
      <xdr:col>4</xdr:col>
      <xdr:colOff>1657350</xdr:colOff>
      <xdr:row>978</xdr:row>
      <xdr:rowOff>0</xdr:rowOff>
    </xdr:from>
    <xdr:ext cx="190500" cy="266700"/>
    <xdr:sp macro="" textlink="">
      <xdr:nvSpPr>
        <xdr:cNvPr id="9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F625B0A-D3E5-484A-8CB3-A471A10338C0}"/>
            </a:ext>
            <a:ext uri="{147F2762-F138-4A5C-976F-8EAC2B608ADB}">
              <a16:predDERef xmlns:a16="http://schemas.microsoft.com/office/drawing/2014/main" pred="{0530B160-BE0B-4C4E-A78F-678D175F15DC}"/>
            </a:ext>
          </a:extLst>
        </xdr:cNvPr>
        <xdr:cNvSpPr>
          <a:spLocks noChangeAspect="1" noChangeArrowheads="1"/>
        </xdr:cNvSpPr>
      </xdr:nvSpPr>
      <xdr:spPr bwMode="auto">
        <a:xfrm>
          <a:off x="7531100" y="191509650"/>
          <a:ext cx="190500" cy="266700"/>
        </a:xfrm>
        <a:prstGeom prst="rect">
          <a:avLst/>
        </a:prstGeom>
        <a:noFill/>
      </xdr:spPr>
    </xdr:sp>
    <xdr:clientData/>
  </xdr:oneCellAnchor>
  <xdr:oneCellAnchor>
    <xdr:from>
      <xdr:col>4</xdr:col>
      <xdr:colOff>1657350</xdr:colOff>
      <xdr:row>978</xdr:row>
      <xdr:rowOff>0</xdr:rowOff>
    </xdr:from>
    <xdr:ext cx="190500" cy="266700"/>
    <xdr:sp macro="" textlink="">
      <xdr:nvSpPr>
        <xdr:cNvPr id="9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F106E8-41DD-40E3-96DA-C38E8D9F4906}"/>
            </a:ext>
            <a:ext uri="{147F2762-F138-4A5C-976F-8EAC2B608ADB}">
              <a16:predDERef xmlns:a16="http://schemas.microsoft.com/office/drawing/2014/main" pred="{C89061F2-11F0-4BB1-B5AA-7B5B2972CC1B}"/>
            </a:ext>
          </a:extLst>
        </xdr:cNvPr>
        <xdr:cNvSpPr>
          <a:spLocks noChangeAspect="1" noChangeArrowheads="1"/>
        </xdr:cNvSpPr>
      </xdr:nvSpPr>
      <xdr:spPr bwMode="auto">
        <a:xfrm>
          <a:off x="7531100" y="191509650"/>
          <a:ext cx="190500" cy="266700"/>
        </a:xfrm>
        <a:prstGeom prst="rect">
          <a:avLst/>
        </a:prstGeom>
        <a:noFill/>
      </xdr:spPr>
    </xdr:sp>
    <xdr:clientData/>
  </xdr:oneCellAnchor>
  <xdr:oneCellAnchor>
    <xdr:from>
      <xdr:col>4</xdr:col>
      <xdr:colOff>1657350</xdr:colOff>
      <xdr:row>980</xdr:row>
      <xdr:rowOff>0</xdr:rowOff>
    </xdr:from>
    <xdr:ext cx="190500" cy="266700"/>
    <xdr:sp macro="" textlink="">
      <xdr:nvSpPr>
        <xdr:cNvPr id="9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1FB5C3-5D0E-4DF1-987E-80149EEEBE5C}"/>
            </a:ext>
            <a:ext uri="{147F2762-F138-4A5C-976F-8EAC2B608ADB}">
              <a16:predDERef xmlns:a16="http://schemas.microsoft.com/office/drawing/2014/main" pred="{75446E31-18B5-4700-9363-1D6713F884C4}"/>
            </a:ext>
          </a:extLst>
        </xdr:cNvPr>
        <xdr:cNvSpPr>
          <a:spLocks noChangeAspect="1" noChangeArrowheads="1"/>
        </xdr:cNvSpPr>
      </xdr:nvSpPr>
      <xdr:spPr bwMode="auto">
        <a:xfrm>
          <a:off x="7531100" y="191877950"/>
          <a:ext cx="190500" cy="266700"/>
        </a:xfrm>
        <a:prstGeom prst="rect">
          <a:avLst/>
        </a:prstGeom>
        <a:noFill/>
      </xdr:spPr>
    </xdr:sp>
    <xdr:clientData/>
  </xdr:oneCellAnchor>
  <xdr:oneCellAnchor>
    <xdr:from>
      <xdr:col>4</xdr:col>
      <xdr:colOff>1657350</xdr:colOff>
      <xdr:row>980</xdr:row>
      <xdr:rowOff>0</xdr:rowOff>
    </xdr:from>
    <xdr:ext cx="190500" cy="266700"/>
    <xdr:sp macro="" textlink="">
      <xdr:nvSpPr>
        <xdr:cNvPr id="9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CF76E3D-8E06-4E2B-8979-2097D614693B}"/>
            </a:ext>
            <a:ext uri="{147F2762-F138-4A5C-976F-8EAC2B608ADB}">
              <a16:predDERef xmlns:a16="http://schemas.microsoft.com/office/drawing/2014/main" pred="{194E92BF-7161-4DDE-A21C-4BAB5F459AF6}"/>
            </a:ext>
          </a:extLst>
        </xdr:cNvPr>
        <xdr:cNvSpPr>
          <a:spLocks noChangeAspect="1" noChangeArrowheads="1"/>
        </xdr:cNvSpPr>
      </xdr:nvSpPr>
      <xdr:spPr bwMode="auto">
        <a:xfrm>
          <a:off x="7531100" y="191877950"/>
          <a:ext cx="190500" cy="266700"/>
        </a:xfrm>
        <a:prstGeom prst="rect">
          <a:avLst/>
        </a:prstGeom>
        <a:noFill/>
      </xdr:spPr>
    </xdr:sp>
    <xdr:clientData/>
  </xdr:oneCellAnchor>
  <xdr:oneCellAnchor>
    <xdr:from>
      <xdr:col>4</xdr:col>
      <xdr:colOff>1657350</xdr:colOff>
      <xdr:row>982</xdr:row>
      <xdr:rowOff>0</xdr:rowOff>
    </xdr:from>
    <xdr:ext cx="190500" cy="266700"/>
    <xdr:sp macro="" textlink="">
      <xdr:nvSpPr>
        <xdr:cNvPr id="9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7725C81-B58B-49E6-AEEF-CA7C3AC575E1}"/>
            </a:ext>
            <a:ext uri="{147F2762-F138-4A5C-976F-8EAC2B608ADB}">
              <a16:predDERef xmlns:a16="http://schemas.microsoft.com/office/drawing/2014/main" pred="{2BEBCF09-A924-4E91-8A62-5FB57F5C11DE}"/>
            </a:ext>
          </a:extLst>
        </xdr:cNvPr>
        <xdr:cNvSpPr>
          <a:spLocks noChangeAspect="1" noChangeArrowheads="1"/>
        </xdr:cNvSpPr>
      </xdr:nvSpPr>
      <xdr:spPr bwMode="auto">
        <a:xfrm>
          <a:off x="7531100" y="192246250"/>
          <a:ext cx="190500" cy="266700"/>
        </a:xfrm>
        <a:prstGeom prst="rect">
          <a:avLst/>
        </a:prstGeom>
        <a:noFill/>
      </xdr:spPr>
    </xdr:sp>
    <xdr:clientData/>
  </xdr:oneCellAnchor>
  <xdr:oneCellAnchor>
    <xdr:from>
      <xdr:col>4</xdr:col>
      <xdr:colOff>1657350</xdr:colOff>
      <xdr:row>982</xdr:row>
      <xdr:rowOff>0</xdr:rowOff>
    </xdr:from>
    <xdr:ext cx="190500" cy="266700"/>
    <xdr:sp macro="" textlink="">
      <xdr:nvSpPr>
        <xdr:cNvPr id="9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C92A4B-1FF7-4A0B-A250-ECA10D3E5893}"/>
            </a:ext>
            <a:ext uri="{147F2762-F138-4A5C-976F-8EAC2B608ADB}">
              <a16:predDERef xmlns:a16="http://schemas.microsoft.com/office/drawing/2014/main" pred="{1FBF5BD8-E63B-4D17-99DF-A849D6AC71B1}"/>
            </a:ext>
          </a:extLst>
        </xdr:cNvPr>
        <xdr:cNvSpPr>
          <a:spLocks noChangeAspect="1" noChangeArrowheads="1"/>
        </xdr:cNvSpPr>
      </xdr:nvSpPr>
      <xdr:spPr bwMode="auto">
        <a:xfrm>
          <a:off x="7531100" y="192246250"/>
          <a:ext cx="190500" cy="266700"/>
        </a:xfrm>
        <a:prstGeom prst="rect">
          <a:avLst/>
        </a:prstGeom>
        <a:noFill/>
      </xdr:spPr>
    </xdr:sp>
    <xdr:clientData/>
  </xdr:oneCellAnchor>
  <xdr:oneCellAnchor>
    <xdr:from>
      <xdr:col>4</xdr:col>
      <xdr:colOff>1657350</xdr:colOff>
      <xdr:row>984</xdr:row>
      <xdr:rowOff>0</xdr:rowOff>
    </xdr:from>
    <xdr:ext cx="190500" cy="266700"/>
    <xdr:sp macro="" textlink="">
      <xdr:nvSpPr>
        <xdr:cNvPr id="9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543679B-7D31-407A-A272-C8CE5F6051DB}"/>
            </a:ext>
            <a:ext uri="{147F2762-F138-4A5C-976F-8EAC2B608ADB}">
              <a16:predDERef xmlns:a16="http://schemas.microsoft.com/office/drawing/2014/main" pred="{B78349EF-4BCE-433A-ABEA-3ACC7BFEAA2B}"/>
            </a:ext>
          </a:extLst>
        </xdr:cNvPr>
        <xdr:cNvSpPr>
          <a:spLocks noChangeAspect="1" noChangeArrowheads="1"/>
        </xdr:cNvSpPr>
      </xdr:nvSpPr>
      <xdr:spPr bwMode="auto">
        <a:xfrm>
          <a:off x="7531100" y="192614550"/>
          <a:ext cx="190500" cy="266700"/>
        </a:xfrm>
        <a:prstGeom prst="rect">
          <a:avLst/>
        </a:prstGeom>
        <a:noFill/>
      </xdr:spPr>
    </xdr:sp>
    <xdr:clientData/>
  </xdr:oneCellAnchor>
  <xdr:oneCellAnchor>
    <xdr:from>
      <xdr:col>4</xdr:col>
      <xdr:colOff>1657350</xdr:colOff>
      <xdr:row>984</xdr:row>
      <xdr:rowOff>0</xdr:rowOff>
    </xdr:from>
    <xdr:ext cx="190500" cy="266700"/>
    <xdr:sp macro="" textlink="">
      <xdr:nvSpPr>
        <xdr:cNvPr id="9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684AF3C-144D-4098-8E54-086A886F3084}"/>
            </a:ext>
            <a:ext uri="{147F2762-F138-4A5C-976F-8EAC2B608ADB}">
              <a16:predDERef xmlns:a16="http://schemas.microsoft.com/office/drawing/2014/main" pred="{D731B26B-DC4D-4DDB-A238-497F8FAC5869}"/>
            </a:ext>
          </a:extLst>
        </xdr:cNvPr>
        <xdr:cNvSpPr>
          <a:spLocks noChangeAspect="1" noChangeArrowheads="1"/>
        </xdr:cNvSpPr>
      </xdr:nvSpPr>
      <xdr:spPr bwMode="auto">
        <a:xfrm>
          <a:off x="7531100" y="192614550"/>
          <a:ext cx="190500" cy="266700"/>
        </a:xfrm>
        <a:prstGeom prst="rect">
          <a:avLst/>
        </a:prstGeom>
        <a:noFill/>
      </xdr:spPr>
    </xdr:sp>
    <xdr:clientData/>
  </xdr:oneCellAnchor>
  <xdr:oneCellAnchor>
    <xdr:from>
      <xdr:col>4</xdr:col>
      <xdr:colOff>1657350</xdr:colOff>
      <xdr:row>986</xdr:row>
      <xdr:rowOff>0</xdr:rowOff>
    </xdr:from>
    <xdr:ext cx="190500" cy="266700"/>
    <xdr:sp macro="" textlink="">
      <xdr:nvSpPr>
        <xdr:cNvPr id="9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D899845-6365-46E8-BC38-C1FE5EE577B5}"/>
            </a:ext>
            <a:ext uri="{147F2762-F138-4A5C-976F-8EAC2B608ADB}">
              <a16:predDERef xmlns:a16="http://schemas.microsoft.com/office/drawing/2014/main" pred="{DA0335DF-3E10-40A3-BA60-9D2A68DE5010}"/>
            </a:ext>
          </a:extLst>
        </xdr:cNvPr>
        <xdr:cNvSpPr>
          <a:spLocks noChangeAspect="1" noChangeArrowheads="1"/>
        </xdr:cNvSpPr>
      </xdr:nvSpPr>
      <xdr:spPr bwMode="auto">
        <a:xfrm>
          <a:off x="7531100" y="192982850"/>
          <a:ext cx="190500" cy="266700"/>
        </a:xfrm>
        <a:prstGeom prst="rect">
          <a:avLst/>
        </a:prstGeom>
        <a:noFill/>
      </xdr:spPr>
    </xdr:sp>
    <xdr:clientData/>
  </xdr:oneCellAnchor>
  <xdr:oneCellAnchor>
    <xdr:from>
      <xdr:col>4</xdr:col>
      <xdr:colOff>1657350</xdr:colOff>
      <xdr:row>986</xdr:row>
      <xdr:rowOff>0</xdr:rowOff>
    </xdr:from>
    <xdr:ext cx="190500" cy="266700"/>
    <xdr:sp macro="" textlink="">
      <xdr:nvSpPr>
        <xdr:cNvPr id="9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10C5DE0-4681-4588-BCDE-1DE3F257F1F5}"/>
            </a:ext>
            <a:ext uri="{147F2762-F138-4A5C-976F-8EAC2B608ADB}">
              <a16:predDERef xmlns:a16="http://schemas.microsoft.com/office/drawing/2014/main" pred="{C8DBBCFF-6008-4204-A4B9-C6CA7596D130}"/>
            </a:ext>
          </a:extLst>
        </xdr:cNvPr>
        <xdr:cNvSpPr>
          <a:spLocks noChangeAspect="1" noChangeArrowheads="1"/>
        </xdr:cNvSpPr>
      </xdr:nvSpPr>
      <xdr:spPr bwMode="auto">
        <a:xfrm>
          <a:off x="7531100" y="192982850"/>
          <a:ext cx="190500" cy="266700"/>
        </a:xfrm>
        <a:prstGeom prst="rect">
          <a:avLst/>
        </a:prstGeom>
        <a:noFill/>
      </xdr:spPr>
    </xdr:sp>
    <xdr:clientData/>
  </xdr:oneCellAnchor>
  <xdr:oneCellAnchor>
    <xdr:from>
      <xdr:col>4</xdr:col>
      <xdr:colOff>1657350</xdr:colOff>
      <xdr:row>988</xdr:row>
      <xdr:rowOff>0</xdr:rowOff>
    </xdr:from>
    <xdr:ext cx="190500" cy="266700"/>
    <xdr:sp macro="" textlink="">
      <xdr:nvSpPr>
        <xdr:cNvPr id="9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FF21372-B7CD-4E7D-A360-09506CD0958D}"/>
            </a:ext>
            <a:ext uri="{147F2762-F138-4A5C-976F-8EAC2B608ADB}">
              <a16:predDERef xmlns:a16="http://schemas.microsoft.com/office/drawing/2014/main" pred="{686AB7C2-798C-4657-9EA6-29AC82B8DB31}"/>
            </a:ext>
          </a:extLst>
        </xdr:cNvPr>
        <xdr:cNvSpPr>
          <a:spLocks noChangeAspect="1" noChangeArrowheads="1"/>
        </xdr:cNvSpPr>
      </xdr:nvSpPr>
      <xdr:spPr bwMode="auto">
        <a:xfrm>
          <a:off x="7531100" y="193351150"/>
          <a:ext cx="190500" cy="266700"/>
        </a:xfrm>
        <a:prstGeom prst="rect">
          <a:avLst/>
        </a:prstGeom>
        <a:noFill/>
      </xdr:spPr>
    </xdr:sp>
    <xdr:clientData/>
  </xdr:oneCellAnchor>
  <xdr:oneCellAnchor>
    <xdr:from>
      <xdr:col>4</xdr:col>
      <xdr:colOff>1657350</xdr:colOff>
      <xdr:row>988</xdr:row>
      <xdr:rowOff>0</xdr:rowOff>
    </xdr:from>
    <xdr:ext cx="190500" cy="266700"/>
    <xdr:sp macro="" textlink="">
      <xdr:nvSpPr>
        <xdr:cNvPr id="9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C01ED2-5F32-457A-B728-E80833F0CE01}"/>
            </a:ext>
            <a:ext uri="{147F2762-F138-4A5C-976F-8EAC2B608ADB}">
              <a16:predDERef xmlns:a16="http://schemas.microsoft.com/office/drawing/2014/main" pred="{1D7C462A-9304-43A4-B7D1-3E4ED7BE4943}"/>
            </a:ext>
          </a:extLst>
        </xdr:cNvPr>
        <xdr:cNvSpPr>
          <a:spLocks noChangeAspect="1" noChangeArrowheads="1"/>
        </xdr:cNvSpPr>
      </xdr:nvSpPr>
      <xdr:spPr bwMode="auto">
        <a:xfrm>
          <a:off x="7531100" y="193351150"/>
          <a:ext cx="190500" cy="266700"/>
        </a:xfrm>
        <a:prstGeom prst="rect">
          <a:avLst/>
        </a:prstGeom>
        <a:noFill/>
      </xdr:spPr>
    </xdr:sp>
    <xdr:clientData/>
  </xdr:oneCellAnchor>
  <xdr:oneCellAnchor>
    <xdr:from>
      <xdr:col>4</xdr:col>
      <xdr:colOff>1657350</xdr:colOff>
      <xdr:row>990</xdr:row>
      <xdr:rowOff>0</xdr:rowOff>
    </xdr:from>
    <xdr:ext cx="190500" cy="266700"/>
    <xdr:sp macro="" textlink="">
      <xdr:nvSpPr>
        <xdr:cNvPr id="9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D70F8CB-FD9A-4601-8D8A-40C4BAF979B7}"/>
            </a:ext>
            <a:ext uri="{147F2762-F138-4A5C-976F-8EAC2B608ADB}">
              <a16:predDERef xmlns:a16="http://schemas.microsoft.com/office/drawing/2014/main" pred="{AE842B42-88C5-4697-A547-B719901DFC15}"/>
            </a:ext>
          </a:extLst>
        </xdr:cNvPr>
        <xdr:cNvSpPr>
          <a:spLocks noChangeAspect="1" noChangeArrowheads="1"/>
        </xdr:cNvSpPr>
      </xdr:nvSpPr>
      <xdr:spPr bwMode="auto">
        <a:xfrm>
          <a:off x="7531100" y="193719450"/>
          <a:ext cx="190500" cy="266700"/>
        </a:xfrm>
        <a:prstGeom prst="rect">
          <a:avLst/>
        </a:prstGeom>
        <a:noFill/>
      </xdr:spPr>
    </xdr:sp>
    <xdr:clientData/>
  </xdr:oneCellAnchor>
  <xdr:oneCellAnchor>
    <xdr:from>
      <xdr:col>4</xdr:col>
      <xdr:colOff>1657350</xdr:colOff>
      <xdr:row>990</xdr:row>
      <xdr:rowOff>0</xdr:rowOff>
    </xdr:from>
    <xdr:ext cx="190500" cy="266700"/>
    <xdr:sp macro="" textlink="">
      <xdr:nvSpPr>
        <xdr:cNvPr id="9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7DB073F-B5F2-4B01-B024-3D9E9BB7F652}"/>
            </a:ext>
            <a:ext uri="{147F2762-F138-4A5C-976F-8EAC2B608ADB}">
              <a16:predDERef xmlns:a16="http://schemas.microsoft.com/office/drawing/2014/main" pred="{F0F8B7E5-4C17-44A3-A749-5609A36AA76B}"/>
            </a:ext>
          </a:extLst>
        </xdr:cNvPr>
        <xdr:cNvSpPr>
          <a:spLocks noChangeAspect="1" noChangeArrowheads="1"/>
        </xdr:cNvSpPr>
      </xdr:nvSpPr>
      <xdr:spPr bwMode="auto">
        <a:xfrm>
          <a:off x="7531100" y="193719450"/>
          <a:ext cx="190500" cy="266700"/>
        </a:xfrm>
        <a:prstGeom prst="rect">
          <a:avLst/>
        </a:prstGeom>
        <a:noFill/>
      </xdr:spPr>
    </xdr:sp>
    <xdr:clientData/>
  </xdr:oneCellAnchor>
  <xdr:oneCellAnchor>
    <xdr:from>
      <xdr:col>4</xdr:col>
      <xdr:colOff>1657350</xdr:colOff>
      <xdr:row>992</xdr:row>
      <xdr:rowOff>0</xdr:rowOff>
    </xdr:from>
    <xdr:ext cx="190500" cy="266700"/>
    <xdr:sp macro="" textlink="">
      <xdr:nvSpPr>
        <xdr:cNvPr id="9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086DCC7-4FCE-4FBB-9C71-05D2E6EC3424}"/>
            </a:ext>
            <a:ext uri="{147F2762-F138-4A5C-976F-8EAC2B608ADB}">
              <a16:predDERef xmlns:a16="http://schemas.microsoft.com/office/drawing/2014/main" pred="{43227F5E-9BD7-4DE6-9382-BDA3396E1462}"/>
            </a:ext>
          </a:extLst>
        </xdr:cNvPr>
        <xdr:cNvSpPr>
          <a:spLocks noChangeAspect="1" noChangeArrowheads="1"/>
        </xdr:cNvSpPr>
      </xdr:nvSpPr>
      <xdr:spPr bwMode="auto">
        <a:xfrm>
          <a:off x="7531100" y="194087750"/>
          <a:ext cx="190500" cy="266700"/>
        </a:xfrm>
        <a:prstGeom prst="rect">
          <a:avLst/>
        </a:prstGeom>
        <a:noFill/>
      </xdr:spPr>
    </xdr:sp>
    <xdr:clientData/>
  </xdr:oneCellAnchor>
  <xdr:oneCellAnchor>
    <xdr:from>
      <xdr:col>4</xdr:col>
      <xdr:colOff>1657350</xdr:colOff>
      <xdr:row>992</xdr:row>
      <xdr:rowOff>0</xdr:rowOff>
    </xdr:from>
    <xdr:ext cx="190500" cy="266700"/>
    <xdr:sp macro="" textlink="">
      <xdr:nvSpPr>
        <xdr:cNvPr id="9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A7B831D-2948-4C0A-A8A7-CC3BD5F8D517}"/>
            </a:ext>
            <a:ext uri="{147F2762-F138-4A5C-976F-8EAC2B608ADB}">
              <a16:predDERef xmlns:a16="http://schemas.microsoft.com/office/drawing/2014/main" pred="{FDBACE29-1F58-4BDA-B8EA-18D3942F6084}"/>
            </a:ext>
          </a:extLst>
        </xdr:cNvPr>
        <xdr:cNvSpPr>
          <a:spLocks noChangeAspect="1" noChangeArrowheads="1"/>
        </xdr:cNvSpPr>
      </xdr:nvSpPr>
      <xdr:spPr bwMode="auto">
        <a:xfrm>
          <a:off x="7531100" y="194087750"/>
          <a:ext cx="190500" cy="266700"/>
        </a:xfrm>
        <a:prstGeom prst="rect">
          <a:avLst/>
        </a:prstGeom>
        <a:noFill/>
      </xdr:spPr>
    </xdr:sp>
    <xdr:clientData/>
  </xdr:oneCellAnchor>
  <xdr:oneCellAnchor>
    <xdr:from>
      <xdr:col>4</xdr:col>
      <xdr:colOff>1657350</xdr:colOff>
      <xdr:row>994</xdr:row>
      <xdr:rowOff>0</xdr:rowOff>
    </xdr:from>
    <xdr:ext cx="190500" cy="266700"/>
    <xdr:sp macro="" textlink="">
      <xdr:nvSpPr>
        <xdr:cNvPr id="9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586AA0F-5159-4BD5-9B44-CCB43B53C0E0}"/>
            </a:ext>
            <a:ext uri="{147F2762-F138-4A5C-976F-8EAC2B608ADB}">
              <a16:predDERef xmlns:a16="http://schemas.microsoft.com/office/drawing/2014/main" pred="{01FBBA3A-6EC3-469C-81E5-C944AA4E08BB}"/>
            </a:ext>
          </a:extLst>
        </xdr:cNvPr>
        <xdr:cNvSpPr>
          <a:spLocks noChangeAspect="1" noChangeArrowheads="1"/>
        </xdr:cNvSpPr>
      </xdr:nvSpPr>
      <xdr:spPr bwMode="auto">
        <a:xfrm>
          <a:off x="7531100" y="194456050"/>
          <a:ext cx="190500" cy="266700"/>
        </a:xfrm>
        <a:prstGeom prst="rect">
          <a:avLst/>
        </a:prstGeom>
        <a:noFill/>
      </xdr:spPr>
    </xdr:sp>
    <xdr:clientData/>
  </xdr:oneCellAnchor>
  <xdr:oneCellAnchor>
    <xdr:from>
      <xdr:col>4</xdr:col>
      <xdr:colOff>1657350</xdr:colOff>
      <xdr:row>994</xdr:row>
      <xdr:rowOff>0</xdr:rowOff>
    </xdr:from>
    <xdr:ext cx="190500" cy="266700"/>
    <xdr:sp macro="" textlink="">
      <xdr:nvSpPr>
        <xdr:cNvPr id="9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4E89527-E8E8-437F-9ACD-1D87216E959F}"/>
            </a:ext>
            <a:ext uri="{147F2762-F138-4A5C-976F-8EAC2B608ADB}">
              <a16:predDERef xmlns:a16="http://schemas.microsoft.com/office/drawing/2014/main" pred="{F0BB6A3A-6DFC-48BD-9519-2FA541A10D66}"/>
            </a:ext>
          </a:extLst>
        </xdr:cNvPr>
        <xdr:cNvSpPr>
          <a:spLocks noChangeAspect="1" noChangeArrowheads="1"/>
        </xdr:cNvSpPr>
      </xdr:nvSpPr>
      <xdr:spPr bwMode="auto">
        <a:xfrm>
          <a:off x="7531100" y="194456050"/>
          <a:ext cx="190500" cy="266700"/>
        </a:xfrm>
        <a:prstGeom prst="rect">
          <a:avLst/>
        </a:prstGeom>
        <a:noFill/>
      </xdr:spPr>
    </xdr:sp>
    <xdr:clientData/>
  </xdr:oneCellAnchor>
  <xdr:oneCellAnchor>
    <xdr:from>
      <xdr:col>4</xdr:col>
      <xdr:colOff>1657350</xdr:colOff>
      <xdr:row>996</xdr:row>
      <xdr:rowOff>0</xdr:rowOff>
    </xdr:from>
    <xdr:ext cx="190500" cy="266700"/>
    <xdr:sp macro="" textlink="">
      <xdr:nvSpPr>
        <xdr:cNvPr id="9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88D45AC-15DA-472E-BBD4-133113599C7E}"/>
            </a:ext>
            <a:ext uri="{147F2762-F138-4A5C-976F-8EAC2B608ADB}">
              <a16:predDERef xmlns:a16="http://schemas.microsoft.com/office/drawing/2014/main" pred="{F0B2D99D-8B81-465A-8FC0-95121ADC3B65}"/>
            </a:ext>
          </a:extLst>
        </xdr:cNvPr>
        <xdr:cNvSpPr>
          <a:spLocks noChangeAspect="1" noChangeArrowheads="1"/>
        </xdr:cNvSpPr>
      </xdr:nvSpPr>
      <xdr:spPr bwMode="auto">
        <a:xfrm>
          <a:off x="7531100" y="194824350"/>
          <a:ext cx="190500" cy="266700"/>
        </a:xfrm>
        <a:prstGeom prst="rect">
          <a:avLst/>
        </a:prstGeom>
        <a:noFill/>
      </xdr:spPr>
    </xdr:sp>
    <xdr:clientData/>
  </xdr:oneCellAnchor>
  <xdr:oneCellAnchor>
    <xdr:from>
      <xdr:col>4</xdr:col>
      <xdr:colOff>1657350</xdr:colOff>
      <xdr:row>996</xdr:row>
      <xdr:rowOff>0</xdr:rowOff>
    </xdr:from>
    <xdr:ext cx="190500" cy="266700"/>
    <xdr:sp macro="" textlink="">
      <xdr:nvSpPr>
        <xdr:cNvPr id="9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36C11B3-3D1A-40D9-A4D7-DF04A2BEDD0B}"/>
            </a:ext>
            <a:ext uri="{147F2762-F138-4A5C-976F-8EAC2B608ADB}">
              <a16:predDERef xmlns:a16="http://schemas.microsoft.com/office/drawing/2014/main" pred="{A582B6C6-76CB-4E9E-AAFB-FF78DA06AD55}"/>
            </a:ext>
          </a:extLst>
        </xdr:cNvPr>
        <xdr:cNvSpPr>
          <a:spLocks noChangeAspect="1" noChangeArrowheads="1"/>
        </xdr:cNvSpPr>
      </xdr:nvSpPr>
      <xdr:spPr bwMode="auto">
        <a:xfrm>
          <a:off x="7531100" y="194824350"/>
          <a:ext cx="190500" cy="266700"/>
        </a:xfrm>
        <a:prstGeom prst="rect">
          <a:avLst/>
        </a:prstGeom>
        <a:noFill/>
      </xdr:spPr>
    </xdr:sp>
    <xdr:clientData/>
  </xdr:oneCellAnchor>
  <xdr:oneCellAnchor>
    <xdr:from>
      <xdr:col>4</xdr:col>
      <xdr:colOff>1657350</xdr:colOff>
      <xdr:row>998</xdr:row>
      <xdr:rowOff>0</xdr:rowOff>
    </xdr:from>
    <xdr:ext cx="190500" cy="266700"/>
    <xdr:sp macro="" textlink="">
      <xdr:nvSpPr>
        <xdr:cNvPr id="10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2F1C3CD-49F0-44DE-B5C6-011B53A5602B}"/>
            </a:ext>
            <a:ext uri="{147F2762-F138-4A5C-976F-8EAC2B608ADB}">
              <a16:predDERef xmlns:a16="http://schemas.microsoft.com/office/drawing/2014/main" pred="{BF467B8A-2685-463C-9FB3-B8BF2D1A157B}"/>
            </a:ext>
          </a:extLst>
        </xdr:cNvPr>
        <xdr:cNvSpPr>
          <a:spLocks noChangeAspect="1" noChangeArrowheads="1"/>
        </xdr:cNvSpPr>
      </xdr:nvSpPr>
      <xdr:spPr bwMode="auto">
        <a:xfrm>
          <a:off x="7531100" y="195192650"/>
          <a:ext cx="190500" cy="266700"/>
        </a:xfrm>
        <a:prstGeom prst="rect">
          <a:avLst/>
        </a:prstGeom>
        <a:noFill/>
      </xdr:spPr>
    </xdr:sp>
    <xdr:clientData/>
  </xdr:oneCellAnchor>
  <xdr:oneCellAnchor>
    <xdr:from>
      <xdr:col>4</xdr:col>
      <xdr:colOff>1657350</xdr:colOff>
      <xdr:row>998</xdr:row>
      <xdr:rowOff>0</xdr:rowOff>
    </xdr:from>
    <xdr:ext cx="190500" cy="266700"/>
    <xdr:sp macro="" textlink="">
      <xdr:nvSpPr>
        <xdr:cNvPr id="10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D84E11F-6960-4932-97B3-DD858CD4F4FC}"/>
            </a:ext>
            <a:ext uri="{147F2762-F138-4A5C-976F-8EAC2B608ADB}">
              <a16:predDERef xmlns:a16="http://schemas.microsoft.com/office/drawing/2014/main" pred="{11FC1E59-B1CF-499D-AB5A-8F248F91C3EF}"/>
            </a:ext>
          </a:extLst>
        </xdr:cNvPr>
        <xdr:cNvSpPr>
          <a:spLocks noChangeAspect="1" noChangeArrowheads="1"/>
        </xdr:cNvSpPr>
      </xdr:nvSpPr>
      <xdr:spPr bwMode="auto">
        <a:xfrm>
          <a:off x="7531100" y="195192650"/>
          <a:ext cx="190500" cy="266700"/>
        </a:xfrm>
        <a:prstGeom prst="rect">
          <a:avLst/>
        </a:prstGeom>
        <a:noFill/>
      </xdr:spPr>
    </xdr:sp>
    <xdr:clientData/>
  </xdr:oneCellAnchor>
  <xdr:oneCellAnchor>
    <xdr:from>
      <xdr:col>4</xdr:col>
      <xdr:colOff>1657350</xdr:colOff>
      <xdr:row>1000</xdr:row>
      <xdr:rowOff>0</xdr:rowOff>
    </xdr:from>
    <xdr:ext cx="190500" cy="266700"/>
    <xdr:sp macro="" textlink="">
      <xdr:nvSpPr>
        <xdr:cNvPr id="10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46DC3A7-2039-4990-A94A-93661E2DFDF4}"/>
            </a:ext>
            <a:ext uri="{147F2762-F138-4A5C-976F-8EAC2B608ADB}">
              <a16:predDERef xmlns:a16="http://schemas.microsoft.com/office/drawing/2014/main" pred="{8F16C783-67B4-458A-A496-60737793C407}"/>
            </a:ext>
          </a:extLst>
        </xdr:cNvPr>
        <xdr:cNvSpPr>
          <a:spLocks noChangeAspect="1" noChangeArrowheads="1"/>
        </xdr:cNvSpPr>
      </xdr:nvSpPr>
      <xdr:spPr bwMode="auto">
        <a:xfrm>
          <a:off x="7531100" y="195560950"/>
          <a:ext cx="190500" cy="266700"/>
        </a:xfrm>
        <a:prstGeom prst="rect">
          <a:avLst/>
        </a:prstGeom>
        <a:noFill/>
      </xdr:spPr>
    </xdr:sp>
    <xdr:clientData/>
  </xdr:oneCellAnchor>
  <xdr:oneCellAnchor>
    <xdr:from>
      <xdr:col>4</xdr:col>
      <xdr:colOff>1657350</xdr:colOff>
      <xdr:row>1000</xdr:row>
      <xdr:rowOff>0</xdr:rowOff>
    </xdr:from>
    <xdr:ext cx="190500" cy="266700"/>
    <xdr:sp macro="" textlink="">
      <xdr:nvSpPr>
        <xdr:cNvPr id="10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A252C62-4AEE-4EAF-A9DD-013D6BF5273E}"/>
            </a:ext>
            <a:ext uri="{147F2762-F138-4A5C-976F-8EAC2B608ADB}">
              <a16:predDERef xmlns:a16="http://schemas.microsoft.com/office/drawing/2014/main" pred="{78E1C863-A331-4E47-AB36-9855349D30E9}"/>
            </a:ext>
          </a:extLst>
        </xdr:cNvPr>
        <xdr:cNvSpPr>
          <a:spLocks noChangeAspect="1" noChangeArrowheads="1"/>
        </xdr:cNvSpPr>
      </xdr:nvSpPr>
      <xdr:spPr bwMode="auto">
        <a:xfrm>
          <a:off x="7531100" y="195560950"/>
          <a:ext cx="190500" cy="266700"/>
        </a:xfrm>
        <a:prstGeom prst="rect">
          <a:avLst/>
        </a:prstGeom>
        <a:noFill/>
      </xdr:spPr>
    </xdr:sp>
    <xdr:clientData/>
  </xdr:oneCellAnchor>
  <xdr:oneCellAnchor>
    <xdr:from>
      <xdr:col>4</xdr:col>
      <xdr:colOff>1657350</xdr:colOff>
      <xdr:row>1002</xdr:row>
      <xdr:rowOff>0</xdr:rowOff>
    </xdr:from>
    <xdr:ext cx="190500" cy="266700"/>
    <xdr:sp macro="" textlink="">
      <xdr:nvSpPr>
        <xdr:cNvPr id="10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8A670A2-6186-42C6-9ECC-4972A6FE62B4}"/>
            </a:ext>
            <a:ext uri="{147F2762-F138-4A5C-976F-8EAC2B608ADB}">
              <a16:predDERef xmlns:a16="http://schemas.microsoft.com/office/drawing/2014/main" pred="{7A695FD2-5941-43C6-8861-2548A2B2943C}"/>
            </a:ext>
          </a:extLst>
        </xdr:cNvPr>
        <xdr:cNvSpPr>
          <a:spLocks noChangeAspect="1" noChangeArrowheads="1"/>
        </xdr:cNvSpPr>
      </xdr:nvSpPr>
      <xdr:spPr bwMode="auto">
        <a:xfrm>
          <a:off x="7531100" y="195929250"/>
          <a:ext cx="190500" cy="266700"/>
        </a:xfrm>
        <a:prstGeom prst="rect">
          <a:avLst/>
        </a:prstGeom>
        <a:noFill/>
      </xdr:spPr>
    </xdr:sp>
    <xdr:clientData/>
  </xdr:oneCellAnchor>
  <xdr:oneCellAnchor>
    <xdr:from>
      <xdr:col>4</xdr:col>
      <xdr:colOff>1657350</xdr:colOff>
      <xdr:row>1002</xdr:row>
      <xdr:rowOff>0</xdr:rowOff>
    </xdr:from>
    <xdr:ext cx="190500" cy="266700"/>
    <xdr:sp macro="" textlink="">
      <xdr:nvSpPr>
        <xdr:cNvPr id="10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70F5353-A0AF-48AF-A8BB-4E011417BCEA}"/>
            </a:ext>
            <a:ext uri="{147F2762-F138-4A5C-976F-8EAC2B608ADB}">
              <a16:predDERef xmlns:a16="http://schemas.microsoft.com/office/drawing/2014/main" pred="{70054B22-570D-46AD-9ED4-531A4BEE07CE}"/>
            </a:ext>
          </a:extLst>
        </xdr:cNvPr>
        <xdr:cNvSpPr>
          <a:spLocks noChangeAspect="1" noChangeArrowheads="1"/>
        </xdr:cNvSpPr>
      </xdr:nvSpPr>
      <xdr:spPr bwMode="auto">
        <a:xfrm>
          <a:off x="7531100" y="195929250"/>
          <a:ext cx="190500" cy="266700"/>
        </a:xfrm>
        <a:prstGeom prst="rect">
          <a:avLst/>
        </a:prstGeom>
        <a:noFill/>
      </xdr:spPr>
    </xdr:sp>
    <xdr:clientData/>
  </xdr:oneCellAnchor>
  <xdr:oneCellAnchor>
    <xdr:from>
      <xdr:col>4</xdr:col>
      <xdr:colOff>1657350</xdr:colOff>
      <xdr:row>1004</xdr:row>
      <xdr:rowOff>0</xdr:rowOff>
    </xdr:from>
    <xdr:ext cx="190500" cy="266700"/>
    <xdr:sp macro="" textlink="">
      <xdr:nvSpPr>
        <xdr:cNvPr id="10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2A0B69A-7EA5-4535-AC0A-A3CC326CFA65}"/>
            </a:ext>
            <a:ext uri="{147F2762-F138-4A5C-976F-8EAC2B608ADB}">
              <a16:predDERef xmlns:a16="http://schemas.microsoft.com/office/drawing/2014/main" pred="{F6C47EE5-C984-4589-8D47-0D2004AFBEDA}"/>
            </a:ext>
          </a:extLst>
        </xdr:cNvPr>
        <xdr:cNvSpPr>
          <a:spLocks noChangeAspect="1" noChangeArrowheads="1"/>
        </xdr:cNvSpPr>
      </xdr:nvSpPr>
      <xdr:spPr bwMode="auto">
        <a:xfrm>
          <a:off x="7531100" y="196297550"/>
          <a:ext cx="190500" cy="266700"/>
        </a:xfrm>
        <a:prstGeom prst="rect">
          <a:avLst/>
        </a:prstGeom>
        <a:noFill/>
      </xdr:spPr>
    </xdr:sp>
    <xdr:clientData/>
  </xdr:oneCellAnchor>
  <xdr:oneCellAnchor>
    <xdr:from>
      <xdr:col>4</xdr:col>
      <xdr:colOff>1657350</xdr:colOff>
      <xdr:row>1004</xdr:row>
      <xdr:rowOff>0</xdr:rowOff>
    </xdr:from>
    <xdr:ext cx="190500" cy="266700"/>
    <xdr:sp macro="" textlink="">
      <xdr:nvSpPr>
        <xdr:cNvPr id="10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FC69E4C-242C-43AD-ACEC-BD89BF3101C5}"/>
            </a:ext>
            <a:ext uri="{147F2762-F138-4A5C-976F-8EAC2B608ADB}">
              <a16:predDERef xmlns:a16="http://schemas.microsoft.com/office/drawing/2014/main" pred="{4D807B8A-88FB-4CB2-9ABA-98F74F6CF697}"/>
            </a:ext>
          </a:extLst>
        </xdr:cNvPr>
        <xdr:cNvSpPr>
          <a:spLocks noChangeAspect="1" noChangeArrowheads="1"/>
        </xdr:cNvSpPr>
      </xdr:nvSpPr>
      <xdr:spPr bwMode="auto">
        <a:xfrm>
          <a:off x="7531100" y="196297550"/>
          <a:ext cx="190500" cy="266700"/>
        </a:xfrm>
        <a:prstGeom prst="rect">
          <a:avLst/>
        </a:prstGeom>
        <a:noFill/>
      </xdr:spPr>
    </xdr:sp>
    <xdr:clientData/>
  </xdr:oneCellAnchor>
  <xdr:oneCellAnchor>
    <xdr:from>
      <xdr:col>4</xdr:col>
      <xdr:colOff>1657350</xdr:colOff>
      <xdr:row>1006</xdr:row>
      <xdr:rowOff>0</xdr:rowOff>
    </xdr:from>
    <xdr:ext cx="190500" cy="266700"/>
    <xdr:sp macro="" textlink="">
      <xdr:nvSpPr>
        <xdr:cNvPr id="10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ACE5025-FEC0-478B-ACA7-DAE66D68C932}"/>
            </a:ext>
            <a:ext uri="{147F2762-F138-4A5C-976F-8EAC2B608ADB}">
              <a16:predDERef xmlns:a16="http://schemas.microsoft.com/office/drawing/2014/main" pred="{522E99CC-C6E6-4B87-A254-DD02881F104E}"/>
            </a:ext>
          </a:extLst>
        </xdr:cNvPr>
        <xdr:cNvSpPr>
          <a:spLocks noChangeAspect="1" noChangeArrowheads="1"/>
        </xdr:cNvSpPr>
      </xdr:nvSpPr>
      <xdr:spPr bwMode="auto">
        <a:xfrm>
          <a:off x="7531100" y="196665850"/>
          <a:ext cx="190500" cy="266700"/>
        </a:xfrm>
        <a:prstGeom prst="rect">
          <a:avLst/>
        </a:prstGeom>
        <a:noFill/>
      </xdr:spPr>
    </xdr:sp>
    <xdr:clientData/>
  </xdr:oneCellAnchor>
  <xdr:oneCellAnchor>
    <xdr:from>
      <xdr:col>4</xdr:col>
      <xdr:colOff>1657350</xdr:colOff>
      <xdr:row>1006</xdr:row>
      <xdr:rowOff>0</xdr:rowOff>
    </xdr:from>
    <xdr:ext cx="190500" cy="266700"/>
    <xdr:sp macro="" textlink="">
      <xdr:nvSpPr>
        <xdr:cNvPr id="10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664CCF4-44D5-448F-9831-4A2B44A7BBBF}"/>
            </a:ext>
            <a:ext uri="{147F2762-F138-4A5C-976F-8EAC2B608ADB}">
              <a16:predDERef xmlns:a16="http://schemas.microsoft.com/office/drawing/2014/main" pred="{C898F573-BB88-4B9E-90D7-2903D1249C24}"/>
            </a:ext>
          </a:extLst>
        </xdr:cNvPr>
        <xdr:cNvSpPr>
          <a:spLocks noChangeAspect="1" noChangeArrowheads="1"/>
        </xdr:cNvSpPr>
      </xdr:nvSpPr>
      <xdr:spPr bwMode="auto">
        <a:xfrm>
          <a:off x="7531100" y="196665850"/>
          <a:ext cx="190500" cy="266700"/>
        </a:xfrm>
        <a:prstGeom prst="rect">
          <a:avLst/>
        </a:prstGeom>
        <a:noFill/>
      </xdr:spPr>
    </xdr:sp>
    <xdr:clientData/>
  </xdr:oneCellAnchor>
  <xdr:oneCellAnchor>
    <xdr:from>
      <xdr:col>4</xdr:col>
      <xdr:colOff>1657350</xdr:colOff>
      <xdr:row>1008</xdr:row>
      <xdr:rowOff>0</xdr:rowOff>
    </xdr:from>
    <xdr:ext cx="190500" cy="266700"/>
    <xdr:sp macro="" textlink="">
      <xdr:nvSpPr>
        <xdr:cNvPr id="10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78C5473-DFC6-457D-B1A8-7DF8344FE71F}"/>
            </a:ext>
            <a:ext uri="{147F2762-F138-4A5C-976F-8EAC2B608ADB}">
              <a16:predDERef xmlns:a16="http://schemas.microsoft.com/office/drawing/2014/main" pred="{C6940ECB-67E8-44A9-AE4D-514705057087}"/>
            </a:ext>
          </a:extLst>
        </xdr:cNvPr>
        <xdr:cNvSpPr>
          <a:spLocks noChangeAspect="1" noChangeArrowheads="1"/>
        </xdr:cNvSpPr>
      </xdr:nvSpPr>
      <xdr:spPr bwMode="auto">
        <a:xfrm>
          <a:off x="7531100" y="197326250"/>
          <a:ext cx="190500" cy="266700"/>
        </a:xfrm>
        <a:prstGeom prst="rect">
          <a:avLst/>
        </a:prstGeom>
        <a:noFill/>
      </xdr:spPr>
    </xdr:sp>
    <xdr:clientData/>
  </xdr:oneCellAnchor>
  <xdr:oneCellAnchor>
    <xdr:from>
      <xdr:col>4</xdr:col>
      <xdr:colOff>1657350</xdr:colOff>
      <xdr:row>1008</xdr:row>
      <xdr:rowOff>0</xdr:rowOff>
    </xdr:from>
    <xdr:ext cx="190500" cy="266700"/>
    <xdr:sp macro="" textlink="">
      <xdr:nvSpPr>
        <xdr:cNvPr id="10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9581DFE-91BF-435E-9B5E-48A47CDD4F9E}"/>
            </a:ext>
            <a:ext uri="{147F2762-F138-4A5C-976F-8EAC2B608ADB}">
              <a16:predDERef xmlns:a16="http://schemas.microsoft.com/office/drawing/2014/main" pred="{1FEA3AA5-001F-423A-B76B-17350F6E6268}"/>
            </a:ext>
          </a:extLst>
        </xdr:cNvPr>
        <xdr:cNvSpPr>
          <a:spLocks noChangeAspect="1" noChangeArrowheads="1"/>
        </xdr:cNvSpPr>
      </xdr:nvSpPr>
      <xdr:spPr bwMode="auto">
        <a:xfrm>
          <a:off x="7531100" y="197326250"/>
          <a:ext cx="190500" cy="266700"/>
        </a:xfrm>
        <a:prstGeom prst="rect">
          <a:avLst/>
        </a:prstGeom>
        <a:noFill/>
      </xdr:spPr>
    </xdr:sp>
    <xdr:clientData/>
  </xdr:oneCellAnchor>
  <xdr:oneCellAnchor>
    <xdr:from>
      <xdr:col>4</xdr:col>
      <xdr:colOff>1657350</xdr:colOff>
      <xdr:row>1010</xdr:row>
      <xdr:rowOff>0</xdr:rowOff>
    </xdr:from>
    <xdr:ext cx="190500" cy="266700"/>
    <xdr:sp macro="" textlink="">
      <xdr:nvSpPr>
        <xdr:cNvPr id="10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40FB5EF-C56B-487F-8D22-7D089F07C7F2}"/>
            </a:ext>
            <a:ext uri="{147F2762-F138-4A5C-976F-8EAC2B608ADB}">
              <a16:predDERef xmlns:a16="http://schemas.microsoft.com/office/drawing/2014/main" pred="{677EF9F3-423D-40ED-ACFB-8885A4F0BAF9}"/>
            </a:ext>
          </a:extLst>
        </xdr:cNvPr>
        <xdr:cNvSpPr>
          <a:spLocks noChangeAspect="1" noChangeArrowheads="1"/>
        </xdr:cNvSpPr>
      </xdr:nvSpPr>
      <xdr:spPr bwMode="auto">
        <a:xfrm>
          <a:off x="7531100" y="197986650"/>
          <a:ext cx="190500" cy="266700"/>
        </a:xfrm>
        <a:prstGeom prst="rect">
          <a:avLst/>
        </a:prstGeom>
        <a:noFill/>
      </xdr:spPr>
    </xdr:sp>
    <xdr:clientData/>
  </xdr:oneCellAnchor>
  <xdr:oneCellAnchor>
    <xdr:from>
      <xdr:col>4</xdr:col>
      <xdr:colOff>1657350</xdr:colOff>
      <xdr:row>1010</xdr:row>
      <xdr:rowOff>0</xdr:rowOff>
    </xdr:from>
    <xdr:ext cx="190500" cy="266700"/>
    <xdr:sp macro="" textlink="">
      <xdr:nvSpPr>
        <xdr:cNvPr id="10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B4B085D-C442-4226-B501-1B1B9242FBD7}"/>
            </a:ext>
            <a:ext uri="{147F2762-F138-4A5C-976F-8EAC2B608ADB}">
              <a16:predDERef xmlns:a16="http://schemas.microsoft.com/office/drawing/2014/main" pred="{CE1E925C-6EDD-4875-A15C-78C8AD759E79}"/>
            </a:ext>
          </a:extLst>
        </xdr:cNvPr>
        <xdr:cNvSpPr>
          <a:spLocks noChangeAspect="1" noChangeArrowheads="1"/>
        </xdr:cNvSpPr>
      </xdr:nvSpPr>
      <xdr:spPr bwMode="auto">
        <a:xfrm>
          <a:off x="7531100" y="197986650"/>
          <a:ext cx="190500" cy="266700"/>
        </a:xfrm>
        <a:prstGeom prst="rect">
          <a:avLst/>
        </a:prstGeom>
        <a:noFill/>
      </xdr:spPr>
    </xdr:sp>
    <xdr:clientData/>
  </xdr:oneCellAnchor>
  <xdr:oneCellAnchor>
    <xdr:from>
      <xdr:col>4</xdr:col>
      <xdr:colOff>1657350</xdr:colOff>
      <xdr:row>1012</xdr:row>
      <xdr:rowOff>0</xdr:rowOff>
    </xdr:from>
    <xdr:ext cx="190500" cy="266700"/>
    <xdr:sp macro="" textlink="">
      <xdr:nvSpPr>
        <xdr:cNvPr id="10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A71EC99-9009-49EA-9CCA-9F68880AD364}"/>
            </a:ext>
            <a:ext uri="{147F2762-F138-4A5C-976F-8EAC2B608ADB}">
              <a16:predDERef xmlns:a16="http://schemas.microsoft.com/office/drawing/2014/main" pred="{8B7B36BC-069A-4871-9740-AB001639D777}"/>
            </a:ext>
          </a:extLst>
        </xdr:cNvPr>
        <xdr:cNvSpPr>
          <a:spLocks noChangeAspect="1" noChangeArrowheads="1"/>
        </xdr:cNvSpPr>
      </xdr:nvSpPr>
      <xdr:spPr bwMode="auto">
        <a:xfrm>
          <a:off x="7531100" y="198647050"/>
          <a:ext cx="190500" cy="266700"/>
        </a:xfrm>
        <a:prstGeom prst="rect">
          <a:avLst/>
        </a:prstGeom>
        <a:noFill/>
      </xdr:spPr>
    </xdr:sp>
    <xdr:clientData/>
  </xdr:oneCellAnchor>
  <xdr:oneCellAnchor>
    <xdr:from>
      <xdr:col>4</xdr:col>
      <xdr:colOff>1657350</xdr:colOff>
      <xdr:row>1012</xdr:row>
      <xdr:rowOff>0</xdr:rowOff>
    </xdr:from>
    <xdr:ext cx="190500" cy="266700"/>
    <xdr:sp macro="" textlink="">
      <xdr:nvSpPr>
        <xdr:cNvPr id="10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8F5465-0C02-4023-9B5A-6D71FF5782DE}"/>
            </a:ext>
            <a:ext uri="{147F2762-F138-4A5C-976F-8EAC2B608ADB}">
              <a16:predDERef xmlns:a16="http://schemas.microsoft.com/office/drawing/2014/main" pred="{3BCDB0EA-9C97-4F58-BD76-5AE2874B9477}"/>
            </a:ext>
          </a:extLst>
        </xdr:cNvPr>
        <xdr:cNvSpPr>
          <a:spLocks noChangeAspect="1" noChangeArrowheads="1"/>
        </xdr:cNvSpPr>
      </xdr:nvSpPr>
      <xdr:spPr bwMode="auto">
        <a:xfrm>
          <a:off x="7531100" y="198647050"/>
          <a:ext cx="190500" cy="266700"/>
        </a:xfrm>
        <a:prstGeom prst="rect">
          <a:avLst/>
        </a:prstGeom>
        <a:noFill/>
      </xdr:spPr>
    </xdr:sp>
    <xdr:clientData/>
  </xdr:oneCellAnchor>
  <xdr:oneCellAnchor>
    <xdr:from>
      <xdr:col>4</xdr:col>
      <xdr:colOff>1657350</xdr:colOff>
      <xdr:row>1014</xdr:row>
      <xdr:rowOff>0</xdr:rowOff>
    </xdr:from>
    <xdr:ext cx="190500" cy="266700"/>
    <xdr:sp macro="" textlink="">
      <xdr:nvSpPr>
        <xdr:cNvPr id="10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BD8E1D3-BB02-4CF0-8614-A7FE9C373A60}"/>
            </a:ext>
            <a:ext uri="{147F2762-F138-4A5C-976F-8EAC2B608ADB}">
              <a16:predDERef xmlns:a16="http://schemas.microsoft.com/office/drawing/2014/main" pred="{C8184C45-AC6D-4E80-917D-F260B8BA6671}"/>
            </a:ext>
          </a:extLst>
        </xdr:cNvPr>
        <xdr:cNvSpPr>
          <a:spLocks noChangeAspect="1" noChangeArrowheads="1"/>
        </xdr:cNvSpPr>
      </xdr:nvSpPr>
      <xdr:spPr bwMode="auto">
        <a:xfrm>
          <a:off x="7531100" y="199307450"/>
          <a:ext cx="190500" cy="266700"/>
        </a:xfrm>
        <a:prstGeom prst="rect">
          <a:avLst/>
        </a:prstGeom>
        <a:noFill/>
      </xdr:spPr>
    </xdr:sp>
    <xdr:clientData/>
  </xdr:oneCellAnchor>
  <xdr:oneCellAnchor>
    <xdr:from>
      <xdr:col>4</xdr:col>
      <xdr:colOff>1657350</xdr:colOff>
      <xdr:row>1014</xdr:row>
      <xdr:rowOff>0</xdr:rowOff>
    </xdr:from>
    <xdr:ext cx="190500" cy="266700"/>
    <xdr:sp macro="" textlink="">
      <xdr:nvSpPr>
        <xdr:cNvPr id="10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668791D-939A-4DD5-BC52-6878EE0A68E4}"/>
            </a:ext>
            <a:ext uri="{147F2762-F138-4A5C-976F-8EAC2B608ADB}">
              <a16:predDERef xmlns:a16="http://schemas.microsoft.com/office/drawing/2014/main" pred="{350069B8-4D5A-4B0C-BC91-B85B2065C51F}"/>
            </a:ext>
          </a:extLst>
        </xdr:cNvPr>
        <xdr:cNvSpPr>
          <a:spLocks noChangeAspect="1" noChangeArrowheads="1"/>
        </xdr:cNvSpPr>
      </xdr:nvSpPr>
      <xdr:spPr bwMode="auto">
        <a:xfrm>
          <a:off x="7531100" y="199307450"/>
          <a:ext cx="190500" cy="266700"/>
        </a:xfrm>
        <a:prstGeom prst="rect">
          <a:avLst/>
        </a:prstGeom>
        <a:noFill/>
      </xdr:spPr>
    </xdr:sp>
    <xdr:clientData/>
  </xdr:oneCellAnchor>
  <xdr:oneCellAnchor>
    <xdr:from>
      <xdr:col>4</xdr:col>
      <xdr:colOff>1657350</xdr:colOff>
      <xdr:row>1016</xdr:row>
      <xdr:rowOff>0</xdr:rowOff>
    </xdr:from>
    <xdr:ext cx="190500" cy="266700"/>
    <xdr:sp macro="" textlink="">
      <xdr:nvSpPr>
        <xdr:cNvPr id="10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248D53-6645-4C30-B985-7B8E4CC560D2}"/>
            </a:ext>
            <a:ext uri="{147F2762-F138-4A5C-976F-8EAC2B608ADB}">
              <a16:predDERef xmlns:a16="http://schemas.microsoft.com/office/drawing/2014/main" pred="{F95A51FE-4FA2-4AA5-96BF-341C3B4E878A}"/>
            </a:ext>
          </a:extLst>
        </xdr:cNvPr>
        <xdr:cNvSpPr>
          <a:spLocks noChangeAspect="1" noChangeArrowheads="1"/>
        </xdr:cNvSpPr>
      </xdr:nvSpPr>
      <xdr:spPr bwMode="auto">
        <a:xfrm>
          <a:off x="7531100" y="199967850"/>
          <a:ext cx="190500" cy="266700"/>
        </a:xfrm>
        <a:prstGeom prst="rect">
          <a:avLst/>
        </a:prstGeom>
        <a:noFill/>
      </xdr:spPr>
    </xdr:sp>
    <xdr:clientData/>
  </xdr:oneCellAnchor>
  <xdr:oneCellAnchor>
    <xdr:from>
      <xdr:col>4</xdr:col>
      <xdr:colOff>1657350</xdr:colOff>
      <xdr:row>1016</xdr:row>
      <xdr:rowOff>0</xdr:rowOff>
    </xdr:from>
    <xdr:ext cx="190500" cy="266700"/>
    <xdr:sp macro="" textlink="">
      <xdr:nvSpPr>
        <xdr:cNvPr id="10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4DBCD05-9A79-4F24-96ED-234CC88D012A}"/>
            </a:ext>
            <a:ext uri="{147F2762-F138-4A5C-976F-8EAC2B608ADB}">
              <a16:predDERef xmlns:a16="http://schemas.microsoft.com/office/drawing/2014/main" pred="{CDEF3931-CED3-4A10-8C5F-6A63C38E6B97}"/>
            </a:ext>
          </a:extLst>
        </xdr:cNvPr>
        <xdr:cNvSpPr>
          <a:spLocks noChangeAspect="1" noChangeArrowheads="1"/>
        </xdr:cNvSpPr>
      </xdr:nvSpPr>
      <xdr:spPr bwMode="auto">
        <a:xfrm>
          <a:off x="7531100" y="199967850"/>
          <a:ext cx="190500" cy="266700"/>
        </a:xfrm>
        <a:prstGeom prst="rect">
          <a:avLst/>
        </a:prstGeom>
        <a:noFill/>
      </xdr:spPr>
    </xdr:sp>
    <xdr:clientData/>
  </xdr:oneCellAnchor>
  <xdr:oneCellAnchor>
    <xdr:from>
      <xdr:col>4</xdr:col>
      <xdr:colOff>1657350</xdr:colOff>
      <xdr:row>1018</xdr:row>
      <xdr:rowOff>0</xdr:rowOff>
    </xdr:from>
    <xdr:ext cx="190500" cy="266700"/>
    <xdr:sp macro="" textlink="">
      <xdr:nvSpPr>
        <xdr:cNvPr id="10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8A64C7C-4CFA-4E0C-8018-2D809440B99E}"/>
            </a:ext>
            <a:ext uri="{147F2762-F138-4A5C-976F-8EAC2B608ADB}">
              <a16:predDERef xmlns:a16="http://schemas.microsoft.com/office/drawing/2014/main" pred="{5D44158A-4641-440C-AC33-04117D36C8C5}"/>
            </a:ext>
          </a:extLst>
        </xdr:cNvPr>
        <xdr:cNvSpPr>
          <a:spLocks noChangeAspect="1" noChangeArrowheads="1"/>
        </xdr:cNvSpPr>
      </xdr:nvSpPr>
      <xdr:spPr bwMode="auto">
        <a:xfrm>
          <a:off x="7531100" y="200628250"/>
          <a:ext cx="190500" cy="266700"/>
        </a:xfrm>
        <a:prstGeom prst="rect">
          <a:avLst/>
        </a:prstGeom>
        <a:noFill/>
      </xdr:spPr>
    </xdr:sp>
    <xdr:clientData/>
  </xdr:oneCellAnchor>
  <xdr:oneCellAnchor>
    <xdr:from>
      <xdr:col>4</xdr:col>
      <xdr:colOff>1657350</xdr:colOff>
      <xdr:row>1018</xdr:row>
      <xdr:rowOff>0</xdr:rowOff>
    </xdr:from>
    <xdr:ext cx="190500" cy="266700"/>
    <xdr:sp macro="" textlink="">
      <xdr:nvSpPr>
        <xdr:cNvPr id="10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0EC49D0-03F3-487B-A740-FAD238A82270}"/>
            </a:ext>
            <a:ext uri="{147F2762-F138-4A5C-976F-8EAC2B608ADB}">
              <a16:predDERef xmlns:a16="http://schemas.microsoft.com/office/drawing/2014/main" pred="{70454B17-3671-4DC6-98B8-2414C75B02C0}"/>
            </a:ext>
          </a:extLst>
        </xdr:cNvPr>
        <xdr:cNvSpPr>
          <a:spLocks noChangeAspect="1" noChangeArrowheads="1"/>
        </xdr:cNvSpPr>
      </xdr:nvSpPr>
      <xdr:spPr bwMode="auto">
        <a:xfrm>
          <a:off x="7531100" y="200628250"/>
          <a:ext cx="190500" cy="266700"/>
        </a:xfrm>
        <a:prstGeom prst="rect">
          <a:avLst/>
        </a:prstGeom>
        <a:noFill/>
      </xdr:spPr>
    </xdr:sp>
    <xdr:clientData/>
  </xdr:oneCellAnchor>
  <xdr:oneCellAnchor>
    <xdr:from>
      <xdr:col>4</xdr:col>
      <xdr:colOff>1657350</xdr:colOff>
      <xdr:row>1020</xdr:row>
      <xdr:rowOff>0</xdr:rowOff>
    </xdr:from>
    <xdr:ext cx="190500" cy="266700"/>
    <xdr:sp macro="" textlink="">
      <xdr:nvSpPr>
        <xdr:cNvPr id="10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9026786-67D4-4238-A380-5896E4516059}"/>
            </a:ext>
            <a:ext uri="{147F2762-F138-4A5C-976F-8EAC2B608ADB}">
              <a16:predDERef xmlns:a16="http://schemas.microsoft.com/office/drawing/2014/main" pred="{418C1738-8DAE-4B98-9DE7-81A180CEC8B5}"/>
            </a:ext>
          </a:extLst>
        </xdr:cNvPr>
        <xdr:cNvSpPr>
          <a:spLocks noChangeAspect="1" noChangeArrowheads="1"/>
        </xdr:cNvSpPr>
      </xdr:nvSpPr>
      <xdr:spPr bwMode="auto">
        <a:xfrm>
          <a:off x="7531100" y="201288650"/>
          <a:ext cx="190500" cy="266700"/>
        </a:xfrm>
        <a:prstGeom prst="rect">
          <a:avLst/>
        </a:prstGeom>
        <a:noFill/>
      </xdr:spPr>
    </xdr:sp>
    <xdr:clientData/>
  </xdr:oneCellAnchor>
  <xdr:oneCellAnchor>
    <xdr:from>
      <xdr:col>4</xdr:col>
      <xdr:colOff>1657350</xdr:colOff>
      <xdr:row>1020</xdr:row>
      <xdr:rowOff>0</xdr:rowOff>
    </xdr:from>
    <xdr:ext cx="190500" cy="266700"/>
    <xdr:sp macro="" textlink="">
      <xdr:nvSpPr>
        <xdr:cNvPr id="10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1B3130D-AE9A-49AA-B4DA-0F68CF1A837D}"/>
            </a:ext>
            <a:ext uri="{147F2762-F138-4A5C-976F-8EAC2B608ADB}">
              <a16:predDERef xmlns:a16="http://schemas.microsoft.com/office/drawing/2014/main" pred="{4A90FF6B-5574-4809-8C41-383D6DD68DC7}"/>
            </a:ext>
          </a:extLst>
        </xdr:cNvPr>
        <xdr:cNvSpPr>
          <a:spLocks noChangeAspect="1" noChangeArrowheads="1"/>
        </xdr:cNvSpPr>
      </xdr:nvSpPr>
      <xdr:spPr bwMode="auto">
        <a:xfrm>
          <a:off x="7531100" y="201288650"/>
          <a:ext cx="190500" cy="266700"/>
        </a:xfrm>
        <a:prstGeom prst="rect">
          <a:avLst/>
        </a:prstGeom>
        <a:noFill/>
      </xdr:spPr>
    </xdr:sp>
    <xdr:clientData/>
  </xdr:oneCellAnchor>
  <xdr:oneCellAnchor>
    <xdr:from>
      <xdr:col>4</xdr:col>
      <xdr:colOff>1657350</xdr:colOff>
      <xdr:row>1022</xdr:row>
      <xdr:rowOff>0</xdr:rowOff>
    </xdr:from>
    <xdr:ext cx="190500" cy="266700"/>
    <xdr:sp macro="" textlink="">
      <xdr:nvSpPr>
        <xdr:cNvPr id="10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A5DAF09-3222-4335-8BEA-237F866317C5}"/>
            </a:ext>
            <a:ext uri="{147F2762-F138-4A5C-976F-8EAC2B608ADB}">
              <a16:predDERef xmlns:a16="http://schemas.microsoft.com/office/drawing/2014/main" pred="{D22C9374-D751-4777-B038-7E4E3372488D}"/>
            </a:ext>
          </a:extLst>
        </xdr:cNvPr>
        <xdr:cNvSpPr>
          <a:spLocks noChangeAspect="1" noChangeArrowheads="1"/>
        </xdr:cNvSpPr>
      </xdr:nvSpPr>
      <xdr:spPr bwMode="auto">
        <a:xfrm>
          <a:off x="7531100" y="201949050"/>
          <a:ext cx="190500" cy="266700"/>
        </a:xfrm>
        <a:prstGeom prst="rect">
          <a:avLst/>
        </a:prstGeom>
        <a:noFill/>
      </xdr:spPr>
    </xdr:sp>
    <xdr:clientData/>
  </xdr:oneCellAnchor>
  <xdr:oneCellAnchor>
    <xdr:from>
      <xdr:col>4</xdr:col>
      <xdr:colOff>1657350</xdr:colOff>
      <xdr:row>1022</xdr:row>
      <xdr:rowOff>0</xdr:rowOff>
    </xdr:from>
    <xdr:ext cx="190500" cy="266700"/>
    <xdr:sp macro="" textlink="">
      <xdr:nvSpPr>
        <xdr:cNvPr id="10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3A908E1-EB8C-48B7-8F5E-6E281ED42C12}"/>
            </a:ext>
            <a:ext uri="{147F2762-F138-4A5C-976F-8EAC2B608ADB}">
              <a16:predDERef xmlns:a16="http://schemas.microsoft.com/office/drawing/2014/main" pred="{688D075B-2386-4C4F-AB3D-5EDF776D7087}"/>
            </a:ext>
          </a:extLst>
        </xdr:cNvPr>
        <xdr:cNvSpPr>
          <a:spLocks noChangeAspect="1" noChangeArrowheads="1"/>
        </xdr:cNvSpPr>
      </xdr:nvSpPr>
      <xdr:spPr bwMode="auto">
        <a:xfrm>
          <a:off x="7531100" y="201949050"/>
          <a:ext cx="190500" cy="266700"/>
        </a:xfrm>
        <a:prstGeom prst="rect">
          <a:avLst/>
        </a:prstGeom>
        <a:noFill/>
      </xdr:spPr>
    </xdr:sp>
    <xdr:clientData/>
  </xdr:oneCellAnchor>
  <xdr:oneCellAnchor>
    <xdr:from>
      <xdr:col>4</xdr:col>
      <xdr:colOff>1657350</xdr:colOff>
      <xdr:row>1024</xdr:row>
      <xdr:rowOff>0</xdr:rowOff>
    </xdr:from>
    <xdr:ext cx="190500" cy="266700"/>
    <xdr:sp macro="" textlink="">
      <xdr:nvSpPr>
        <xdr:cNvPr id="10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BF77B14-0618-4A60-99FE-A5CC1F95F41F}"/>
            </a:ext>
            <a:ext uri="{147F2762-F138-4A5C-976F-8EAC2B608ADB}">
              <a16:predDERef xmlns:a16="http://schemas.microsoft.com/office/drawing/2014/main" pred="{766560F3-EE02-4423-87E2-049063CD7298}"/>
            </a:ext>
          </a:extLst>
        </xdr:cNvPr>
        <xdr:cNvSpPr>
          <a:spLocks noChangeAspect="1" noChangeArrowheads="1"/>
        </xdr:cNvSpPr>
      </xdr:nvSpPr>
      <xdr:spPr bwMode="auto">
        <a:xfrm>
          <a:off x="7531100" y="202609450"/>
          <a:ext cx="190500" cy="266700"/>
        </a:xfrm>
        <a:prstGeom prst="rect">
          <a:avLst/>
        </a:prstGeom>
        <a:noFill/>
      </xdr:spPr>
    </xdr:sp>
    <xdr:clientData/>
  </xdr:oneCellAnchor>
  <xdr:oneCellAnchor>
    <xdr:from>
      <xdr:col>4</xdr:col>
      <xdr:colOff>1657350</xdr:colOff>
      <xdr:row>1024</xdr:row>
      <xdr:rowOff>0</xdr:rowOff>
    </xdr:from>
    <xdr:ext cx="190500" cy="266700"/>
    <xdr:sp macro="" textlink="">
      <xdr:nvSpPr>
        <xdr:cNvPr id="10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623B2B9-A040-4E12-BE4A-410DC62C9E8D}"/>
            </a:ext>
            <a:ext uri="{147F2762-F138-4A5C-976F-8EAC2B608ADB}">
              <a16:predDERef xmlns:a16="http://schemas.microsoft.com/office/drawing/2014/main" pred="{379175E5-22AD-4D4A-9002-0273BF95BE3F}"/>
            </a:ext>
          </a:extLst>
        </xdr:cNvPr>
        <xdr:cNvSpPr>
          <a:spLocks noChangeAspect="1" noChangeArrowheads="1"/>
        </xdr:cNvSpPr>
      </xdr:nvSpPr>
      <xdr:spPr bwMode="auto">
        <a:xfrm>
          <a:off x="7531100" y="202609450"/>
          <a:ext cx="190500" cy="266700"/>
        </a:xfrm>
        <a:prstGeom prst="rect">
          <a:avLst/>
        </a:prstGeom>
        <a:noFill/>
      </xdr:spPr>
    </xdr:sp>
    <xdr:clientData/>
  </xdr:oneCellAnchor>
  <xdr:oneCellAnchor>
    <xdr:from>
      <xdr:col>4</xdr:col>
      <xdr:colOff>1657350</xdr:colOff>
      <xdr:row>1026</xdr:row>
      <xdr:rowOff>0</xdr:rowOff>
    </xdr:from>
    <xdr:ext cx="190500" cy="266700"/>
    <xdr:sp macro="" textlink="">
      <xdr:nvSpPr>
        <xdr:cNvPr id="10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FDA18CE-98B7-4B8A-BB60-08A824C56011}"/>
            </a:ext>
            <a:ext uri="{147F2762-F138-4A5C-976F-8EAC2B608ADB}">
              <a16:predDERef xmlns:a16="http://schemas.microsoft.com/office/drawing/2014/main" pred="{116C247E-1CBB-42C6-A226-89469F579DA1}"/>
            </a:ext>
          </a:extLst>
        </xdr:cNvPr>
        <xdr:cNvSpPr>
          <a:spLocks noChangeAspect="1" noChangeArrowheads="1"/>
        </xdr:cNvSpPr>
      </xdr:nvSpPr>
      <xdr:spPr bwMode="auto">
        <a:xfrm>
          <a:off x="7531100" y="203269850"/>
          <a:ext cx="190500" cy="266700"/>
        </a:xfrm>
        <a:prstGeom prst="rect">
          <a:avLst/>
        </a:prstGeom>
        <a:noFill/>
      </xdr:spPr>
    </xdr:sp>
    <xdr:clientData/>
  </xdr:oneCellAnchor>
  <xdr:oneCellAnchor>
    <xdr:from>
      <xdr:col>4</xdr:col>
      <xdr:colOff>1657350</xdr:colOff>
      <xdr:row>1026</xdr:row>
      <xdr:rowOff>0</xdr:rowOff>
    </xdr:from>
    <xdr:ext cx="190500" cy="266700"/>
    <xdr:sp macro="" textlink="">
      <xdr:nvSpPr>
        <xdr:cNvPr id="10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5680C31-EA5A-4962-B5EF-8325A90F0C1E}"/>
            </a:ext>
            <a:ext uri="{147F2762-F138-4A5C-976F-8EAC2B608ADB}">
              <a16:predDERef xmlns:a16="http://schemas.microsoft.com/office/drawing/2014/main" pred="{461136B8-A4B3-4D30-985C-8A4D1C56843A}"/>
            </a:ext>
          </a:extLst>
        </xdr:cNvPr>
        <xdr:cNvSpPr>
          <a:spLocks noChangeAspect="1" noChangeArrowheads="1"/>
        </xdr:cNvSpPr>
      </xdr:nvSpPr>
      <xdr:spPr bwMode="auto">
        <a:xfrm>
          <a:off x="7531100" y="203269850"/>
          <a:ext cx="190500" cy="266700"/>
        </a:xfrm>
        <a:prstGeom prst="rect">
          <a:avLst/>
        </a:prstGeom>
        <a:noFill/>
      </xdr:spPr>
    </xdr:sp>
    <xdr:clientData/>
  </xdr:oneCellAnchor>
  <xdr:oneCellAnchor>
    <xdr:from>
      <xdr:col>4</xdr:col>
      <xdr:colOff>1657350</xdr:colOff>
      <xdr:row>1028</xdr:row>
      <xdr:rowOff>0</xdr:rowOff>
    </xdr:from>
    <xdr:ext cx="190500" cy="266700"/>
    <xdr:sp macro="" textlink="">
      <xdr:nvSpPr>
        <xdr:cNvPr id="10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73CF875-CAD1-4729-AA29-95B461FD41C7}"/>
            </a:ext>
            <a:ext uri="{147F2762-F138-4A5C-976F-8EAC2B608ADB}">
              <a16:predDERef xmlns:a16="http://schemas.microsoft.com/office/drawing/2014/main" pred="{6E91C9DE-706F-45D4-83FE-0D6AB83B493D}"/>
            </a:ext>
          </a:extLst>
        </xdr:cNvPr>
        <xdr:cNvSpPr>
          <a:spLocks noChangeAspect="1" noChangeArrowheads="1"/>
        </xdr:cNvSpPr>
      </xdr:nvSpPr>
      <xdr:spPr bwMode="auto">
        <a:xfrm>
          <a:off x="7531100" y="203930250"/>
          <a:ext cx="190500" cy="266700"/>
        </a:xfrm>
        <a:prstGeom prst="rect">
          <a:avLst/>
        </a:prstGeom>
        <a:noFill/>
      </xdr:spPr>
    </xdr:sp>
    <xdr:clientData/>
  </xdr:oneCellAnchor>
  <xdr:oneCellAnchor>
    <xdr:from>
      <xdr:col>4</xdr:col>
      <xdr:colOff>1657350</xdr:colOff>
      <xdr:row>1028</xdr:row>
      <xdr:rowOff>0</xdr:rowOff>
    </xdr:from>
    <xdr:ext cx="190500" cy="266700"/>
    <xdr:sp macro="" textlink="">
      <xdr:nvSpPr>
        <xdr:cNvPr id="10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939D02A-FD6D-4222-BF7C-E9C207B32A1B}"/>
            </a:ext>
            <a:ext uri="{147F2762-F138-4A5C-976F-8EAC2B608ADB}">
              <a16:predDERef xmlns:a16="http://schemas.microsoft.com/office/drawing/2014/main" pred="{4C56BFA4-16F6-45A9-A1C8-3130241BB13E}"/>
            </a:ext>
          </a:extLst>
        </xdr:cNvPr>
        <xdr:cNvSpPr>
          <a:spLocks noChangeAspect="1" noChangeArrowheads="1"/>
        </xdr:cNvSpPr>
      </xdr:nvSpPr>
      <xdr:spPr bwMode="auto">
        <a:xfrm>
          <a:off x="7531100" y="203930250"/>
          <a:ext cx="190500" cy="266700"/>
        </a:xfrm>
        <a:prstGeom prst="rect">
          <a:avLst/>
        </a:prstGeom>
        <a:noFill/>
      </xdr:spPr>
    </xdr:sp>
    <xdr:clientData/>
  </xdr:oneCellAnchor>
  <xdr:oneCellAnchor>
    <xdr:from>
      <xdr:col>4</xdr:col>
      <xdr:colOff>1657350</xdr:colOff>
      <xdr:row>1030</xdr:row>
      <xdr:rowOff>0</xdr:rowOff>
    </xdr:from>
    <xdr:ext cx="190500" cy="266700"/>
    <xdr:sp macro="" textlink="">
      <xdr:nvSpPr>
        <xdr:cNvPr id="10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9B34F52-F61F-40B3-B2C2-591E5C13ACCB}"/>
            </a:ext>
            <a:ext uri="{147F2762-F138-4A5C-976F-8EAC2B608ADB}">
              <a16:predDERef xmlns:a16="http://schemas.microsoft.com/office/drawing/2014/main" pred="{A616B7DF-4523-4C48-804C-2EEE6EE8192E}"/>
            </a:ext>
          </a:extLst>
        </xdr:cNvPr>
        <xdr:cNvSpPr>
          <a:spLocks noChangeAspect="1" noChangeArrowheads="1"/>
        </xdr:cNvSpPr>
      </xdr:nvSpPr>
      <xdr:spPr bwMode="auto">
        <a:xfrm>
          <a:off x="7531100" y="204590650"/>
          <a:ext cx="190500" cy="266700"/>
        </a:xfrm>
        <a:prstGeom prst="rect">
          <a:avLst/>
        </a:prstGeom>
        <a:noFill/>
      </xdr:spPr>
    </xdr:sp>
    <xdr:clientData/>
  </xdr:oneCellAnchor>
  <xdr:oneCellAnchor>
    <xdr:from>
      <xdr:col>4</xdr:col>
      <xdr:colOff>1657350</xdr:colOff>
      <xdr:row>1030</xdr:row>
      <xdr:rowOff>0</xdr:rowOff>
    </xdr:from>
    <xdr:ext cx="190500" cy="266700"/>
    <xdr:sp macro="" textlink="">
      <xdr:nvSpPr>
        <xdr:cNvPr id="10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21CD532-0C98-4B61-9C1C-465512EAB8E4}"/>
            </a:ext>
            <a:ext uri="{147F2762-F138-4A5C-976F-8EAC2B608ADB}">
              <a16:predDERef xmlns:a16="http://schemas.microsoft.com/office/drawing/2014/main" pred="{9F3D7C03-3300-4903-A90E-DA4C99A16FC3}"/>
            </a:ext>
          </a:extLst>
        </xdr:cNvPr>
        <xdr:cNvSpPr>
          <a:spLocks noChangeAspect="1" noChangeArrowheads="1"/>
        </xdr:cNvSpPr>
      </xdr:nvSpPr>
      <xdr:spPr bwMode="auto">
        <a:xfrm>
          <a:off x="7531100" y="204590650"/>
          <a:ext cx="190500" cy="266700"/>
        </a:xfrm>
        <a:prstGeom prst="rect">
          <a:avLst/>
        </a:prstGeom>
        <a:noFill/>
      </xdr:spPr>
    </xdr:sp>
    <xdr:clientData/>
  </xdr:oneCellAnchor>
  <xdr:oneCellAnchor>
    <xdr:from>
      <xdr:col>4</xdr:col>
      <xdr:colOff>1657350</xdr:colOff>
      <xdr:row>1032</xdr:row>
      <xdr:rowOff>0</xdr:rowOff>
    </xdr:from>
    <xdr:ext cx="190500" cy="266700"/>
    <xdr:sp macro="" textlink="">
      <xdr:nvSpPr>
        <xdr:cNvPr id="10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B312482-05EC-4F38-AE2A-75A0DA8F233B}"/>
            </a:ext>
            <a:ext uri="{147F2762-F138-4A5C-976F-8EAC2B608ADB}">
              <a16:predDERef xmlns:a16="http://schemas.microsoft.com/office/drawing/2014/main" pred="{314CEE3E-7B54-4D51-B4A5-3D66D4FD3D38}"/>
            </a:ext>
          </a:extLst>
        </xdr:cNvPr>
        <xdr:cNvSpPr>
          <a:spLocks noChangeAspect="1" noChangeArrowheads="1"/>
        </xdr:cNvSpPr>
      </xdr:nvSpPr>
      <xdr:spPr bwMode="auto">
        <a:xfrm>
          <a:off x="7531100" y="205251050"/>
          <a:ext cx="190500" cy="266700"/>
        </a:xfrm>
        <a:prstGeom prst="rect">
          <a:avLst/>
        </a:prstGeom>
        <a:noFill/>
      </xdr:spPr>
    </xdr:sp>
    <xdr:clientData/>
  </xdr:oneCellAnchor>
  <xdr:oneCellAnchor>
    <xdr:from>
      <xdr:col>4</xdr:col>
      <xdr:colOff>1657350</xdr:colOff>
      <xdr:row>1032</xdr:row>
      <xdr:rowOff>0</xdr:rowOff>
    </xdr:from>
    <xdr:ext cx="190500" cy="266700"/>
    <xdr:sp macro="" textlink="">
      <xdr:nvSpPr>
        <xdr:cNvPr id="10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8045851-97B6-4D2C-B2AD-834E8DC7870C}"/>
            </a:ext>
            <a:ext uri="{147F2762-F138-4A5C-976F-8EAC2B608ADB}">
              <a16:predDERef xmlns:a16="http://schemas.microsoft.com/office/drawing/2014/main" pred="{3374A300-0336-4F51-9D88-8863EFB02AB4}"/>
            </a:ext>
          </a:extLst>
        </xdr:cNvPr>
        <xdr:cNvSpPr>
          <a:spLocks noChangeAspect="1" noChangeArrowheads="1"/>
        </xdr:cNvSpPr>
      </xdr:nvSpPr>
      <xdr:spPr bwMode="auto">
        <a:xfrm>
          <a:off x="7531100" y="205251050"/>
          <a:ext cx="190500" cy="266700"/>
        </a:xfrm>
        <a:prstGeom prst="rect">
          <a:avLst/>
        </a:prstGeom>
        <a:noFill/>
      </xdr:spPr>
    </xdr:sp>
    <xdr:clientData/>
  </xdr:oneCellAnchor>
  <xdr:oneCellAnchor>
    <xdr:from>
      <xdr:col>4</xdr:col>
      <xdr:colOff>1657350</xdr:colOff>
      <xdr:row>1034</xdr:row>
      <xdr:rowOff>0</xdr:rowOff>
    </xdr:from>
    <xdr:ext cx="190500" cy="266700"/>
    <xdr:sp macro="" textlink="">
      <xdr:nvSpPr>
        <xdr:cNvPr id="10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BA83B91-4BCF-4C83-9773-BF225334AF87}"/>
            </a:ext>
            <a:ext uri="{147F2762-F138-4A5C-976F-8EAC2B608ADB}">
              <a16:predDERef xmlns:a16="http://schemas.microsoft.com/office/drawing/2014/main" pred="{E04D84B6-74CA-4F36-831D-B0A2E97A9381}"/>
            </a:ext>
          </a:extLst>
        </xdr:cNvPr>
        <xdr:cNvSpPr>
          <a:spLocks noChangeAspect="1" noChangeArrowheads="1"/>
        </xdr:cNvSpPr>
      </xdr:nvSpPr>
      <xdr:spPr bwMode="auto">
        <a:xfrm>
          <a:off x="7531100" y="205911450"/>
          <a:ext cx="190500" cy="266700"/>
        </a:xfrm>
        <a:prstGeom prst="rect">
          <a:avLst/>
        </a:prstGeom>
        <a:noFill/>
      </xdr:spPr>
    </xdr:sp>
    <xdr:clientData/>
  </xdr:oneCellAnchor>
  <xdr:oneCellAnchor>
    <xdr:from>
      <xdr:col>4</xdr:col>
      <xdr:colOff>1657350</xdr:colOff>
      <xdr:row>1034</xdr:row>
      <xdr:rowOff>0</xdr:rowOff>
    </xdr:from>
    <xdr:ext cx="190500" cy="266700"/>
    <xdr:sp macro="" textlink="">
      <xdr:nvSpPr>
        <xdr:cNvPr id="10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F6E7240-1367-4422-A252-766A39C851DB}"/>
            </a:ext>
            <a:ext uri="{147F2762-F138-4A5C-976F-8EAC2B608ADB}">
              <a16:predDERef xmlns:a16="http://schemas.microsoft.com/office/drawing/2014/main" pred="{D13262EF-D518-4B6F-8A09-A8676AD72ECB}"/>
            </a:ext>
          </a:extLst>
        </xdr:cNvPr>
        <xdr:cNvSpPr>
          <a:spLocks noChangeAspect="1" noChangeArrowheads="1"/>
        </xdr:cNvSpPr>
      </xdr:nvSpPr>
      <xdr:spPr bwMode="auto">
        <a:xfrm>
          <a:off x="7531100" y="205911450"/>
          <a:ext cx="190500" cy="266700"/>
        </a:xfrm>
        <a:prstGeom prst="rect">
          <a:avLst/>
        </a:prstGeom>
        <a:noFill/>
      </xdr:spPr>
    </xdr:sp>
    <xdr:clientData/>
  </xdr:oneCellAnchor>
  <xdr:oneCellAnchor>
    <xdr:from>
      <xdr:col>4</xdr:col>
      <xdr:colOff>1657350</xdr:colOff>
      <xdr:row>1036</xdr:row>
      <xdr:rowOff>0</xdr:rowOff>
    </xdr:from>
    <xdr:ext cx="190500" cy="266700"/>
    <xdr:sp macro="" textlink="">
      <xdr:nvSpPr>
        <xdr:cNvPr id="10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EA7EBFC-274A-4D42-A341-21F6A3940ACA}"/>
            </a:ext>
            <a:ext uri="{147F2762-F138-4A5C-976F-8EAC2B608ADB}">
              <a16:predDERef xmlns:a16="http://schemas.microsoft.com/office/drawing/2014/main" pred="{D89ECCBB-73BF-4283-934D-00D1DEE914F0}"/>
            </a:ext>
          </a:extLst>
        </xdr:cNvPr>
        <xdr:cNvSpPr>
          <a:spLocks noChangeAspect="1" noChangeArrowheads="1"/>
        </xdr:cNvSpPr>
      </xdr:nvSpPr>
      <xdr:spPr bwMode="auto">
        <a:xfrm>
          <a:off x="7531100" y="206425800"/>
          <a:ext cx="190500" cy="266700"/>
        </a:xfrm>
        <a:prstGeom prst="rect">
          <a:avLst/>
        </a:prstGeom>
        <a:noFill/>
      </xdr:spPr>
    </xdr:sp>
    <xdr:clientData/>
  </xdr:oneCellAnchor>
  <xdr:oneCellAnchor>
    <xdr:from>
      <xdr:col>4</xdr:col>
      <xdr:colOff>1657350</xdr:colOff>
      <xdr:row>1036</xdr:row>
      <xdr:rowOff>0</xdr:rowOff>
    </xdr:from>
    <xdr:ext cx="190500" cy="266700"/>
    <xdr:sp macro="" textlink="">
      <xdr:nvSpPr>
        <xdr:cNvPr id="10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FFD5ED0-D8C9-4B6F-A91E-59C6420404A0}"/>
            </a:ext>
            <a:ext uri="{147F2762-F138-4A5C-976F-8EAC2B608ADB}">
              <a16:predDERef xmlns:a16="http://schemas.microsoft.com/office/drawing/2014/main" pred="{D8A1E10B-1125-4920-956F-60C583216010}"/>
            </a:ext>
          </a:extLst>
        </xdr:cNvPr>
        <xdr:cNvSpPr>
          <a:spLocks noChangeAspect="1" noChangeArrowheads="1"/>
        </xdr:cNvSpPr>
      </xdr:nvSpPr>
      <xdr:spPr bwMode="auto">
        <a:xfrm>
          <a:off x="7531100" y="206425800"/>
          <a:ext cx="190500" cy="266700"/>
        </a:xfrm>
        <a:prstGeom prst="rect">
          <a:avLst/>
        </a:prstGeom>
        <a:noFill/>
      </xdr:spPr>
    </xdr:sp>
    <xdr:clientData/>
  </xdr:oneCellAnchor>
  <xdr:oneCellAnchor>
    <xdr:from>
      <xdr:col>4</xdr:col>
      <xdr:colOff>1657350</xdr:colOff>
      <xdr:row>1038</xdr:row>
      <xdr:rowOff>0</xdr:rowOff>
    </xdr:from>
    <xdr:ext cx="190500" cy="266700"/>
    <xdr:sp macro="" textlink="">
      <xdr:nvSpPr>
        <xdr:cNvPr id="10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E44D56-22B0-45FC-B77F-090AB62118C7}"/>
            </a:ext>
            <a:ext uri="{147F2762-F138-4A5C-976F-8EAC2B608ADB}">
              <a16:predDERef xmlns:a16="http://schemas.microsoft.com/office/drawing/2014/main" pred="{463F7A73-B33A-4EDC-91DD-4703350717A5}"/>
            </a:ext>
          </a:extLst>
        </xdr:cNvPr>
        <xdr:cNvSpPr>
          <a:spLocks noChangeAspect="1" noChangeArrowheads="1"/>
        </xdr:cNvSpPr>
      </xdr:nvSpPr>
      <xdr:spPr bwMode="auto">
        <a:xfrm>
          <a:off x="7531100" y="206940150"/>
          <a:ext cx="190500" cy="266700"/>
        </a:xfrm>
        <a:prstGeom prst="rect">
          <a:avLst/>
        </a:prstGeom>
        <a:noFill/>
      </xdr:spPr>
    </xdr:sp>
    <xdr:clientData/>
  </xdr:oneCellAnchor>
  <xdr:oneCellAnchor>
    <xdr:from>
      <xdr:col>4</xdr:col>
      <xdr:colOff>1657350</xdr:colOff>
      <xdr:row>1038</xdr:row>
      <xdr:rowOff>0</xdr:rowOff>
    </xdr:from>
    <xdr:ext cx="190500" cy="266700"/>
    <xdr:sp macro="" textlink="">
      <xdr:nvSpPr>
        <xdr:cNvPr id="10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482B6A7-D530-4166-95E2-DB37F48BC8DC}"/>
            </a:ext>
            <a:ext uri="{147F2762-F138-4A5C-976F-8EAC2B608ADB}">
              <a16:predDERef xmlns:a16="http://schemas.microsoft.com/office/drawing/2014/main" pred="{9AACC9C3-4A92-43E7-A4A6-9DB1B3C16FA2}"/>
            </a:ext>
          </a:extLst>
        </xdr:cNvPr>
        <xdr:cNvSpPr>
          <a:spLocks noChangeAspect="1" noChangeArrowheads="1"/>
        </xdr:cNvSpPr>
      </xdr:nvSpPr>
      <xdr:spPr bwMode="auto">
        <a:xfrm>
          <a:off x="7531100" y="206940150"/>
          <a:ext cx="190500" cy="266700"/>
        </a:xfrm>
        <a:prstGeom prst="rect">
          <a:avLst/>
        </a:prstGeom>
        <a:noFill/>
      </xdr:spPr>
    </xdr:sp>
    <xdr:clientData/>
  </xdr:oneCellAnchor>
  <xdr:oneCellAnchor>
    <xdr:from>
      <xdr:col>4</xdr:col>
      <xdr:colOff>1657350</xdr:colOff>
      <xdr:row>1040</xdr:row>
      <xdr:rowOff>0</xdr:rowOff>
    </xdr:from>
    <xdr:ext cx="190500" cy="266700"/>
    <xdr:sp macro="" textlink="">
      <xdr:nvSpPr>
        <xdr:cNvPr id="10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535A746-3D14-46C7-B0E1-1787A29EC9C2}"/>
            </a:ext>
            <a:ext uri="{147F2762-F138-4A5C-976F-8EAC2B608ADB}">
              <a16:predDERef xmlns:a16="http://schemas.microsoft.com/office/drawing/2014/main" pred="{9A10012C-CF43-49DE-80B8-5BB1B50E1479}"/>
            </a:ext>
          </a:extLst>
        </xdr:cNvPr>
        <xdr:cNvSpPr>
          <a:spLocks noChangeAspect="1" noChangeArrowheads="1"/>
        </xdr:cNvSpPr>
      </xdr:nvSpPr>
      <xdr:spPr bwMode="auto">
        <a:xfrm>
          <a:off x="7531100" y="207308450"/>
          <a:ext cx="190500" cy="266700"/>
        </a:xfrm>
        <a:prstGeom prst="rect">
          <a:avLst/>
        </a:prstGeom>
        <a:noFill/>
      </xdr:spPr>
    </xdr:sp>
    <xdr:clientData/>
  </xdr:oneCellAnchor>
  <xdr:oneCellAnchor>
    <xdr:from>
      <xdr:col>4</xdr:col>
      <xdr:colOff>1657350</xdr:colOff>
      <xdr:row>1040</xdr:row>
      <xdr:rowOff>0</xdr:rowOff>
    </xdr:from>
    <xdr:ext cx="190500" cy="266700"/>
    <xdr:sp macro="" textlink="">
      <xdr:nvSpPr>
        <xdr:cNvPr id="10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FCF1A6D-B7A4-4974-983E-FA897ADF42A2}"/>
            </a:ext>
            <a:ext uri="{147F2762-F138-4A5C-976F-8EAC2B608ADB}">
              <a16:predDERef xmlns:a16="http://schemas.microsoft.com/office/drawing/2014/main" pred="{A721C127-F188-420E-8BAB-75A82D1F15B8}"/>
            </a:ext>
          </a:extLst>
        </xdr:cNvPr>
        <xdr:cNvSpPr>
          <a:spLocks noChangeAspect="1" noChangeArrowheads="1"/>
        </xdr:cNvSpPr>
      </xdr:nvSpPr>
      <xdr:spPr bwMode="auto">
        <a:xfrm>
          <a:off x="7531100" y="207308450"/>
          <a:ext cx="190500" cy="266700"/>
        </a:xfrm>
        <a:prstGeom prst="rect">
          <a:avLst/>
        </a:prstGeom>
        <a:noFill/>
      </xdr:spPr>
    </xdr:sp>
    <xdr:clientData/>
  </xdr:oneCellAnchor>
  <xdr:oneCellAnchor>
    <xdr:from>
      <xdr:col>4</xdr:col>
      <xdr:colOff>1657350</xdr:colOff>
      <xdr:row>1042</xdr:row>
      <xdr:rowOff>0</xdr:rowOff>
    </xdr:from>
    <xdr:ext cx="190500" cy="266700"/>
    <xdr:sp macro="" textlink="">
      <xdr:nvSpPr>
        <xdr:cNvPr id="10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6B7DEA1-8E97-4AD4-9ADD-549C7C763190}"/>
            </a:ext>
            <a:ext uri="{147F2762-F138-4A5C-976F-8EAC2B608ADB}">
              <a16:predDERef xmlns:a16="http://schemas.microsoft.com/office/drawing/2014/main" pred="{AD742E67-F833-4D29-87A7-7E934222526F}"/>
            </a:ext>
          </a:extLst>
        </xdr:cNvPr>
        <xdr:cNvSpPr>
          <a:spLocks noChangeAspect="1" noChangeArrowheads="1"/>
        </xdr:cNvSpPr>
      </xdr:nvSpPr>
      <xdr:spPr bwMode="auto">
        <a:xfrm>
          <a:off x="7531100" y="207676750"/>
          <a:ext cx="190500" cy="266700"/>
        </a:xfrm>
        <a:prstGeom prst="rect">
          <a:avLst/>
        </a:prstGeom>
        <a:noFill/>
      </xdr:spPr>
    </xdr:sp>
    <xdr:clientData/>
  </xdr:oneCellAnchor>
  <xdr:oneCellAnchor>
    <xdr:from>
      <xdr:col>4</xdr:col>
      <xdr:colOff>1657350</xdr:colOff>
      <xdr:row>1042</xdr:row>
      <xdr:rowOff>0</xdr:rowOff>
    </xdr:from>
    <xdr:ext cx="190500" cy="266700"/>
    <xdr:sp macro="" textlink="">
      <xdr:nvSpPr>
        <xdr:cNvPr id="10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F30D7F3-978F-46A6-806F-FAD95A4DE56A}"/>
            </a:ext>
            <a:ext uri="{147F2762-F138-4A5C-976F-8EAC2B608ADB}">
              <a16:predDERef xmlns:a16="http://schemas.microsoft.com/office/drawing/2014/main" pred="{82F389FB-0B7F-41B6-993F-ECC4E55926EC}"/>
            </a:ext>
          </a:extLst>
        </xdr:cNvPr>
        <xdr:cNvSpPr>
          <a:spLocks noChangeAspect="1" noChangeArrowheads="1"/>
        </xdr:cNvSpPr>
      </xdr:nvSpPr>
      <xdr:spPr bwMode="auto">
        <a:xfrm>
          <a:off x="7531100" y="207676750"/>
          <a:ext cx="190500" cy="266700"/>
        </a:xfrm>
        <a:prstGeom prst="rect">
          <a:avLst/>
        </a:prstGeom>
        <a:noFill/>
      </xdr:spPr>
    </xdr:sp>
    <xdr:clientData/>
  </xdr:oneCellAnchor>
  <xdr:oneCellAnchor>
    <xdr:from>
      <xdr:col>4</xdr:col>
      <xdr:colOff>1657350</xdr:colOff>
      <xdr:row>1044</xdr:row>
      <xdr:rowOff>0</xdr:rowOff>
    </xdr:from>
    <xdr:ext cx="190500" cy="266700"/>
    <xdr:sp macro="" textlink="">
      <xdr:nvSpPr>
        <xdr:cNvPr id="10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977A170-AFBF-495C-8F80-EB14CF73EE2E}"/>
            </a:ext>
            <a:ext uri="{147F2762-F138-4A5C-976F-8EAC2B608ADB}">
              <a16:predDERef xmlns:a16="http://schemas.microsoft.com/office/drawing/2014/main" pred="{A7009E67-7A1F-4F7C-B984-A45981193C81}"/>
            </a:ext>
          </a:extLst>
        </xdr:cNvPr>
        <xdr:cNvSpPr>
          <a:spLocks noChangeAspect="1" noChangeArrowheads="1"/>
        </xdr:cNvSpPr>
      </xdr:nvSpPr>
      <xdr:spPr bwMode="auto">
        <a:xfrm>
          <a:off x="7531100" y="208045050"/>
          <a:ext cx="190500" cy="266700"/>
        </a:xfrm>
        <a:prstGeom prst="rect">
          <a:avLst/>
        </a:prstGeom>
        <a:noFill/>
      </xdr:spPr>
    </xdr:sp>
    <xdr:clientData/>
  </xdr:oneCellAnchor>
  <xdr:oneCellAnchor>
    <xdr:from>
      <xdr:col>4</xdr:col>
      <xdr:colOff>1657350</xdr:colOff>
      <xdr:row>1044</xdr:row>
      <xdr:rowOff>0</xdr:rowOff>
    </xdr:from>
    <xdr:ext cx="190500" cy="266700"/>
    <xdr:sp macro="" textlink="">
      <xdr:nvSpPr>
        <xdr:cNvPr id="10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B8AA274-99DC-4799-AF8D-18B6CBB2E438}"/>
            </a:ext>
            <a:ext uri="{147F2762-F138-4A5C-976F-8EAC2B608ADB}">
              <a16:predDERef xmlns:a16="http://schemas.microsoft.com/office/drawing/2014/main" pred="{9AD3677C-0D30-4623-9C29-646B87F9B2B7}"/>
            </a:ext>
          </a:extLst>
        </xdr:cNvPr>
        <xdr:cNvSpPr>
          <a:spLocks noChangeAspect="1" noChangeArrowheads="1"/>
        </xdr:cNvSpPr>
      </xdr:nvSpPr>
      <xdr:spPr bwMode="auto">
        <a:xfrm>
          <a:off x="7531100" y="208045050"/>
          <a:ext cx="190500" cy="266700"/>
        </a:xfrm>
        <a:prstGeom prst="rect">
          <a:avLst/>
        </a:prstGeom>
        <a:noFill/>
      </xdr:spPr>
    </xdr:sp>
    <xdr:clientData/>
  </xdr:oneCellAnchor>
  <xdr:oneCellAnchor>
    <xdr:from>
      <xdr:col>4</xdr:col>
      <xdr:colOff>1657350</xdr:colOff>
      <xdr:row>1046</xdr:row>
      <xdr:rowOff>0</xdr:rowOff>
    </xdr:from>
    <xdr:ext cx="190500" cy="266700"/>
    <xdr:sp macro="" textlink="">
      <xdr:nvSpPr>
        <xdr:cNvPr id="10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7459D17-5CDB-4122-969D-037DFF8B592A}"/>
            </a:ext>
            <a:ext uri="{147F2762-F138-4A5C-976F-8EAC2B608ADB}">
              <a16:predDERef xmlns:a16="http://schemas.microsoft.com/office/drawing/2014/main" pred="{FD8AED4C-348A-4005-83AC-BBE5D25218DC}"/>
            </a:ext>
          </a:extLst>
        </xdr:cNvPr>
        <xdr:cNvSpPr>
          <a:spLocks noChangeAspect="1" noChangeArrowheads="1"/>
        </xdr:cNvSpPr>
      </xdr:nvSpPr>
      <xdr:spPr bwMode="auto">
        <a:xfrm>
          <a:off x="7531100" y="208413350"/>
          <a:ext cx="190500" cy="266700"/>
        </a:xfrm>
        <a:prstGeom prst="rect">
          <a:avLst/>
        </a:prstGeom>
        <a:noFill/>
      </xdr:spPr>
    </xdr:sp>
    <xdr:clientData/>
  </xdr:oneCellAnchor>
  <xdr:oneCellAnchor>
    <xdr:from>
      <xdr:col>4</xdr:col>
      <xdr:colOff>1657350</xdr:colOff>
      <xdr:row>1046</xdr:row>
      <xdr:rowOff>0</xdr:rowOff>
    </xdr:from>
    <xdr:ext cx="190500" cy="266700"/>
    <xdr:sp macro="" textlink="">
      <xdr:nvSpPr>
        <xdr:cNvPr id="10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DC748DD-B7A4-4E58-BD66-1703644EE693}"/>
            </a:ext>
            <a:ext uri="{147F2762-F138-4A5C-976F-8EAC2B608ADB}">
              <a16:predDERef xmlns:a16="http://schemas.microsoft.com/office/drawing/2014/main" pred="{8E33789E-B294-416A-A770-B2D0ACF86DE6}"/>
            </a:ext>
          </a:extLst>
        </xdr:cNvPr>
        <xdr:cNvSpPr>
          <a:spLocks noChangeAspect="1" noChangeArrowheads="1"/>
        </xdr:cNvSpPr>
      </xdr:nvSpPr>
      <xdr:spPr bwMode="auto">
        <a:xfrm>
          <a:off x="7531100" y="208413350"/>
          <a:ext cx="190500" cy="266700"/>
        </a:xfrm>
        <a:prstGeom prst="rect">
          <a:avLst/>
        </a:prstGeom>
        <a:noFill/>
      </xdr:spPr>
    </xdr:sp>
    <xdr:clientData/>
  </xdr:oneCellAnchor>
  <xdr:oneCellAnchor>
    <xdr:from>
      <xdr:col>4</xdr:col>
      <xdr:colOff>1657350</xdr:colOff>
      <xdr:row>1048</xdr:row>
      <xdr:rowOff>0</xdr:rowOff>
    </xdr:from>
    <xdr:ext cx="190500" cy="266700"/>
    <xdr:sp macro="" textlink="">
      <xdr:nvSpPr>
        <xdr:cNvPr id="10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62FB0F0-267F-4DE1-9C69-ABBE0EB7B53F}"/>
            </a:ext>
            <a:ext uri="{147F2762-F138-4A5C-976F-8EAC2B608ADB}">
              <a16:predDERef xmlns:a16="http://schemas.microsoft.com/office/drawing/2014/main" pred="{B963E029-1C99-4ED4-A1B9-6AD387C5F8B8}"/>
            </a:ext>
          </a:extLst>
        </xdr:cNvPr>
        <xdr:cNvSpPr>
          <a:spLocks noChangeAspect="1" noChangeArrowheads="1"/>
        </xdr:cNvSpPr>
      </xdr:nvSpPr>
      <xdr:spPr bwMode="auto">
        <a:xfrm>
          <a:off x="7531100" y="208781650"/>
          <a:ext cx="190500" cy="266700"/>
        </a:xfrm>
        <a:prstGeom prst="rect">
          <a:avLst/>
        </a:prstGeom>
        <a:noFill/>
      </xdr:spPr>
    </xdr:sp>
    <xdr:clientData/>
  </xdr:oneCellAnchor>
  <xdr:oneCellAnchor>
    <xdr:from>
      <xdr:col>4</xdr:col>
      <xdr:colOff>1657350</xdr:colOff>
      <xdr:row>1048</xdr:row>
      <xdr:rowOff>0</xdr:rowOff>
    </xdr:from>
    <xdr:ext cx="190500" cy="266700"/>
    <xdr:sp macro="" textlink="">
      <xdr:nvSpPr>
        <xdr:cNvPr id="10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6628B38-BEEB-4E68-A2D5-91893011CCF0}"/>
            </a:ext>
            <a:ext uri="{147F2762-F138-4A5C-976F-8EAC2B608ADB}">
              <a16:predDERef xmlns:a16="http://schemas.microsoft.com/office/drawing/2014/main" pred="{30F6DAC4-57B3-497C-8CB3-FDC907852E2F}"/>
            </a:ext>
          </a:extLst>
        </xdr:cNvPr>
        <xdr:cNvSpPr>
          <a:spLocks noChangeAspect="1" noChangeArrowheads="1"/>
        </xdr:cNvSpPr>
      </xdr:nvSpPr>
      <xdr:spPr bwMode="auto">
        <a:xfrm>
          <a:off x="7531100" y="208781650"/>
          <a:ext cx="190500" cy="266700"/>
        </a:xfrm>
        <a:prstGeom prst="rect">
          <a:avLst/>
        </a:prstGeom>
        <a:noFill/>
      </xdr:spPr>
    </xdr:sp>
    <xdr:clientData/>
  </xdr:oneCellAnchor>
  <xdr:oneCellAnchor>
    <xdr:from>
      <xdr:col>4</xdr:col>
      <xdr:colOff>1657350</xdr:colOff>
      <xdr:row>1050</xdr:row>
      <xdr:rowOff>0</xdr:rowOff>
    </xdr:from>
    <xdr:ext cx="190500" cy="266700"/>
    <xdr:sp macro="" textlink="">
      <xdr:nvSpPr>
        <xdr:cNvPr id="10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4C3777D-7FB7-461D-B08F-24B10D836BDC}"/>
            </a:ext>
            <a:ext uri="{147F2762-F138-4A5C-976F-8EAC2B608ADB}">
              <a16:predDERef xmlns:a16="http://schemas.microsoft.com/office/drawing/2014/main" pred="{98637D57-994B-482C-BC5D-71A1750F77D5}"/>
            </a:ext>
          </a:extLst>
        </xdr:cNvPr>
        <xdr:cNvSpPr>
          <a:spLocks noChangeAspect="1" noChangeArrowheads="1"/>
        </xdr:cNvSpPr>
      </xdr:nvSpPr>
      <xdr:spPr bwMode="auto">
        <a:xfrm>
          <a:off x="7531100" y="209149950"/>
          <a:ext cx="190500" cy="266700"/>
        </a:xfrm>
        <a:prstGeom prst="rect">
          <a:avLst/>
        </a:prstGeom>
        <a:noFill/>
      </xdr:spPr>
    </xdr:sp>
    <xdr:clientData/>
  </xdr:oneCellAnchor>
  <xdr:oneCellAnchor>
    <xdr:from>
      <xdr:col>4</xdr:col>
      <xdr:colOff>1657350</xdr:colOff>
      <xdr:row>1050</xdr:row>
      <xdr:rowOff>0</xdr:rowOff>
    </xdr:from>
    <xdr:ext cx="190500" cy="266700"/>
    <xdr:sp macro="" textlink="">
      <xdr:nvSpPr>
        <xdr:cNvPr id="10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522E91-929A-40A5-95E9-3D4F89EF22A1}"/>
            </a:ext>
            <a:ext uri="{147F2762-F138-4A5C-976F-8EAC2B608ADB}">
              <a16:predDERef xmlns:a16="http://schemas.microsoft.com/office/drawing/2014/main" pred="{02086C38-BFED-4848-BD66-9A4FE8C7C69D}"/>
            </a:ext>
          </a:extLst>
        </xdr:cNvPr>
        <xdr:cNvSpPr>
          <a:spLocks noChangeAspect="1" noChangeArrowheads="1"/>
        </xdr:cNvSpPr>
      </xdr:nvSpPr>
      <xdr:spPr bwMode="auto">
        <a:xfrm>
          <a:off x="7531100" y="209149950"/>
          <a:ext cx="190500" cy="266700"/>
        </a:xfrm>
        <a:prstGeom prst="rect">
          <a:avLst/>
        </a:prstGeom>
        <a:noFill/>
      </xdr:spPr>
    </xdr:sp>
    <xdr:clientData/>
  </xdr:oneCellAnchor>
  <xdr:oneCellAnchor>
    <xdr:from>
      <xdr:col>4</xdr:col>
      <xdr:colOff>1657350</xdr:colOff>
      <xdr:row>1052</xdr:row>
      <xdr:rowOff>0</xdr:rowOff>
    </xdr:from>
    <xdr:ext cx="190500" cy="266700"/>
    <xdr:sp macro="" textlink="">
      <xdr:nvSpPr>
        <xdr:cNvPr id="10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AFA348D-F8CC-45BE-ACC0-AC3FC5D95A82}"/>
            </a:ext>
            <a:ext uri="{147F2762-F138-4A5C-976F-8EAC2B608ADB}">
              <a16:predDERef xmlns:a16="http://schemas.microsoft.com/office/drawing/2014/main" pred="{6DF701BD-4E03-4B75-98D8-8B20E118C684}"/>
            </a:ext>
          </a:extLst>
        </xdr:cNvPr>
        <xdr:cNvSpPr>
          <a:spLocks noChangeAspect="1" noChangeArrowheads="1"/>
        </xdr:cNvSpPr>
      </xdr:nvSpPr>
      <xdr:spPr bwMode="auto">
        <a:xfrm>
          <a:off x="7531100" y="209518250"/>
          <a:ext cx="190500" cy="266700"/>
        </a:xfrm>
        <a:prstGeom prst="rect">
          <a:avLst/>
        </a:prstGeom>
        <a:noFill/>
      </xdr:spPr>
    </xdr:sp>
    <xdr:clientData/>
  </xdr:oneCellAnchor>
  <xdr:oneCellAnchor>
    <xdr:from>
      <xdr:col>4</xdr:col>
      <xdr:colOff>1657350</xdr:colOff>
      <xdr:row>1052</xdr:row>
      <xdr:rowOff>0</xdr:rowOff>
    </xdr:from>
    <xdr:ext cx="190500" cy="266700"/>
    <xdr:sp macro="" textlink="">
      <xdr:nvSpPr>
        <xdr:cNvPr id="10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D868EF2-AFC5-420F-94DB-53B3385DA9C3}"/>
            </a:ext>
            <a:ext uri="{147F2762-F138-4A5C-976F-8EAC2B608ADB}">
              <a16:predDERef xmlns:a16="http://schemas.microsoft.com/office/drawing/2014/main" pred="{2CCA94F4-F638-435B-A1AC-089144F93719}"/>
            </a:ext>
          </a:extLst>
        </xdr:cNvPr>
        <xdr:cNvSpPr>
          <a:spLocks noChangeAspect="1" noChangeArrowheads="1"/>
        </xdr:cNvSpPr>
      </xdr:nvSpPr>
      <xdr:spPr bwMode="auto">
        <a:xfrm>
          <a:off x="7531100" y="209518250"/>
          <a:ext cx="190500" cy="266700"/>
        </a:xfrm>
        <a:prstGeom prst="rect">
          <a:avLst/>
        </a:prstGeom>
        <a:noFill/>
      </xdr:spPr>
    </xdr:sp>
    <xdr:clientData/>
  </xdr:oneCellAnchor>
  <xdr:oneCellAnchor>
    <xdr:from>
      <xdr:col>4</xdr:col>
      <xdr:colOff>1657350</xdr:colOff>
      <xdr:row>1054</xdr:row>
      <xdr:rowOff>0</xdr:rowOff>
    </xdr:from>
    <xdr:ext cx="190500" cy="266700"/>
    <xdr:sp macro="" textlink="">
      <xdr:nvSpPr>
        <xdr:cNvPr id="10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6FBB14-29A0-43EF-AFA9-FE2C68EAE152}"/>
            </a:ext>
            <a:ext uri="{147F2762-F138-4A5C-976F-8EAC2B608ADB}">
              <a16:predDERef xmlns:a16="http://schemas.microsoft.com/office/drawing/2014/main" pred="{96F7F9D6-5142-4EEB-989C-F2DE10F0767E}"/>
            </a:ext>
          </a:extLst>
        </xdr:cNvPr>
        <xdr:cNvSpPr>
          <a:spLocks noChangeAspect="1" noChangeArrowheads="1"/>
        </xdr:cNvSpPr>
      </xdr:nvSpPr>
      <xdr:spPr bwMode="auto">
        <a:xfrm>
          <a:off x="7531100" y="209886550"/>
          <a:ext cx="190500" cy="266700"/>
        </a:xfrm>
        <a:prstGeom prst="rect">
          <a:avLst/>
        </a:prstGeom>
        <a:noFill/>
      </xdr:spPr>
    </xdr:sp>
    <xdr:clientData/>
  </xdr:oneCellAnchor>
  <xdr:oneCellAnchor>
    <xdr:from>
      <xdr:col>4</xdr:col>
      <xdr:colOff>1657350</xdr:colOff>
      <xdr:row>1054</xdr:row>
      <xdr:rowOff>0</xdr:rowOff>
    </xdr:from>
    <xdr:ext cx="190500" cy="266700"/>
    <xdr:sp macro="" textlink="">
      <xdr:nvSpPr>
        <xdr:cNvPr id="10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17EF152-A973-472B-8101-4061F2515874}"/>
            </a:ext>
            <a:ext uri="{147F2762-F138-4A5C-976F-8EAC2B608ADB}">
              <a16:predDERef xmlns:a16="http://schemas.microsoft.com/office/drawing/2014/main" pred="{B012487E-54E8-4251-8629-570151F3D2D0}"/>
            </a:ext>
          </a:extLst>
        </xdr:cNvPr>
        <xdr:cNvSpPr>
          <a:spLocks noChangeAspect="1" noChangeArrowheads="1"/>
        </xdr:cNvSpPr>
      </xdr:nvSpPr>
      <xdr:spPr bwMode="auto">
        <a:xfrm>
          <a:off x="7531100" y="209886550"/>
          <a:ext cx="190500" cy="266700"/>
        </a:xfrm>
        <a:prstGeom prst="rect">
          <a:avLst/>
        </a:prstGeom>
        <a:noFill/>
      </xdr:spPr>
    </xdr:sp>
    <xdr:clientData/>
  </xdr:oneCellAnchor>
  <xdr:oneCellAnchor>
    <xdr:from>
      <xdr:col>4</xdr:col>
      <xdr:colOff>1657350</xdr:colOff>
      <xdr:row>1056</xdr:row>
      <xdr:rowOff>0</xdr:rowOff>
    </xdr:from>
    <xdr:ext cx="190500" cy="266700"/>
    <xdr:sp macro="" textlink="">
      <xdr:nvSpPr>
        <xdr:cNvPr id="10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BD8977C-18E4-4E47-B617-76246E74DD66}"/>
            </a:ext>
            <a:ext uri="{147F2762-F138-4A5C-976F-8EAC2B608ADB}">
              <a16:predDERef xmlns:a16="http://schemas.microsoft.com/office/drawing/2014/main" pred="{62173DF0-2154-4DFC-94F1-1A69ABACB1F0}"/>
            </a:ext>
          </a:extLst>
        </xdr:cNvPr>
        <xdr:cNvSpPr>
          <a:spLocks noChangeAspect="1" noChangeArrowheads="1"/>
        </xdr:cNvSpPr>
      </xdr:nvSpPr>
      <xdr:spPr bwMode="auto">
        <a:xfrm>
          <a:off x="7531100" y="210254850"/>
          <a:ext cx="190500" cy="266700"/>
        </a:xfrm>
        <a:prstGeom prst="rect">
          <a:avLst/>
        </a:prstGeom>
        <a:noFill/>
      </xdr:spPr>
    </xdr:sp>
    <xdr:clientData/>
  </xdr:oneCellAnchor>
  <xdr:oneCellAnchor>
    <xdr:from>
      <xdr:col>4</xdr:col>
      <xdr:colOff>1657350</xdr:colOff>
      <xdr:row>1056</xdr:row>
      <xdr:rowOff>0</xdr:rowOff>
    </xdr:from>
    <xdr:ext cx="190500" cy="266700"/>
    <xdr:sp macro="" textlink="">
      <xdr:nvSpPr>
        <xdr:cNvPr id="10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A2B4398-18BE-4DBF-8DD4-9B2B80B29CA6}"/>
            </a:ext>
            <a:ext uri="{147F2762-F138-4A5C-976F-8EAC2B608ADB}">
              <a16:predDERef xmlns:a16="http://schemas.microsoft.com/office/drawing/2014/main" pred="{AEC93DEF-1C39-449D-91C8-F8938A7CC42A}"/>
            </a:ext>
          </a:extLst>
        </xdr:cNvPr>
        <xdr:cNvSpPr>
          <a:spLocks noChangeAspect="1" noChangeArrowheads="1"/>
        </xdr:cNvSpPr>
      </xdr:nvSpPr>
      <xdr:spPr bwMode="auto">
        <a:xfrm>
          <a:off x="7531100" y="210254850"/>
          <a:ext cx="190500" cy="266700"/>
        </a:xfrm>
        <a:prstGeom prst="rect">
          <a:avLst/>
        </a:prstGeom>
        <a:noFill/>
      </xdr:spPr>
    </xdr:sp>
    <xdr:clientData/>
  </xdr:oneCellAnchor>
  <xdr:oneCellAnchor>
    <xdr:from>
      <xdr:col>4</xdr:col>
      <xdr:colOff>1657350</xdr:colOff>
      <xdr:row>1058</xdr:row>
      <xdr:rowOff>0</xdr:rowOff>
    </xdr:from>
    <xdr:ext cx="190500" cy="266700"/>
    <xdr:sp macro="" textlink="">
      <xdr:nvSpPr>
        <xdr:cNvPr id="10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678A5C7-5920-4424-AFBA-F74F44C695F7}"/>
            </a:ext>
            <a:ext uri="{147F2762-F138-4A5C-976F-8EAC2B608ADB}">
              <a16:predDERef xmlns:a16="http://schemas.microsoft.com/office/drawing/2014/main" pred="{0632EE83-D120-4364-9742-ED1645483637}"/>
            </a:ext>
          </a:extLst>
        </xdr:cNvPr>
        <xdr:cNvSpPr>
          <a:spLocks noChangeAspect="1" noChangeArrowheads="1"/>
        </xdr:cNvSpPr>
      </xdr:nvSpPr>
      <xdr:spPr bwMode="auto">
        <a:xfrm>
          <a:off x="7531100" y="210623150"/>
          <a:ext cx="190500" cy="266700"/>
        </a:xfrm>
        <a:prstGeom prst="rect">
          <a:avLst/>
        </a:prstGeom>
        <a:noFill/>
      </xdr:spPr>
    </xdr:sp>
    <xdr:clientData/>
  </xdr:oneCellAnchor>
  <xdr:oneCellAnchor>
    <xdr:from>
      <xdr:col>4</xdr:col>
      <xdr:colOff>1657350</xdr:colOff>
      <xdr:row>1058</xdr:row>
      <xdr:rowOff>0</xdr:rowOff>
    </xdr:from>
    <xdr:ext cx="190500" cy="266700"/>
    <xdr:sp macro="" textlink="">
      <xdr:nvSpPr>
        <xdr:cNvPr id="10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98211F6-7AAF-4CAC-B10F-348EB71CB951}"/>
            </a:ext>
            <a:ext uri="{147F2762-F138-4A5C-976F-8EAC2B608ADB}">
              <a16:predDERef xmlns:a16="http://schemas.microsoft.com/office/drawing/2014/main" pred="{A5143C78-7B27-4B5A-B89E-EA2013184B41}"/>
            </a:ext>
          </a:extLst>
        </xdr:cNvPr>
        <xdr:cNvSpPr>
          <a:spLocks noChangeAspect="1" noChangeArrowheads="1"/>
        </xdr:cNvSpPr>
      </xdr:nvSpPr>
      <xdr:spPr bwMode="auto">
        <a:xfrm>
          <a:off x="7531100" y="210623150"/>
          <a:ext cx="190500" cy="266700"/>
        </a:xfrm>
        <a:prstGeom prst="rect">
          <a:avLst/>
        </a:prstGeom>
        <a:noFill/>
      </xdr:spPr>
    </xdr:sp>
    <xdr:clientData/>
  </xdr:oneCellAnchor>
  <xdr:oneCellAnchor>
    <xdr:from>
      <xdr:col>4</xdr:col>
      <xdr:colOff>1657350</xdr:colOff>
      <xdr:row>1060</xdr:row>
      <xdr:rowOff>0</xdr:rowOff>
    </xdr:from>
    <xdr:ext cx="190500" cy="266700"/>
    <xdr:sp macro="" textlink="">
      <xdr:nvSpPr>
        <xdr:cNvPr id="10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0EFCD9F-08C1-42B9-A0FA-A0D31777427F}"/>
            </a:ext>
            <a:ext uri="{147F2762-F138-4A5C-976F-8EAC2B608ADB}">
              <a16:predDERef xmlns:a16="http://schemas.microsoft.com/office/drawing/2014/main" pred="{5EAAFD8A-996A-4FBD-ABC6-07517F54269C}"/>
            </a:ext>
          </a:extLst>
        </xdr:cNvPr>
        <xdr:cNvSpPr>
          <a:spLocks noChangeAspect="1" noChangeArrowheads="1"/>
        </xdr:cNvSpPr>
      </xdr:nvSpPr>
      <xdr:spPr bwMode="auto">
        <a:xfrm>
          <a:off x="7531100" y="210991450"/>
          <a:ext cx="190500" cy="266700"/>
        </a:xfrm>
        <a:prstGeom prst="rect">
          <a:avLst/>
        </a:prstGeom>
        <a:noFill/>
      </xdr:spPr>
    </xdr:sp>
    <xdr:clientData/>
  </xdr:oneCellAnchor>
  <xdr:oneCellAnchor>
    <xdr:from>
      <xdr:col>4</xdr:col>
      <xdr:colOff>1657350</xdr:colOff>
      <xdr:row>1060</xdr:row>
      <xdr:rowOff>0</xdr:rowOff>
    </xdr:from>
    <xdr:ext cx="190500" cy="266700"/>
    <xdr:sp macro="" textlink="">
      <xdr:nvSpPr>
        <xdr:cNvPr id="10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CE36183-8E90-4D91-A1F4-6446AE6A21A9}"/>
            </a:ext>
            <a:ext uri="{147F2762-F138-4A5C-976F-8EAC2B608ADB}">
              <a16:predDERef xmlns:a16="http://schemas.microsoft.com/office/drawing/2014/main" pred="{8068DB31-C78A-4840-B77E-1DE0DCB328C8}"/>
            </a:ext>
          </a:extLst>
        </xdr:cNvPr>
        <xdr:cNvSpPr>
          <a:spLocks noChangeAspect="1" noChangeArrowheads="1"/>
        </xdr:cNvSpPr>
      </xdr:nvSpPr>
      <xdr:spPr bwMode="auto">
        <a:xfrm>
          <a:off x="7531100" y="210991450"/>
          <a:ext cx="190500" cy="266700"/>
        </a:xfrm>
        <a:prstGeom prst="rect">
          <a:avLst/>
        </a:prstGeom>
        <a:noFill/>
      </xdr:spPr>
    </xdr:sp>
    <xdr:clientData/>
  </xdr:oneCellAnchor>
  <xdr:oneCellAnchor>
    <xdr:from>
      <xdr:col>4</xdr:col>
      <xdr:colOff>1657350</xdr:colOff>
      <xdr:row>1062</xdr:row>
      <xdr:rowOff>0</xdr:rowOff>
    </xdr:from>
    <xdr:ext cx="190500" cy="266700"/>
    <xdr:sp macro="" textlink="">
      <xdr:nvSpPr>
        <xdr:cNvPr id="10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217993-8A22-489E-A377-4418A4F99A7D}"/>
            </a:ext>
            <a:ext uri="{147F2762-F138-4A5C-976F-8EAC2B608ADB}">
              <a16:predDERef xmlns:a16="http://schemas.microsoft.com/office/drawing/2014/main" pred="{6EB6D5F6-8545-4DC0-9236-29AA557D96E5}"/>
            </a:ext>
          </a:extLst>
        </xdr:cNvPr>
        <xdr:cNvSpPr>
          <a:spLocks noChangeAspect="1" noChangeArrowheads="1"/>
        </xdr:cNvSpPr>
      </xdr:nvSpPr>
      <xdr:spPr bwMode="auto">
        <a:xfrm>
          <a:off x="7531100" y="211359750"/>
          <a:ext cx="190500" cy="266700"/>
        </a:xfrm>
        <a:prstGeom prst="rect">
          <a:avLst/>
        </a:prstGeom>
        <a:noFill/>
      </xdr:spPr>
    </xdr:sp>
    <xdr:clientData/>
  </xdr:oneCellAnchor>
  <xdr:oneCellAnchor>
    <xdr:from>
      <xdr:col>4</xdr:col>
      <xdr:colOff>1657350</xdr:colOff>
      <xdr:row>1062</xdr:row>
      <xdr:rowOff>0</xdr:rowOff>
    </xdr:from>
    <xdr:ext cx="190500" cy="266700"/>
    <xdr:sp macro="" textlink="">
      <xdr:nvSpPr>
        <xdr:cNvPr id="10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9882B7D-187B-40C6-ADA2-2CD607AD50C0}"/>
            </a:ext>
            <a:ext uri="{147F2762-F138-4A5C-976F-8EAC2B608ADB}">
              <a16:predDERef xmlns:a16="http://schemas.microsoft.com/office/drawing/2014/main" pred="{ABDB6BE8-A780-462F-86F5-1EC9093AC73B}"/>
            </a:ext>
          </a:extLst>
        </xdr:cNvPr>
        <xdr:cNvSpPr>
          <a:spLocks noChangeAspect="1" noChangeArrowheads="1"/>
        </xdr:cNvSpPr>
      </xdr:nvSpPr>
      <xdr:spPr bwMode="auto">
        <a:xfrm>
          <a:off x="7531100" y="211359750"/>
          <a:ext cx="190500" cy="266700"/>
        </a:xfrm>
        <a:prstGeom prst="rect">
          <a:avLst/>
        </a:prstGeom>
        <a:noFill/>
      </xdr:spPr>
    </xdr:sp>
    <xdr:clientData/>
  </xdr:oneCellAnchor>
  <xdr:oneCellAnchor>
    <xdr:from>
      <xdr:col>4</xdr:col>
      <xdr:colOff>1657350</xdr:colOff>
      <xdr:row>1064</xdr:row>
      <xdr:rowOff>0</xdr:rowOff>
    </xdr:from>
    <xdr:ext cx="190500" cy="266700"/>
    <xdr:sp macro="" textlink="">
      <xdr:nvSpPr>
        <xdr:cNvPr id="10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9EE58C2-BBE4-46F8-BAA6-86FC952AB044}"/>
            </a:ext>
            <a:ext uri="{147F2762-F138-4A5C-976F-8EAC2B608ADB}">
              <a16:predDERef xmlns:a16="http://schemas.microsoft.com/office/drawing/2014/main" pred="{141BA03D-E21C-4726-B386-4EAC0E9E1958}"/>
            </a:ext>
          </a:extLst>
        </xdr:cNvPr>
        <xdr:cNvSpPr>
          <a:spLocks noChangeAspect="1" noChangeArrowheads="1"/>
        </xdr:cNvSpPr>
      </xdr:nvSpPr>
      <xdr:spPr bwMode="auto">
        <a:xfrm>
          <a:off x="7531100" y="211728050"/>
          <a:ext cx="190500" cy="266700"/>
        </a:xfrm>
        <a:prstGeom prst="rect">
          <a:avLst/>
        </a:prstGeom>
        <a:noFill/>
      </xdr:spPr>
    </xdr:sp>
    <xdr:clientData/>
  </xdr:oneCellAnchor>
  <xdr:oneCellAnchor>
    <xdr:from>
      <xdr:col>4</xdr:col>
      <xdr:colOff>1657350</xdr:colOff>
      <xdr:row>1064</xdr:row>
      <xdr:rowOff>0</xdr:rowOff>
    </xdr:from>
    <xdr:ext cx="190500" cy="266700"/>
    <xdr:sp macro="" textlink="">
      <xdr:nvSpPr>
        <xdr:cNvPr id="10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53A1397-0AF4-4CB1-8F99-BB9FED6DCE6B}"/>
            </a:ext>
            <a:ext uri="{147F2762-F138-4A5C-976F-8EAC2B608ADB}">
              <a16:predDERef xmlns:a16="http://schemas.microsoft.com/office/drawing/2014/main" pred="{4A2647C1-E2A8-499F-97C6-61C5921FB03C}"/>
            </a:ext>
          </a:extLst>
        </xdr:cNvPr>
        <xdr:cNvSpPr>
          <a:spLocks noChangeAspect="1" noChangeArrowheads="1"/>
        </xdr:cNvSpPr>
      </xdr:nvSpPr>
      <xdr:spPr bwMode="auto">
        <a:xfrm>
          <a:off x="7531100" y="211728050"/>
          <a:ext cx="190500" cy="266700"/>
        </a:xfrm>
        <a:prstGeom prst="rect">
          <a:avLst/>
        </a:prstGeom>
        <a:noFill/>
      </xdr:spPr>
    </xdr:sp>
    <xdr:clientData/>
  </xdr:oneCellAnchor>
  <xdr:oneCellAnchor>
    <xdr:from>
      <xdr:col>4</xdr:col>
      <xdr:colOff>1657350</xdr:colOff>
      <xdr:row>1066</xdr:row>
      <xdr:rowOff>0</xdr:rowOff>
    </xdr:from>
    <xdr:ext cx="190500" cy="266700"/>
    <xdr:sp macro="" textlink="">
      <xdr:nvSpPr>
        <xdr:cNvPr id="10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08A3257-2CB8-4E7E-94B3-7EB5DACB28FF}"/>
            </a:ext>
            <a:ext uri="{147F2762-F138-4A5C-976F-8EAC2B608ADB}">
              <a16:predDERef xmlns:a16="http://schemas.microsoft.com/office/drawing/2014/main" pred="{D4A3507E-66F0-4278-B99B-5C60967FF1C3}"/>
            </a:ext>
          </a:extLst>
        </xdr:cNvPr>
        <xdr:cNvSpPr>
          <a:spLocks noChangeAspect="1" noChangeArrowheads="1"/>
        </xdr:cNvSpPr>
      </xdr:nvSpPr>
      <xdr:spPr bwMode="auto">
        <a:xfrm>
          <a:off x="7531100" y="212096350"/>
          <a:ext cx="190500" cy="266700"/>
        </a:xfrm>
        <a:prstGeom prst="rect">
          <a:avLst/>
        </a:prstGeom>
        <a:noFill/>
      </xdr:spPr>
    </xdr:sp>
    <xdr:clientData/>
  </xdr:oneCellAnchor>
  <xdr:oneCellAnchor>
    <xdr:from>
      <xdr:col>4</xdr:col>
      <xdr:colOff>1657350</xdr:colOff>
      <xdr:row>1066</xdr:row>
      <xdr:rowOff>0</xdr:rowOff>
    </xdr:from>
    <xdr:ext cx="190500" cy="266700"/>
    <xdr:sp macro="" textlink="">
      <xdr:nvSpPr>
        <xdr:cNvPr id="10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D3DFE44-9804-48AF-BA71-99BEE775F6EE}"/>
            </a:ext>
            <a:ext uri="{147F2762-F138-4A5C-976F-8EAC2B608ADB}">
              <a16:predDERef xmlns:a16="http://schemas.microsoft.com/office/drawing/2014/main" pred="{D1B3F1A7-DC58-417D-A031-75D44D59B4D3}"/>
            </a:ext>
          </a:extLst>
        </xdr:cNvPr>
        <xdr:cNvSpPr>
          <a:spLocks noChangeAspect="1" noChangeArrowheads="1"/>
        </xdr:cNvSpPr>
      </xdr:nvSpPr>
      <xdr:spPr bwMode="auto">
        <a:xfrm>
          <a:off x="7531100" y="212096350"/>
          <a:ext cx="190500" cy="266700"/>
        </a:xfrm>
        <a:prstGeom prst="rect">
          <a:avLst/>
        </a:prstGeom>
        <a:noFill/>
      </xdr:spPr>
    </xdr:sp>
    <xdr:clientData/>
  </xdr:oneCellAnchor>
  <xdr:oneCellAnchor>
    <xdr:from>
      <xdr:col>4</xdr:col>
      <xdr:colOff>1657350</xdr:colOff>
      <xdr:row>1068</xdr:row>
      <xdr:rowOff>0</xdr:rowOff>
    </xdr:from>
    <xdr:ext cx="190500" cy="266700"/>
    <xdr:sp macro="" textlink="">
      <xdr:nvSpPr>
        <xdr:cNvPr id="10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FD1C507-C276-4DA3-B5EF-FDF4231F6185}"/>
            </a:ext>
            <a:ext uri="{147F2762-F138-4A5C-976F-8EAC2B608ADB}">
              <a16:predDERef xmlns:a16="http://schemas.microsoft.com/office/drawing/2014/main" pred="{A19F7949-4FEE-429C-A34C-2FFF07300E13}"/>
            </a:ext>
          </a:extLst>
        </xdr:cNvPr>
        <xdr:cNvSpPr>
          <a:spLocks noChangeAspect="1" noChangeArrowheads="1"/>
        </xdr:cNvSpPr>
      </xdr:nvSpPr>
      <xdr:spPr bwMode="auto">
        <a:xfrm>
          <a:off x="7531100" y="212464650"/>
          <a:ext cx="190500" cy="266700"/>
        </a:xfrm>
        <a:prstGeom prst="rect">
          <a:avLst/>
        </a:prstGeom>
        <a:noFill/>
      </xdr:spPr>
    </xdr:sp>
    <xdr:clientData/>
  </xdr:oneCellAnchor>
  <xdr:oneCellAnchor>
    <xdr:from>
      <xdr:col>4</xdr:col>
      <xdr:colOff>1657350</xdr:colOff>
      <xdr:row>1068</xdr:row>
      <xdr:rowOff>0</xdr:rowOff>
    </xdr:from>
    <xdr:ext cx="190500" cy="266700"/>
    <xdr:sp macro="" textlink="">
      <xdr:nvSpPr>
        <xdr:cNvPr id="10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BE634F7-F115-4FA6-8BB9-14F7258529B5}"/>
            </a:ext>
            <a:ext uri="{147F2762-F138-4A5C-976F-8EAC2B608ADB}">
              <a16:predDERef xmlns:a16="http://schemas.microsoft.com/office/drawing/2014/main" pred="{1B6DB80E-6341-4F0F-954B-2E03C61975B7}"/>
            </a:ext>
          </a:extLst>
        </xdr:cNvPr>
        <xdr:cNvSpPr>
          <a:spLocks noChangeAspect="1" noChangeArrowheads="1"/>
        </xdr:cNvSpPr>
      </xdr:nvSpPr>
      <xdr:spPr bwMode="auto">
        <a:xfrm>
          <a:off x="7531100" y="212464650"/>
          <a:ext cx="190500" cy="266700"/>
        </a:xfrm>
        <a:prstGeom prst="rect">
          <a:avLst/>
        </a:prstGeom>
        <a:noFill/>
      </xdr:spPr>
    </xdr:sp>
    <xdr:clientData/>
  </xdr:oneCellAnchor>
  <xdr:oneCellAnchor>
    <xdr:from>
      <xdr:col>4</xdr:col>
      <xdr:colOff>1657350</xdr:colOff>
      <xdr:row>1070</xdr:row>
      <xdr:rowOff>0</xdr:rowOff>
    </xdr:from>
    <xdr:ext cx="190500" cy="266700"/>
    <xdr:sp macro="" textlink="">
      <xdr:nvSpPr>
        <xdr:cNvPr id="10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0EC1174-3563-4A57-8BD8-754FC9FF7A13}"/>
            </a:ext>
            <a:ext uri="{147F2762-F138-4A5C-976F-8EAC2B608ADB}">
              <a16:predDERef xmlns:a16="http://schemas.microsoft.com/office/drawing/2014/main" pred="{0676F25E-08AC-4CA4-98BC-E28F85F080A6}"/>
            </a:ext>
          </a:extLst>
        </xdr:cNvPr>
        <xdr:cNvSpPr>
          <a:spLocks noChangeAspect="1" noChangeArrowheads="1"/>
        </xdr:cNvSpPr>
      </xdr:nvSpPr>
      <xdr:spPr bwMode="auto">
        <a:xfrm>
          <a:off x="7531100" y="212832950"/>
          <a:ext cx="190500" cy="266700"/>
        </a:xfrm>
        <a:prstGeom prst="rect">
          <a:avLst/>
        </a:prstGeom>
        <a:noFill/>
      </xdr:spPr>
    </xdr:sp>
    <xdr:clientData/>
  </xdr:oneCellAnchor>
  <xdr:oneCellAnchor>
    <xdr:from>
      <xdr:col>4</xdr:col>
      <xdr:colOff>1657350</xdr:colOff>
      <xdr:row>1070</xdr:row>
      <xdr:rowOff>0</xdr:rowOff>
    </xdr:from>
    <xdr:ext cx="190500" cy="266700"/>
    <xdr:sp macro="" textlink="">
      <xdr:nvSpPr>
        <xdr:cNvPr id="10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6B0541B-C6B9-4E0E-A47C-561E9EB79BBC}"/>
            </a:ext>
            <a:ext uri="{147F2762-F138-4A5C-976F-8EAC2B608ADB}">
              <a16:predDERef xmlns:a16="http://schemas.microsoft.com/office/drawing/2014/main" pred="{00AD62EB-3700-4729-A1A5-CB51147751DC}"/>
            </a:ext>
          </a:extLst>
        </xdr:cNvPr>
        <xdr:cNvSpPr>
          <a:spLocks noChangeAspect="1" noChangeArrowheads="1"/>
        </xdr:cNvSpPr>
      </xdr:nvSpPr>
      <xdr:spPr bwMode="auto">
        <a:xfrm>
          <a:off x="7531100" y="212832950"/>
          <a:ext cx="190500" cy="266700"/>
        </a:xfrm>
        <a:prstGeom prst="rect">
          <a:avLst/>
        </a:prstGeom>
        <a:noFill/>
      </xdr:spPr>
    </xdr:sp>
    <xdr:clientData/>
  </xdr:oneCellAnchor>
  <xdr:oneCellAnchor>
    <xdr:from>
      <xdr:col>4</xdr:col>
      <xdr:colOff>1657350</xdr:colOff>
      <xdr:row>1072</xdr:row>
      <xdr:rowOff>0</xdr:rowOff>
    </xdr:from>
    <xdr:ext cx="190500" cy="266700"/>
    <xdr:sp macro="" textlink="">
      <xdr:nvSpPr>
        <xdr:cNvPr id="10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B5867A-31BC-46FE-A83E-8F1761790064}"/>
            </a:ext>
            <a:ext uri="{147F2762-F138-4A5C-976F-8EAC2B608ADB}">
              <a16:predDERef xmlns:a16="http://schemas.microsoft.com/office/drawing/2014/main" pred="{4EBB9534-D128-460C-879B-94D1EF1869F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1072</xdr:row>
      <xdr:rowOff>0</xdr:rowOff>
    </xdr:from>
    <xdr:ext cx="190500" cy="266700"/>
    <xdr:sp macro="" textlink="">
      <xdr:nvSpPr>
        <xdr:cNvPr id="10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1D54F12-6A3A-4947-9162-08937BE6A624}"/>
            </a:ext>
            <a:ext uri="{147F2762-F138-4A5C-976F-8EAC2B608ADB}">
              <a16:predDERef xmlns:a16="http://schemas.microsoft.com/office/drawing/2014/main" pred="{EAAFB2E2-CA7E-4620-984E-5FE99509EA1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1074</xdr:row>
      <xdr:rowOff>0</xdr:rowOff>
    </xdr:from>
    <xdr:ext cx="190500" cy="266700"/>
    <xdr:sp macro="" textlink="">
      <xdr:nvSpPr>
        <xdr:cNvPr id="10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5E59AF4-567D-43AA-976D-19E6886B559A}"/>
            </a:ext>
            <a:ext uri="{147F2762-F138-4A5C-976F-8EAC2B608ADB}">
              <a16:predDERef xmlns:a16="http://schemas.microsoft.com/office/drawing/2014/main" pred="{A78E344C-34FC-4C91-B195-6DFD32B573B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1074</xdr:row>
      <xdr:rowOff>0</xdr:rowOff>
    </xdr:from>
    <xdr:ext cx="190500" cy="266700"/>
    <xdr:sp macro="" textlink="">
      <xdr:nvSpPr>
        <xdr:cNvPr id="10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9EE7E4B-E1D7-4E45-A1AB-D471E78DA3A7}"/>
            </a:ext>
            <a:ext uri="{147F2762-F138-4A5C-976F-8EAC2B608ADB}">
              <a16:predDERef xmlns:a16="http://schemas.microsoft.com/office/drawing/2014/main" pred="{6B834E02-520D-4BAA-B118-0E64F6B1102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1076</xdr:row>
      <xdr:rowOff>0</xdr:rowOff>
    </xdr:from>
    <xdr:ext cx="190500" cy="266700"/>
    <xdr:sp macro="" textlink="">
      <xdr:nvSpPr>
        <xdr:cNvPr id="10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834DA44-4AC5-475E-ADE1-51D0C3654511}"/>
            </a:ext>
            <a:ext uri="{147F2762-F138-4A5C-976F-8EAC2B608ADB}">
              <a16:predDERef xmlns:a16="http://schemas.microsoft.com/office/drawing/2014/main" pred="{2B8960F2-A569-46D5-8A92-027C375FCB4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1076</xdr:row>
      <xdr:rowOff>0</xdr:rowOff>
    </xdr:from>
    <xdr:ext cx="190500" cy="266700"/>
    <xdr:sp macro="" textlink="">
      <xdr:nvSpPr>
        <xdr:cNvPr id="10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E0F894F-597A-4B02-A7FB-196F6338CC87}"/>
            </a:ext>
            <a:ext uri="{147F2762-F138-4A5C-976F-8EAC2B608ADB}">
              <a16:predDERef xmlns:a16="http://schemas.microsoft.com/office/drawing/2014/main" pred="{2C751174-48ED-4AC7-92D6-50BBD63AD40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1078</xdr:row>
      <xdr:rowOff>0</xdr:rowOff>
    </xdr:from>
    <xdr:ext cx="190500" cy="266700"/>
    <xdr:sp macro="" textlink="">
      <xdr:nvSpPr>
        <xdr:cNvPr id="10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60CC7F7-A31A-492D-953F-B03F3AE6758B}"/>
            </a:ext>
            <a:ext uri="{147F2762-F138-4A5C-976F-8EAC2B608ADB}">
              <a16:predDERef xmlns:a16="http://schemas.microsoft.com/office/drawing/2014/main" pred="{B8570566-D252-4A78-B0B4-A4AD1A25841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1078</xdr:row>
      <xdr:rowOff>0</xdr:rowOff>
    </xdr:from>
    <xdr:ext cx="190500" cy="266700"/>
    <xdr:sp macro="" textlink="">
      <xdr:nvSpPr>
        <xdr:cNvPr id="10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57187E6-F99C-4BF0-926D-83A1B5F4DF1B}"/>
            </a:ext>
            <a:ext uri="{147F2762-F138-4A5C-976F-8EAC2B608ADB}">
              <a16:predDERef xmlns:a16="http://schemas.microsoft.com/office/drawing/2014/main" pred="{A108371C-7C5B-48C4-9973-DDC301E92F9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1080</xdr:row>
      <xdr:rowOff>0</xdr:rowOff>
    </xdr:from>
    <xdr:ext cx="190500" cy="266700"/>
    <xdr:sp macro="" textlink="">
      <xdr:nvSpPr>
        <xdr:cNvPr id="10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1D05FF0-89DC-4D5E-860D-26804EA42598}"/>
            </a:ext>
            <a:ext uri="{147F2762-F138-4A5C-976F-8EAC2B608ADB}">
              <a16:predDERef xmlns:a16="http://schemas.microsoft.com/office/drawing/2014/main" pred="{69DE548B-DC12-4039-A4DA-BAB04CEA321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1080</xdr:row>
      <xdr:rowOff>0</xdr:rowOff>
    </xdr:from>
    <xdr:ext cx="190500" cy="266700"/>
    <xdr:sp macro="" textlink="">
      <xdr:nvSpPr>
        <xdr:cNvPr id="10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F305FB9-ED29-44E7-9657-99F8D60CCC7D}"/>
            </a:ext>
            <a:ext uri="{147F2762-F138-4A5C-976F-8EAC2B608ADB}">
              <a16:predDERef xmlns:a16="http://schemas.microsoft.com/office/drawing/2014/main" pred="{79E87574-E2BA-465F-9C44-D553E6D4724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1082</xdr:row>
      <xdr:rowOff>0</xdr:rowOff>
    </xdr:from>
    <xdr:ext cx="190500" cy="266700"/>
    <xdr:sp macro="" textlink="">
      <xdr:nvSpPr>
        <xdr:cNvPr id="10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295F292-D062-4A82-9CA8-7F26D8FD3A92}"/>
            </a:ext>
            <a:ext uri="{147F2762-F138-4A5C-976F-8EAC2B608ADB}">
              <a16:predDERef xmlns:a16="http://schemas.microsoft.com/office/drawing/2014/main" pred="{5A7368F8-3386-4281-8A49-84D9C47B770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1082</xdr:row>
      <xdr:rowOff>0</xdr:rowOff>
    </xdr:from>
    <xdr:ext cx="190500" cy="266700"/>
    <xdr:sp macro="" textlink="">
      <xdr:nvSpPr>
        <xdr:cNvPr id="10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A6043EF-A87A-46A0-A56E-A11BDC732B1F}"/>
            </a:ext>
            <a:ext uri="{147F2762-F138-4A5C-976F-8EAC2B608ADB}">
              <a16:predDERef xmlns:a16="http://schemas.microsoft.com/office/drawing/2014/main" pred="{D3457FA4-C950-4531-BF76-1D2A4D13F04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1084</xdr:row>
      <xdr:rowOff>0</xdr:rowOff>
    </xdr:from>
    <xdr:ext cx="190500" cy="266700"/>
    <xdr:sp macro="" textlink="">
      <xdr:nvSpPr>
        <xdr:cNvPr id="10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E24476-7DDB-43FD-83CA-509A6DD0CAF1}"/>
            </a:ext>
            <a:ext uri="{147F2762-F138-4A5C-976F-8EAC2B608ADB}">
              <a16:predDERef xmlns:a16="http://schemas.microsoft.com/office/drawing/2014/main" pred="{22BAA114-1DE8-43CC-BA15-6A8DC0C6952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1084</xdr:row>
      <xdr:rowOff>0</xdr:rowOff>
    </xdr:from>
    <xdr:ext cx="190500" cy="266700"/>
    <xdr:sp macro="" textlink="">
      <xdr:nvSpPr>
        <xdr:cNvPr id="10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FAF85BC-1334-4DCF-8C07-7EF60695423B}"/>
            </a:ext>
            <a:ext uri="{147F2762-F138-4A5C-976F-8EAC2B608ADB}">
              <a16:predDERef xmlns:a16="http://schemas.microsoft.com/office/drawing/2014/main" pred="{97F590FB-57F0-4BD9-98D8-2920652D33F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1086</xdr:row>
      <xdr:rowOff>0</xdr:rowOff>
    </xdr:from>
    <xdr:ext cx="190500" cy="266700"/>
    <xdr:sp macro="" textlink="">
      <xdr:nvSpPr>
        <xdr:cNvPr id="10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BE21BB3-30EC-4C32-83A6-EC003799F3F0}"/>
            </a:ext>
            <a:ext uri="{147F2762-F138-4A5C-976F-8EAC2B608ADB}">
              <a16:predDERef xmlns:a16="http://schemas.microsoft.com/office/drawing/2014/main" pred="{1433A604-F716-43A0-B8CC-28640EAE2A2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1086</xdr:row>
      <xdr:rowOff>0</xdr:rowOff>
    </xdr:from>
    <xdr:ext cx="190500" cy="266700"/>
    <xdr:sp macro="" textlink="">
      <xdr:nvSpPr>
        <xdr:cNvPr id="10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F4076D5-C7A7-4974-BC55-A6EE802C70D9}"/>
            </a:ext>
            <a:ext uri="{147F2762-F138-4A5C-976F-8EAC2B608ADB}">
              <a16:predDERef xmlns:a16="http://schemas.microsoft.com/office/drawing/2014/main" pred="{F68F3370-CFD9-4655-8587-9F512F9A7A6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1088</xdr:row>
      <xdr:rowOff>0</xdr:rowOff>
    </xdr:from>
    <xdr:ext cx="190500" cy="266700"/>
    <xdr:sp macro="" textlink="">
      <xdr:nvSpPr>
        <xdr:cNvPr id="10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174706-1B3C-4582-A0AA-6A3B48ECC044}"/>
            </a:ext>
            <a:ext uri="{147F2762-F138-4A5C-976F-8EAC2B608ADB}">
              <a16:predDERef xmlns:a16="http://schemas.microsoft.com/office/drawing/2014/main" pred="{3AE2E517-E60C-466E-9F02-9B6F1BFF659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1088</xdr:row>
      <xdr:rowOff>0</xdr:rowOff>
    </xdr:from>
    <xdr:ext cx="190500" cy="266700"/>
    <xdr:sp macro="" textlink="">
      <xdr:nvSpPr>
        <xdr:cNvPr id="10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FBE89D5-056A-4841-804B-B8E4773AA77D}"/>
            </a:ext>
            <a:ext uri="{147F2762-F138-4A5C-976F-8EAC2B608ADB}">
              <a16:predDERef xmlns:a16="http://schemas.microsoft.com/office/drawing/2014/main" pred="{948D115D-1D16-4CF0-9C03-401D7A0F866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1090</xdr:row>
      <xdr:rowOff>0</xdr:rowOff>
    </xdr:from>
    <xdr:ext cx="190500" cy="266700"/>
    <xdr:sp macro="" textlink="">
      <xdr:nvSpPr>
        <xdr:cNvPr id="10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DB91D4-37CA-450F-A3E7-3BCCAD131E07}"/>
            </a:ext>
            <a:ext uri="{147F2762-F138-4A5C-976F-8EAC2B608ADB}">
              <a16:predDERef xmlns:a16="http://schemas.microsoft.com/office/drawing/2014/main" pred="{44019E46-7F54-4EA1-9FB1-AA7FAA775CC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1090</xdr:row>
      <xdr:rowOff>0</xdr:rowOff>
    </xdr:from>
    <xdr:ext cx="190500" cy="266700"/>
    <xdr:sp macro="" textlink="">
      <xdr:nvSpPr>
        <xdr:cNvPr id="10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0FDA5AE-5464-4C43-B40E-27019A0C4886}"/>
            </a:ext>
            <a:ext uri="{147F2762-F138-4A5C-976F-8EAC2B608ADB}">
              <a16:predDERef xmlns:a16="http://schemas.microsoft.com/office/drawing/2014/main" pred="{3F6F6732-971B-424C-B79D-AA26883430E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1092</xdr:row>
      <xdr:rowOff>0</xdr:rowOff>
    </xdr:from>
    <xdr:ext cx="190500" cy="266700"/>
    <xdr:sp macro="" textlink="">
      <xdr:nvSpPr>
        <xdr:cNvPr id="10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780CA85-D2AA-44C4-8C7F-B261A6F9A47F}"/>
            </a:ext>
            <a:ext uri="{147F2762-F138-4A5C-976F-8EAC2B608ADB}">
              <a16:predDERef xmlns:a16="http://schemas.microsoft.com/office/drawing/2014/main" pred="{FD878682-7148-4731-AAF6-FB016232542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1092</xdr:row>
      <xdr:rowOff>0</xdr:rowOff>
    </xdr:from>
    <xdr:ext cx="190500" cy="266700"/>
    <xdr:sp macro="" textlink="">
      <xdr:nvSpPr>
        <xdr:cNvPr id="10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73A9D26-17F8-4AA3-A2DC-2C12B46F59D6}"/>
            </a:ext>
            <a:ext uri="{147F2762-F138-4A5C-976F-8EAC2B608ADB}">
              <a16:predDERef xmlns:a16="http://schemas.microsoft.com/office/drawing/2014/main" pred="{C7D744A4-DE68-4E98-8B87-FCF897757DE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1094</xdr:row>
      <xdr:rowOff>0</xdr:rowOff>
    </xdr:from>
    <xdr:ext cx="190500" cy="266700"/>
    <xdr:sp macro="" textlink="">
      <xdr:nvSpPr>
        <xdr:cNvPr id="10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44CBC6C-51AE-4F14-9C0F-12D60C476800}"/>
            </a:ext>
            <a:ext uri="{147F2762-F138-4A5C-976F-8EAC2B608ADB}">
              <a16:predDERef xmlns:a16="http://schemas.microsoft.com/office/drawing/2014/main" pred="{0DC5983D-A418-4EC6-A4D0-9039DFCE2B1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1094</xdr:row>
      <xdr:rowOff>0</xdr:rowOff>
    </xdr:from>
    <xdr:ext cx="190500" cy="266700"/>
    <xdr:sp macro="" textlink="">
      <xdr:nvSpPr>
        <xdr:cNvPr id="10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6C637C3-CA11-4FA8-AE57-E6919D206D40}"/>
            </a:ext>
            <a:ext uri="{147F2762-F138-4A5C-976F-8EAC2B608ADB}">
              <a16:predDERef xmlns:a16="http://schemas.microsoft.com/office/drawing/2014/main" pred="{42AAE81D-100D-4614-B464-3E1A0E36F0C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1096</xdr:row>
      <xdr:rowOff>0</xdr:rowOff>
    </xdr:from>
    <xdr:ext cx="190500" cy="266700"/>
    <xdr:sp macro="" textlink="">
      <xdr:nvSpPr>
        <xdr:cNvPr id="10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B30D8C8-A036-49D9-B9F7-44A382EF6030}"/>
            </a:ext>
            <a:ext uri="{147F2762-F138-4A5C-976F-8EAC2B608ADB}">
              <a16:predDERef xmlns:a16="http://schemas.microsoft.com/office/drawing/2014/main" pred="{A65857DC-283E-403F-B776-9E229CBE8BF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1096</xdr:row>
      <xdr:rowOff>0</xdr:rowOff>
    </xdr:from>
    <xdr:ext cx="190500" cy="266700"/>
    <xdr:sp macro="" textlink="">
      <xdr:nvSpPr>
        <xdr:cNvPr id="10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60E48CE-4A60-4ADF-B9F4-E1343D200F4D}"/>
            </a:ext>
            <a:ext uri="{147F2762-F138-4A5C-976F-8EAC2B608ADB}">
              <a16:predDERef xmlns:a16="http://schemas.microsoft.com/office/drawing/2014/main" pred="{6B9A6710-8B65-4EE2-913E-18EEC982256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1098</xdr:row>
      <xdr:rowOff>0</xdr:rowOff>
    </xdr:from>
    <xdr:ext cx="190500" cy="266700"/>
    <xdr:sp macro="" textlink="">
      <xdr:nvSpPr>
        <xdr:cNvPr id="11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C3E60E5-349D-482A-B7D8-65F07BE3E093}"/>
            </a:ext>
            <a:ext uri="{147F2762-F138-4A5C-976F-8EAC2B608ADB}">
              <a16:predDERef xmlns:a16="http://schemas.microsoft.com/office/drawing/2014/main" pred="{D7B9B52A-07CA-43DB-B949-84F7C38B659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1098</xdr:row>
      <xdr:rowOff>0</xdr:rowOff>
    </xdr:from>
    <xdr:ext cx="190500" cy="266700"/>
    <xdr:sp macro="" textlink="">
      <xdr:nvSpPr>
        <xdr:cNvPr id="11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912A759-2F0F-47CF-82F7-61344AE71C2A}"/>
            </a:ext>
            <a:ext uri="{147F2762-F138-4A5C-976F-8EAC2B608ADB}">
              <a16:predDERef xmlns:a16="http://schemas.microsoft.com/office/drawing/2014/main" pred="{7D3B77A0-9011-49E1-A79F-A565A0A23C2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1100</xdr:row>
      <xdr:rowOff>0</xdr:rowOff>
    </xdr:from>
    <xdr:ext cx="190500" cy="266700"/>
    <xdr:sp macro="" textlink="">
      <xdr:nvSpPr>
        <xdr:cNvPr id="11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8D01016-D8D8-4156-B369-B66D116E77E7}"/>
            </a:ext>
            <a:ext uri="{147F2762-F138-4A5C-976F-8EAC2B608ADB}">
              <a16:predDERef xmlns:a16="http://schemas.microsoft.com/office/drawing/2014/main" pred="{1886B484-41EB-4F5B-B8C1-59CB2E6E452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1100</xdr:row>
      <xdr:rowOff>0</xdr:rowOff>
    </xdr:from>
    <xdr:ext cx="190500" cy="266700"/>
    <xdr:sp macro="" textlink="">
      <xdr:nvSpPr>
        <xdr:cNvPr id="11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04AB646-CC01-44E6-821F-1AFC95D50C6B}"/>
            </a:ext>
            <a:ext uri="{147F2762-F138-4A5C-976F-8EAC2B608ADB}">
              <a16:predDERef xmlns:a16="http://schemas.microsoft.com/office/drawing/2014/main" pred="{132EE831-7B74-4390-983C-46618D1CE47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1102</xdr:row>
      <xdr:rowOff>0</xdr:rowOff>
    </xdr:from>
    <xdr:ext cx="190500" cy="266700"/>
    <xdr:sp macro="" textlink="">
      <xdr:nvSpPr>
        <xdr:cNvPr id="11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A237B87-627D-4DF9-8EE3-6698012C30BB}"/>
            </a:ext>
            <a:ext uri="{147F2762-F138-4A5C-976F-8EAC2B608ADB}">
              <a16:predDERef xmlns:a16="http://schemas.microsoft.com/office/drawing/2014/main" pred="{83DA46EC-D9A8-4EE2-A9A9-9EC5B086E3E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1102</xdr:row>
      <xdr:rowOff>0</xdr:rowOff>
    </xdr:from>
    <xdr:ext cx="190500" cy="266700"/>
    <xdr:sp macro="" textlink="">
      <xdr:nvSpPr>
        <xdr:cNvPr id="11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89D36D-512C-4954-B8C6-0C57FDEC954F}"/>
            </a:ext>
            <a:ext uri="{147F2762-F138-4A5C-976F-8EAC2B608ADB}">
              <a16:predDERef xmlns:a16="http://schemas.microsoft.com/office/drawing/2014/main" pred="{6BD552E9-9F12-4E81-B104-E749CE91741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1104</xdr:row>
      <xdr:rowOff>0</xdr:rowOff>
    </xdr:from>
    <xdr:ext cx="190500" cy="266700"/>
    <xdr:sp macro="" textlink="">
      <xdr:nvSpPr>
        <xdr:cNvPr id="11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C129880-79A8-49E9-A7CB-0D7197A57700}"/>
            </a:ext>
            <a:ext uri="{147F2762-F138-4A5C-976F-8EAC2B608ADB}">
              <a16:predDERef xmlns:a16="http://schemas.microsoft.com/office/drawing/2014/main" pred="{F971F1C9-8466-46E3-8B4A-AD0EFAFCE24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1104</xdr:row>
      <xdr:rowOff>0</xdr:rowOff>
    </xdr:from>
    <xdr:ext cx="190500" cy="266700"/>
    <xdr:sp macro="" textlink="">
      <xdr:nvSpPr>
        <xdr:cNvPr id="11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37DA76C-AD0D-4EC7-BCFE-3FA71A158967}"/>
            </a:ext>
            <a:ext uri="{147F2762-F138-4A5C-976F-8EAC2B608ADB}">
              <a16:predDERef xmlns:a16="http://schemas.microsoft.com/office/drawing/2014/main" pred="{799B9FB7-AD0F-4D96-9D0D-42BD4664144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1106</xdr:row>
      <xdr:rowOff>0</xdr:rowOff>
    </xdr:from>
    <xdr:ext cx="190500" cy="266700"/>
    <xdr:sp macro="" textlink="">
      <xdr:nvSpPr>
        <xdr:cNvPr id="11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841822C-A593-4291-B2FF-80B46AA0E9D3}"/>
            </a:ext>
            <a:ext uri="{147F2762-F138-4A5C-976F-8EAC2B608ADB}">
              <a16:predDERef xmlns:a16="http://schemas.microsoft.com/office/drawing/2014/main" pred="{3CC68DE1-8CFB-4C20-9890-3B668BDB215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1106</xdr:row>
      <xdr:rowOff>0</xdr:rowOff>
    </xdr:from>
    <xdr:ext cx="190500" cy="266700"/>
    <xdr:sp macro="" textlink="">
      <xdr:nvSpPr>
        <xdr:cNvPr id="11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DE4627A-3CFF-4DD6-A305-AEFDBEE5FAC2}"/>
            </a:ext>
            <a:ext uri="{147F2762-F138-4A5C-976F-8EAC2B608ADB}">
              <a16:predDERef xmlns:a16="http://schemas.microsoft.com/office/drawing/2014/main" pred="{EAC8DC86-6027-43DA-BB11-D16E61D3380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1108</xdr:row>
      <xdr:rowOff>0</xdr:rowOff>
    </xdr:from>
    <xdr:ext cx="190500" cy="266700"/>
    <xdr:sp macro="" textlink="">
      <xdr:nvSpPr>
        <xdr:cNvPr id="11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1F238B8-016B-42E9-892E-F5498CF22EA2}"/>
            </a:ext>
            <a:ext uri="{147F2762-F138-4A5C-976F-8EAC2B608ADB}">
              <a16:predDERef xmlns:a16="http://schemas.microsoft.com/office/drawing/2014/main" pred="{A3D8FC25-3647-462C-BC09-1B1F9946450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1108</xdr:row>
      <xdr:rowOff>0</xdr:rowOff>
    </xdr:from>
    <xdr:ext cx="190500" cy="266700"/>
    <xdr:sp macro="" textlink="">
      <xdr:nvSpPr>
        <xdr:cNvPr id="11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72B894-0AB6-49BF-AED0-592234829E81}"/>
            </a:ext>
            <a:ext uri="{147F2762-F138-4A5C-976F-8EAC2B608ADB}">
              <a16:predDERef xmlns:a16="http://schemas.microsoft.com/office/drawing/2014/main" pred="{0A69BA37-85CA-4036-95F5-90327451507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1110</xdr:row>
      <xdr:rowOff>0</xdr:rowOff>
    </xdr:from>
    <xdr:ext cx="190500" cy="266700"/>
    <xdr:sp macro="" textlink="">
      <xdr:nvSpPr>
        <xdr:cNvPr id="11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D7EF339-6A26-4A22-8DAD-5D3DCF391960}"/>
            </a:ext>
            <a:ext uri="{147F2762-F138-4A5C-976F-8EAC2B608ADB}">
              <a16:predDERef xmlns:a16="http://schemas.microsoft.com/office/drawing/2014/main" pred="{678C46EF-3E7C-4227-BF61-75DD9150300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1110</xdr:row>
      <xdr:rowOff>0</xdr:rowOff>
    </xdr:from>
    <xdr:ext cx="190500" cy="266700"/>
    <xdr:sp macro="" textlink="">
      <xdr:nvSpPr>
        <xdr:cNvPr id="11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1FD3768-BF4F-4A90-93F1-0E34A6062B64}"/>
            </a:ext>
            <a:ext uri="{147F2762-F138-4A5C-976F-8EAC2B608ADB}">
              <a16:predDERef xmlns:a16="http://schemas.microsoft.com/office/drawing/2014/main" pred="{DD53B25D-5A47-4CD5-A508-F128610A9BE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1112</xdr:row>
      <xdr:rowOff>0</xdr:rowOff>
    </xdr:from>
    <xdr:ext cx="190500" cy="266700"/>
    <xdr:sp macro="" textlink="">
      <xdr:nvSpPr>
        <xdr:cNvPr id="11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9AAA9F-5D9C-43D1-A764-0D7F40917917}"/>
            </a:ext>
            <a:ext uri="{147F2762-F138-4A5C-976F-8EAC2B608ADB}">
              <a16:predDERef xmlns:a16="http://schemas.microsoft.com/office/drawing/2014/main" pred="{6981ED33-04DC-4BE1-81D1-8AAFE614300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1112</xdr:row>
      <xdr:rowOff>0</xdr:rowOff>
    </xdr:from>
    <xdr:ext cx="190500" cy="266700"/>
    <xdr:sp macro="" textlink="">
      <xdr:nvSpPr>
        <xdr:cNvPr id="11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1B5D638-EA8A-43F3-BD9C-05F8FE198AFA}"/>
            </a:ext>
            <a:ext uri="{147F2762-F138-4A5C-976F-8EAC2B608ADB}">
              <a16:predDERef xmlns:a16="http://schemas.microsoft.com/office/drawing/2014/main" pred="{66DD31F2-7737-49A7-B6B8-92B6D51F35B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1114</xdr:row>
      <xdr:rowOff>0</xdr:rowOff>
    </xdr:from>
    <xdr:ext cx="190500" cy="266700"/>
    <xdr:sp macro="" textlink="">
      <xdr:nvSpPr>
        <xdr:cNvPr id="11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815D7FE-3EE6-4C38-8F6A-E7CA8EA20035}"/>
            </a:ext>
            <a:ext uri="{147F2762-F138-4A5C-976F-8EAC2B608ADB}">
              <a16:predDERef xmlns:a16="http://schemas.microsoft.com/office/drawing/2014/main" pred="{2AF22AF2-BFFE-4EC5-B24C-0148961E796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1114</xdr:row>
      <xdr:rowOff>0</xdr:rowOff>
    </xdr:from>
    <xdr:ext cx="190500" cy="266700"/>
    <xdr:sp macro="" textlink="">
      <xdr:nvSpPr>
        <xdr:cNvPr id="11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FB9D593-1C00-4231-8DC8-F567A4B98630}"/>
            </a:ext>
            <a:ext uri="{147F2762-F138-4A5C-976F-8EAC2B608ADB}">
              <a16:predDERef xmlns:a16="http://schemas.microsoft.com/office/drawing/2014/main" pred="{0FBE4F08-30B6-41A6-BBBB-BF26C38ECBC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1116</xdr:row>
      <xdr:rowOff>0</xdr:rowOff>
    </xdr:from>
    <xdr:ext cx="190500" cy="266700"/>
    <xdr:sp macro="" textlink="">
      <xdr:nvSpPr>
        <xdr:cNvPr id="11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6DF099A-A252-43A9-83E7-D789BEB7925E}"/>
            </a:ext>
            <a:ext uri="{147F2762-F138-4A5C-976F-8EAC2B608ADB}">
              <a16:predDERef xmlns:a16="http://schemas.microsoft.com/office/drawing/2014/main" pred="{65562768-A5EC-4B5E-8C62-5046FB7D518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1116</xdr:row>
      <xdr:rowOff>0</xdr:rowOff>
    </xdr:from>
    <xdr:ext cx="190500" cy="266700"/>
    <xdr:sp macro="" textlink="">
      <xdr:nvSpPr>
        <xdr:cNvPr id="11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DED20B7-652A-4FCF-B604-D1F0AEAABDC9}"/>
            </a:ext>
            <a:ext uri="{147F2762-F138-4A5C-976F-8EAC2B608ADB}">
              <a16:predDERef xmlns:a16="http://schemas.microsoft.com/office/drawing/2014/main" pred="{60A6607F-44E8-46C8-A6D8-E3B4A92AD54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1118</xdr:row>
      <xdr:rowOff>0</xdr:rowOff>
    </xdr:from>
    <xdr:ext cx="190500" cy="266700"/>
    <xdr:sp macro="" textlink="">
      <xdr:nvSpPr>
        <xdr:cNvPr id="11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2328D3D-B972-4160-AD7E-8A0E61A09B11}"/>
            </a:ext>
            <a:ext uri="{147F2762-F138-4A5C-976F-8EAC2B608ADB}">
              <a16:predDERef xmlns:a16="http://schemas.microsoft.com/office/drawing/2014/main" pred="{B8AE91D0-1B9C-4F76-A64B-EC5B638A26B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1118</xdr:row>
      <xdr:rowOff>0</xdr:rowOff>
    </xdr:from>
    <xdr:ext cx="190500" cy="266700"/>
    <xdr:sp macro="" textlink="">
      <xdr:nvSpPr>
        <xdr:cNvPr id="11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28078BC-D306-45DB-95EA-B2AE07749889}"/>
            </a:ext>
            <a:ext uri="{147F2762-F138-4A5C-976F-8EAC2B608ADB}">
              <a16:predDERef xmlns:a16="http://schemas.microsoft.com/office/drawing/2014/main" pred="{CE9D9D76-9F43-4335-9D7C-1D9803E33EC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1120</xdr:row>
      <xdr:rowOff>0</xdr:rowOff>
    </xdr:from>
    <xdr:ext cx="190500" cy="266700"/>
    <xdr:sp macro="" textlink="">
      <xdr:nvSpPr>
        <xdr:cNvPr id="11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67D3267-2F7F-45EC-B6D5-DA79357BC680}"/>
            </a:ext>
            <a:ext uri="{147F2762-F138-4A5C-976F-8EAC2B608ADB}">
              <a16:predDERef xmlns:a16="http://schemas.microsoft.com/office/drawing/2014/main" pred="{952B56C4-33C8-4681-831C-E1113B8A3A8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1120</xdr:row>
      <xdr:rowOff>0</xdr:rowOff>
    </xdr:from>
    <xdr:ext cx="190500" cy="266700"/>
    <xdr:sp macro="" textlink="">
      <xdr:nvSpPr>
        <xdr:cNvPr id="11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6851595-2A86-41E4-87C5-2A4D665E88B8}"/>
            </a:ext>
            <a:ext uri="{147F2762-F138-4A5C-976F-8EAC2B608ADB}">
              <a16:predDERef xmlns:a16="http://schemas.microsoft.com/office/drawing/2014/main" pred="{CD1BF4AB-735D-40C1-B976-E35BB59C686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1122</xdr:row>
      <xdr:rowOff>0</xdr:rowOff>
    </xdr:from>
    <xdr:ext cx="190500" cy="266700"/>
    <xdr:sp macro="" textlink="">
      <xdr:nvSpPr>
        <xdr:cNvPr id="11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9FA70BD-A4CA-4985-BB45-126DC6B020D1}"/>
            </a:ext>
            <a:ext uri="{147F2762-F138-4A5C-976F-8EAC2B608ADB}">
              <a16:predDERef xmlns:a16="http://schemas.microsoft.com/office/drawing/2014/main" pred="{5A4D75D6-E4A2-4AB8-9554-98A550147B9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1122</xdr:row>
      <xdr:rowOff>0</xdr:rowOff>
    </xdr:from>
    <xdr:ext cx="190500" cy="266700"/>
    <xdr:sp macro="" textlink="">
      <xdr:nvSpPr>
        <xdr:cNvPr id="11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46C5EDA-5F50-4065-B539-09F5685412FB}"/>
            </a:ext>
            <a:ext uri="{147F2762-F138-4A5C-976F-8EAC2B608ADB}">
              <a16:predDERef xmlns:a16="http://schemas.microsoft.com/office/drawing/2014/main" pred="{DD6971A6-32C6-498C-ABBA-EAC3701A2A8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1124</xdr:row>
      <xdr:rowOff>0</xdr:rowOff>
    </xdr:from>
    <xdr:ext cx="190500" cy="266700"/>
    <xdr:sp macro="" textlink="">
      <xdr:nvSpPr>
        <xdr:cNvPr id="11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C4BBDD3-87AE-4B5F-88B8-580506B91970}"/>
            </a:ext>
            <a:ext uri="{147F2762-F138-4A5C-976F-8EAC2B608ADB}">
              <a16:predDERef xmlns:a16="http://schemas.microsoft.com/office/drawing/2014/main" pred="{811CE97E-B191-45B1-8850-ECB4EDD19CF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1124</xdr:row>
      <xdr:rowOff>0</xdr:rowOff>
    </xdr:from>
    <xdr:ext cx="190500" cy="266700"/>
    <xdr:sp macro="" textlink="">
      <xdr:nvSpPr>
        <xdr:cNvPr id="11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06EE559-771C-4FF0-AA4F-0FA132A5AB52}"/>
            </a:ext>
            <a:ext uri="{147F2762-F138-4A5C-976F-8EAC2B608ADB}">
              <a16:predDERef xmlns:a16="http://schemas.microsoft.com/office/drawing/2014/main" pred="{2676DFC5-F719-43F0-B763-454AAF71FCF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1126</xdr:row>
      <xdr:rowOff>0</xdr:rowOff>
    </xdr:from>
    <xdr:ext cx="190500" cy="266700"/>
    <xdr:sp macro="" textlink="">
      <xdr:nvSpPr>
        <xdr:cNvPr id="11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C699DE3-C41A-47C3-879B-7E303DD823BA}"/>
            </a:ext>
            <a:ext uri="{147F2762-F138-4A5C-976F-8EAC2B608ADB}">
              <a16:predDERef xmlns:a16="http://schemas.microsoft.com/office/drawing/2014/main" pred="{40A67933-2E09-489C-8988-48113EE9651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1126</xdr:row>
      <xdr:rowOff>0</xdr:rowOff>
    </xdr:from>
    <xdr:ext cx="190500" cy="266700"/>
    <xdr:sp macro="" textlink="">
      <xdr:nvSpPr>
        <xdr:cNvPr id="11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B3291E0-5913-4611-B25E-7415C2C992E4}"/>
            </a:ext>
            <a:ext uri="{147F2762-F138-4A5C-976F-8EAC2B608ADB}">
              <a16:predDERef xmlns:a16="http://schemas.microsoft.com/office/drawing/2014/main" pred="{FD39E97A-0F99-49D1-8DDC-78A8F7CEF5D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1128</xdr:row>
      <xdr:rowOff>0</xdr:rowOff>
    </xdr:from>
    <xdr:ext cx="190500" cy="266700"/>
    <xdr:sp macro="" textlink="">
      <xdr:nvSpPr>
        <xdr:cNvPr id="11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A33939C-9F5F-4511-AD11-3F02EBA2D788}"/>
            </a:ext>
            <a:ext uri="{147F2762-F138-4A5C-976F-8EAC2B608ADB}">
              <a16:predDERef xmlns:a16="http://schemas.microsoft.com/office/drawing/2014/main" pred="{165EF564-497A-4B4F-BC39-8C92BBA9E47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1128</xdr:row>
      <xdr:rowOff>0</xdr:rowOff>
    </xdr:from>
    <xdr:ext cx="190500" cy="266700"/>
    <xdr:sp macro="" textlink="">
      <xdr:nvSpPr>
        <xdr:cNvPr id="11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8FE230B-68BF-462F-AFDC-4F7B2173B43B}"/>
            </a:ext>
            <a:ext uri="{147F2762-F138-4A5C-976F-8EAC2B608ADB}">
              <a16:predDERef xmlns:a16="http://schemas.microsoft.com/office/drawing/2014/main" pred="{70FDEFF1-8B62-496C-B98C-8C293E6C702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1130</xdr:row>
      <xdr:rowOff>0</xdr:rowOff>
    </xdr:from>
    <xdr:ext cx="190500" cy="266700"/>
    <xdr:sp macro="" textlink="">
      <xdr:nvSpPr>
        <xdr:cNvPr id="11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F290B24-816F-4135-934D-4D7990E7A2B9}"/>
            </a:ext>
            <a:ext uri="{147F2762-F138-4A5C-976F-8EAC2B608ADB}">
              <a16:predDERef xmlns:a16="http://schemas.microsoft.com/office/drawing/2014/main" pred="{1E344932-BED0-4512-880A-F5B0F542EB0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1130</xdr:row>
      <xdr:rowOff>0</xdr:rowOff>
    </xdr:from>
    <xdr:ext cx="190500" cy="266700"/>
    <xdr:sp macro="" textlink="">
      <xdr:nvSpPr>
        <xdr:cNvPr id="11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62CA18F-1AA0-4652-9F59-896F864333FE}"/>
            </a:ext>
            <a:ext uri="{147F2762-F138-4A5C-976F-8EAC2B608ADB}">
              <a16:predDERef xmlns:a16="http://schemas.microsoft.com/office/drawing/2014/main" pred="{C1E98BBC-1883-4DBB-A6C9-057DBFDF266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1132</xdr:row>
      <xdr:rowOff>0</xdr:rowOff>
    </xdr:from>
    <xdr:ext cx="190500" cy="266700"/>
    <xdr:sp macro="" textlink="">
      <xdr:nvSpPr>
        <xdr:cNvPr id="11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9E961D4-D5A7-45C4-88C8-588A3094BEF9}"/>
            </a:ext>
            <a:ext uri="{147F2762-F138-4A5C-976F-8EAC2B608ADB}">
              <a16:predDERef xmlns:a16="http://schemas.microsoft.com/office/drawing/2014/main" pred="{E8E0F94E-9F4E-44D6-BFF5-CBA28B83D96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1132</xdr:row>
      <xdr:rowOff>0</xdr:rowOff>
    </xdr:from>
    <xdr:ext cx="190500" cy="266700"/>
    <xdr:sp macro="" textlink="">
      <xdr:nvSpPr>
        <xdr:cNvPr id="11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014823C-044A-44D1-BF9C-782ADCFCFE72}"/>
            </a:ext>
            <a:ext uri="{147F2762-F138-4A5C-976F-8EAC2B608ADB}">
              <a16:predDERef xmlns:a16="http://schemas.microsoft.com/office/drawing/2014/main" pred="{CE8BF83C-88CD-4D6C-B304-C2988855EAA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1134</xdr:row>
      <xdr:rowOff>0</xdr:rowOff>
    </xdr:from>
    <xdr:ext cx="190500" cy="266700"/>
    <xdr:sp macro="" textlink="">
      <xdr:nvSpPr>
        <xdr:cNvPr id="11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DF3614A-626F-479A-A0B6-CDC6BBC6EA1A}"/>
            </a:ext>
            <a:ext uri="{147F2762-F138-4A5C-976F-8EAC2B608ADB}">
              <a16:predDERef xmlns:a16="http://schemas.microsoft.com/office/drawing/2014/main" pred="{F9BAA3B2-2850-442D-AD6F-7B3FDBFD9AB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1134</xdr:row>
      <xdr:rowOff>0</xdr:rowOff>
    </xdr:from>
    <xdr:ext cx="190500" cy="266700"/>
    <xdr:sp macro="" textlink="">
      <xdr:nvSpPr>
        <xdr:cNvPr id="11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E9FAC5F-4C88-4050-9AAB-EE3004345BFC}"/>
            </a:ext>
            <a:ext uri="{147F2762-F138-4A5C-976F-8EAC2B608ADB}">
              <a16:predDERef xmlns:a16="http://schemas.microsoft.com/office/drawing/2014/main" pred="{CAEE3331-1301-4886-87C5-507CF1D55E6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1136</xdr:row>
      <xdr:rowOff>0</xdr:rowOff>
    </xdr:from>
    <xdr:ext cx="190500" cy="266700"/>
    <xdr:sp macro="" textlink="">
      <xdr:nvSpPr>
        <xdr:cNvPr id="11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6213B80-1376-44C4-9EA1-511AA7135C38}"/>
            </a:ext>
            <a:ext uri="{147F2762-F138-4A5C-976F-8EAC2B608ADB}">
              <a16:predDERef xmlns:a16="http://schemas.microsoft.com/office/drawing/2014/main" pred="{B2EBDDB3-4260-44EA-8FE7-8C09E2923C7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1136</xdr:row>
      <xdr:rowOff>0</xdr:rowOff>
    </xdr:from>
    <xdr:ext cx="190500" cy="266700"/>
    <xdr:sp macro="" textlink="">
      <xdr:nvSpPr>
        <xdr:cNvPr id="11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84E5390-9C27-4EFA-8A16-26B3CF7150C9}"/>
            </a:ext>
            <a:ext uri="{147F2762-F138-4A5C-976F-8EAC2B608ADB}">
              <a16:predDERef xmlns:a16="http://schemas.microsoft.com/office/drawing/2014/main" pred="{BF0AE7D1-C184-48CC-B34A-C663ED1E4D9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1138</xdr:row>
      <xdr:rowOff>0</xdr:rowOff>
    </xdr:from>
    <xdr:ext cx="190500" cy="266700"/>
    <xdr:sp macro="" textlink="">
      <xdr:nvSpPr>
        <xdr:cNvPr id="11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5902738-2B90-4185-895D-4595C4F239CF}"/>
            </a:ext>
            <a:ext uri="{147F2762-F138-4A5C-976F-8EAC2B608ADB}">
              <a16:predDERef xmlns:a16="http://schemas.microsoft.com/office/drawing/2014/main" pred="{1C3EA0FE-83C6-45F1-9894-9544980C350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1138</xdr:row>
      <xdr:rowOff>0</xdr:rowOff>
    </xdr:from>
    <xdr:ext cx="190500" cy="266700"/>
    <xdr:sp macro="" textlink="">
      <xdr:nvSpPr>
        <xdr:cNvPr id="11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411AD4-739C-420A-BF46-1EE6ABC06C62}"/>
            </a:ext>
            <a:ext uri="{147F2762-F138-4A5C-976F-8EAC2B608ADB}">
              <a16:predDERef xmlns:a16="http://schemas.microsoft.com/office/drawing/2014/main" pred="{57C5B8FD-8221-4E11-9AA3-8FFA87885E9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1140</xdr:row>
      <xdr:rowOff>0</xdr:rowOff>
    </xdr:from>
    <xdr:ext cx="190500" cy="266700"/>
    <xdr:sp macro="" textlink="">
      <xdr:nvSpPr>
        <xdr:cNvPr id="11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F225E4D-9830-4109-AF8D-2DD8B8B6354B}"/>
            </a:ext>
            <a:ext uri="{147F2762-F138-4A5C-976F-8EAC2B608ADB}">
              <a16:predDERef xmlns:a16="http://schemas.microsoft.com/office/drawing/2014/main" pred="{BF9F0355-B53B-434B-AEA0-3BD8435611F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1140</xdr:row>
      <xdr:rowOff>0</xdr:rowOff>
    </xdr:from>
    <xdr:ext cx="190500" cy="266700"/>
    <xdr:sp macro="" textlink="">
      <xdr:nvSpPr>
        <xdr:cNvPr id="11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D95511D-ECB8-48D8-A252-79F317F68814}"/>
            </a:ext>
            <a:ext uri="{147F2762-F138-4A5C-976F-8EAC2B608ADB}">
              <a16:predDERef xmlns:a16="http://schemas.microsoft.com/office/drawing/2014/main" pred="{7EDD102B-8BEF-41BC-8566-1768C52D84F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1142</xdr:row>
      <xdr:rowOff>0</xdr:rowOff>
    </xdr:from>
    <xdr:ext cx="190500" cy="266700"/>
    <xdr:sp macro="" textlink="">
      <xdr:nvSpPr>
        <xdr:cNvPr id="11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4A458DB-85DD-402E-93C2-406B2DE7F751}"/>
            </a:ext>
            <a:ext uri="{147F2762-F138-4A5C-976F-8EAC2B608ADB}">
              <a16:predDERef xmlns:a16="http://schemas.microsoft.com/office/drawing/2014/main" pred="{57A44E3F-616C-4732-AB44-2153A21B95F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1142</xdr:row>
      <xdr:rowOff>0</xdr:rowOff>
    </xdr:from>
    <xdr:ext cx="190500" cy="266700"/>
    <xdr:sp macro="" textlink="">
      <xdr:nvSpPr>
        <xdr:cNvPr id="11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DC8F8F8-5EEB-4786-AE96-9090D2FFCE99}"/>
            </a:ext>
            <a:ext uri="{147F2762-F138-4A5C-976F-8EAC2B608ADB}">
              <a16:predDERef xmlns:a16="http://schemas.microsoft.com/office/drawing/2014/main" pred="{34F57210-C3CF-4D85-8450-D981687E3B5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1144</xdr:row>
      <xdr:rowOff>0</xdr:rowOff>
    </xdr:from>
    <xdr:ext cx="190500" cy="266700"/>
    <xdr:sp macro="" textlink="">
      <xdr:nvSpPr>
        <xdr:cNvPr id="11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C50C92D-C1CC-4836-ADD5-76CA57E279B2}"/>
            </a:ext>
            <a:ext uri="{147F2762-F138-4A5C-976F-8EAC2B608ADB}">
              <a16:predDERef xmlns:a16="http://schemas.microsoft.com/office/drawing/2014/main" pred="{850DC410-E985-4D49-9910-BECDFCC9FED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1144</xdr:row>
      <xdr:rowOff>0</xdr:rowOff>
    </xdr:from>
    <xdr:ext cx="190500" cy="266700"/>
    <xdr:sp macro="" textlink="">
      <xdr:nvSpPr>
        <xdr:cNvPr id="11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371FBC9-70CA-4C9D-911E-156E44CC1001}"/>
            </a:ext>
            <a:ext uri="{147F2762-F138-4A5C-976F-8EAC2B608ADB}">
              <a16:predDERef xmlns:a16="http://schemas.microsoft.com/office/drawing/2014/main" pred="{A83A06AF-F12C-4129-B87B-6831273AE32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1146</xdr:row>
      <xdr:rowOff>0</xdr:rowOff>
    </xdr:from>
    <xdr:ext cx="190500" cy="266700"/>
    <xdr:sp macro="" textlink="">
      <xdr:nvSpPr>
        <xdr:cNvPr id="11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FEE378D-6FE6-4CDD-9E25-5F8D71315CA9}"/>
            </a:ext>
            <a:ext uri="{147F2762-F138-4A5C-976F-8EAC2B608ADB}">
              <a16:predDERef xmlns:a16="http://schemas.microsoft.com/office/drawing/2014/main" pred="{E49BEA9D-D5DA-41F3-AA3D-B80A8459FA1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1146</xdr:row>
      <xdr:rowOff>0</xdr:rowOff>
    </xdr:from>
    <xdr:ext cx="190500" cy="266700"/>
    <xdr:sp macro="" textlink="">
      <xdr:nvSpPr>
        <xdr:cNvPr id="11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E066CD6-6CDF-49D5-93FE-FA717D5C9845}"/>
            </a:ext>
            <a:ext uri="{147F2762-F138-4A5C-976F-8EAC2B608ADB}">
              <a16:predDERef xmlns:a16="http://schemas.microsoft.com/office/drawing/2014/main" pred="{A8B76D4A-E4C1-4A02-A0CD-F106B557015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1148</xdr:row>
      <xdr:rowOff>0</xdr:rowOff>
    </xdr:from>
    <xdr:ext cx="190500" cy="266700"/>
    <xdr:sp macro="" textlink="">
      <xdr:nvSpPr>
        <xdr:cNvPr id="11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D34814D-EDC9-44BE-BEA0-046A3CC2907D}"/>
            </a:ext>
            <a:ext uri="{147F2762-F138-4A5C-976F-8EAC2B608ADB}">
              <a16:predDERef xmlns:a16="http://schemas.microsoft.com/office/drawing/2014/main" pred="{0191E827-5312-47F1-AD36-8D199325444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1148</xdr:row>
      <xdr:rowOff>0</xdr:rowOff>
    </xdr:from>
    <xdr:ext cx="190500" cy="266700"/>
    <xdr:sp macro="" textlink="">
      <xdr:nvSpPr>
        <xdr:cNvPr id="11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DE2C316-3763-4BD0-8E59-48471168679A}"/>
            </a:ext>
            <a:ext uri="{147F2762-F138-4A5C-976F-8EAC2B608ADB}">
              <a16:predDERef xmlns:a16="http://schemas.microsoft.com/office/drawing/2014/main" pred="{E296E46B-FE3E-4E96-83ED-2B5CF8F86D2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1150</xdr:row>
      <xdr:rowOff>0</xdr:rowOff>
    </xdr:from>
    <xdr:ext cx="190500" cy="266700"/>
    <xdr:sp macro="" textlink="">
      <xdr:nvSpPr>
        <xdr:cNvPr id="11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FAC18A5-8B6D-4892-B071-51ABC704ADA2}"/>
            </a:ext>
            <a:ext uri="{147F2762-F138-4A5C-976F-8EAC2B608ADB}">
              <a16:predDERef xmlns:a16="http://schemas.microsoft.com/office/drawing/2014/main" pred="{373B19F0-14CC-4675-9D4F-0D6ED76C45F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1150</xdr:row>
      <xdr:rowOff>0</xdr:rowOff>
    </xdr:from>
    <xdr:ext cx="190500" cy="266700"/>
    <xdr:sp macro="" textlink="">
      <xdr:nvSpPr>
        <xdr:cNvPr id="11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BEF378E-BCD2-4460-8A0E-F96EE8F21390}"/>
            </a:ext>
            <a:ext uri="{147F2762-F138-4A5C-976F-8EAC2B608ADB}">
              <a16:predDERef xmlns:a16="http://schemas.microsoft.com/office/drawing/2014/main" pred="{CBEDD08F-DA94-45E0-81CC-7F16015C732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1152</xdr:row>
      <xdr:rowOff>0</xdr:rowOff>
    </xdr:from>
    <xdr:ext cx="190500" cy="266700"/>
    <xdr:sp macro="" textlink="">
      <xdr:nvSpPr>
        <xdr:cNvPr id="11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FCEA469-E672-4430-BCC8-BE8031577212}"/>
            </a:ext>
            <a:ext uri="{147F2762-F138-4A5C-976F-8EAC2B608ADB}">
              <a16:predDERef xmlns:a16="http://schemas.microsoft.com/office/drawing/2014/main" pred="{1B25E81F-0FC2-4132-AC53-0E699594823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1152</xdr:row>
      <xdr:rowOff>0</xdr:rowOff>
    </xdr:from>
    <xdr:ext cx="190500" cy="266700"/>
    <xdr:sp macro="" textlink="">
      <xdr:nvSpPr>
        <xdr:cNvPr id="11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A317A88-4001-401E-A21B-F944DED9755C}"/>
            </a:ext>
            <a:ext uri="{147F2762-F138-4A5C-976F-8EAC2B608ADB}">
              <a16:predDERef xmlns:a16="http://schemas.microsoft.com/office/drawing/2014/main" pred="{9C6307AD-0658-4C43-AFE3-E311A81DFC9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1154</xdr:row>
      <xdr:rowOff>0</xdr:rowOff>
    </xdr:from>
    <xdr:ext cx="190500" cy="266700"/>
    <xdr:sp macro="" textlink="">
      <xdr:nvSpPr>
        <xdr:cNvPr id="11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87AF0D8-EC6F-460E-830B-4F83639FC7CC}"/>
            </a:ext>
            <a:ext uri="{147F2762-F138-4A5C-976F-8EAC2B608ADB}">
              <a16:predDERef xmlns:a16="http://schemas.microsoft.com/office/drawing/2014/main" pred="{7E47A8F9-32C8-4944-8757-38685172189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1154</xdr:row>
      <xdr:rowOff>0</xdr:rowOff>
    </xdr:from>
    <xdr:ext cx="190500" cy="266700"/>
    <xdr:sp macro="" textlink="">
      <xdr:nvSpPr>
        <xdr:cNvPr id="11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BFBB53-32A9-44D2-88F2-05EC3F176A18}"/>
            </a:ext>
            <a:ext uri="{147F2762-F138-4A5C-976F-8EAC2B608ADB}">
              <a16:predDERef xmlns:a16="http://schemas.microsoft.com/office/drawing/2014/main" pred="{5F89948A-3DF9-4658-A271-3EFCDC699B4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1156</xdr:row>
      <xdr:rowOff>0</xdr:rowOff>
    </xdr:from>
    <xdr:ext cx="190500" cy="266700"/>
    <xdr:sp macro="" textlink="">
      <xdr:nvSpPr>
        <xdr:cNvPr id="11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009B314-F44A-4D11-81CA-8B7CD63FAD2B}"/>
            </a:ext>
            <a:ext uri="{147F2762-F138-4A5C-976F-8EAC2B608ADB}">
              <a16:predDERef xmlns:a16="http://schemas.microsoft.com/office/drawing/2014/main" pred="{0791CC86-8126-4DD4-B438-25B12608D95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1156</xdr:row>
      <xdr:rowOff>0</xdr:rowOff>
    </xdr:from>
    <xdr:ext cx="190500" cy="266700"/>
    <xdr:sp macro="" textlink="">
      <xdr:nvSpPr>
        <xdr:cNvPr id="11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888B669-699D-4AC5-A9B2-D1FBF846E7E8}"/>
            </a:ext>
            <a:ext uri="{147F2762-F138-4A5C-976F-8EAC2B608ADB}">
              <a16:predDERef xmlns:a16="http://schemas.microsoft.com/office/drawing/2014/main" pred="{566000AE-E209-44B2-A0F0-9CF0813C8EE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1158</xdr:row>
      <xdr:rowOff>0</xdr:rowOff>
    </xdr:from>
    <xdr:ext cx="190500" cy="266700"/>
    <xdr:sp macro="" textlink="">
      <xdr:nvSpPr>
        <xdr:cNvPr id="11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8BDDAAE-6025-49E0-8FBA-7A8BEEF2C062}"/>
            </a:ext>
            <a:ext uri="{147F2762-F138-4A5C-976F-8EAC2B608ADB}">
              <a16:predDERef xmlns:a16="http://schemas.microsoft.com/office/drawing/2014/main" pred="{D3FCAC59-AD99-496A-BC62-F374C241309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1158</xdr:row>
      <xdr:rowOff>0</xdr:rowOff>
    </xdr:from>
    <xdr:ext cx="190500" cy="266700"/>
    <xdr:sp macro="" textlink="">
      <xdr:nvSpPr>
        <xdr:cNvPr id="11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4FCC7D3-9DB2-449E-9277-1ED8FC15F1F8}"/>
            </a:ext>
            <a:ext uri="{147F2762-F138-4A5C-976F-8EAC2B608ADB}">
              <a16:predDERef xmlns:a16="http://schemas.microsoft.com/office/drawing/2014/main" pred="{229A9022-217B-4620-9257-49BBB629483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1160</xdr:row>
      <xdr:rowOff>0</xdr:rowOff>
    </xdr:from>
    <xdr:ext cx="190500" cy="266700"/>
    <xdr:sp macro="" textlink="">
      <xdr:nvSpPr>
        <xdr:cNvPr id="11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370BF61-0595-46E1-AEE5-34E3B1C4E96D}"/>
            </a:ext>
            <a:ext uri="{147F2762-F138-4A5C-976F-8EAC2B608ADB}">
              <a16:predDERef xmlns:a16="http://schemas.microsoft.com/office/drawing/2014/main" pred="{F60C5860-60C4-4D1B-94B8-4DA5B5F0C01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1160</xdr:row>
      <xdr:rowOff>0</xdr:rowOff>
    </xdr:from>
    <xdr:ext cx="190500" cy="266700"/>
    <xdr:sp macro="" textlink="">
      <xdr:nvSpPr>
        <xdr:cNvPr id="11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CD15ACD-17D6-48F6-BA92-322AA4D68B37}"/>
            </a:ext>
            <a:ext uri="{147F2762-F138-4A5C-976F-8EAC2B608ADB}">
              <a16:predDERef xmlns:a16="http://schemas.microsoft.com/office/drawing/2014/main" pred="{2F7C1830-9A44-4331-9916-990515B4A2A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1162</xdr:row>
      <xdr:rowOff>0</xdr:rowOff>
    </xdr:from>
    <xdr:ext cx="190500" cy="266700"/>
    <xdr:sp macro="" textlink="">
      <xdr:nvSpPr>
        <xdr:cNvPr id="11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F2A807A-2C6C-48D3-9130-01397609BBDE}"/>
            </a:ext>
            <a:ext uri="{147F2762-F138-4A5C-976F-8EAC2B608ADB}">
              <a16:predDERef xmlns:a16="http://schemas.microsoft.com/office/drawing/2014/main" pred="{68D175B7-1745-4542-93EC-E7ADEFE865D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1162</xdr:row>
      <xdr:rowOff>0</xdr:rowOff>
    </xdr:from>
    <xdr:ext cx="190500" cy="266700"/>
    <xdr:sp macro="" textlink="">
      <xdr:nvSpPr>
        <xdr:cNvPr id="11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307DF38-B6A4-4AE9-BA0E-1204C40E2B4F}"/>
            </a:ext>
            <a:ext uri="{147F2762-F138-4A5C-976F-8EAC2B608ADB}">
              <a16:predDERef xmlns:a16="http://schemas.microsoft.com/office/drawing/2014/main" pred="{8B02282C-18D1-4319-9A85-4FA1DA28B77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1164</xdr:row>
      <xdr:rowOff>0</xdr:rowOff>
    </xdr:from>
    <xdr:ext cx="190500" cy="266700"/>
    <xdr:sp macro="" textlink="">
      <xdr:nvSpPr>
        <xdr:cNvPr id="11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7C8CDEF-049C-4399-A2C7-064DF10D63BE}"/>
            </a:ext>
            <a:ext uri="{147F2762-F138-4A5C-976F-8EAC2B608ADB}">
              <a16:predDERef xmlns:a16="http://schemas.microsoft.com/office/drawing/2014/main" pred="{CF5868AF-783A-474C-967B-CAB8EC3AC54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1164</xdr:row>
      <xdr:rowOff>0</xdr:rowOff>
    </xdr:from>
    <xdr:ext cx="190500" cy="266700"/>
    <xdr:sp macro="" textlink="">
      <xdr:nvSpPr>
        <xdr:cNvPr id="11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BCE2D72-CD6C-41CF-8177-77B47B3D6BD0}"/>
            </a:ext>
            <a:ext uri="{147F2762-F138-4A5C-976F-8EAC2B608ADB}">
              <a16:predDERef xmlns:a16="http://schemas.microsoft.com/office/drawing/2014/main" pred="{4612A2ED-AA22-4839-93CF-667B25C96B2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1166</xdr:row>
      <xdr:rowOff>0</xdr:rowOff>
    </xdr:from>
    <xdr:ext cx="190500" cy="266700"/>
    <xdr:sp macro="" textlink="">
      <xdr:nvSpPr>
        <xdr:cNvPr id="11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9D13A01-72BC-4C71-B6CD-1D2C485C2C65}"/>
            </a:ext>
            <a:ext uri="{147F2762-F138-4A5C-976F-8EAC2B608ADB}">
              <a16:predDERef xmlns:a16="http://schemas.microsoft.com/office/drawing/2014/main" pred="{1E736219-EF8F-494B-B29D-0BBAB3F561D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1166</xdr:row>
      <xdr:rowOff>0</xdr:rowOff>
    </xdr:from>
    <xdr:ext cx="190500" cy="266700"/>
    <xdr:sp macro="" textlink="">
      <xdr:nvSpPr>
        <xdr:cNvPr id="11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C45DA42-3EA8-452E-84C3-B0E2D1351035}"/>
            </a:ext>
            <a:ext uri="{147F2762-F138-4A5C-976F-8EAC2B608ADB}">
              <a16:predDERef xmlns:a16="http://schemas.microsoft.com/office/drawing/2014/main" pred="{7A3DF88A-0BA9-42E4-B6BA-E39C490C4E6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1168</xdr:row>
      <xdr:rowOff>0</xdr:rowOff>
    </xdr:from>
    <xdr:ext cx="190500" cy="266700"/>
    <xdr:sp macro="" textlink="">
      <xdr:nvSpPr>
        <xdr:cNvPr id="11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9185CE0-C7F1-48F2-86B4-D6950D1FF6FA}"/>
            </a:ext>
            <a:ext uri="{147F2762-F138-4A5C-976F-8EAC2B608ADB}">
              <a16:predDERef xmlns:a16="http://schemas.microsoft.com/office/drawing/2014/main" pred="{A31459D9-50FA-4168-ABC4-989730EC4C0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1168</xdr:row>
      <xdr:rowOff>0</xdr:rowOff>
    </xdr:from>
    <xdr:ext cx="190500" cy="266700"/>
    <xdr:sp macro="" textlink="">
      <xdr:nvSpPr>
        <xdr:cNvPr id="11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84F835B-289F-431B-93AF-4D079C20FA3D}"/>
            </a:ext>
            <a:ext uri="{147F2762-F138-4A5C-976F-8EAC2B608ADB}">
              <a16:predDERef xmlns:a16="http://schemas.microsoft.com/office/drawing/2014/main" pred="{F0AB8582-0497-4C79-BE1E-683B1943D8A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1170</xdr:row>
      <xdr:rowOff>0</xdr:rowOff>
    </xdr:from>
    <xdr:ext cx="190500" cy="266700"/>
    <xdr:sp macro="" textlink="">
      <xdr:nvSpPr>
        <xdr:cNvPr id="11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C459A99-1ADF-4B6C-84EB-B287DB2EEE12}"/>
            </a:ext>
            <a:ext uri="{147F2762-F138-4A5C-976F-8EAC2B608ADB}">
              <a16:predDERef xmlns:a16="http://schemas.microsoft.com/office/drawing/2014/main" pred="{64C5CFB1-685D-4CD1-A459-4C769DAE7B0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1170</xdr:row>
      <xdr:rowOff>0</xdr:rowOff>
    </xdr:from>
    <xdr:ext cx="190500" cy="266700"/>
    <xdr:sp macro="" textlink="">
      <xdr:nvSpPr>
        <xdr:cNvPr id="11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2D46794-6CCA-4D44-B8C2-BE6D019067F7}"/>
            </a:ext>
            <a:ext uri="{147F2762-F138-4A5C-976F-8EAC2B608ADB}">
              <a16:predDERef xmlns:a16="http://schemas.microsoft.com/office/drawing/2014/main" pred="{DCEC182A-1957-4230-83E1-4127AC63E90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1172</xdr:row>
      <xdr:rowOff>0</xdr:rowOff>
    </xdr:from>
    <xdr:ext cx="190500" cy="266700"/>
    <xdr:sp macro="" textlink="">
      <xdr:nvSpPr>
        <xdr:cNvPr id="11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1F040CB-3C6E-4F28-A1FF-2AFFA0FABFF8}"/>
            </a:ext>
            <a:ext uri="{147F2762-F138-4A5C-976F-8EAC2B608ADB}">
              <a16:predDERef xmlns:a16="http://schemas.microsoft.com/office/drawing/2014/main" pred="{146BBF69-17A0-488C-98D5-11F38727BDB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1172</xdr:row>
      <xdr:rowOff>0</xdr:rowOff>
    </xdr:from>
    <xdr:ext cx="190500" cy="266700"/>
    <xdr:sp macro="" textlink="">
      <xdr:nvSpPr>
        <xdr:cNvPr id="11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D043F66-7F17-48DC-9A64-B7566884655F}"/>
            </a:ext>
            <a:ext uri="{147F2762-F138-4A5C-976F-8EAC2B608ADB}">
              <a16:predDERef xmlns:a16="http://schemas.microsoft.com/office/drawing/2014/main" pred="{628F39BF-D9EF-4313-8465-6A7E98D0E10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1174</xdr:row>
      <xdr:rowOff>0</xdr:rowOff>
    </xdr:from>
    <xdr:ext cx="190500" cy="266700"/>
    <xdr:sp macro="" textlink="">
      <xdr:nvSpPr>
        <xdr:cNvPr id="11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40CC51C-10EF-4D43-9B05-DE28A0B27187}"/>
            </a:ext>
            <a:ext uri="{147F2762-F138-4A5C-976F-8EAC2B608ADB}">
              <a16:predDERef xmlns:a16="http://schemas.microsoft.com/office/drawing/2014/main" pred="{D1408FBC-4F3E-40D6-8A65-866448330B7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1174</xdr:row>
      <xdr:rowOff>0</xdr:rowOff>
    </xdr:from>
    <xdr:ext cx="190500" cy="266700"/>
    <xdr:sp macro="" textlink="">
      <xdr:nvSpPr>
        <xdr:cNvPr id="11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47C1FF8-D5A4-4232-A39B-01EACD386ACF}"/>
            </a:ext>
            <a:ext uri="{147F2762-F138-4A5C-976F-8EAC2B608ADB}">
              <a16:predDERef xmlns:a16="http://schemas.microsoft.com/office/drawing/2014/main" pred="{3955CAE9-87D4-4DF1-B066-FCAC60CCF02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1176</xdr:row>
      <xdr:rowOff>0</xdr:rowOff>
    </xdr:from>
    <xdr:ext cx="190500" cy="266700"/>
    <xdr:sp macro="" textlink="">
      <xdr:nvSpPr>
        <xdr:cNvPr id="11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23291E2-3C24-4010-8A1F-0E157D70D0C9}"/>
            </a:ext>
            <a:ext uri="{147F2762-F138-4A5C-976F-8EAC2B608ADB}">
              <a16:predDERef xmlns:a16="http://schemas.microsoft.com/office/drawing/2014/main" pred="{7C671E08-D55F-4377-B701-1D210A36D74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1176</xdr:row>
      <xdr:rowOff>0</xdr:rowOff>
    </xdr:from>
    <xdr:ext cx="190500" cy="266700"/>
    <xdr:sp macro="" textlink="">
      <xdr:nvSpPr>
        <xdr:cNvPr id="11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9F008F-A438-4ED7-952B-26CB9A8809EA}"/>
            </a:ext>
            <a:ext uri="{147F2762-F138-4A5C-976F-8EAC2B608ADB}">
              <a16:predDERef xmlns:a16="http://schemas.microsoft.com/office/drawing/2014/main" pred="{A18CAF94-608A-4F56-842A-4098323B898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1178</xdr:row>
      <xdr:rowOff>0</xdr:rowOff>
    </xdr:from>
    <xdr:ext cx="190500" cy="266700"/>
    <xdr:sp macro="" textlink="">
      <xdr:nvSpPr>
        <xdr:cNvPr id="11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EE33EC3-375A-46E2-A6F5-86B6F6C0C124}"/>
            </a:ext>
            <a:ext uri="{147F2762-F138-4A5C-976F-8EAC2B608ADB}">
              <a16:predDERef xmlns:a16="http://schemas.microsoft.com/office/drawing/2014/main" pred="{3AB6D61D-573E-4C50-9637-FCC7665B94F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1178</xdr:row>
      <xdr:rowOff>0</xdr:rowOff>
    </xdr:from>
    <xdr:ext cx="190500" cy="266700"/>
    <xdr:sp macro="" textlink="">
      <xdr:nvSpPr>
        <xdr:cNvPr id="11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DD150CA-D6C0-4F81-8250-AF26AA4A8D88}"/>
            </a:ext>
            <a:ext uri="{147F2762-F138-4A5C-976F-8EAC2B608ADB}">
              <a16:predDERef xmlns:a16="http://schemas.microsoft.com/office/drawing/2014/main" pred="{B82108C0-859D-41E1-B71A-0E44B7BB6D6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1180</xdr:row>
      <xdr:rowOff>0</xdr:rowOff>
    </xdr:from>
    <xdr:ext cx="190500" cy="266700"/>
    <xdr:sp macro="" textlink="">
      <xdr:nvSpPr>
        <xdr:cNvPr id="11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CEA0E5F-4FEB-4280-ADE4-DF1F1E7A5652}"/>
            </a:ext>
            <a:ext uri="{147F2762-F138-4A5C-976F-8EAC2B608ADB}">
              <a16:predDERef xmlns:a16="http://schemas.microsoft.com/office/drawing/2014/main" pred="{D5FF93C5-B16D-407B-A8AD-7E5089B6ED8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1180</xdr:row>
      <xdr:rowOff>0</xdr:rowOff>
    </xdr:from>
    <xdr:ext cx="190500" cy="266700"/>
    <xdr:sp macro="" textlink="">
      <xdr:nvSpPr>
        <xdr:cNvPr id="11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9A63DF4-09A1-4A9B-9584-9D676F079972}"/>
            </a:ext>
            <a:ext uri="{147F2762-F138-4A5C-976F-8EAC2B608ADB}">
              <a16:predDERef xmlns:a16="http://schemas.microsoft.com/office/drawing/2014/main" pred="{4656AEB1-D6E4-4D34-A815-7640B056DE4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1182</xdr:row>
      <xdr:rowOff>0</xdr:rowOff>
    </xdr:from>
    <xdr:ext cx="190500" cy="266700"/>
    <xdr:sp macro="" textlink="">
      <xdr:nvSpPr>
        <xdr:cNvPr id="11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8264DD-FA71-41B9-857F-4D65AADF625F}"/>
            </a:ext>
            <a:ext uri="{147F2762-F138-4A5C-976F-8EAC2B608ADB}">
              <a16:predDERef xmlns:a16="http://schemas.microsoft.com/office/drawing/2014/main" pred="{BE7B3D95-ABFA-4F6C-8E4A-59038C38AA4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1182</xdr:row>
      <xdr:rowOff>0</xdr:rowOff>
    </xdr:from>
    <xdr:ext cx="190500" cy="266700"/>
    <xdr:sp macro="" textlink="">
      <xdr:nvSpPr>
        <xdr:cNvPr id="11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30661C4-F1EC-4E1F-8743-412C15271318}"/>
            </a:ext>
            <a:ext uri="{147F2762-F138-4A5C-976F-8EAC2B608ADB}">
              <a16:predDERef xmlns:a16="http://schemas.microsoft.com/office/drawing/2014/main" pred="{DC921810-2798-4F37-B291-C34D532EB67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1184</xdr:row>
      <xdr:rowOff>0</xdr:rowOff>
    </xdr:from>
    <xdr:ext cx="190500" cy="266700"/>
    <xdr:sp macro="" textlink="">
      <xdr:nvSpPr>
        <xdr:cNvPr id="11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56AE871-EB40-4E22-8F41-F21A9772170B}"/>
            </a:ext>
            <a:ext uri="{147F2762-F138-4A5C-976F-8EAC2B608ADB}">
              <a16:predDERef xmlns:a16="http://schemas.microsoft.com/office/drawing/2014/main" pred="{CBF2431A-6C6F-447E-85B3-60DB06D412C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1184</xdr:row>
      <xdr:rowOff>0</xdr:rowOff>
    </xdr:from>
    <xdr:ext cx="190500" cy="266700"/>
    <xdr:sp macro="" textlink="">
      <xdr:nvSpPr>
        <xdr:cNvPr id="11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CBF62CF-E7AC-4C7E-80BD-07597284E798}"/>
            </a:ext>
            <a:ext uri="{147F2762-F138-4A5C-976F-8EAC2B608ADB}">
              <a16:predDERef xmlns:a16="http://schemas.microsoft.com/office/drawing/2014/main" pred="{36BDEAE9-E5C0-49BC-8024-1218FB5E2F5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1186</xdr:row>
      <xdr:rowOff>0</xdr:rowOff>
    </xdr:from>
    <xdr:ext cx="190500" cy="266700"/>
    <xdr:sp macro="" textlink="">
      <xdr:nvSpPr>
        <xdr:cNvPr id="11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B9136BE-BB98-42F2-8F99-6421F1DA9CE9}"/>
            </a:ext>
            <a:ext uri="{147F2762-F138-4A5C-976F-8EAC2B608ADB}">
              <a16:predDERef xmlns:a16="http://schemas.microsoft.com/office/drawing/2014/main" pred="{295A1861-E7CC-4C50-8DC7-7B8BF31AE0D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1186</xdr:row>
      <xdr:rowOff>0</xdr:rowOff>
    </xdr:from>
    <xdr:ext cx="190500" cy="266700"/>
    <xdr:sp macro="" textlink="">
      <xdr:nvSpPr>
        <xdr:cNvPr id="11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0509AE4-AB9A-410F-977C-3A2E9D82346D}"/>
            </a:ext>
            <a:ext uri="{147F2762-F138-4A5C-976F-8EAC2B608ADB}">
              <a16:predDERef xmlns:a16="http://schemas.microsoft.com/office/drawing/2014/main" pred="{08CE5D00-25A4-42AB-A6A1-B8DCE730CB7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1188</xdr:row>
      <xdr:rowOff>0</xdr:rowOff>
    </xdr:from>
    <xdr:ext cx="190500" cy="266700"/>
    <xdr:sp macro="" textlink="">
      <xdr:nvSpPr>
        <xdr:cNvPr id="11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C3D98DF-1C20-4942-968A-F85F8D2C9AF7}"/>
            </a:ext>
            <a:ext uri="{147F2762-F138-4A5C-976F-8EAC2B608ADB}">
              <a16:predDERef xmlns:a16="http://schemas.microsoft.com/office/drawing/2014/main" pred="{A051D75F-2B01-4E57-904B-A965170C96D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1188</xdr:row>
      <xdr:rowOff>0</xdr:rowOff>
    </xdr:from>
    <xdr:ext cx="190500" cy="266700"/>
    <xdr:sp macro="" textlink="">
      <xdr:nvSpPr>
        <xdr:cNvPr id="11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E021F12-C22C-489E-95F8-18381CA2459C}"/>
            </a:ext>
            <a:ext uri="{147F2762-F138-4A5C-976F-8EAC2B608ADB}">
              <a16:predDERef xmlns:a16="http://schemas.microsoft.com/office/drawing/2014/main" pred="{9B174701-DE45-4C8A-A277-EA6B05E7B40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1190</xdr:row>
      <xdr:rowOff>0</xdr:rowOff>
    </xdr:from>
    <xdr:ext cx="190500" cy="266700"/>
    <xdr:sp macro="" textlink="">
      <xdr:nvSpPr>
        <xdr:cNvPr id="11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C99F9E1-787B-4B80-97A3-B123F1192CDD}"/>
            </a:ext>
            <a:ext uri="{147F2762-F138-4A5C-976F-8EAC2B608ADB}">
              <a16:predDERef xmlns:a16="http://schemas.microsoft.com/office/drawing/2014/main" pred="{FB60954F-2F1E-47A6-B92A-151516F72B7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1190</xdr:row>
      <xdr:rowOff>0</xdr:rowOff>
    </xdr:from>
    <xdr:ext cx="190500" cy="266700"/>
    <xdr:sp macro="" textlink="">
      <xdr:nvSpPr>
        <xdr:cNvPr id="11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31485E1-0B03-44B8-B80F-68BD5B8CC514}"/>
            </a:ext>
            <a:ext uri="{147F2762-F138-4A5C-976F-8EAC2B608ADB}">
              <a16:predDERef xmlns:a16="http://schemas.microsoft.com/office/drawing/2014/main" pred="{80EEAAF0-2BF6-48E5-B7A7-16388ABC70D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1192</xdr:row>
      <xdr:rowOff>0</xdr:rowOff>
    </xdr:from>
    <xdr:ext cx="190500" cy="266700"/>
    <xdr:sp macro="" textlink="">
      <xdr:nvSpPr>
        <xdr:cNvPr id="11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FC4ACE4-54C4-4720-9F64-C89E0550206F}"/>
            </a:ext>
            <a:ext uri="{147F2762-F138-4A5C-976F-8EAC2B608ADB}">
              <a16:predDERef xmlns:a16="http://schemas.microsoft.com/office/drawing/2014/main" pred="{ABB2D0C2-863C-4826-9A10-183CD43AECB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1192</xdr:row>
      <xdr:rowOff>0</xdr:rowOff>
    </xdr:from>
    <xdr:ext cx="190500" cy="266700"/>
    <xdr:sp macro="" textlink="">
      <xdr:nvSpPr>
        <xdr:cNvPr id="11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D140E6-DDDB-4BB5-BC7B-092175328E32}"/>
            </a:ext>
            <a:ext uri="{147F2762-F138-4A5C-976F-8EAC2B608ADB}">
              <a16:predDERef xmlns:a16="http://schemas.microsoft.com/office/drawing/2014/main" pred="{10277055-1BAE-415A-968D-148793F5938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1194</xdr:row>
      <xdr:rowOff>0</xdr:rowOff>
    </xdr:from>
    <xdr:ext cx="190500" cy="266700"/>
    <xdr:sp macro="" textlink="">
      <xdr:nvSpPr>
        <xdr:cNvPr id="11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30CCADE-BF24-4058-80DE-3F27410C5F1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1194</xdr:row>
      <xdr:rowOff>0</xdr:rowOff>
    </xdr:from>
    <xdr:ext cx="190500" cy="266700"/>
    <xdr:sp macro="" textlink="">
      <xdr:nvSpPr>
        <xdr:cNvPr id="11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1445CB-BC55-489D-A7B3-23B9410F0C88}"/>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1196</xdr:row>
      <xdr:rowOff>0</xdr:rowOff>
    </xdr:from>
    <xdr:ext cx="190500" cy="266700"/>
    <xdr:sp macro="" textlink="">
      <xdr:nvSpPr>
        <xdr:cNvPr id="11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0F669B0-008B-41C2-B871-217C7FCBFCE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1196</xdr:row>
      <xdr:rowOff>0</xdr:rowOff>
    </xdr:from>
    <xdr:ext cx="190500" cy="266700"/>
    <xdr:sp macro="" textlink="">
      <xdr:nvSpPr>
        <xdr:cNvPr id="11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A52236-1AEC-4B14-BC99-7259C038E736}"/>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1198</xdr:row>
      <xdr:rowOff>0</xdr:rowOff>
    </xdr:from>
    <xdr:ext cx="190500" cy="266700"/>
    <xdr:sp macro="" textlink="">
      <xdr:nvSpPr>
        <xdr:cNvPr id="12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6BD15B6-309E-457F-94DA-85CE900B004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1198</xdr:row>
      <xdr:rowOff>0</xdr:rowOff>
    </xdr:from>
    <xdr:ext cx="190500" cy="266700"/>
    <xdr:sp macro="" textlink="">
      <xdr:nvSpPr>
        <xdr:cNvPr id="12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B20FC64-BD09-4EAC-BF2A-C10A573C8D1E}"/>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1200</xdr:row>
      <xdr:rowOff>0</xdr:rowOff>
    </xdr:from>
    <xdr:ext cx="190500" cy="266700"/>
    <xdr:sp macro="" textlink="">
      <xdr:nvSpPr>
        <xdr:cNvPr id="12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F556D90-D74A-43CA-9969-3A6A55CC8C3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1200</xdr:row>
      <xdr:rowOff>0</xdr:rowOff>
    </xdr:from>
    <xdr:ext cx="190500" cy="266700"/>
    <xdr:sp macro="" textlink="">
      <xdr:nvSpPr>
        <xdr:cNvPr id="12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CF7B684-33B2-482A-9F1F-4445D13E7786}"/>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1202</xdr:row>
      <xdr:rowOff>0</xdr:rowOff>
    </xdr:from>
    <xdr:ext cx="190500" cy="266700"/>
    <xdr:sp macro="" textlink="">
      <xdr:nvSpPr>
        <xdr:cNvPr id="12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3DE9E1E-7020-4156-A271-10E21655DD2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1202</xdr:row>
      <xdr:rowOff>0</xdr:rowOff>
    </xdr:from>
    <xdr:ext cx="190500" cy="266700"/>
    <xdr:sp macro="" textlink="">
      <xdr:nvSpPr>
        <xdr:cNvPr id="12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9D94ED1-51E3-41DD-BB27-B4731D0E9B9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1204</xdr:row>
      <xdr:rowOff>0</xdr:rowOff>
    </xdr:from>
    <xdr:ext cx="190500" cy="266700"/>
    <xdr:sp macro="" textlink="">
      <xdr:nvSpPr>
        <xdr:cNvPr id="12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5725866-6508-4678-B0C6-2918358704F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1204</xdr:row>
      <xdr:rowOff>0</xdr:rowOff>
    </xdr:from>
    <xdr:ext cx="190500" cy="266700"/>
    <xdr:sp macro="" textlink="">
      <xdr:nvSpPr>
        <xdr:cNvPr id="12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BE3479E-2452-4852-AC87-454A86490BC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1206</xdr:row>
      <xdr:rowOff>0</xdr:rowOff>
    </xdr:from>
    <xdr:ext cx="190500" cy="266700"/>
    <xdr:sp macro="" textlink="">
      <xdr:nvSpPr>
        <xdr:cNvPr id="12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A17C0EE-DBB4-4174-8550-54908643CF1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1206</xdr:row>
      <xdr:rowOff>0</xdr:rowOff>
    </xdr:from>
    <xdr:ext cx="190500" cy="266700"/>
    <xdr:sp macro="" textlink="">
      <xdr:nvSpPr>
        <xdr:cNvPr id="12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B4E1DE8-35B1-461A-9870-9C4311012CC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1208</xdr:row>
      <xdr:rowOff>0</xdr:rowOff>
    </xdr:from>
    <xdr:ext cx="190500" cy="266700"/>
    <xdr:sp macro="" textlink="">
      <xdr:nvSpPr>
        <xdr:cNvPr id="12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C88EDF8-2898-4715-8762-A30EDCD5541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1208</xdr:row>
      <xdr:rowOff>0</xdr:rowOff>
    </xdr:from>
    <xdr:ext cx="190500" cy="266700"/>
    <xdr:sp macro="" textlink="">
      <xdr:nvSpPr>
        <xdr:cNvPr id="12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9B43A2E-9D13-44B4-87C5-7835A156C56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1210</xdr:row>
      <xdr:rowOff>0</xdr:rowOff>
    </xdr:from>
    <xdr:ext cx="190500" cy="266700"/>
    <xdr:sp macro="" textlink="">
      <xdr:nvSpPr>
        <xdr:cNvPr id="12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6D98E31-9A34-4D0D-BFEF-E643E84FE72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1210</xdr:row>
      <xdr:rowOff>0</xdr:rowOff>
    </xdr:from>
    <xdr:ext cx="190500" cy="266700"/>
    <xdr:sp macro="" textlink="">
      <xdr:nvSpPr>
        <xdr:cNvPr id="12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0291512-69A6-4B71-95B9-ECF7B04B39B2}"/>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1212</xdr:row>
      <xdr:rowOff>0</xdr:rowOff>
    </xdr:from>
    <xdr:ext cx="190500" cy="266700"/>
    <xdr:sp macro="" textlink="">
      <xdr:nvSpPr>
        <xdr:cNvPr id="12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04C14FD-1CB7-4671-AE06-6D7B5E80CB1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1212</xdr:row>
      <xdr:rowOff>0</xdr:rowOff>
    </xdr:from>
    <xdr:ext cx="190500" cy="266700"/>
    <xdr:sp macro="" textlink="">
      <xdr:nvSpPr>
        <xdr:cNvPr id="12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B793FC4-C7E7-455E-8609-8DF27FBF6D5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1214</xdr:row>
      <xdr:rowOff>0</xdr:rowOff>
    </xdr:from>
    <xdr:ext cx="190500" cy="266700"/>
    <xdr:sp macro="" textlink="">
      <xdr:nvSpPr>
        <xdr:cNvPr id="12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2D2C92B-4395-41BB-808C-C048A2599F2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1214</xdr:row>
      <xdr:rowOff>0</xdr:rowOff>
    </xdr:from>
    <xdr:ext cx="190500" cy="266700"/>
    <xdr:sp macro="" textlink="">
      <xdr:nvSpPr>
        <xdr:cNvPr id="12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7DDA66D-A00B-4758-A8FC-3D2346A90879}"/>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1216</xdr:row>
      <xdr:rowOff>0</xdr:rowOff>
    </xdr:from>
    <xdr:ext cx="190500" cy="266700"/>
    <xdr:sp macro="" textlink="">
      <xdr:nvSpPr>
        <xdr:cNvPr id="12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BA04942-5EBC-4D09-B86D-1ADBCEDB36B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1216</xdr:row>
      <xdr:rowOff>0</xdr:rowOff>
    </xdr:from>
    <xdr:ext cx="190500" cy="266700"/>
    <xdr:sp macro="" textlink="">
      <xdr:nvSpPr>
        <xdr:cNvPr id="12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32F0DC-1B6A-4B37-A3C7-39A16F727E51}"/>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1218</xdr:row>
      <xdr:rowOff>0</xdr:rowOff>
    </xdr:from>
    <xdr:ext cx="190500" cy="266700"/>
    <xdr:sp macro="" textlink="">
      <xdr:nvSpPr>
        <xdr:cNvPr id="12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1C18832-021A-43A0-A212-11A4DF7B483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1218</xdr:row>
      <xdr:rowOff>0</xdr:rowOff>
    </xdr:from>
    <xdr:ext cx="190500" cy="266700"/>
    <xdr:sp macro="" textlink="">
      <xdr:nvSpPr>
        <xdr:cNvPr id="12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A5EA51B-CDD8-4F08-B06E-648BD55416D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1220</xdr:row>
      <xdr:rowOff>0</xdr:rowOff>
    </xdr:from>
    <xdr:ext cx="190500" cy="266700"/>
    <xdr:sp macro="" textlink="">
      <xdr:nvSpPr>
        <xdr:cNvPr id="12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926A1CA-DA6D-44BB-A6E1-9A9714FFB2A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1220</xdr:row>
      <xdr:rowOff>0</xdr:rowOff>
    </xdr:from>
    <xdr:ext cx="190500" cy="266700"/>
    <xdr:sp macro="" textlink="">
      <xdr:nvSpPr>
        <xdr:cNvPr id="12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79E7604-7707-474E-B70E-9F3A5387C4C2}"/>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1222</xdr:row>
      <xdr:rowOff>0</xdr:rowOff>
    </xdr:from>
    <xdr:ext cx="190500" cy="266700"/>
    <xdr:sp macro="" textlink="">
      <xdr:nvSpPr>
        <xdr:cNvPr id="12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C768524-887F-4FF6-B0A2-C2465E12419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1222</xdr:row>
      <xdr:rowOff>0</xdr:rowOff>
    </xdr:from>
    <xdr:ext cx="190500" cy="266700"/>
    <xdr:sp macro="" textlink="">
      <xdr:nvSpPr>
        <xdr:cNvPr id="12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60D8F89-CFF3-4195-B1A6-24B715D5B703}"/>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1224</xdr:row>
      <xdr:rowOff>0</xdr:rowOff>
    </xdr:from>
    <xdr:ext cx="190500" cy="266700"/>
    <xdr:sp macro="" textlink="">
      <xdr:nvSpPr>
        <xdr:cNvPr id="12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183FA1F-4CE5-49DA-97DF-91BC7064A2F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1224</xdr:row>
      <xdr:rowOff>0</xdr:rowOff>
    </xdr:from>
    <xdr:ext cx="190500" cy="266700"/>
    <xdr:sp macro="" textlink="">
      <xdr:nvSpPr>
        <xdr:cNvPr id="12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487A73B-27F1-480F-8270-5370F20B983C}"/>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1226</xdr:row>
      <xdr:rowOff>0</xdr:rowOff>
    </xdr:from>
    <xdr:ext cx="190500" cy="266700"/>
    <xdr:sp macro="" textlink="">
      <xdr:nvSpPr>
        <xdr:cNvPr id="12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8FF1CAA-DF13-4691-8073-D314B1E1940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1226</xdr:row>
      <xdr:rowOff>0</xdr:rowOff>
    </xdr:from>
    <xdr:ext cx="190500" cy="266700"/>
    <xdr:sp macro="" textlink="">
      <xdr:nvSpPr>
        <xdr:cNvPr id="12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DDDA47C-6F53-4C81-BB4F-869530F8FF7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1228</xdr:row>
      <xdr:rowOff>0</xdr:rowOff>
    </xdr:from>
    <xdr:ext cx="190500" cy="266700"/>
    <xdr:sp macro="" textlink="">
      <xdr:nvSpPr>
        <xdr:cNvPr id="12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FA0F6E8-5B64-47F4-82D8-4F2D8029502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1228</xdr:row>
      <xdr:rowOff>0</xdr:rowOff>
    </xdr:from>
    <xdr:ext cx="190500" cy="266700"/>
    <xdr:sp macro="" textlink="">
      <xdr:nvSpPr>
        <xdr:cNvPr id="12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C6D6D8B-38CB-47D0-8030-B53AC00ED8D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1230</xdr:row>
      <xdr:rowOff>0</xdr:rowOff>
    </xdr:from>
    <xdr:ext cx="190500" cy="266700"/>
    <xdr:sp macro="" textlink="">
      <xdr:nvSpPr>
        <xdr:cNvPr id="12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C647BD-DCDC-4850-9BDF-851A1D044B9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1230</xdr:row>
      <xdr:rowOff>0</xdr:rowOff>
    </xdr:from>
    <xdr:ext cx="190500" cy="266700"/>
    <xdr:sp macro="" textlink="">
      <xdr:nvSpPr>
        <xdr:cNvPr id="12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AE45248-F6CE-4DE2-B8D5-2399D9BA2ECA}"/>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1232</xdr:row>
      <xdr:rowOff>0</xdr:rowOff>
    </xdr:from>
    <xdr:ext cx="190500" cy="266700"/>
    <xdr:sp macro="" textlink="">
      <xdr:nvSpPr>
        <xdr:cNvPr id="12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30483C1-2A38-4EB3-AA55-742287F089D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1232</xdr:row>
      <xdr:rowOff>0</xdr:rowOff>
    </xdr:from>
    <xdr:ext cx="190500" cy="266700"/>
    <xdr:sp macro="" textlink="">
      <xdr:nvSpPr>
        <xdr:cNvPr id="12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2C48273-BBC1-46A3-896E-EA17B3165E47}"/>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1234</xdr:row>
      <xdr:rowOff>0</xdr:rowOff>
    </xdr:from>
    <xdr:ext cx="190500" cy="266700"/>
    <xdr:sp macro="" textlink="">
      <xdr:nvSpPr>
        <xdr:cNvPr id="12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A16F864-EA02-4618-B3E2-4DC561B9552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1234</xdr:row>
      <xdr:rowOff>0</xdr:rowOff>
    </xdr:from>
    <xdr:ext cx="190500" cy="266700"/>
    <xdr:sp macro="" textlink="">
      <xdr:nvSpPr>
        <xdr:cNvPr id="12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92066D9-4D34-4930-A1A9-9E0F77B434BA}"/>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1236</xdr:row>
      <xdr:rowOff>0</xdr:rowOff>
    </xdr:from>
    <xdr:ext cx="190500" cy="266700"/>
    <xdr:sp macro="" textlink="">
      <xdr:nvSpPr>
        <xdr:cNvPr id="12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420A85-E165-48C8-8677-3843AEBBDCC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1236</xdr:row>
      <xdr:rowOff>0</xdr:rowOff>
    </xdr:from>
    <xdr:ext cx="190500" cy="266700"/>
    <xdr:sp macro="" textlink="">
      <xdr:nvSpPr>
        <xdr:cNvPr id="12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C6A7A2A-F081-496A-9403-CC4F1B9508C2}"/>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1238</xdr:row>
      <xdr:rowOff>0</xdr:rowOff>
    </xdr:from>
    <xdr:ext cx="190500" cy="266700"/>
    <xdr:sp macro="" textlink="">
      <xdr:nvSpPr>
        <xdr:cNvPr id="12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006746-1572-4F5B-9557-645054A047E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1238</xdr:row>
      <xdr:rowOff>0</xdr:rowOff>
    </xdr:from>
    <xdr:ext cx="190500" cy="266700"/>
    <xdr:sp macro="" textlink="">
      <xdr:nvSpPr>
        <xdr:cNvPr id="12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314FEE5-1E68-4949-8C16-4783A9B814A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1240</xdr:row>
      <xdr:rowOff>0</xdr:rowOff>
    </xdr:from>
    <xdr:ext cx="190500" cy="266700"/>
    <xdr:sp macro="" textlink="">
      <xdr:nvSpPr>
        <xdr:cNvPr id="12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837F87F-0514-4047-A21C-A1EA06A1782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1240</xdr:row>
      <xdr:rowOff>0</xdr:rowOff>
    </xdr:from>
    <xdr:ext cx="190500" cy="266700"/>
    <xdr:sp macro="" textlink="">
      <xdr:nvSpPr>
        <xdr:cNvPr id="12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A20C06-8584-4695-8126-1E65220B80B2}"/>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1242</xdr:row>
      <xdr:rowOff>0</xdr:rowOff>
    </xdr:from>
    <xdr:ext cx="190500" cy="266700"/>
    <xdr:sp macro="" textlink="">
      <xdr:nvSpPr>
        <xdr:cNvPr id="12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50596AE-0BCC-4941-853B-6F98ED9A055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1242</xdr:row>
      <xdr:rowOff>0</xdr:rowOff>
    </xdr:from>
    <xdr:ext cx="190500" cy="266700"/>
    <xdr:sp macro="" textlink="">
      <xdr:nvSpPr>
        <xdr:cNvPr id="12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5C4BD73-72E9-466D-8A8B-8450B66E7011}"/>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1244</xdr:row>
      <xdr:rowOff>0</xdr:rowOff>
    </xdr:from>
    <xdr:ext cx="190500" cy="266700"/>
    <xdr:sp macro="" textlink="">
      <xdr:nvSpPr>
        <xdr:cNvPr id="12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0B1529-D154-48A7-8F00-1C66504E458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1244</xdr:row>
      <xdr:rowOff>0</xdr:rowOff>
    </xdr:from>
    <xdr:ext cx="190500" cy="266700"/>
    <xdr:sp macro="" textlink="">
      <xdr:nvSpPr>
        <xdr:cNvPr id="12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951043F-946B-4384-A7D7-0B97B3818D6B}"/>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1246</xdr:row>
      <xdr:rowOff>0</xdr:rowOff>
    </xdr:from>
    <xdr:ext cx="190500" cy="266700"/>
    <xdr:sp macro="" textlink="">
      <xdr:nvSpPr>
        <xdr:cNvPr id="12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5652169-B636-4859-A660-9A11E0C401F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1246</xdr:row>
      <xdr:rowOff>0</xdr:rowOff>
    </xdr:from>
    <xdr:ext cx="190500" cy="266700"/>
    <xdr:sp macro="" textlink="">
      <xdr:nvSpPr>
        <xdr:cNvPr id="12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056B090-A7D4-417A-9B88-A2092A8A3A0F}"/>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1248</xdr:row>
      <xdr:rowOff>0</xdr:rowOff>
    </xdr:from>
    <xdr:ext cx="190500" cy="266700"/>
    <xdr:sp macro="" textlink="">
      <xdr:nvSpPr>
        <xdr:cNvPr id="12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3AA445F-4436-4B34-A047-1FED4F5E14B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1248</xdr:row>
      <xdr:rowOff>0</xdr:rowOff>
    </xdr:from>
    <xdr:ext cx="190500" cy="266700"/>
    <xdr:sp macro="" textlink="">
      <xdr:nvSpPr>
        <xdr:cNvPr id="12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FDFA43C-CEC6-4B07-B823-1367DFC95136}"/>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1250</xdr:row>
      <xdr:rowOff>0</xdr:rowOff>
    </xdr:from>
    <xdr:ext cx="190500" cy="266700"/>
    <xdr:sp macro="" textlink="">
      <xdr:nvSpPr>
        <xdr:cNvPr id="12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CEA233C-F9A3-4F7F-89C2-709047DE0D6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1250</xdr:row>
      <xdr:rowOff>0</xdr:rowOff>
    </xdr:from>
    <xdr:ext cx="190500" cy="266700"/>
    <xdr:sp macro="" textlink="">
      <xdr:nvSpPr>
        <xdr:cNvPr id="12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5C62C8D-98A8-4F17-BC61-0AD467F2D98A}"/>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1252</xdr:row>
      <xdr:rowOff>0</xdr:rowOff>
    </xdr:from>
    <xdr:ext cx="190500" cy="266700"/>
    <xdr:sp macro="" textlink="">
      <xdr:nvSpPr>
        <xdr:cNvPr id="12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C34E343-2D15-4487-BF32-427ECC04D56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1252</xdr:row>
      <xdr:rowOff>0</xdr:rowOff>
    </xdr:from>
    <xdr:ext cx="190500" cy="266700"/>
    <xdr:sp macro="" textlink="">
      <xdr:nvSpPr>
        <xdr:cNvPr id="12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50FAACB-E036-486D-8E13-04E7B80F0E6C}"/>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1254</xdr:row>
      <xdr:rowOff>0</xdr:rowOff>
    </xdr:from>
    <xdr:ext cx="190500" cy="266700"/>
    <xdr:sp macro="" textlink="">
      <xdr:nvSpPr>
        <xdr:cNvPr id="12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CB868E4-F467-42BA-A8BF-FEDFC1F0A88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1254</xdr:row>
      <xdr:rowOff>0</xdr:rowOff>
    </xdr:from>
    <xdr:ext cx="190500" cy="266700"/>
    <xdr:sp macro="" textlink="">
      <xdr:nvSpPr>
        <xdr:cNvPr id="12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874AF87-FDCD-4DEF-B640-6D3E6D6C38F2}"/>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1256</xdr:row>
      <xdr:rowOff>0</xdr:rowOff>
    </xdr:from>
    <xdr:ext cx="190500" cy="266700"/>
    <xdr:sp macro="" textlink="">
      <xdr:nvSpPr>
        <xdr:cNvPr id="12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DD20F0E-E410-442E-AADF-C0714CFE7DD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1256</xdr:row>
      <xdr:rowOff>0</xdr:rowOff>
    </xdr:from>
    <xdr:ext cx="190500" cy="266700"/>
    <xdr:sp macro="" textlink="">
      <xdr:nvSpPr>
        <xdr:cNvPr id="12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12A6B72-4030-4D0C-8372-7D5B91044A7C}"/>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1258</xdr:row>
      <xdr:rowOff>0</xdr:rowOff>
    </xdr:from>
    <xdr:ext cx="190500" cy="266700"/>
    <xdr:sp macro="" textlink="">
      <xdr:nvSpPr>
        <xdr:cNvPr id="12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5470B01-B13E-419F-9B36-B9185B35E83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1258</xdr:row>
      <xdr:rowOff>0</xdr:rowOff>
    </xdr:from>
    <xdr:ext cx="190500" cy="266700"/>
    <xdr:sp macro="" textlink="">
      <xdr:nvSpPr>
        <xdr:cNvPr id="12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10C2401-AA21-472D-929A-98EEC5E2F6D7}"/>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1260</xdr:row>
      <xdr:rowOff>0</xdr:rowOff>
    </xdr:from>
    <xdr:ext cx="190500" cy="266700"/>
    <xdr:sp macro="" textlink="">
      <xdr:nvSpPr>
        <xdr:cNvPr id="12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6628927-C015-41A4-A1E5-6B926DAA0DD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1260</xdr:row>
      <xdr:rowOff>0</xdr:rowOff>
    </xdr:from>
    <xdr:ext cx="190500" cy="266700"/>
    <xdr:sp macro="" textlink="">
      <xdr:nvSpPr>
        <xdr:cNvPr id="12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4A3BDDA-2698-453A-88BB-71120C4CA6EB}"/>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1262</xdr:row>
      <xdr:rowOff>0</xdr:rowOff>
    </xdr:from>
    <xdr:ext cx="190500" cy="266700"/>
    <xdr:sp macro="" textlink="">
      <xdr:nvSpPr>
        <xdr:cNvPr id="12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A6B4C37-8A5B-42C8-B167-12E24775B16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1262</xdr:row>
      <xdr:rowOff>0</xdr:rowOff>
    </xdr:from>
    <xdr:ext cx="190500" cy="266700"/>
    <xdr:sp macro="" textlink="">
      <xdr:nvSpPr>
        <xdr:cNvPr id="12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226ECD7-35AE-4769-8AF2-9251C1AB28CF}"/>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1264</xdr:row>
      <xdr:rowOff>0</xdr:rowOff>
    </xdr:from>
    <xdr:ext cx="190500" cy="266700"/>
    <xdr:sp macro="" textlink="">
      <xdr:nvSpPr>
        <xdr:cNvPr id="12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78D68C3-27B0-4588-9D4F-1F3B7BCF0A5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1264</xdr:row>
      <xdr:rowOff>0</xdr:rowOff>
    </xdr:from>
    <xdr:ext cx="190500" cy="266700"/>
    <xdr:sp macro="" textlink="">
      <xdr:nvSpPr>
        <xdr:cNvPr id="12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24D620-3B0A-4C03-997B-8D0FB1A981F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1266</xdr:row>
      <xdr:rowOff>0</xdr:rowOff>
    </xdr:from>
    <xdr:ext cx="190500" cy="266700"/>
    <xdr:sp macro="" textlink="">
      <xdr:nvSpPr>
        <xdr:cNvPr id="12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E48FEB3-C12B-4246-9BB7-7750D1D6960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1266</xdr:row>
      <xdr:rowOff>0</xdr:rowOff>
    </xdr:from>
    <xdr:ext cx="190500" cy="266700"/>
    <xdr:sp macro="" textlink="">
      <xdr:nvSpPr>
        <xdr:cNvPr id="12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ACB889F-3E04-47E4-9E40-039159645F8B}"/>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1268</xdr:row>
      <xdr:rowOff>0</xdr:rowOff>
    </xdr:from>
    <xdr:ext cx="190500" cy="266700"/>
    <xdr:sp macro="" textlink="">
      <xdr:nvSpPr>
        <xdr:cNvPr id="12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D9A8EC6-4D72-43D3-95FF-36517CC2080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1268</xdr:row>
      <xdr:rowOff>0</xdr:rowOff>
    </xdr:from>
    <xdr:ext cx="190500" cy="266700"/>
    <xdr:sp macro="" textlink="">
      <xdr:nvSpPr>
        <xdr:cNvPr id="12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695CB6C-A6E4-4649-A1E1-EABB72919022}"/>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1270</xdr:row>
      <xdr:rowOff>0</xdr:rowOff>
    </xdr:from>
    <xdr:ext cx="190500" cy="266700"/>
    <xdr:sp macro="" textlink="">
      <xdr:nvSpPr>
        <xdr:cNvPr id="12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8741BFF-3CB5-4622-AD24-8BA2989A4A8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1270</xdr:row>
      <xdr:rowOff>0</xdr:rowOff>
    </xdr:from>
    <xdr:ext cx="190500" cy="266700"/>
    <xdr:sp macro="" textlink="">
      <xdr:nvSpPr>
        <xdr:cNvPr id="12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77C9BDE-716F-4655-955D-5F0CF558FE6C}"/>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1272</xdr:row>
      <xdr:rowOff>0</xdr:rowOff>
    </xdr:from>
    <xdr:ext cx="190500" cy="266700"/>
    <xdr:sp macro="" textlink="">
      <xdr:nvSpPr>
        <xdr:cNvPr id="12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55841E1-EAA7-4579-8AC7-61538D9F526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1272</xdr:row>
      <xdr:rowOff>0</xdr:rowOff>
    </xdr:from>
    <xdr:ext cx="190500" cy="266700"/>
    <xdr:sp macro="" textlink="">
      <xdr:nvSpPr>
        <xdr:cNvPr id="12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F3D1A38-E510-4AEF-BE79-D70AA09F6209}"/>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1274</xdr:row>
      <xdr:rowOff>0</xdr:rowOff>
    </xdr:from>
    <xdr:ext cx="190500" cy="266700"/>
    <xdr:sp macro="" textlink="">
      <xdr:nvSpPr>
        <xdr:cNvPr id="12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8F64CBF-A7E5-476B-8413-BD558E2F48A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1274</xdr:row>
      <xdr:rowOff>0</xdr:rowOff>
    </xdr:from>
    <xdr:ext cx="190500" cy="266700"/>
    <xdr:sp macro="" textlink="">
      <xdr:nvSpPr>
        <xdr:cNvPr id="12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192B181-130D-407C-BCD3-515C079A544E}"/>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1276</xdr:row>
      <xdr:rowOff>0</xdr:rowOff>
    </xdr:from>
    <xdr:ext cx="190500" cy="266700"/>
    <xdr:sp macro="" textlink="">
      <xdr:nvSpPr>
        <xdr:cNvPr id="12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8F6F8AD-DC8B-468E-A7B7-1FFB509126E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1276</xdr:row>
      <xdr:rowOff>0</xdr:rowOff>
    </xdr:from>
    <xdr:ext cx="190500" cy="266700"/>
    <xdr:sp macro="" textlink="">
      <xdr:nvSpPr>
        <xdr:cNvPr id="12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6837056-314E-4B2A-84D3-838E74ED17A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1278</xdr:row>
      <xdr:rowOff>0</xdr:rowOff>
    </xdr:from>
    <xdr:ext cx="190500" cy="266700"/>
    <xdr:sp macro="" textlink="">
      <xdr:nvSpPr>
        <xdr:cNvPr id="12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4BACC65-390E-4AC7-B1AE-272610476C3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1278</xdr:row>
      <xdr:rowOff>0</xdr:rowOff>
    </xdr:from>
    <xdr:ext cx="190500" cy="266700"/>
    <xdr:sp macro="" textlink="">
      <xdr:nvSpPr>
        <xdr:cNvPr id="12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B15876A-82B2-4C3F-92E8-72FBC98CEFCF}"/>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1280</xdr:row>
      <xdr:rowOff>0</xdr:rowOff>
    </xdr:from>
    <xdr:ext cx="190500" cy="266700"/>
    <xdr:sp macro="" textlink="">
      <xdr:nvSpPr>
        <xdr:cNvPr id="12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6CE6B04-3DE4-4ADA-AFD9-C1775680093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1280</xdr:row>
      <xdr:rowOff>0</xdr:rowOff>
    </xdr:from>
    <xdr:ext cx="190500" cy="266700"/>
    <xdr:sp macro="" textlink="">
      <xdr:nvSpPr>
        <xdr:cNvPr id="12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021FE2-8C20-44ED-A12B-1C5BC6E7A65A}"/>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1282</xdr:row>
      <xdr:rowOff>0</xdr:rowOff>
    </xdr:from>
    <xdr:ext cx="190500" cy="266700"/>
    <xdr:sp macro="" textlink="">
      <xdr:nvSpPr>
        <xdr:cNvPr id="12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562341-7B00-4200-95A2-B3EC567D3BB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1282</xdr:row>
      <xdr:rowOff>0</xdr:rowOff>
    </xdr:from>
    <xdr:ext cx="190500" cy="266700"/>
    <xdr:sp macro="" textlink="">
      <xdr:nvSpPr>
        <xdr:cNvPr id="12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DCC0325-9B07-4DA4-B89E-611E3AF9123C}"/>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1284</xdr:row>
      <xdr:rowOff>0</xdr:rowOff>
    </xdr:from>
    <xdr:ext cx="190500" cy="266700"/>
    <xdr:sp macro="" textlink="">
      <xdr:nvSpPr>
        <xdr:cNvPr id="12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3DBEC7B-23BC-4583-B340-A58D26D6194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1284</xdr:row>
      <xdr:rowOff>0</xdr:rowOff>
    </xdr:from>
    <xdr:ext cx="190500" cy="266700"/>
    <xdr:sp macro="" textlink="">
      <xdr:nvSpPr>
        <xdr:cNvPr id="12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E6EAE79-5BF9-4782-8452-CEB1CC83EE3E}"/>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1286</xdr:row>
      <xdr:rowOff>0</xdr:rowOff>
    </xdr:from>
    <xdr:ext cx="190500" cy="266700"/>
    <xdr:sp macro="" textlink="">
      <xdr:nvSpPr>
        <xdr:cNvPr id="12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F952D8C-0EB7-4EA8-8F89-0F43159A651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1286</xdr:row>
      <xdr:rowOff>0</xdr:rowOff>
    </xdr:from>
    <xdr:ext cx="190500" cy="266700"/>
    <xdr:sp macro="" textlink="">
      <xdr:nvSpPr>
        <xdr:cNvPr id="12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77AA7BB-BF44-45B2-BBC1-0FD29C25B8BB}"/>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1288</xdr:row>
      <xdr:rowOff>0</xdr:rowOff>
    </xdr:from>
    <xdr:ext cx="190500" cy="266700"/>
    <xdr:sp macro="" textlink="">
      <xdr:nvSpPr>
        <xdr:cNvPr id="12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C55A5D1-E449-463F-BAA6-C446891D27D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1288</xdr:row>
      <xdr:rowOff>0</xdr:rowOff>
    </xdr:from>
    <xdr:ext cx="190500" cy="266700"/>
    <xdr:sp macro="" textlink="">
      <xdr:nvSpPr>
        <xdr:cNvPr id="12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ACB24D8-040B-49F8-B2B3-CCF74258E2C3}"/>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1290</xdr:row>
      <xdr:rowOff>0</xdr:rowOff>
    </xdr:from>
    <xdr:ext cx="190500" cy="266700"/>
    <xdr:sp macro="" textlink="">
      <xdr:nvSpPr>
        <xdr:cNvPr id="12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C367764-5370-48A5-94F6-694E8F5D828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1290</xdr:row>
      <xdr:rowOff>0</xdr:rowOff>
    </xdr:from>
    <xdr:ext cx="190500" cy="266700"/>
    <xdr:sp macro="" textlink="">
      <xdr:nvSpPr>
        <xdr:cNvPr id="12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B7047F7-8649-424D-8B09-CF9C946FF1C9}"/>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1292</xdr:row>
      <xdr:rowOff>0</xdr:rowOff>
    </xdr:from>
    <xdr:ext cx="190500" cy="266700"/>
    <xdr:sp macro="" textlink="">
      <xdr:nvSpPr>
        <xdr:cNvPr id="12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289C779-D3B3-401D-921C-04AA504B255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1292</xdr:row>
      <xdr:rowOff>0</xdr:rowOff>
    </xdr:from>
    <xdr:ext cx="190500" cy="266700"/>
    <xdr:sp macro="" textlink="">
      <xdr:nvSpPr>
        <xdr:cNvPr id="12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A638B44-1DC7-4588-B65C-DB48C15B490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1294</xdr:row>
      <xdr:rowOff>0</xdr:rowOff>
    </xdr:from>
    <xdr:ext cx="190500" cy="266700"/>
    <xdr:sp macro="" textlink="">
      <xdr:nvSpPr>
        <xdr:cNvPr id="12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AE15D77-C705-49BF-B7AB-C502C80954E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1294</xdr:row>
      <xdr:rowOff>0</xdr:rowOff>
    </xdr:from>
    <xdr:ext cx="190500" cy="266700"/>
    <xdr:sp macro="" textlink="">
      <xdr:nvSpPr>
        <xdr:cNvPr id="12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3A4B4A-6690-4B34-9F54-157F33FFD6C1}"/>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1296</xdr:row>
      <xdr:rowOff>0</xdr:rowOff>
    </xdr:from>
    <xdr:ext cx="190500" cy="266700"/>
    <xdr:sp macro="" textlink="">
      <xdr:nvSpPr>
        <xdr:cNvPr id="12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6BBE9C8-A4B0-4EFA-A2DB-8D2AF565F49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1296</xdr:row>
      <xdr:rowOff>0</xdr:rowOff>
    </xdr:from>
    <xdr:ext cx="190500" cy="266700"/>
    <xdr:sp macro="" textlink="">
      <xdr:nvSpPr>
        <xdr:cNvPr id="12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22EB04F-DC7D-4F71-903E-B61D4C095CB9}"/>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1298</xdr:row>
      <xdr:rowOff>0</xdr:rowOff>
    </xdr:from>
    <xdr:ext cx="190500" cy="266700"/>
    <xdr:sp macro="" textlink="">
      <xdr:nvSpPr>
        <xdr:cNvPr id="13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3BBB335-1E55-4573-A4FC-FDDEB8B4CBA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1298</xdr:row>
      <xdr:rowOff>0</xdr:rowOff>
    </xdr:from>
    <xdr:ext cx="190500" cy="266700"/>
    <xdr:sp macro="" textlink="">
      <xdr:nvSpPr>
        <xdr:cNvPr id="13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4607D4-C0A9-4EB9-BEB0-4B18A4870A47}"/>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1300</xdr:row>
      <xdr:rowOff>0</xdr:rowOff>
    </xdr:from>
    <xdr:ext cx="190500" cy="266700"/>
    <xdr:sp macro="" textlink="">
      <xdr:nvSpPr>
        <xdr:cNvPr id="13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B0630A5-120D-4BAF-9E14-2FE257EEDC8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1300</xdr:row>
      <xdr:rowOff>0</xdr:rowOff>
    </xdr:from>
    <xdr:ext cx="190500" cy="266700"/>
    <xdr:sp macro="" textlink="">
      <xdr:nvSpPr>
        <xdr:cNvPr id="13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34E72D5-7BD6-4488-81C9-9E4F751E9A4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1302</xdr:row>
      <xdr:rowOff>0</xdr:rowOff>
    </xdr:from>
    <xdr:ext cx="190500" cy="266700"/>
    <xdr:sp macro="" textlink="">
      <xdr:nvSpPr>
        <xdr:cNvPr id="13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D729A1D-B1A6-482C-AE2E-976C8946D8F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1302</xdr:row>
      <xdr:rowOff>0</xdr:rowOff>
    </xdr:from>
    <xdr:ext cx="190500" cy="266700"/>
    <xdr:sp macro="" textlink="">
      <xdr:nvSpPr>
        <xdr:cNvPr id="13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E4434B1-3177-4FF3-9A6E-9590A4A2501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1304</xdr:row>
      <xdr:rowOff>0</xdr:rowOff>
    </xdr:from>
    <xdr:ext cx="190500" cy="266700"/>
    <xdr:sp macro="" textlink="">
      <xdr:nvSpPr>
        <xdr:cNvPr id="13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5B51856-BD55-4653-B95B-01D29524574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1304</xdr:row>
      <xdr:rowOff>0</xdr:rowOff>
    </xdr:from>
    <xdr:ext cx="190500" cy="266700"/>
    <xdr:sp macro="" textlink="">
      <xdr:nvSpPr>
        <xdr:cNvPr id="13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AC194C2-67C1-4B4D-B270-B222FFFFC7E6}"/>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1306</xdr:row>
      <xdr:rowOff>0</xdr:rowOff>
    </xdr:from>
    <xdr:ext cx="190500" cy="266700"/>
    <xdr:sp macro="" textlink="">
      <xdr:nvSpPr>
        <xdr:cNvPr id="13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097D2D4-C3F4-4464-9282-60C67310F37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1306</xdr:row>
      <xdr:rowOff>0</xdr:rowOff>
    </xdr:from>
    <xdr:ext cx="190500" cy="266700"/>
    <xdr:sp macro="" textlink="">
      <xdr:nvSpPr>
        <xdr:cNvPr id="13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5E019C2-5F37-40CC-ABE5-1D6E1472F4C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1308</xdr:row>
      <xdr:rowOff>0</xdr:rowOff>
    </xdr:from>
    <xdr:ext cx="190500" cy="266700"/>
    <xdr:sp macro="" textlink="">
      <xdr:nvSpPr>
        <xdr:cNvPr id="13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6B2686B-4CDB-4518-BD71-CA8C4A56446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1308</xdr:row>
      <xdr:rowOff>0</xdr:rowOff>
    </xdr:from>
    <xdr:ext cx="190500" cy="266700"/>
    <xdr:sp macro="" textlink="">
      <xdr:nvSpPr>
        <xdr:cNvPr id="13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D27092-A4EF-4810-B4F7-B6C7F3E6EC87}"/>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1310</xdr:row>
      <xdr:rowOff>0</xdr:rowOff>
    </xdr:from>
    <xdr:ext cx="190500" cy="266700"/>
    <xdr:sp macro="" textlink="">
      <xdr:nvSpPr>
        <xdr:cNvPr id="13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C711290-B16A-46BC-8F8D-00594483EBC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1310</xdr:row>
      <xdr:rowOff>0</xdr:rowOff>
    </xdr:from>
    <xdr:ext cx="190500" cy="266700"/>
    <xdr:sp macro="" textlink="">
      <xdr:nvSpPr>
        <xdr:cNvPr id="13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CE9C0B3-D750-4498-B05B-713EB1212D89}"/>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1312</xdr:row>
      <xdr:rowOff>0</xdr:rowOff>
    </xdr:from>
    <xdr:ext cx="190500" cy="266700"/>
    <xdr:sp macro="" textlink="">
      <xdr:nvSpPr>
        <xdr:cNvPr id="13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0F1A51B-CA09-4B8F-B384-D6C24ADAED5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1312</xdr:row>
      <xdr:rowOff>0</xdr:rowOff>
    </xdr:from>
    <xdr:ext cx="190500" cy="266700"/>
    <xdr:sp macro="" textlink="">
      <xdr:nvSpPr>
        <xdr:cNvPr id="13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4AC85FA-E5F0-4062-AAC6-1A5EBA66DFFA}"/>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1314</xdr:row>
      <xdr:rowOff>0</xdr:rowOff>
    </xdr:from>
    <xdr:ext cx="190500" cy="266700"/>
    <xdr:sp macro="" textlink="">
      <xdr:nvSpPr>
        <xdr:cNvPr id="13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0631954-902D-41D1-B407-D3E02EED69B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1314</xdr:row>
      <xdr:rowOff>0</xdr:rowOff>
    </xdr:from>
    <xdr:ext cx="190500" cy="266700"/>
    <xdr:sp macro="" textlink="">
      <xdr:nvSpPr>
        <xdr:cNvPr id="13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F7F9D99-A704-4684-AD82-4B7FE71994EB}"/>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1316</xdr:row>
      <xdr:rowOff>0</xdr:rowOff>
    </xdr:from>
    <xdr:ext cx="190500" cy="266700"/>
    <xdr:sp macro="" textlink="">
      <xdr:nvSpPr>
        <xdr:cNvPr id="13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AE91D25-776D-4636-AA74-70E93D0E1F3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1316</xdr:row>
      <xdr:rowOff>0</xdr:rowOff>
    </xdr:from>
    <xdr:ext cx="190500" cy="266700"/>
    <xdr:sp macro="" textlink="">
      <xdr:nvSpPr>
        <xdr:cNvPr id="13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2165A27-D8A4-4CDE-90C5-296B35198B56}"/>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1318</xdr:row>
      <xdr:rowOff>0</xdr:rowOff>
    </xdr:from>
    <xdr:ext cx="190500" cy="266700"/>
    <xdr:sp macro="" textlink="">
      <xdr:nvSpPr>
        <xdr:cNvPr id="13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AE552E2-C486-49BD-BA38-E2E560D0009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1318</xdr:row>
      <xdr:rowOff>0</xdr:rowOff>
    </xdr:from>
    <xdr:ext cx="190500" cy="266700"/>
    <xdr:sp macro="" textlink="">
      <xdr:nvSpPr>
        <xdr:cNvPr id="13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8375C1F-AD60-4F8D-A34F-17F4C4E17CB3}"/>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1320</xdr:row>
      <xdr:rowOff>0</xdr:rowOff>
    </xdr:from>
    <xdr:ext cx="190500" cy="266700"/>
    <xdr:sp macro="" textlink="">
      <xdr:nvSpPr>
        <xdr:cNvPr id="13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16BF22B-5917-47CA-A847-7B367E8F759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1320</xdr:row>
      <xdr:rowOff>0</xdr:rowOff>
    </xdr:from>
    <xdr:ext cx="190500" cy="266700"/>
    <xdr:sp macro="" textlink="">
      <xdr:nvSpPr>
        <xdr:cNvPr id="13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FC4AD8F-A63A-479A-9362-5F896189728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1322</xdr:row>
      <xdr:rowOff>0</xdr:rowOff>
    </xdr:from>
    <xdr:ext cx="190500" cy="266700"/>
    <xdr:sp macro="" textlink="">
      <xdr:nvSpPr>
        <xdr:cNvPr id="13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8F82951-76DB-4654-B439-23BBE1FAD74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1322</xdr:row>
      <xdr:rowOff>0</xdr:rowOff>
    </xdr:from>
    <xdr:ext cx="190500" cy="266700"/>
    <xdr:sp macro="" textlink="">
      <xdr:nvSpPr>
        <xdr:cNvPr id="13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3F8859D-B4BE-45AE-9D5A-46B208CE58D6}"/>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1324</xdr:row>
      <xdr:rowOff>0</xdr:rowOff>
    </xdr:from>
    <xdr:ext cx="190500" cy="266700"/>
    <xdr:sp macro="" textlink="">
      <xdr:nvSpPr>
        <xdr:cNvPr id="13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BFEC23F-0B46-4C4D-AA0E-83546A66B2F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1324</xdr:row>
      <xdr:rowOff>0</xdr:rowOff>
    </xdr:from>
    <xdr:ext cx="190500" cy="266700"/>
    <xdr:sp macro="" textlink="">
      <xdr:nvSpPr>
        <xdr:cNvPr id="13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0FFE44D-80EA-4AFF-923F-D1015BD92C8E}"/>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1326</xdr:row>
      <xdr:rowOff>0</xdr:rowOff>
    </xdr:from>
    <xdr:ext cx="190500" cy="266700"/>
    <xdr:sp macro="" textlink="">
      <xdr:nvSpPr>
        <xdr:cNvPr id="13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097C55B-DBCF-4DAD-BF9F-EA9F0787731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1326</xdr:row>
      <xdr:rowOff>0</xdr:rowOff>
    </xdr:from>
    <xdr:ext cx="190500" cy="266700"/>
    <xdr:sp macro="" textlink="">
      <xdr:nvSpPr>
        <xdr:cNvPr id="13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C84F1CC-26EC-40A9-AA1E-F84344B3932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1328</xdr:row>
      <xdr:rowOff>0</xdr:rowOff>
    </xdr:from>
    <xdr:ext cx="190500" cy="266700"/>
    <xdr:sp macro="" textlink="">
      <xdr:nvSpPr>
        <xdr:cNvPr id="13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073F70B-325C-4957-8E81-86327712C7C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1328</xdr:row>
      <xdr:rowOff>0</xdr:rowOff>
    </xdr:from>
    <xdr:ext cx="190500" cy="266700"/>
    <xdr:sp macro="" textlink="">
      <xdr:nvSpPr>
        <xdr:cNvPr id="13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21E298-1845-406B-B7ED-648108DB2A0A}"/>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1330</xdr:row>
      <xdr:rowOff>0</xdr:rowOff>
    </xdr:from>
    <xdr:ext cx="190500" cy="266700"/>
    <xdr:sp macro="" textlink="">
      <xdr:nvSpPr>
        <xdr:cNvPr id="13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9BD3289-E7B6-447F-A761-6E64FF7BA8A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1330</xdr:row>
      <xdr:rowOff>0</xdr:rowOff>
    </xdr:from>
    <xdr:ext cx="190500" cy="266700"/>
    <xdr:sp macro="" textlink="">
      <xdr:nvSpPr>
        <xdr:cNvPr id="13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8AFCD5B-11C3-4F2F-800B-30A3DBE3913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1332</xdr:row>
      <xdr:rowOff>0</xdr:rowOff>
    </xdr:from>
    <xdr:ext cx="190500" cy="266700"/>
    <xdr:sp macro="" textlink="">
      <xdr:nvSpPr>
        <xdr:cNvPr id="13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4F77655-6984-4E1D-A209-88F6816D3D2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1332</xdr:row>
      <xdr:rowOff>0</xdr:rowOff>
    </xdr:from>
    <xdr:ext cx="190500" cy="266700"/>
    <xdr:sp macro="" textlink="">
      <xdr:nvSpPr>
        <xdr:cNvPr id="13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5112F06-CBBB-4EDD-BA50-3BD83F8723C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1334</xdr:row>
      <xdr:rowOff>0</xdr:rowOff>
    </xdr:from>
    <xdr:ext cx="190500" cy="266700"/>
    <xdr:sp macro="" textlink="">
      <xdr:nvSpPr>
        <xdr:cNvPr id="13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A352C0B-3194-480E-8F55-7F2505F73DA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1334</xdr:row>
      <xdr:rowOff>0</xdr:rowOff>
    </xdr:from>
    <xdr:ext cx="190500" cy="266700"/>
    <xdr:sp macro="" textlink="">
      <xdr:nvSpPr>
        <xdr:cNvPr id="13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BB0E298-21A2-41C8-A7E4-3F8C5D9193B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1336</xdr:row>
      <xdr:rowOff>0</xdr:rowOff>
    </xdr:from>
    <xdr:ext cx="190500" cy="266700"/>
    <xdr:sp macro="" textlink="">
      <xdr:nvSpPr>
        <xdr:cNvPr id="13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1AC6374-B0E8-473A-AC00-974978B4F67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1336</xdr:row>
      <xdr:rowOff>0</xdr:rowOff>
    </xdr:from>
    <xdr:ext cx="190500" cy="266700"/>
    <xdr:sp macro="" textlink="">
      <xdr:nvSpPr>
        <xdr:cNvPr id="13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B931541-5CEF-4FC5-B962-A5D1EFE08D0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1338</xdr:row>
      <xdr:rowOff>0</xdr:rowOff>
    </xdr:from>
    <xdr:ext cx="190500" cy="266700"/>
    <xdr:sp macro="" textlink="">
      <xdr:nvSpPr>
        <xdr:cNvPr id="13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DE577AF-5FA2-4806-8F97-F0D696E4180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1338</xdr:row>
      <xdr:rowOff>0</xdr:rowOff>
    </xdr:from>
    <xdr:ext cx="190500" cy="266700"/>
    <xdr:sp macro="" textlink="">
      <xdr:nvSpPr>
        <xdr:cNvPr id="13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9539026-858C-43FD-A475-72F6AC98C0A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1340</xdr:row>
      <xdr:rowOff>0</xdr:rowOff>
    </xdr:from>
    <xdr:ext cx="190500" cy="266700"/>
    <xdr:sp macro="" textlink="">
      <xdr:nvSpPr>
        <xdr:cNvPr id="13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16D5F6-2730-44CA-A1D0-7D1C0F734A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1340</xdr:row>
      <xdr:rowOff>0</xdr:rowOff>
    </xdr:from>
    <xdr:ext cx="190500" cy="266700"/>
    <xdr:sp macro="" textlink="">
      <xdr:nvSpPr>
        <xdr:cNvPr id="13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1817F66-22C0-4E9D-954C-26271FE4A366}"/>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1342</xdr:row>
      <xdr:rowOff>0</xdr:rowOff>
    </xdr:from>
    <xdr:ext cx="190500" cy="266700"/>
    <xdr:sp macro="" textlink="">
      <xdr:nvSpPr>
        <xdr:cNvPr id="13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078A0E9-0BB9-47F1-93BF-9D5495F025F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1342</xdr:row>
      <xdr:rowOff>0</xdr:rowOff>
    </xdr:from>
    <xdr:ext cx="190500" cy="266700"/>
    <xdr:sp macro="" textlink="">
      <xdr:nvSpPr>
        <xdr:cNvPr id="13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913E053-DF02-460C-8E98-4DA5720AEE2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1344</xdr:row>
      <xdr:rowOff>0</xdr:rowOff>
    </xdr:from>
    <xdr:ext cx="190500" cy="266700"/>
    <xdr:sp macro="" textlink="">
      <xdr:nvSpPr>
        <xdr:cNvPr id="13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EB382E3-B4DB-4DE1-9161-109925EFFFB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1344</xdr:row>
      <xdr:rowOff>0</xdr:rowOff>
    </xdr:from>
    <xdr:ext cx="190500" cy="266700"/>
    <xdr:sp macro="" textlink="">
      <xdr:nvSpPr>
        <xdr:cNvPr id="13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0C4BC34-B89F-4669-8216-DF71DA8230C1}"/>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1346</xdr:row>
      <xdr:rowOff>0</xdr:rowOff>
    </xdr:from>
    <xdr:ext cx="190500" cy="266700"/>
    <xdr:sp macro="" textlink="">
      <xdr:nvSpPr>
        <xdr:cNvPr id="13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787E5F-4E45-489D-986B-CF218C218C4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1346</xdr:row>
      <xdr:rowOff>0</xdr:rowOff>
    </xdr:from>
    <xdr:ext cx="190500" cy="266700"/>
    <xdr:sp macro="" textlink="">
      <xdr:nvSpPr>
        <xdr:cNvPr id="13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E446B4A-BCFB-4675-A6B3-59B24CFAECE8}"/>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1348</xdr:row>
      <xdr:rowOff>0</xdr:rowOff>
    </xdr:from>
    <xdr:ext cx="190500" cy="266700"/>
    <xdr:sp macro="" textlink="">
      <xdr:nvSpPr>
        <xdr:cNvPr id="13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0C81439-8EEF-42FF-8C60-39E2DA07058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1348</xdr:row>
      <xdr:rowOff>0</xdr:rowOff>
    </xdr:from>
    <xdr:ext cx="190500" cy="266700"/>
    <xdr:sp macro="" textlink="">
      <xdr:nvSpPr>
        <xdr:cNvPr id="13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1CA47D-80C8-44A7-958A-4EAA74B346C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1350</xdr:row>
      <xdr:rowOff>0</xdr:rowOff>
    </xdr:from>
    <xdr:ext cx="190500" cy="266700"/>
    <xdr:sp macro="" textlink="">
      <xdr:nvSpPr>
        <xdr:cNvPr id="13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C971265-C531-4DD8-B6A9-24083909F6C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1350</xdr:row>
      <xdr:rowOff>0</xdr:rowOff>
    </xdr:from>
    <xdr:ext cx="190500" cy="266700"/>
    <xdr:sp macro="" textlink="">
      <xdr:nvSpPr>
        <xdr:cNvPr id="13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68D3CEC-8DE2-4663-A915-3C4D222801DC}"/>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1352</xdr:row>
      <xdr:rowOff>0</xdr:rowOff>
    </xdr:from>
    <xdr:ext cx="190500" cy="266700"/>
    <xdr:sp macro="" textlink="">
      <xdr:nvSpPr>
        <xdr:cNvPr id="13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658512-01F1-44EA-99B8-87D4F1DBAB7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1352</xdr:row>
      <xdr:rowOff>0</xdr:rowOff>
    </xdr:from>
    <xdr:ext cx="190500" cy="266700"/>
    <xdr:sp macro="" textlink="">
      <xdr:nvSpPr>
        <xdr:cNvPr id="13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07E500-BE6B-4C06-AE7C-F1D10922CF5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1354</xdr:row>
      <xdr:rowOff>0</xdr:rowOff>
    </xdr:from>
    <xdr:ext cx="190500" cy="266700"/>
    <xdr:sp macro="" textlink="">
      <xdr:nvSpPr>
        <xdr:cNvPr id="13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99EF1AC-7E17-4150-9E3A-DD4DE13640F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1354</xdr:row>
      <xdr:rowOff>0</xdr:rowOff>
    </xdr:from>
    <xdr:ext cx="190500" cy="266700"/>
    <xdr:sp macro="" textlink="">
      <xdr:nvSpPr>
        <xdr:cNvPr id="13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036CDDA-E61E-4681-B2BD-C59AAABCEBF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1356</xdr:row>
      <xdr:rowOff>0</xdr:rowOff>
    </xdr:from>
    <xdr:ext cx="190500" cy="266700"/>
    <xdr:sp macro="" textlink="">
      <xdr:nvSpPr>
        <xdr:cNvPr id="13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BA084B6-DE16-49C7-9288-568757135DA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1356</xdr:row>
      <xdr:rowOff>0</xdr:rowOff>
    </xdr:from>
    <xdr:ext cx="190500" cy="266700"/>
    <xdr:sp macro="" textlink="">
      <xdr:nvSpPr>
        <xdr:cNvPr id="13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91D7947-7181-4797-A1CC-A559BAF53EC3}"/>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1358</xdr:row>
      <xdr:rowOff>0</xdr:rowOff>
    </xdr:from>
    <xdr:ext cx="190500" cy="266700"/>
    <xdr:sp macro="" textlink="">
      <xdr:nvSpPr>
        <xdr:cNvPr id="13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C38C76-9567-47B6-B37F-647A0226AFB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1358</xdr:row>
      <xdr:rowOff>0</xdr:rowOff>
    </xdr:from>
    <xdr:ext cx="190500" cy="266700"/>
    <xdr:sp macro="" textlink="">
      <xdr:nvSpPr>
        <xdr:cNvPr id="13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985D9B4-EE47-4327-B9CD-B8B751C1BDB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1360</xdr:row>
      <xdr:rowOff>0</xdr:rowOff>
    </xdr:from>
    <xdr:ext cx="190500" cy="266700"/>
    <xdr:sp macro="" textlink="">
      <xdr:nvSpPr>
        <xdr:cNvPr id="13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EDECF46-7411-4D16-B7AC-0D71369D06E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1360</xdr:row>
      <xdr:rowOff>0</xdr:rowOff>
    </xdr:from>
    <xdr:ext cx="190500" cy="266700"/>
    <xdr:sp macro="" textlink="">
      <xdr:nvSpPr>
        <xdr:cNvPr id="13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2B3143C-2B77-4F3F-BA15-6E263BAC2429}"/>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1362</xdr:row>
      <xdr:rowOff>0</xdr:rowOff>
    </xdr:from>
    <xdr:ext cx="190500" cy="266700"/>
    <xdr:sp macro="" textlink="">
      <xdr:nvSpPr>
        <xdr:cNvPr id="13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47FA75C-AA71-4B8E-8E33-F44579C3D2F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1362</xdr:row>
      <xdr:rowOff>0</xdr:rowOff>
    </xdr:from>
    <xdr:ext cx="190500" cy="266700"/>
    <xdr:sp macro="" textlink="">
      <xdr:nvSpPr>
        <xdr:cNvPr id="13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4EBB8A5-D10F-46ED-9889-8D18D89B2FF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1364</xdr:row>
      <xdr:rowOff>0</xdr:rowOff>
    </xdr:from>
    <xdr:ext cx="190500" cy="266700"/>
    <xdr:sp macro="" textlink="">
      <xdr:nvSpPr>
        <xdr:cNvPr id="13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EB7DF00-4A8C-4939-94BD-0557495B2DD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1364</xdr:row>
      <xdr:rowOff>0</xdr:rowOff>
    </xdr:from>
    <xdr:ext cx="190500" cy="266700"/>
    <xdr:sp macro="" textlink="">
      <xdr:nvSpPr>
        <xdr:cNvPr id="13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367B86C-4D02-49E4-A85A-B40BB7561D37}"/>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1366</xdr:row>
      <xdr:rowOff>0</xdr:rowOff>
    </xdr:from>
    <xdr:ext cx="190500" cy="266700"/>
    <xdr:sp macro="" textlink="">
      <xdr:nvSpPr>
        <xdr:cNvPr id="13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417CFFB-FDB2-4752-B152-3880CA15188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1366</xdr:row>
      <xdr:rowOff>0</xdr:rowOff>
    </xdr:from>
    <xdr:ext cx="190500" cy="266700"/>
    <xdr:sp macro="" textlink="">
      <xdr:nvSpPr>
        <xdr:cNvPr id="13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92F0B5C-6153-4118-AF24-042145D98CD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1368</xdr:row>
      <xdr:rowOff>0</xdr:rowOff>
    </xdr:from>
    <xdr:ext cx="190500" cy="266700"/>
    <xdr:sp macro="" textlink="">
      <xdr:nvSpPr>
        <xdr:cNvPr id="13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BB0CD18-C6AA-4376-94E4-59BD62CC12B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1368</xdr:row>
      <xdr:rowOff>0</xdr:rowOff>
    </xdr:from>
    <xdr:ext cx="190500" cy="266700"/>
    <xdr:sp macro="" textlink="">
      <xdr:nvSpPr>
        <xdr:cNvPr id="13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0E40D4F-E869-4B22-AA71-CEB84EBD7A78}"/>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1370</xdr:row>
      <xdr:rowOff>0</xdr:rowOff>
    </xdr:from>
    <xdr:ext cx="190500" cy="266700"/>
    <xdr:sp macro="" textlink="">
      <xdr:nvSpPr>
        <xdr:cNvPr id="13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82A48A4-69D4-4695-977D-7BC611F51E9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1370</xdr:row>
      <xdr:rowOff>0</xdr:rowOff>
    </xdr:from>
    <xdr:ext cx="190500" cy="266700"/>
    <xdr:sp macro="" textlink="">
      <xdr:nvSpPr>
        <xdr:cNvPr id="13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3897FF7-65BE-4D6A-822E-079173BD80A9}"/>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1372</xdr:row>
      <xdr:rowOff>0</xdr:rowOff>
    </xdr:from>
    <xdr:ext cx="190500" cy="266700"/>
    <xdr:sp macro="" textlink="">
      <xdr:nvSpPr>
        <xdr:cNvPr id="13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A87B7A6-3CB2-41CE-98ED-88556719A16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1372</xdr:row>
      <xdr:rowOff>0</xdr:rowOff>
    </xdr:from>
    <xdr:ext cx="190500" cy="266700"/>
    <xdr:sp macro="" textlink="">
      <xdr:nvSpPr>
        <xdr:cNvPr id="13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7C249E6-CDDD-4331-A127-8938901D4CD8}"/>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1374</xdr:row>
      <xdr:rowOff>0</xdr:rowOff>
    </xdr:from>
    <xdr:ext cx="190500" cy="266700"/>
    <xdr:sp macro="" textlink="">
      <xdr:nvSpPr>
        <xdr:cNvPr id="13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A92F5DC-412E-4537-85C9-B6E061D9087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1374</xdr:row>
      <xdr:rowOff>0</xdr:rowOff>
    </xdr:from>
    <xdr:ext cx="190500" cy="266700"/>
    <xdr:sp macro="" textlink="">
      <xdr:nvSpPr>
        <xdr:cNvPr id="13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07BFE69-1011-44B3-AB70-F27CE0578B33}"/>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1376</xdr:row>
      <xdr:rowOff>0</xdr:rowOff>
    </xdr:from>
    <xdr:ext cx="190500" cy="266700"/>
    <xdr:sp macro="" textlink="">
      <xdr:nvSpPr>
        <xdr:cNvPr id="13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4BD5D53-EB81-4744-BBDC-604C222C566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1376</xdr:row>
      <xdr:rowOff>0</xdr:rowOff>
    </xdr:from>
    <xdr:ext cx="190500" cy="266700"/>
    <xdr:sp macro="" textlink="">
      <xdr:nvSpPr>
        <xdr:cNvPr id="13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9FB83F-6C5E-4C50-8992-5315A247A06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1378</xdr:row>
      <xdr:rowOff>0</xdr:rowOff>
    </xdr:from>
    <xdr:ext cx="190500" cy="266700"/>
    <xdr:sp macro="" textlink="">
      <xdr:nvSpPr>
        <xdr:cNvPr id="138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F37ADA7-3C9A-40C8-8A36-701B54F5E59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1378</xdr:row>
      <xdr:rowOff>0</xdr:rowOff>
    </xdr:from>
    <xdr:ext cx="190500" cy="266700"/>
    <xdr:sp macro="" textlink="">
      <xdr:nvSpPr>
        <xdr:cNvPr id="138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13A40D7-DA13-4CE8-85E1-24173752CC9A}"/>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1380</xdr:row>
      <xdr:rowOff>0</xdr:rowOff>
    </xdr:from>
    <xdr:ext cx="190500" cy="266700"/>
    <xdr:sp macro="" textlink="">
      <xdr:nvSpPr>
        <xdr:cNvPr id="138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445A215-8A4D-4C28-851B-922FBC6DC91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1380</xdr:row>
      <xdr:rowOff>0</xdr:rowOff>
    </xdr:from>
    <xdr:ext cx="190500" cy="266700"/>
    <xdr:sp macro="" textlink="">
      <xdr:nvSpPr>
        <xdr:cNvPr id="138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B8EEF1B-CF3D-421B-AF2D-2CE298CCC143}"/>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1382</xdr:row>
      <xdr:rowOff>0</xdr:rowOff>
    </xdr:from>
    <xdr:ext cx="190500" cy="266700"/>
    <xdr:sp macro="" textlink="">
      <xdr:nvSpPr>
        <xdr:cNvPr id="138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5C4C15C-45AC-4341-81A5-9FB25EBC408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1382</xdr:row>
      <xdr:rowOff>0</xdr:rowOff>
    </xdr:from>
    <xdr:ext cx="190500" cy="266700"/>
    <xdr:sp macro="" textlink="">
      <xdr:nvSpPr>
        <xdr:cNvPr id="138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207A5EC-EDBD-40EB-A7A9-D2B0B7A29C2C}"/>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1384</xdr:row>
      <xdr:rowOff>0</xdr:rowOff>
    </xdr:from>
    <xdr:ext cx="190500" cy="266700"/>
    <xdr:sp macro="" textlink="">
      <xdr:nvSpPr>
        <xdr:cNvPr id="138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7FB9587-F931-4812-B939-992F5BD4B69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1384</xdr:row>
      <xdr:rowOff>0</xdr:rowOff>
    </xdr:from>
    <xdr:ext cx="190500" cy="266700"/>
    <xdr:sp macro="" textlink="">
      <xdr:nvSpPr>
        <xdr:cNvPr id="138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424337-D6DE-4E16-99D1-0C5CA3316EE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1386</xdr:row>
      <xdr:rowOff>0</xdr:rowOff>
    </xdr:from>
    <xdr:ext cx="190500" cy="266700"/>
    <xdr:sp macro="" textlink="">
      <xdr:nvSpPr>
        <xdr:cNvPr id="138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A78DDC5-FFC8-4441-8FD2-FDD54A8F449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1386</xdr:row>
      <xdr:rowOff>0</xdr:rowOff>
    </xdr:from>
    <xdr:ext cx="190500" cy="266700"/>
    <xdr:sp macro="" textlink="">
      <xdr:nvSpPr>
        <xdr:cNvPr id="138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52539DA-52E7-41F0-B540-52922D28E10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1388</xdr:row>
      <xdr:rowOff>0</xdr:rowOff>
    </xdr:from>
    <xdr:ext cx="190500" cy="266700"/>
    <xdr:sp macro="" textlink="">
      <xdr:nvSpPr>
        <xdr:cNvPr id="139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B11B56B-8744-4BDC-89B1-49B4A976EA2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1388</xdr:row>
      <xdr:rowOff>0</xdr:rowOff>
    </xdr:from>
    <xdr:ext cx="190500" cy="266700"/>
    <xdr:sp macro="" textlink="">
      <xdr:nvSpPr>
        <xdr:cNvPr id="139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01C9E79-CDC2-4FE5-9BB4-94006F9F2A6F}"/>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1390</xdr:row>
      <xdr:rowOff>0</xdr:rowOff>
    </xdr:from>
    <xdr:ext cx="190500" cy="266700"/>
    <xdr:sp macro="" textlink="">
      <xdr:nvSpPr>
        <xdr:cNvPr id="139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1C3A49C-6B4C-431C-BE2A-D30668C633D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1390</xdr:row>
      <xdr:rowOff>0</xdr:rowOff>
    </xdr:from>
    <xdr:ext cx="190500" cy="266700"/>
    <xdr:sp macro="" textlink="">
      <xdr:nvSpPr>
        <xdr:cNvPr id="139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4EA8FBF-CE57-43CC-ABC7-D1400DEF0018}"/>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1392</xdr:row>
      <xdr:rowOff>0</xdr:rowOff>
    </xdr:from>
    <xdr:ext cx="190500" cy="266700"/>
    <xdr:sp macro="" textlink="">
      <xdr:nvSpPr>
        <xdr:cNvPr id="139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1339B42-E7E2-458A-AA7E-34A0BD3B0FE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1392</xdr:row>
      <xdr:rowOff>0</xdr:rowOff>
    </xdr:from>
    <xdr:ext cx="190500" cy="266700"/>
    <xdr:sp macro="" textlink="">
      <xdr:nvSpPr>
        <xdr:cNvPr id="139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94EDD40-8CDD-4405-97AC-BBBACF977BB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1394</xdr:row>
      <xdr:rowOff>0</xdr:rowOff>
    </xdr:from>
    <xdr:ext cx="190500" cy="266700"/>
    <xdr:sp macro="" textlink="">
      <xdr:nvSpPr>
        <xdr:cNvPr id="139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13A2137-8176-4F6D-B6B5-CB885A82778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1394</xdr:row>
      <xdr:rowOff>0</xdr:rowOff>
    </xdr:from>
    <xdr:ext cx="190500" cy="266700"/>
    <xdr:sp macro="" textlink="">
      <xdr:nvSpPr>
        <xdr:cNvPr id="139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62653B5-EEEF-45B3-881B-21F21DC0E39F}"/>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1396</xdr:row>
      <xdr:rowOff>0</xdr:rowOff>
    </xdr:from>
    <xdr:ext cx="190500" cy="266700"/>
    <xdr:sp macro="" textlink="">
      <xdr:nvSpPr>
        <xdr:cNvPr id="139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BF7FDD9-3FFC-4D55-8E9D-51255824050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1396</xdr:row>
      <xdr:rowOff>0</xdr:rowOff>
    </xdr:from>
    <xdr:ext cx="190500" cy="266700"/>
    <xdr:sp macro="" textlink="">
      <xdr:nvSpPr>
        <xdr:cNvPr id="139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41C27DC-9253-4A5E-92DF-46F2A1C8A02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1398</xdr:row>
      <xdr:rowOff>0</xdr:rowOff>
    </xdr:from>
    <xdr:ext cx="190500" cy="266700"/>
    <xdr:sp macro="" textlink="">
      <xdr:nvSpPr>
        <xdr:cNvPr id="140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EDA62C7-9F0A-4D65-9FE0-7B72E50C113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1398</xdr:row>
      <xdr:rowOff>0</xdr:rowOff>
    </xdr:from>
    <xdr:ext cx="190500" cy="266700"/>
    <xdr:sp macro="" textlink="">
      <xdr:nvSpPr>
        <xdr:cNvPr id="140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CDA19A1-C335-4E83-98D7-C8170ECFF340}"/>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1400</xdr:row>
      <xdr:rowOff>0</xdr:rowOff>
    </xdr:from>
    <xdr:ext cx="190500" cy="266700"/>
    <xdr:sp macro="" textlink="">
      <xdr:nvSpPr>
        <xdr:cNvPr id="140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B0934E7-2492-404F-8BD5-1CA99877930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1400</xdr:row>
      <xdr:rowOff>0</xdr:rowOff>
    </xdr:from>
    <xdr:ext cx="190500" cy="266700"/>
    <xdr:sp macro="" textlink="">
      <xdr:nvSpPr>
        <xdr:cNvPr id="140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A48D18B-ADC4-4F58-9EB0-C6953725E6F7}"/>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1402</xdr:row>
      <xdr:rowOff>0</xdr:rowOff>
    </xdr:from>
    <xdr:ext cx="190500" cy="266700"/>
    <xdr:sp macro="" textlink="">
      <xdr:nvSpPr>
        <xdr:cNvPr id="140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072C9D4-ADD7-4D0C-B03D-4368626F3336}"/>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1402</xdr:row>
      <xdr:rowOff>0</xdr:rowOff>
    </xdr:from>
    <xdr:ext cx="190500" cy="266700"/>
    <xdr:sp macro="" textlink="">
      <xdr:nvSpPr>
        <xdr:cNvPr id="140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CE1A97A-7730-4EFE-8723-E30A2671C856}"/>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1404</xdr:row>
      <xdr:rowOff>0</xdr:rowOff>
    </xdr:from>
    <xdr:ext cx="190500" cy="266700"/>
    <xdr:sp macro="" textlink="">
      <xdr:nvSpPr>
        <xdr:cNvPr id="140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D37BF3A-82EB-4399-8F2C-D56D6C0DF26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1404</xdr:row>
      <xdr:rowOff>0</xdr:rowOff>
    </xdr:from>
    <xdr:ext cx="190500" cy="266700"/>
    <xdr:sp macro="" textlink="">
      <xdr:nvSpPr>
        <xdr:cNvPr id="140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98B620D-3EA8-401A-A84A-5A3A661F1151}"/>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1406</xdr:row>
      <xdr:rowOff>0</xdr:rowOff>
    </xdr:from>
    <xdr:ext cx="190500" cy="266700"/>
    <xdr:sp macro="" textlink="">
      <xdr:nvSpPr>
        <xdr:cNvPr id="140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642B429-FCFB-43A8-9A95-B5B7040090F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1406</xdr:row>
      <xdr:rowOff>0</xdr:rowOff>
    </xdr:from>
    <xdr:ext cx="190500" cy="266700"/>
    <xdr:sp macro="" textlink="">
      <xdr:nvSpPr>
        <xdr:cNvPr id="140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BAAEFF-A489-47A1-9897-E5E16919105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1408</xdr:row>
      <xdr:rowOff>0</xdr:rowOff>
    </xdr:from>
    <xdr:ext cx="190500" cy="266700"/>
    <xdr:sp macro="" textlink="">
      <xdr:nvSpPr>
        <xdr:cNvPr id="141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D19E64E-3D26-46F9-B899-E12E657F4D1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1408</xdr:row>
      <xdr:rowOff>0</xdr:rowOff>
    </xdr:from>
    <xdr:ext cx="190500" cy="266700"/>
    <xdr:sp macro="" textlink="">
      <xdr:nvSpPr>
        <xdr:cNvPr id="141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BD7DE77-A2D6-4A3F-A0E1-8EBED6D69A76}"/>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1410</xdr:row>
      <xdr:rowOff>0</xdr:rowOff>
    </xdr:from>
    <xdr:ext cx="190500" cy="266700"/>
    <xdr:sp macro="" textlink="">
      <xdr:nvSpPr>
        <xdr:cNvPr id="141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C6D6C02-132B-4A1D-9AFD-A426015EF25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1410</xdr:row>
      <xdr:rowOff>0</xdr:rowOff>
    </xdr:from>
    <xdr:ext cx="190500" cy="266700"/>
    <xdr:sp macro="" textlink="">
      <xdr:nvSpPr>
        <xdr:cNvPr id="141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096C508-2A58-4F1C-8386-E5BA476A8B03}"/>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1412</xdr:row>
      <xdr:rowOff>0</xdr:rowOff>
    </xdr:from>
    <xdr:ext cx="190500" cy="266700"/>
    <xdr:sp macro="" textlink="">
      <xdr:nvSpPr>
        <xdr:cNvPr id="141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242D15B-E76D-4A9A-BDA7-22D74D3EF1E4}"/>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1412</xdr:row>
      <xdr:rowOff>0</xdr:rowOff>
    </xdr:from>
    <xdr:ext cx="190500" cy="266700"/>
    <xdr:sp macro="" textlink="">
      <xdr:nvSpPr>
        <xdr:cNvPr id="141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2C36B6F-0135-432A-8CFC-7111ADE5EB0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1414</xdr:row>
      <xdr:rowOff>0</xdr:rowOff>
    </xdr:from>
    <xdr:ext cx="190500" cy="266700"/>
    <xdr:sp macro="" textlink="">
      <xdr:nvSpPr>
        <xdr:cNvPr id="141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66A157D-1377-4EE4-AD43-ADEEA00BD50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1414</xdr:row>
      <xdr:rowOff>0</xdr:rowOff>
    </xdr:from>
    <xdr:ext cx="190500" cy="266700"/>
    <xdr:sp macro="" textlink="">
      <xdr:nvSpPr>
        <xdr:cNvPr id="141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66085A9-9AFD-493B-9772-614AAB55C19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1416</xdr:row>
      <xdr:rowOff>0</xdr:rowOff>
    </xdr:from>
    <xdr:ext cx="190500" cy="266700"/>
    <xdr:sp macro="" textlink="">
      <xdr:nvSpPr>
        <xdr:cNvPr id="141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8CAF130-5F21-4315-8602-442DCD1A2A8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1416</xdr:row>
      <xdr:rowOff>0</xdr:rowOff>
    </xdr:from>
    <xdr:ext cx="190500" cy="266700"/>
    <xdr:sp macro="" textlink="">
      <xdr:nvSpPr>
        <xdr:cNvPr id="141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D14B8B5-1F37-4C90-B346-3428118C9BD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1418</xdr:row>
      <xdr:rowOff>0</xdr:rowOff>
    </xdr:from>
    <xdr:ext cx="190500" cy="266700"/>
    <xdr:sp macro="" textlink="">
      <xdr:nvSpPr>
        <xdr:cNvPr id="142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60C74AA-5DF3-4BA7-8F31-B0526AC77C3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1418</xdr:row>
      <xdr:rowOff>0</xdr:rowOff>
    </xdr:from>
    <xdr:ext cx="190500" cy="266700"/>
    <xdr:sp macro="" textlink="">
      <xdr:nvSpPr>
        <xdr:cNvPr id="142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9ABD588-D0C5-4AAA-88DA-AFC9BEAE39FE}"/>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1420</xdr:row>
      <xdr:rowOff>0</xdr:rowOff>
    </xdr:from>
    <xdr:ext cx="190500" cy="266700"/>
    <xdr:sp macro="" textlink="">
      <xdr:nvSpPr>
        <xdr:cNvPr id="142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3F83F07-AA1C-43B5-9E05-B81BC4A1062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1420</xdr:row>
      <xdr:rowOff>0</xdr:rowOff>
    </xdr:from>
    <xdr:ext cx="190500" cy="266700"/>
    <xdr:sp macro="" textlink="">
      <xdr:nvSpPr>
        <xdr:cNvPr id="142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7ABDD2A-60BC-4FD1-9C2D-BC76E7AAE3DB}"/>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1422</xdr:row>
      <xdr:rowOff>0</xdr:rowOff>
    </xdr:from>
    <xdr:ext cx="190500" cy="266700"/>
    <xdr:sp macro="" textlink="">
      <xdr:nvSpPr>
        <xdr:cNvPr id="142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E7D4E71-A190-4E6C-9976-936922A488B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1422</xdr:row>
      <xdr:rowOff>0</xdr:rowOff>
    </xdr:from>
    <xdr:ext cx="190500" cy="266700"/>
    <xdr:sp macro="" textlink="">
      <xdr:nvSpPr>
        <xdr:cNvPr id="142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0C43EC0-DF8C-46E9-91DD-0C18C551023E}"/>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1424</xdr:row>
      <xdr:rowOff>0</xdr:rowOff>
    </xdr:from>
    <xdr:ext cx="190500" cy="266700"/>
    <xdr:sp macro="" textlink="">
      <xdr:nvSpPr>
        <xdr:cNvPr id="142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E35B1F8-177B-4C88-B1BD-7BF16A55722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1424</xdr:row>
      <xdr:rowOff>0</xdr:rowOff>
    </xdr:from>
    <xdr:ext cx="190500" cy="266700"/>
    <xdr:sp macro="" textlink="">
      <xdr:nvSpPr>
        <xdr:cNvPr id="142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EC606F8-4122-477D-A3A4-41E41C56BEB1}"/>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1426</xdr:row>
      <xdr:rowOff>0</xdr:rowOff>
    </xdr:from>
    <xdr:ext cx="190500" cy="266700"/>
    <xdr:sp macro="" textlink="">
      <xdr:nvSpPr>
        <xdr:cNvPr id="142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A061883-6168-426F-B0BA-9F79E05FE38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1426</xdr:row>
      <xdr:rowOff>0</xdr:rowOff>
    </xdr:from>
    <xdr:ext cx="190500" cy="266700"/>
    <xdr:sp macro="" textlink="">
      <xdr:nvSpPr>
        <xdr:cNvPr id="142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198CBAF-F8F9-43E7-8B61-379B1C6206C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1428</xdr:row>
      <xdr:rowOff>0</xdr:rowOff>
    </xdr:from>
    <xdr:ext cx="190500" cy="266700"/>
    <xdr:sp macro="" textlink="">
      <xdr:nvSpPr>
        <xdr:cNvPr id="143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1736DD3-09E8-44CA-87CD-8B7A3CE499B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1428</xdr:row>
      <xdr:rowOff>0</xdr:rowOff>
    </xdr:from>
    <xdr:ext cx="190500" cy="266700"/>
    <xdr:sp macro="" textlink="">
      <xdr:nvSpPr>
        <xdr:cNvPr id="143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3EAA79F-22EB-4728-8CAB-3BF4A87781E7}"/>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1430</xdr:row>
      <xdr:rowOff>0</xdr:rowOff>
    </xdr:from>
    <xdr:ext cx="190500" cy="266700"/>
    <xdr:sp macro="" textlink="">
      <xdr:nvSpPr>
        <xdr:cNvPr id="143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69499569-66C6-4545-B638-8BB9B51E2B7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1430</xdr:row>
      <xdr:rowOff>0</xdr:rowOff>
    </xdr:from>
    <xdr:ext cx="190500" cy="266700"/>
    <xdr:sp macro="" textlink="">
      <xdr:nvSpPr>
        <xdr:cNvPr id="143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39CF6CC-5C53-42A0-9505-D97B7BD1D591}"/>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1432</xdr:row>
      <xdr:rowOff>0</xdr:rowOff>
    </xdr:from>
    <xdr:ext cx="190500" cy="266700"/>
    <xdr:sp macro="" textlink="">
      <xdr:nvSpPr>
        <xdr:cNvPr id="143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79F56B5-85A3-4B90-97D1-2C990433F0F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1432</xdr:row>
      <xdr:rowOff>0</xdr:rowOff>
    </xdr:from>
    <xdr:ext cx="190500" cy="266700"/>
    <xdr:sp macro="" textlink="">
      <xdr:nvSpPr>
        <xdr:cNvPr id="143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FA9E79A-D114-4AA3-9EB4-3207E2D7D5D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1434</xdr:row>
      <xdr:rowOff>0</xdr:rowOff>
    </xdr:from>
    <xdr:ext cx="190500" cy="266700"/>
    <xdr:sp macro="" textlink="">
      <xdr:nvSpPr>
        <xdr:cNvPr id="143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DF7E4D3-B356-4D6B-BB9B-2A9F72DB459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1434</xdr:row>
      <xdr:rowOff>0</xdr:rowOff>
    </xdr:from>
    <xdr:ext cx="190500" cy="266700"/>
    <xdr:sp macro="" textlink="">
      <xdr:nvSpPr>
        <xdr:cNvPr id="143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D510938-170F-4AA9-9272-1AB6ABE79F2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1436</xdr:row>
      <xdr:rowOff>0</xdr:rowOff>
    </xdr:from>
    <xdr:ext cx="190500" cy="266700"/>
    <xdr:sp macro="" textlink="">
      <xdr:nvSpPr>
        <xdr:cNvPr id="143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FE56033-0D3E-4364-94E9-B3C873BFE04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1436</xdr:row>
      <xdr:rowOff>0</xdr:rowOff>
    </xdr:from>
    <xdr:ext cx="190500" cy="266700"/>
    <xdr:sp macro="" textlink="">
      <xdr:nvSpPr>
        <xdr:cNvPr id="143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52E00DC-94B4-41A3-B975-9402B7E30071}"/>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1438</xdr:row>
      <xdr:rowOff>0</xdr:rowOff>
    </xdr:from>
    <xdr:ext cx="190500" cy="266700"/>
    <xdr:sp macro="" textlink="">
      <xdr:nvSpPr>
        <xdr:cNvPr id="144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D958BB-B528-4BFF-9AC3-D7262C235D1E}"/>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1438</xdr:row>
      <xdr:rowOff>0</xdr:rowOff>
    </xdr:from>
    <xdr:ext cx="190500" cy="266700"/>
    <xdr:sp macro="" textlink="">
      <xdr:nvSpPr>
        <xdr:cNvPr id="144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66AD40F-EDEA-486D-B8A7-94C4EE4BEBC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1440</xdr:row>
      <xdr:rowOff>0</xdr:rowOff>
    </xdr:from>
    <xdr:ext cx="190500" cy="266700"/>
    <xdr:sp macro="" textlink="">
      <xdr:nvSpPr>
        <xdr:cNvPr id="144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012B175-1734-4021-9DDC-6DC0D08E93FB}"/>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1440</xdr:row>
      <xdr:rowOff>0</xdr:rowOff>
    </xdr:from>
    <xdr:ext cx="190500" cy="266700"/>
    <xdr:sp macro="" textlink="">
      <xdr:nvSpPr>
        <xdr:cNvPr id="144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640A351-ACF2-4EF5-8D52-CAEA45AD475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1442</xdr:row>
      <xdr:rowOff>0</xdr:rowOff>
    </xdr:from>
    <xdr:ext cx="190500" cy="266700"/>
    <xdr:sp macro="" textlink="">
      <xdr:nvSpPr>
        <xdr:cNvPr id="144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4E3C167-8FCE-4143-B8B9-1068F206C817}"/>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1442</xdr:row>
      <xdr:rowOff>0</xdr:rowOff>
    </xdr:from>
    <xdr:ext cx="190500" cy="266700"/>
    <xdr:sp macro="" textlink="">
      <xdr:nvSpPr>
        <xdr:cNvPr id="144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CB890AD-0BA0-4F78-BEDB-AE2FF4B2A1E2}"/>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1444</xdr:row>
      <xdr:rowOff>0</xdr:rowOff>
    </xdr:from>
    <xdr:ext cx="190500" cy="266700"/>
    <xdr:sp macro="" textlink="">
      <xdr:nvSpPr>
        <xdr:cNvPr id="144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063FE8C-ADF8-4F87-A6D9-62E01EE0C4D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1444</xdr:row>
      <xdr:rowOff>0</xdr:rowOff>
    </xdr:from>
    <xdr:ext cx="190500" cy="266700"/>
    <xdr:sp macro="" textlink="">
      <xdr:nvSpPr>
        <xdr:cNvPr id="144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A2A2671-C790-49AD-BE7F-5FDCA2F3F24B}"/>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1446</xdr:row>
      <xdr:rowOff>0</xdr:rowOff>
    </xdr:from>
    <xdr:ext cx="190500" cy="266700"/>
    <xdr:sp macro="" textlink="">
      <xdr:nvSpPr>
        <xdr:cNvPr id="144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833EE83D-F4FF-472F-8D16-F241005983F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1446</xdr:row>
      <xdr:rowOff>0</xdr:rowOff>
    </xdr:from>
    <xdr:ext cx="190500" cy="266700"/>
    <xdr:sp macro="" textlink="">
      <xdr:nvSpPr>
        <xdr:cNvPr id="144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3216D02-89DE-4728-9FE8-FCE62A8BD7B5}"/>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1448</xdr:row>
      <xdr:rowOff>0</xdr:rowOff>
    </xdr:from>
    <xdr:ext cx="190500" cy="266700"/>
    <xdr:sp macro="" textlink="">
      <xdr:nvSpPr>
        <xdr:cNvPr id="145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1255BCD-212F-4B0C-B229-ABAABD92435D}"/>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1448</xdr:row>
      <xdr:rowOff>0</xdr:rowOff>
    </xdr:from>
    <xdr:ext cx="190500" cy="266700"/>
    <xdr:sp macro="" textlink="">
      <xdr:nvSpPr>
        <xdr:cNvPr id="145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34A7C92-D2CA-4EC0-AE93-37E587264B82}"/>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1450</xdr:row>
      <xdr:rowOff>0</xdr:rowOff>
    </xdr:from>
    <xdr:ext cx="190500" cy="266700"/>
    <xdr:sp macro="" textlink="">
      <xdr:nvSpPr>
        <xdr:cNvPr id="145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2A74F809-7248-4E9C-BF03-845A5A6491BC}"/>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1450</xdr:row>
      <xdr:rowOff>0</xdr:rowOff>
    </xdr:from>
    <xdr:ext cx="190500" cy="266700"/>
    <xdr:sp macro="" textlink="">
      <xdr:nvSpPr>
        <xdr:cNvPr id="145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411D683-68DB-4005-8974-05D4F3987BC2}"/>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1452</xdr:row>
      <xdr:rowOff>0</xdr:rowOff>
    </xdr:from>
    <xdr:ext cx="190500" cy="266700"/>
    <xdr:sp macro="" textlink="">
      <xdr:nvSpPr>
        <xdr:cNvPr id="145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12594923-090C-4E2E-B78F-9C2BC919842F}"/>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1452</xdr:row>
      <xdr:rowOff>0</xdr:rowOff>
    </xdr:from>
    <xdr:ext cx="190500" cy="266700"/>
    <xdr:sp macro="" textlink="">
      <xdr:nvSpPr>
        <xdr:cNvPr id="145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95E7F336-B0C1-4573-B03F-05826347BB6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1454</xdr:row>
      <xdr:rowOff>0</xdr:rowOff>
    </xdr:from>
    <xdr:ext cx="190500" cy="266700"/>
    <xdr:sp macro="" textlink="">
      <xdr:nvSpPr>
        <xdr:cNvPr id="145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D7A2BD2-4F81-41E6-8E12-3A6B40DDA4F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1454</xdr:row>
      <xdr:rowOff>0</xdr:rowOff>
    </xdr:from>
    <xdr:ext cx="190500" cy="266700"/>
    <xdr:sp macro="" textlink="">
      <xdr:nvSpPr>
        <xdr:cNvPr id="145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2F678CE-1944-49BA-AFBD-3186AFC6AA53}"/>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1456</xdr:row>
      <xdr:rowOff>0</xdr:rowOff>
    </xdr:from>
    <xdr:ext cx="190500" cy="266700"/>
    <xdr:sp macro="" textlink="">
      <xdr:nvSpPr>
        <xdr:cNvPr id="145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A6417E2-F08D-47F2-9850-7BB90B460035}"/>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1456</xdr:row>
      <xdr:rowOff>0</xdr:rowOff>
    </xdr:from>
    <xdr:ext cx="190500" cy="266700"/>
    <xdr:sp macro="" textlink="">
      <xdr:nvSpPr>
        <xdr:cNvPr id="145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EA11FE04-0824-4071-9042-C391808C86F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1458</xdr:row>
      <xdr:rowOff>0</xdr:rowOff>
    </xdr:from>
    <xdr:ext cx="190500" cy="266700"/>
    <xdr:sp macro="" textlink="">
      <xdr:nvSpPr>
        <xdr:cNvPr id="146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0343B187-5922-46F9-A4E1-E73FAD4C8512}"/>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1458</xdr:row>
      <xdr:rowOff>0</xdr:rowOff>
    </xdr:from>
    <xdr:ext cx="190500" cy="266700"/>
    <xdr:sp macro="" textlink="">
      <xdr:nvSpPr>
        <xdr:cNvPr id="146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4CE30291-A5F6-47BD-92AC-6132DDA698A9}"/>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1460</xdr:row>
      <xdr:rowOff>0</xdr:rowOff>
    </xdr:from>
    <xdr:ext cx="190500" cy="266700"/>
    <xdr:sp macro="" textlink="">
      <xdr:nvSpPr>
        <xdr:cNvPr id="146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55328B29-1141-46E9-BBF5-A7FEAB01FC0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1460</xdr:row>
      <xdr:rowOff>0</xdr:rowOff>
    </xdr:from>
    <xdr:ext cx="190500" cy="266700"/>
    <xdr:sp macro="" textlink="">
      <xdr:nvSpPr>
        <xdr:cNvPr id="146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F57CCD64-475D-4841-A4CE-B181CF69686D}"/>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1462</xdr:row>
      <xdr:rowOff>0</xdr:rowOff>
    </xdr:from>
    <xdr:ext cx="190500" cy="266700"/>
    <xdr:sp macro="" textlink="">
      <xdr:nvSpPr>
        <xdr:cNvPr id="146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E8985FB-A1F9-4B12-8EF8-89AF57002E1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1462</xdr:row>
      <xdr:rowOff>0</xdr:rowOff>
    </xdr:from>
    <xdr:ext cx="190500" cy="266700"/>
    <xdr:sp macro="" textlink="">
      <xdr:nvSpPr>
        <xdr:cNvPr id="146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BCCFC24-FE44-41D6-BB7A-DB366A0DDC64}"/>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1464</xdr:row>
      <xdr:rowOff>0</xdr:rowOff>
    </xdr:from>
    <xdr:ext cx="190500" cy="266700"/>
    <xdr:sp macro="" textlink="">
      <xdr:nvSpPr>
        <xdr:cNvPr id="146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BC20CCAB-C4BC-4FB1-9BCC-E7AA2E4E9F0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1464</xdr:row>
      <xdr:rowOff>0</xdr:rowOff>
    </xdr:from>
    <xdr:ext cx="190500" cy="266700"/>
    <xdr:sp macro="" textlink="">
      <xdr:nvSpPr>
        <xdr:cNvPr id="146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294B13F-0E4A-475E-BA60-BB8C4096BE1B}"/>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1466</xdr:row>
      <xdr:rowOff>0</xdr:rowOff>
    </xdr:from>
    <xdr:ext cx="190500" cy="266700"/>
    <xdr:sp macro="" textlink="">
      <xdr:nvSpPr>
        <xdr:cNvPr id="146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C961208-CEAD-4DEC-9FAF-7B2E0029ABE9}"/>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1466</xdr:row>
      <xdr:rowOff>0</xdr:rowOff>
    </xdr:from>
    <xdr:ext cx="190500" cy="266700"/>
    <xdr:sp macro="" textlink="">
      <xdr:nvSpPr>
        <xdr:cNvPr id="146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DD84DC11-FF56-4512-A6A0-411C51B0DCAE}"/>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1468</xdr:row>
      <xdr:rowOff>0</xdr:rowOff>
    </xdr:from>
    <xdr:ext cx="190500" cy="266700"/>
    <xdr:sp macro="" textlink="">
      <xdr:nvSpPr>
        <xdr:cNvPr id="1470"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6753C75-9131-4EF3-B3C8-2956CEE9BEE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1468</xdr:row>
      <xdr:rowOff>0</xdr:rowOff>
    </xdr:from>
    <xdr:ext cx="190500" cy="266700"/>
    <xdr:sp macro="" textlink="">
      <xdr:nvSpPr>
        <xdr:cNvPr id="1471"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9FBD48C-852B-46A8-A4C1-C2F87B55D1EF}"/>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1470</xdr:row>
      <xdr:rowOff>0</xdr:rowOff>
    </xdr:from>
    <xdr:ext cx="190500" cy="266700"/>
    <xdr:sp macro="" textlink="">
      <xdr:nvSpPr>
        <xdr:cNvPr id="1472"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38858C2B-2F0A-419A-AFCA-1924E8E44783}"/>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1470</xdr:row>
      <xdr:rowOff>0</xdr:rowOff>
    </xdr:from>
    <xdr:ext cx="190500" cy="266700"/>
    <xdr:sp macro="" textlink="">
      <xdr:nvSpPr>
        <xdr:cNvPr id="1473"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FFEBA34-734D-4348-AF81-0F1F90D90A07}"/>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1472</xdr:row>
      <xdr:rowOff>0</xdr:rowOff>
    </xdr:from>
    <xdr:ext cx="190500" cy="266700"/>
    <xdr:sp macro="" textlink="">
      <xdr:nvSpPr>
        <xdr:cNvPr id="1474"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6521D2C-DE02-4D4F-92BA-9911C73866D1}"/>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1472</xdr:row>
      <xdr:rowOff>0</xdr:rowOff>
    </xdr:from>
    <xdr:ext cx="190500" cy="266700"/>
    <xdr:sp macro="" textlink="">
      <xdr:nvSpPr>
        <xdr:cNvPr id="1475"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09DE35F-8432-4140-9011-D920CFF3E76A}"/>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1474</xdr:row>
      <xdr:rowOff>0</xdr:rowOff>
    </xdr:from>
    <xdr:ext cx="190500" cy="266700"/>
    <xdr:sp macro="" textlink="">
      <xdr:nvSpPr>
        <xdr:cNvPr id="1476"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A1C0AF60-929F-440D-B07C-45779626DE70}"/>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1474</xdr:row>
      <xdr:rowOff>0</xdr:rowOff>
    </xdr:from>
    <xdr:ext cx="190500" cy="266700"/>
    <xdr:sp macro="" textlink="">
      <xdr:nvSpPr>
        <xdr:cNvPr id="1477"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4917378-9E21-4B32-B4A4-3679A4B6B42F}"/>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1476</xdr:row>
      <xdr:rowOff>0</xdr:rowOff>
    </xdr:from>
    <xdr:ext cx="190500" cy="266700"/>
    <xdr:sp macro="" textlink="">
      <xdr:nvSpPr>
        <xdr:cNvPr id="1478"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77B9200B-FC07-4523-9614-563D2A97E5D8}"/>
            </a:ext>
          </a:extLst>
        </xdr:cNvPr>
        <xdr:cNvSpPr>
          <a:spLocks noChangeAspect="1" noChangeArrowheads="1"/>
        </xdr:cNvSpPr>
      </xdr:nvSpPr>
      <xdr:spPr bwMode="auto">
        <a:xfrm>
          <a:off x="7531100" y="213017100"/>
          <a:ext cx="190500" cy="266700"/>
        </a:xfrm>
        <a:prstGeom prst="rect">
          <a:avLst/>
        </a:prstGeom>
        <a:noFill/>
      </xdr:spPr>
    </xdr:sp>
    <xdr:clientData/>
  </xdr:oneCellAnchor>
  <xdr:oneCellAnchor>
    <xdr:from>
      <xdr:col>4</xdr:col>
      <xdr:colOff>1657350</xdr:colOff>
      <xdr:row>1476</xdr:row>
      <xdr:rowOff>0</xdr:rowOff>
    </xdr:from>
    <xdr:ext cx="190500" cy="266700"/>
    <xdr:sp macro="" textlink="">
      <xdr:nvSpPr>
        <xdr:cNvPr id="1479" name="AutoShape 1" descr="data:image/png;base64,iVBORw0KGgoAAAANSUhEUgAAABQAAAAcCAYAAABh2p9gAAAAM0lEQVRIS+3SIRYAABBBQe5/6e2iFb9OmMcax+M9MfgXxRDDQoDbFGhRwRDDQoDbFGhROYlSAB3a1FW9AAAAAElFTkSuQmCC">
          <a:extLst>
            <a:ext uri="{FF2B5EF4-FFF2-40B4-BE49-F238E27FC236}">
              <a16:creationId xmlns:a16="http://schemas.microsoft.com/office/drawing/2014/main" id="{C6277816-7B16-4BEF-8D7A-5A84741AE43C}"/>
            </a:ext>
            <a:ext uri="{147F2762-F138-4A5C-976F-8EAC2B608ADB}">
              <a16:predDERef xmlns:a16="http://schemas.microsoft.com/office/drawing/2014/main" pred="{DDC86400-34F4-435C-9EAF-1A5999EFA2FA}"/>
            </a:ext>
          </a:extLst>
        </xdr:cNvPr>
        <xdr:cNvSpPr>
          <a:spLocks noChangeAspect="1" noChangeArrowheads="1"/>
        </xdr:cNvSpPr>
      </xdr:nvSpPr>
      <xdr:spPr bwMode="auto">
        <a:xfrm>
          <a:off x="7531100" y="213017100"/>
          <a:ext cx="190500" cy="266700"/>
        </a:xfrm>
        <a:prstGeom prst="rect">
          <a:avLst/>
        </a:prstGeom>
        <a:noFill/>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rpa/Desktop/MSP%20TRAINING/POWER%20BI/Adani_Maratha_CU%20Power%20B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rpa/Downloads/MPR-27.02.2025%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adaniltd-my.sharepoint.com/Users/sudpas/Downloads/Schedule%20-%20Maratha%20-%20R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docs.live.net/5F17C22CD9DFA169/Desktop/ZAID%20SIR%2023.08.2024/SEP-2024%20PLAN/REPORT%20READY/Schedule%20-%20Marath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ical Points (2)"/>
      <sheetName val="Packages (2)"/>
      <sheetName val="Plan Data"/>
      <sheetName val="Actual Data"/>
      <sheetName val="P6 Format"/>
      <sheetName val="Summary Qty"/>
      <sheetName val="Excavation Summary"/>
      <sheetName val="RCC Summary"/>
      <sheetName val="Plate Fabrication Summary"/>
      <sheetName val="Structure Fabrication Summary"/>
      <sheetName val="Erection Summary"/>
      <sheetName val="Manpower - Plan Vs Actual"/>
      <sheetName val="Manpower Trend - Plan"/>
      <sheetName val="Manpower Trend - Actual"/>
      <sheetName val="Packages"/>
      <sheetName val="Commissioning 1"/>
      <sheetName val="Commissioning 2"/>
      <sheetName val="Engg Drill page"/>
      <sheetName val="Delivery - Critical"/>
      <sheetName val="SPI"/>
      <sheetName val="Critical Points"/>
      <sheetName val="Land Status"/>
      <sheetName val="E&amp;I Summary"/>
      <sheetName val="Refractory Summary"/>
      <sheetName val="Information Icon"/>
      <sheetName val="Safety Statistics"/>
      <sheetName val="Sorting Critical"/>
      <sheetName val="Sorting Manpower"/>
      <sheetName val="Sheet4"/>
      <sheetName val="Plan Till Date"/>
      <sheetName val="Adani_Maratha_CU Power Bi"/>
    </sheetNames>
    <sheetDataSet>
      <sheetData sheetId="0"/>
      <sheetData sheetId="1"/>
      <sheetData sheetId="2"/>
      <sheetData sheetId="3"/>
      <sheetData sheetId="4"/>
      <sheetData sheetId="5"/>
      <sheetData sheetId="6">
        <row r="43">
          <cell r="H43">
            <v>192446.7</v>
          </cell>
          <cell r="I43">
            <v>93451</v>
          </cell>
          <cell r="J43">
            <v>0</v>
          </cell>
          <cell r="K43">
            <v>1352</v>
          </cell>
          <cell r="M43">
            <v>181806</v>
          </cell>
        </row>
      </sheetData>
      <sheetData sheetId="7">
        <row r="38">
          <cell r="H38">
            <v>94070.32</v>
          </cell>
          <cell r="I38">
            <v>54084.519</v>
          </cell>
          <cell r="J38">
            <v>6980</v>
          </cell>
          <cell r="K38">
            <v>1989.1399999999999</v>
          </cell>
          <cell r="L38">
            <v>50837</v>
          </cell>
          <cell r="M38">
            <v>34288.1</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CC UPDATED SHEET"/>
      <sheetName val="RCC UPDATED SEP(3)"/>
      <sheetName val="Report list"/>
      <sheetName val="Exceptional Report"/>
      <sheetName val="RCC UPDATED SEP(2)"/>
      <sheetName val="Progress Update -Total Scope (M"/>
      <sheetName val="PPT-2"/>
      <sheetName val="ppt-1"/>
      <sheetName val="Sheet1"/>
      <sheetName val="Progress Update –Weekly Progres"/>
      <sheetName val="Sheet4"/>
      <sheetName val="MACHINERY"/>
      <sheetName val="Sheet2"/>
      <sheetName val="S-01"/>
      <sheetName val="3 month plan"/>
      <sheetName val="RCC"/>
      <sheetName val="PLATE FAB"/>
      <sheetName val="STRUCTURE ERECTION"/>
      <sheetName val="P&amp;E"/>
    </sheetNames>
    <sheetDataSet>
      <sheetData sheetId="0"/>
      <sheetData sheetId="1"/>
      <sheetData sheetId="2"/>
      <sheetData sheetId="3"/>
      <sheetData sheetId="4">
        <row r="11">
          <cell r="Q11">
            <v>45899</v>
          </cell>
        </row>
      </sheetData>
      <sheetData sheetId="5">
        <row r="5">
          <cell r="H5">
            <v>91</v>
          </cell>
          <cell r="J5">
            <v>146</v>
          </cell>
          <cell r="N5">
            <v>0</v>
          </cell>
          <cell r="P5">
            <v>0</v>
          </cell>
        </row>
        <row r="7">
          <cell r="J7">
            <v>67540</v>
          </cell>
        </row>
        <row r="9">
          <cell r="J9">
            <v>20905</v>
          </cell>
          <cell r="K9">
            <v>5237</v>
          </cell>
          <cell r="N9"/>
          <cell r="P9">
            <v>0</v>
          </cell>
        </row>
        <row r="10">
          <cell r="J10">
            <v>5074</v>
          </cell>
        </row>
        <row r="12">
          <cell r="J12">
            <v>20905</v>
          </cell>
        </row>
        <row r="13">
          <cell r="J13">
            <v>21505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SP"/>
      <sheetName val="Paste"/>
      <sheetName val="Sheet1"/>
      <sheetName val="BC Foundations"/>
      <sheetName val="Mech"/>
      <sheetName val="L5"/>
      <sheetName val="Exc"/>
      <sheetName val="Civil"/>
      <sheetName val="RCC"/>
      <sheetName val="Plate Fab"/>
      <sheetName val="Str Fab"/>
      <sheetName val="Str Erec"/>
      <sheetName val="P+E Erect"/>
      <sheetName val="Erection"/>
      <sheetName val="Packages"/>
      <sheetName val="Ref and E&amp;I"/>
    </sheetNames>
    <sheetDataSet>
      <sheetData sheetId="0">
        <row r="1081">
          <cell r="C1081">
            <v>45869</v>
          </cell>
          <cell r="D1081">
            <v>45883</v>
          </cell>
        </row>
        <row r="1183">
          <cell r="C1183">
            <v>45868</v>
          </cell>
          <cell r="D1183">
            <v>45877</v>
          </cell>
        </row>
        <row r="1281">
          <cell r="C1281">
            <v>45897</v>
          </cell>
          <cell r="D1281">
            <v>45921</v>
          </cell>
        </row>
        <row r="1459">
          <cell r="C1459">
            <v>45918</v>
          </cell>
          <cell r="D1459">
            <v>45937</v>
          </cell>
        </row>
        <row r="1539">
          <cell r="C1539">
            <v>45898</v>
          </cell>
          <cell r="D1539">
            <v>45927</v>
          </cell>
        </row>
        <row r="1613">
          <cell r="C1613">
            <v>45881</v>
          </cell>
          <cell r="D1613">
            <v>45897</v>
          </cell>
        </row>
        <row r="1902">
          <cell r="C1902">
            <v>45921</v>
          </cell>
          <cell r="D1902">
            <v>45953</v>
          </cell>
        </row>
        <row r="1994">
          <cell r="C1994">
            <v>45919</v>
          </cell>
          <cell r="D1994">
            <v>45948</v>
          </cell>
        </row>
        <row r="2064">
          <cell r="C2064">
            <v>45848</v>
          </cell>
          <cell r="D2064">
            <v>45877</v>
          </cell>
        </row>
        <row r="2148">
          <cell r="C2148">
            <v>45825</v>
          </cell>
          <cell r="D2148">
            <v>45844</v>
          </cell>
        </row>
        <row r="2204">
          <cell r="C2204">
            <v>45863</v>
          </cell>
          <cell r="D2204">
            <v>45867</v>
          </cell>
        </row>
        <row r="2288">
          <cell r="C2288">
            <v>45876</v>
          </cell>
          <cell r="D2288">
            <v>45917</v>
          </cell>
        </row>
        <row r="2319">
          <cell r="C2319">
            <v>45916</v>
          </cell>
          <cell r="D2319">
            <v>45945</v>
          </cell>
        </row>
        <row r="2474">
          <cell r="C2474">
            <v>45929</v>
          </cell>
          <cell r="D2474">
            <v>45938</v>
          </cell>
        </row>
        <row r="2547">
          <cell r="C2547">
            <v>45907</v>
          </cell>
          <cell r="D2547">
            <v>45946</v>
          </cell>
        </row>
        <row r="2679">
          <cell r="C2679">
            <v>45941</v>
          </cell>
          <cell r="D2679">
            <v>45970</v>
          </cell>
        </row>
        <row r="2907">
          <cell r="C2907">
            <v>45933</v>
          </cell>
          <cell r="D2907">
            <v>45962</v>
          </cell>
        </row>
        <row r="2915">
          <cell r="C2915">
            <v>45789</v>
          </cell>
          <cell r="D2915">
            <v>45968</v>
          </cell>
        </row>
        <row r="2953">
          <cell r="C2953">
            <v>45866</v>
          </cell>
          <cell r="D2953">
            <v>45866</v>
          </cell>
        </row>
        <row r="2954">
          <cell r="C2954">
            <v>45867</v>
          </cell>
          <cell r="D2954">
            <v>45867</v>
          </cell>
        </row>
        <row r="2955">
          <cell r="C2955">
            <v>45868</v>
          </cell>
          <cell r="D2955">
            <v>45868</v>
          </cell>
        </row>
        <row r="2956">
          <cell r="C2956">
            <v>45869</v>
          </cell>
          <cell r="D2956">
            <v>45869</v>
          </cell>
        </row>
        <row r="2957">
          <cell r="C2957">
            <v>45870</v>
          </cell>
          <cell r="D2957">
            <v>45870</v>
          </cell>
        </row>
        <row r="2958">
          <cell r="C2958">
            <v>45871</v>
          </cell>
          <cell r="D2958">
            <v>45871</v>
          </cell>
        </row>
        <row r="2959">
          <cell r="C2959">
            <v>45872</v>
          </cell>
          <cell r="D2959">
            <v>45872</v>
          </cell>
        </row>
        <row r="2960">
          <cell r="C2960">
            <v>45873</v>
          </cell>
          <cell r="D2960">
            <v>45873</v>
          </cell>
        </row>
        <row r="2961">
          <cell r="C2961">
            <v>45874</v>
          </cell>
          <cell r="D2961">
            <v>45874</v>
          </cell>
        </row>
        <row r="3000">
          <cell r="C3000">
            <v>45905</v>
          </cell>
          <cell r="D3000">
            <v>45905</v>
          </cell>
        </row>
        <row r="3001">
          <cell r="C3001">
            <v>45906</v>
          </cell>
          <cell r="D3001">
            <v>45906</v>
          </cell>
        </row>
        <row r="3002">
          <cell r="C3002">
            <v>45907</v>
          </cell>
          <cell r="D3002">
            <v>45907</v>
          </cell>
        </row>
        <row r="3003">
          <cell r="C3003">
            <v>45908</v>
          </cell>
          <cell r="D3003">
            <v>45908</v>
          </cell>
        </row>
        <row r="3004">
          <cell r="C3004">
            <v>45909</v>
          </cell>
          <cell r="D3004">
            <v>45909</v>
          </cell>
        </row>
        <row r="3005">
          <cell r="C3005">
            <v>45910</v>
          </cell>
          <cell r="D3005">
            <v>45910</v>
          </cell>
        </row>
        <row r="3006">
          <cell r="C3006">
            <v>45911</v>
          </cell>
          <cell r="D3006">
            <v>45911</v>
          </cell>
        </row>
        <row r="3007">
          <cell r="C3007">
            <v>45912</v>
          </cell>
          <cell r="D3007">
            <v>45912</v>
          </cell>
        </row>
        <row r="3008">
          <cell r="C3008">
            <v>45913</v>
          </cell>
          <cell r="D3008">
            <v>45913</v>
          </cell>
        </row>
        <row r="3047">
          <cell r="C3047">
            <v>45818</v>
          </cell>
          <cell r="D3047">
            <v>45818</v>
          </cell>
        </row>
        <row r="3048">
          <cell r="C3048">
            <v>45819</v>
          </cell>
          <cell r="D3048">
            <v>45819</v>
          </cell>
        </row>
        <row r="3049">
          <cell r="C3049">
            <v>45820</v>
          </cell>
          <cell r="D3049">
            <v>45820</v>
          </cell>
        </row>
        <row r="3050">
          <cell r="C3050">
            <v>45821</v>
          </cell>
          <cell r="D3050">
            <v>45821</v>
          </cell>
        </row>
        <row r="3051">
          <cell r="C3051">
            <v>45822</v>
          </cell>
          <cell r="D3051">
            <v>45822</v>
          </cell>
        </row>
        <row r="3052">
          <cell r="C3052">
            <v>45823</v>
          </cell>
          <cell r="D3052">
            <v>45823</v>
          </cell>
        </row>
        <row r="3053">
          <cell r="C3053">
            <v>45824</v>
          </cell>
          <cell r="D3053">
            <v>45824</v>
          </cell>
        </row>
        <row r="3054">
          <cell r="C3054">
            <v>45825</v>
          </cell>
          <cell r="D3054">
            <v>45825</v>
          </cell>
        </row>
        <row r="3055">
          <cell r="C3055">
            <v>45826</v>
          </cell>
          <cell r="D3055">
            <v>45826</v>
          </cell>
        </row>
        <row r="3076">
          <cell r="C3076">
            <v>45790</v>
          </cell>
          <cell r="D3076">
            <v>45790</v>
          </cell>
        </row>
        <row r="3077">
          <cell r="C3077">
            <v>45791</v>
          </cell>
          <cell r="D3077">
            <v>45791</v>
          </cell>
        </row>
        <row r="3078">
          <cell r="C3078">
            <v>45794</v>
          </cell>
          <cell r="D3078">
            <v>45794</v>
          </cell>
        </row>
        <row r="3079">
          <cell r="C3079">
            <v>45795</v>
          </cell>
          <cell r="D3079">
            <v>45795</v>
          </cell>
        </row>
        <row r="3080">
          <cell r="C3080">
            <v>45796</v>
          </cell>
          <cell r="D3080">
            <v>45796</v>
          </cell>
        </row>
        <row r="3081">
          <cell r="C3081">
            <v>45797</v>
          </cell>
          <cell r="D3081">
            <v>45797</v>
          </cell>
        </row>
        <row r="3082">
          <cell r="C3082">
            <v>45798</v>
          </cell>
          <cell r="D3082">
            <v>45798</v>
          </cell>
        </row>
        <row r="3083">
          <cell r="C3083">
            <v>45799</v>
          </cell>
          <cell r="D3083">
            <v>45799</v>
          </cell>
        </row>
        <row r="3084">
          <cell r="C3084">
            <v>45840</v>
          </cell>
          <cell r="D3084">
            <v>45840</v>
          </cell>
        </row>
        <row r="3123">
          <cell r="C3123">
            <v>45865</v>
          </cell>
          <cell r="D3123">
            <v>45865</v>
          </cell>
        </row>
        <row r="3124">
          <cell r="C3124">
            <v>45866</v>
          </cell>
          <cell r="D3124">
            <v>45866</v>
          </cell>
        </row>
        <row r="3125">
          <cell r="C3125">
            <v>45867</v>
          </cell>
          <cell r="D3125">
            <v>45867</v>
          </cell>
        </row>
        <row r="3126">
          <cell r="C3126">
            <v>45868</v>
          </cell>
          <cell r="D3126">
            <v>45868</v>
          </cell>
        </row>
        <row r="3127">
          <cell r="C3127">
            <v>45869</v>
          </cell>
          <cell r="D3127">
            <v>45869</v>
          </cell>
        </row>
        <row r="3128">
          <cell r="C3128">
            <v>45870</v>
          </cell>
          <cell r="D3128">
            <v>45870</v>
          </cell>
        </row>
        <row r="3129">
          <cell r="C3129">
            <v>45871</v>
          </cell>
          <cell r="D3129">
            <v>45871</v>
          </cell>
        </row>
        <row r="3130">
          <cell r="C3130">
            <v>45872</v>
          </cell>
          <cell r="D3130">
            <v>45872</v>
          </cell>
        </row>
        <row r="3131">
          <cell r="C3131">
            <v>45873</v>
          </cell>
          <cell r="D3131">
            <v>45873</v>
          </cell>
        </row>
        <row r="3170">
          <cell r="C3170">
            <v>45848</v>
          </cell>
          <cell r="D3170">
            <v>45848</v>
          </cell>
        </row>
        <row r="3171">
          <cell r="C3171">
            <v>45849</v>
          </cell>
          <cell r="D3171">
            <v>45849</v>
          </cell>
        </row>
        <row r="3172">
          <cell r="C3172">
            <v>45850</v>
          </cell>
          <cell r="D3172">
            <v>45850</v>
          </cell>
        </row>
        <row r="3173">
          <cell r="C3173">
            <v>45851</v>
          </cell>
          <cell r="D3173">
            <v>45851</v>
          </cell>
        </row>
        <row r="3174">
          <cell r="C3174">
            <v>45852</v>
          </cell>
          <cell r="D3174">
            <v>45852</v>
          </cell>
        </row>
        <row r="3175">
          <cell r="C3175">
            <v>45853</v>
          </cell>
          <cell r="D3175">
            <v>45853</v>
          </cell>
        </row>
        <row r="3176">
          <cell r="C3176">
            <v>45854</v>
          </cell>
          <cell r="D3176">
            <v>45854</v>
          </cell>
        </row>
        <row r="3177">
          <cell r="C3177">
            <v>45855</v>
          </cell>
          <cell r="D3177">
            <v>45855</v>
          </cell>
        </row>
        <row r="3217">
          <cell r="C3217">
            <v>45868</v>
          </cell>
          <cell r="D3217">
            <v>45869</v>
          </cell>
        </row>
        <row r="3218">
          <cell r="C3218">
            <v>45869</v>
          </cell>
          <cell r="D3218">
            <v>45870</v>
          </cell>
        </row>
        <row r="3219">
          <cell r="C3219">
            <v>45870</v>
          </cell>
          <cell r="D3219">
            <v>45871</v>
          </cell>
        </row>
        <row r="3220">
          <cell r="C3220">
            <v>45871</v>
          </cell>
          <cell r="D3220">
            <v>45872</v>
          </cell>
        </row>
        <row r="3221">
          <cell r="C3221">
            <v>45872</v>
          </cell>
          <cell r="D3221">
            <v>45873</v>
          </cell>
        </row>
        <row r="3222">
          <cell r="C3222">
            <v>45873</v>
          </cell>
          <cell r="D3222">
            <v>45874</v>
          </cell>
        </row>
        <row r="3223">
          <cell r="C3223">
            <v>45874</v>
          </cell>
          <cell r="D3223">
            <v>45875</v>
          </cell>
        </row>
        <row r="3224">
          <cell r="C3224">
            <v>45875</v>
          </cell>
          <cell r="D3224">
            <v>45876</v>
          </cell>
        </row>
        <row r="3264">
          <cell r="C3264">
            <v>45861</v>
          </cell>
          <cell r="D3264">
            <v>45861</v>
          </cell>
        </row>
        <row r="3265">
          <cell r="C3265">
            <v>45862</v>
          </cell>
          <cell r="D3265">
            <v>45862</v>
          </cell>
        </row>
        <row r="3266">
          <cell r="C3266">
            <v>45863</v>
          </cell>
          <cell r="D3266">
            <v>45863</v>
          </cell>
        </row>
        <row r="3267">
          <cell r="C3267">
            <v>45864</v>
          </cell>
          <cell r="D3267">
            <v>45864</v>
          </cell>
        </row>
        <row r="3268">
          <cell r="C3268">
            <v>45865</v>
          </cell>
          <cell r="D3268">
            <v>45865</v>
          </cell>
        </row>
        <row r="3269">
          <cell r="C3269">
            <v>45866</v>
          </cell>
          <cell r="D3269">
            <v>45866</v>
          </cell>
        </row>
        <row r="3270">
          <cell r="C3270">
            <v>45867</v>
          </cell>
          <cell r="D3270">
            <v>45867</v>
          </cell>
        </row>
        <row r="3271">
          <cell r="C3271">
            <v>45868</v>
          </cell>
          <cell r="D3271">
            <v>45868</v>
          </cell>
        </row>
        <row r="3272">
          <cell r="C3272">
            <v>45869</v>
          </cell>
          <cell r="D3272">
            <v>45869</v>
          </cell>
        </row>
        <row r="3311">
          <cell r="C3311">
            <v>45868</v>
          </cell>
          <cell r="D3311">
            <v>45869</v>
          </cell>
        </row>
        <row r="3312">
          <cell r="C3312">
            <v>45869</v>
          </cell>
          <cell r="D3312">
            <v>45870</v>
          </cell>
        </row>
        <row r="3313">
          <cell r="C3313">
            <v>45870</v>
          </cell>
          <cell r="D3313">
            <v>45871</v>
          </cell>
        </row>
        <row r="3314">
          <cell r="C3314">
            <v>45871</v>
          </cell>
          <cell r="D3314">
            <v>45872</v>
          </cell>
        </row>
        <row r="3315">
          <cell r="C3315">
            <v>45872</v>
          </cell>
          <cell r="D3315">
            <v>45873</v>
          </cell>
        </row>
        <row r="3316">
          <cell r="C3316">
            <v>45873</v>
          </cell>
          <cell r="D3316">
            <v>45874</v>
          </cell>
        </row>
        <row r="3317">
          <cell r="C3317">
            <v>45874</v>
          </cell>
          <cell r="D3317">
            <v>45875</v>
          </cell>
        </row>
        <row r="3318">
          <cell r="C3318">
            <v>45875</v>
          </cell>
          <cell r="D3318">
            <v>45876</v>
          </cell>
        </row>
        <row r="3319">
          <cell r="C3319">
            <v>45876</v>
          </cell>
          <cell r="D3319">
            <v>45877</v>
          </cell>
        </row>
        <row r="3358">
          <cell r="C3358">
            <v>45889</v>
          </cell>
          <cell r="D3358">
            <v>45889</v>
          </cell>
        </row>
        <row r="3359">
          <cell r="C3359">
            <v>45890</v>
          </cell>
          <cell r="D3359">
            <v>45890</v>
          </cell>
        </row>
        <row r="3360">
          <cell r="C3360">
            <v>45891</v>
          </cell>
          <cell r="D3360">
            <v>45891</v>
          </cell>
        </row>
        <row r="3361">
          <cell r="C3361">
            <v>45892</v>
          </cell>
          <cell r="D3361">
            <v>45892</v>
          </cell>
        </row>
        <row r="3362">
          <cell r="C3362">
            <v>45893</v>
          </cell>
          <cell r="D3362">
            <v>45893</v>
          </cell>
        </row>
        <row r="3363">
          <cell r="C3363">
            <v>45894</v>
          </cell>
          <cell r="D3363">
            <v>45894</v>
          </cell>
        </row>
        <row r="3364">
          <cell r="C3364">
            <v>45895</v>
          </cell>
          <cell r="D3364">
            <v>45895</v>
          </cell>
        </row>
        <row r="3365">
          <cell r="C3365">
            <v>45896</v>
          </cell>
          <cell r="D3365">
            <v>45896</v>
          </cell>
        </row>
        <row r="3366">
          <cell r="C3366">
            <v>45897</v>
          </cell>
          <cell r="D3366">
            <v>45897</v>
          </cell>
        </row>
      </sheetData>
      <sheetData sheetId="1"/>
      <sheetData sheetId="2"/>
      <sheetData sheetId="3"/>
      <sheetData sheetId="4"/>
      <sheetData sheetId="5">
        <row r="72">
          <cell r="E72">
            <v>45399</v>
          </cell>
          <cell r="F72">
            <v>45762</v>
          </cell>
        </row>
        <row r="73">
          <cell r="E73">
            <v>45399</v>
          </cell>
        </row>
        <row r="74">
          <cell r="F74">
            <v>45736</v>
          </cell>
        </row>
        <row r="75">
          <cell r="E75">
            <v>45576</v>
          </cell>
          <cell r="F75">
            <v>45592</v>
          </cell>
        </row>
        <row r="76">
          <cell r="E76">
            <v>45549</v>
          </cell>
          <cell r="F76">
            <v>45691</v>
          </cell>
        </row>
        <row r="77">
          <cell r="E77">
            <v>45658</v>
          </cell>
          <cell r="F77">
            <v>45731</v>
          </cell>
        </row>
        <row r="79">
          <cell r="E79">
            <v>45707</v>
          </cell>
          <cell r="F79">
            <v>45725</v>
          </cell>
        </row>
        <row r="80">
          <cell r="E80">
            <v>45657</v>
          </cell>
          <cell r="F80">
            <v>45711</v>
          </cell>
        </row>
        <row r="81">
          <cell r="E81">
            <v>45502</v>
          </cell>
          <cell r="F81">
            <v>45713</v>
          </cell>
        </row>
        <row r="82">
          <cell r="E82">
            <v>45502</v>
          </cell>
          <cell r="F82">
            <v>45665</v>
          </cell>
        </row>
        <row r="83">
          <cell r="E83">
            <v>45502</v>
          </cell>
          <cell r="F83">
            <v>45641</v>
          </cell>
        </row>
        <row r="84">
          <cell r="E84">
            <v>45502</v>
          </cell>
          <cell r="F84">
            <v>45678</v>
          </cell>
        </row>
        <row r="85">
          <cell r="E85">
            <v>45600</v>
          </cell>
          <cell r="F85">
            <v>45672</v>
          </cell>
        </row>
        <row r="86">
          <cell r="E86">
            <v>45602</v>
          </cell>
          <cell r="F86">
            <v>45684</v>
          </cell>
        </row>
        <row r="87">
          <cell r="E87">
            <v>45601</v>
          </cell>
          <cell r="F87">
            <v>45737</v>
          </cell>
        </row>
        <row r="88">
          <cell r="E88">
            <v>45606</v>
          </cell>
          <cell r="F88">
            <v>45739</v>
          </cell>
        </row>
        <row r="89">
          <cell r="E89">
            <v>45604</v>
          </cell>
          <cell r="F89">
            <v>45646</v>
          </cell>
        </row>
        <row r="90">
          <cell r="E90">
            <v>45739</v>
          </cell>
          <cell r="F90">
            <v>45762</v>
          </cell>
        </row>
        <row r="558">
          <cell r="E558">
            <v>45536</v>
          </cell>
          <cell r="F558">
            <v>45719</v>
          </cell>
        </row>
        <row r="559">
          <cell r="E559">
            <v>45575</v>
          </cell>
          <cell r="F559">
            <v>45709</v>
          </cell>
        </row>
        <row r="560">
          <cell r="E560">
            <v>45633</v>
          </cell>
          <cell r="F560">
            <v>45666</v>
          </cell>
        </row>
        <row r="561">
          <cell r="E561">
            <v>45383</v>
          </cell>
          <cell r="F561">
            <v>45420</v>
          </cell>
        </row>
        <row r="562">
          <cell r="E562">
            <v>45411</v>
          </cell>
          <cell r="F562">
            <v>45699</v>
          </cell>
        </row>
        <row r="563">
          <cell r="E563">
            <v>45362</v>
          </cell>
          <cell r="F563">
            <v>45399</v>
          </cell>
        </row>
        <row r="564">
          <cell r="E564">
            <v>45367</v>
          </cell>
          <cell r="F564">
            <v>45506</v>
          </cell>
        </row>
        <row r="565">
          <cell r="E565">
            <v>45381</v>
          </cell>
          <cell r="F565">
            <v>45421</v>
          </cell>
        </row>
        <row r="566">
          <cell r="E566">
            <v>45422</v>
          </cell>
          <cell r="F566">
            <v>45472</v>
          </cell>
        </row>
        <row r="567">
          <cell r="E567">
            <v>45422</v>
          </cell>
          <cell r="F567">
            <v>45501</v>
          </cell>
        </row>
        <row r="568">
          <cell r="E568">
            <v>45553</v>
          </cell>
          <cell r="F568">
            <v>45708</v>
          </cell>
        </row>
        <row r="569">
          <cell r="E569">
            <v>45678</v>
          </cell>
          <cell r="F569">
            <v>45747</v>
          </cell>
        </row>
        <row r="570">
          <cell r="E570">
            <v>45704</v>
          </cell>
          <cell r="F570">
            <v>45739</v>
          </cell>
        </row>
        <row r="571">
          <cell r="E571">
            <v>45559</v>
          </cell>
          <cell r="F571">
            <v>45742</v>
          </cell>
        </row>
        <row r="572">
          <cell r="E572">
            <v>45659</v>
          </cell>
          <cell r="F572">
            <v>45712</v>
          </cell>
        </row>
        <row r="573">
          <cell r="E573">
            <v>45678</v>
          </cell>
          <cell r="F573">
            <v>45747</v>
          </cell>
        </row>
        <row r="574">
          <cell r="E574">
            <v>45394</v>
          </cell>
          <cell r="F574">
            <v>45382</v>
          </cell>
        </row>
        <row r="575">
          <cell r="E575">
            <v>45649</v>
          </cell>
          <cell r="F575">
            <v>45671</v>
          </cell>
        </row>
        <row r="576">
          <cell r="E576">
            <v>45678</v>
          </cell>
          <cell r="F576">
            <v>45692</v>
          </cell>
        </row>
        <row r="577">
          <cell r="E577">
            <v>45576</v>
          </cell>
          <cell r="F577">
            <v>45585</v>
          </cell>
        </row>
        <row r="578">
          <cell r="E578">
            <v>45572</v>
          </cell>
          <cell r="F578">
            <v>45607</v>
          </cell>
        </row>
        <row r="579">
          <cell r="E579">
            <v>45707</v>
          </cell>
          <cell r="F579">
            <v>45728</v>
          </cell>
        </row>
        <row r="580">
          <cell r="E580">
            <v>45678</v>
          </cell>
          <cell r="F580">
            <v>45687</v>
          </cell>
        </row>
        <row r="581">
          <cell r="E581">
            <v>45706</v>
          </cell>
          <cell r="F581">
            <v>45716</v>
          </cell>
        </row>
        <row r="582">
          <cell r="E582">
            <v>45702</v>
          </cell>
          <cell r="F582">
            <v>45711</v>
          </cell>
        </row>
        <row r="631">
          <cell r="E631">
            <v>45689</v>
          </cell>
          <cell r="F631">
            <v>45841</v>
          </cell>
        </row>
        <row r="632">
          <cell r="E632">
            <v>45593</v>
          </cell>
          <cell r="F632">
            <v>45617</v>
          </cell>
        </row>
        <row r="633">
          <cell r="E633">
            <v>45695</v>
          </cell>
          <cell r="F633">
            <v>45784</v>
          </cell>
        </row>
        <row r="634">
          <cell r="E634">
            <v>45658</v>
          </cell>
          <cell r="F634">
            <v>45817</v>
          </cell>
        </row>
        <row r="635">
          <cell r="E635">
            <v>45696</v>
          </cell>
          <cell r="F635">
            <v>45750</v>
          </cell>
        </row>
        <row r="636">
          <cell r="E636">
            <v>45686</v>
          </cell>
          <cell r="F636">
            <v>45817</v>
          </cell>
        </row>
        <row r="637">
          <cell r="E637">
            <v>45505</v>
          </cell>
          <cell r="F637">
            <v>45859</v>
          </cell>
        </row>
        <row r="638">
          <cell r="E638">
            <v>45638</v>
          </cell>
          <cell r="F638">
            <v>45768</v>
          </cell>
        </row>
        <row r="639">
          <cell r="E639">
            <v>45773</v>
          </cell>
          <cell r="F639">
            <v>45812</v>
          </cell>
        </row>
        <row r="640">
          <cell r="E640">
            <v>45719</v>
          </cell>
          <cell r="F640">
            <v>45809</v>
          </cell>
        </row>
        <row r="641">
          <cell r="E641">
            <v>45738</v>
          </cell>
          <cell r="F641">
            <v>45852</v>
          </cell>
        </row>
        <row r="642">
          <cell r="E642">
            <v>45761</v>
          </cell>
          <cell r="F642">
            <v>45860</v>
          </cell>
        </row>
        <row r="643">
          <cell r="E643">
            <v>45781</v>
          </cell>
          <cell r="F643">
            <v>45855</v>
          </cell>
        </row>
        <row r="644">
          <cell r="E644">
            <v>45748</v>
          </cell>
          <cell r="F644">
            <v>45868</v>
          </cell>
        </row>
        <row r="645">
          <cell r="E645">
            <v>45722</v>
          </cell>
          <cell r="F645">
            <v>45867</v>
          </cell>
        </row>
        <row r="646">
          <cell r="E646">
            <v>45725</v>
          </cell>
          <cell r="F646">
            <v>45850</v>
          </cell>
        </row>
        <row r="647">
          <cell r="E647">
            <v>45678</v>
          </cell>
          <cell r="F647">
            <v>45847</v>
          </cell>
        </row>
        <row r="648">
          <cell r="E648">
            <v>45768</v>
          </cell>
          <cell r="F648">
            <v>45858</v>
          </cell>
        </row>
        <row r="689">
          <cell r="E689">
            <v>45758</v>
          </cell>
          <cell r="F689">
            <v>45969</v>
          </cell>
        </row>
        <row r="690">
          <cell r="E690">
            <v>45925</v>
          </cell>
          <cell r="F690">
            <v>45944</v>
          </cell>
        </row>
        <row r="691">
          <cell r="E691">
            <v>45881</v>
          </cell>
          <cell r="F691">
            <v>45935</v>
          </cell>
        </row>
        <row r="692">
          <cell r="E692">
            <v>45801</v>
          </cell>
          <cell r="F692">
            <v>45976</v>
          </cell>
        </row>
        <row r="711">
          <cell r="E711">
            <v>45758</v>
          </cell>
          <cell r="F711">
            <v>45921</v>
          </cell>
        </row>
        <row r="712">
          <cell r="E712">
            <v>45758</v>
          </cell>
          <cell r="F712">
            <v>45958</v>
          </cell>
        </row>
        <row r="713">
          <cell r="E713">
            <v>45758</v>
          </cell>
          <cell r="F713">
            <v>45884</v>
          </cell>
        </row>
        <row r="714">
          <cell r="E714">
            <v>45730</v>
          </cell>
          <cell r="F714">
            <v>45915</v>
          </cell>
        </row>
        <row r="715">
          <cell r="E715">
            <v>45758</v>
          </cell>
          <cell r="F715">
            <v>45923</v>
          </cell>
        </row>
        <row r="716">
          <cell r="E716">
            <v>45773</v>
          </cell>
          <cell r="F716">
            <v>45915</v>
          </cell>
        </row>
        <row r="717">
          <cell r="E717">
            <v>45773</v>
          </cell>
          <cell r="F717">
            <v>45965</v>
          </cell>
        </row>
        <row r="718">
          <cell r="E718">
            <v>45788</v>
          </cell>
          <cell r="F718">
            <v>45944</v>
          </cell>
        </row>
        <row r="719">
          <cell r="E719">
            <v>45788</v>
          </cell>
          <cell r="F719">
            <v>45922</v>
          </cell>
        </row>
        <row r="720">
          <cell r="E720">
            <v>45803</v>
          </cell>
          <cell r="F720">
            <v>45965</v>
          </cell>
        </row>
        <row r="722">
          <cell r="E722">
            <v>45698</v>
          </cell>
          <cell r="F722">
            <v>45938</v>
          </cell>
        </row>
      </sheetData>
      <sheetData sheetId="6"/>
      <sheetData sheetId="7"/>
      <sheetData sheetId="8"/>
      <sheetData sheetId="9"/>
      <sheetData sheetId="10"/>
      <sheetData sheetId="11"/>
      <sheetData sheetId="12"/>
      <sheetData sheetId="13"/>
      <sheetData sheetId="14"/>
      <sheetData sheetId="1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SP"/>
      <sheetName val="Civil"/>
      <sheetName val="Erection"/>
      <sheetName val="L5"/>
      <sheetName val="Exc"/>
      <sheetName val="RCC"/>
      <sheetName val="Plate Fab"/>
      <sheetName val="Str Fab"/>
      <sheetName val="Str Erec"/>
      <sheetName val="P+E Erect"/>
      <sheetName val="SEP-24 RCC PLAN"/>
    </sheetNames>
    <sheetDataSet>
      <sheetData sheetId="0"/>
      <sheetData sheetId="1"/>
      <sheetData sheetId="2"/>
      <sheetData sheetId="3">
        <row r="532">
          <cell r="E532">
            <v>45442</v>
          </cell>
          <cell r="F532">
            <v>45661</v>
          </cell>
        </row>
        <row r="533">
          <cell r="E533">
            <v>45552</v>
          </cell>
          <cell r="F533">
            <v>45678</v>
          </cell>
        </row>
        <row r="534">
          <cell r="E534">
            <v>45478</v>
          </cell>
          <cell r="F534">
            <v>45737</v>
          </cell>
        </row>
        <row r="535">
          <cell r="E535">
            <v>45444</v>
          </cell>
          <cell r="F535">
            <v>45692</v>
          </cell>
        </row>
        <row r="536">
          <cell r="E536">
            <v>45516</v>
          </cell>
          <cell r="F536">
            <v>45697</v>
          </cell>
        </row>
        <row r="537">
          <cell r="E537">
            <v>45446</v>
          </cell>
          <cell r="F537">
            <v>45684</v>
          </cell>
        </row>
        <row r="538">
          <cell r="E538">
            <v>45474</v>
          </cell>
          <cell r="F538">
            <v>45804</v>
          </cell>
        </row>
        <row r="539">
          <cell r="E539">
            <v>45474</v>
          </cell>
          <cell r="F539">
            <v>45573</v>
          </cell>
        </row>
        <row r="540">
          <cell r="E540">
            <v>45479</v>
          </cell>
          <cell r="F540">
            <v>45722</v>
          </cell>
        </row>
        <row r="541">
          <cell r="E541">
            <v>45507</v>
          </cell>
          <cell r="F541">
            <v>45689</v>
          </cell>
        </row>
        <row r="542">
          <cell r="E542">
            <v>45483</v>
          </cell>
          <cell r="F542">
            <v>45619</v>
          </cell>
        </row>
        <row r="543">
          <cell r="E543">
            <v>45489</v>
          </cell>
          <cell r="F543">
            <v>45643</v>
          </cell>
        </row>
        <row r="544">
          <cell r="E544">
            <v>45514</v>
          </cell>
          <cell r="F544">
            <v>45613</v>
          </cell>
        </row>
        <row r="545">
          <cell r="E545">
            <v>45504</v>
          </cell>
          <cell r="F545">
            <v>45704</v>
          </cell>
        </row>
        <row r="546">
          <cell r="E546">
            <v>45621</v>
          </cell>
          <cell r="F546">
            <v>45785</v>
          </cell>
        </row>
        <row r="547">
          <cell r="E547">
            <v>45502</v>
          </cell>
          <cell r="F547">
            <v>45734</v>
          </cell>
        </row>
        <row r="548">
          <cell r="E548">
            <v>45466</v>
          </cell>
          <cell r="F548">
            <v>45740</v>
          </cell>
        </row>
        <row r="549">
          <cell r="E549">
            <v>45522</v>
          </cell>
          <cell r="F549">
            <v>45677</v>
          </cell>
        </row>
        <row r="550">
          <cell r="E550">
            <v>45558</v>
          </cell>
          <cell r="F550">
            <v>45731</v>
          </cell>
        </row>
        <row r="551">
          <cell r="E551">
            <v>45593</v>
          </cell>
          <cell r="F551">
            <v>45766</v>
          </cell>
        </row>
        <row r="552">
          <cell r="E552">
            <v>45529</v>
          </cell>
          <cell r="F552">
            <v>45726</v>
          </cell>
        </row>
        <row r="553">
          <cell r="E553">
            <v>45605</v>
          </cell>
          <cell r="F553">
            <v>45783</v>
          </cell>
        </row>
        <row r="554">
          <cell r="E554">
            <v>45539</v>
          </cell>
          <cell r="F554">
            <v>45717</v>
          </cell>
        </row>
        <row r="555">
          <cell r="E555">
            <v>45521</v>
          </cell>
          <cell r="F555">
            <v>45699</v>
          </cell>
        </row>
        <row r="556">
          <cell r="E556">
            <v>45531</v>
          </cell>
          <cell r="F556">
            <v>45709</v>
          </cell>
        </row>
        <row r="557">
          <cell r="E557">
            <v>45531</v>
          </cell>
          <cell r="F557">
            <v>45709</v>
          </cell>
        </row>
        <row r="558">
          <cell r="E558">
            <v>45676</v>
          </cell>
          <cell r="F558">
            <v>45766</v>
          </cell>
        </row>
        <row r="559">
          <cell r="E559">
            <v>45578</v>
          </cell>
          <cell r="F559">
            <v>45698</v>
          </cell>
        </row>
        <row r="560">
          <cell r="E560">
            <v>45657</v>
          </cell>
          <cell r="F560">
            <v>45747</v>
          </cell>
        </row>
        <row r="562">
          <cell r="E562">
            <v>45568</v>
          </cell>
          <cell r="F562">
            <v>45667</v>
          </cell>
        </row>
        <row r="563">
          <cell r="E563">
            <v>45638</v>
          </cell>
          <cell r="F563">
            <v>45652</v>
          </cell>
        </row>
        <row r="564">
          <cell r="E564">
            <v>45580</v>
          </cell>
          <cell r="F564">
            <v>45659</v>
          </cell>
        </row>
        <row r="565">
          <cell r="E565">
            <v>45548</v>
          </cell>
          <cell r="F565">
            <v>45668</v>
          </cell>
        </row>
        <row r="566">
          <cell r="E566">
            <v>45548</v>
          </cell>
          <cell r="F566">
            <v>45607</v>
          </cell>
        </row>
        <row r="567">
          <cell r="E567">
            <v>45527</v>
          </cell>
          <cell r="F567">
            <v>45616</v>
          </cell>
        </row>
        <row r="568">
          <cell r="E568">
            <v>45545</v>
          </cell>
          <cell r="F568">
            <v>45665</v>
          </cell>
        </row>
        <row r="569">
          <cell r="E569">
            <v>45527</v>
          </cell>
          <cell r="F569">
            <v>45536</v>
          </cell>
        </row>
        <row r="570">
          <cell r="E570">
            <v>45543</v>
          </cell>
          <cell r="F570">
            <v>45612</v>
          </cell>
        </row>
        <row r="571">
          <cell r="E571">
            <v>45543</v>
          </cell>
          <cell r="F571">
            <v>45607</v>
          </cell>
        </row>
        <row r="572">
          <cell r="E572">
            <v>45571</v>
          </cell>
          <cell r="F572">
            <v>45600</v>
          </cell>
        </row>
        <row r="573">
          <cell r="E573">
            <v>45533</v>
          </cell>
          <cell r="F573">
            <v>45602</v>
          </cell>
        </row>
        <row r="574">
          <cell r="E574">
            <v>45575</v>
          </cell>
          <cell r="F574">
            <v>45619</v>
          </cell>
        </row>
        <row r="575">
          <cell r="E575">
            <v>45686</v>
          </cell>
          <cell r="F575">
            <v>45740</v>
          </cell>
        </row>
        <row r="576">
          <cell r="E576">
            <v>45555</v>
          </cell>
          <cell r="F576">
            <v>45709</v>
          </cell>
        </row>
        <row r="597">
          <cell r="E597">
            <v>45567</v>
          </cell>
          <cell r="F597">
            <v>45736</v>
          </cell>
        </row>
        <row r="598">
          <cell r="E598">
            <v>45658</v>
          </cell>
          <cell r="F598">
            <v>45844</v>
          </cell>
        </row>
        <row r="599">
          <cell r="E599">
            <v>45625</v>
          </cell>
          <cell r="F599">
            <v>45801</v>
          </cell>
        </row>
        <row r="600">
          <cell r="E600">
            <v>45567</v>
          </cell>
          <cell r="F600">
            <v>45756</v>
          </cell>
        </row>
        <row r="601">
          <cell r="E601">
            <v>45610</v>
          </cell>
          <cell r="F601">
            <v>45717</v>
          </cell>
        </row>
        <row r="602">
          <cell r="E602">
            <v>45655</v>
          </cell>
          <cell r="F602">
            <v>45719</v>
          </cell>
        </row>
        <row r="603">
          <cell r="E603">
            <v>45573</v>
          </cell>
          <cell r="F603">
            <v>45836</v>
          </cell>
        </row>
        <row r="604">
          <cell r="E604">
            <v>45562</v>
          </cell>
          <cell r="F604">
            <v>45706</v>
          </cell>
        </row>
        <row r="605">
          <cell r="E605">
            <v>45582</v>
          </cell>
          <cell r="F605">
            <v>45683</v>
          </cell>
        </row>
        <row r="606">
          <cell r="E606">
            <v>45569</v>
          </cell>
          <cell r="F606">
            <v>45719</v>
          </cell>
        </row>
        <row r="607">
          <cell r="E607">
            <v>45557</v>
          </cell>
          <cell r="F607">
            <v>45691</v>
          </cell>
        </row>
        <row r="608">
          <cell r="E608">
            <v>45572</v>
          </cell>
          <cell r="F608">
            <v>45678</v>
          </cell>
        </row>
        <row r="609">
          <cell r="E609">
            <v>45733</v>
          </cell>
          <cell r="F609">
            <v>45802</v>
          </cell>
        </row>
        <row r="610">
          <cell r="E610">
            <v>45640</v>
          </cell>
          <cell r="F610">
            <v>45815</v>
          </cell>
        </row>
        <row r="611">
          <cell r="E611">
            <v>45723</v>
          </cell>
          <cell r="F611">
            <v>45812</v>
          </cell>
        </row>
        <row r="612">
          <cell r="E612">
            <v>45645</v>
          </cell>
          <cell r="F612">
            <v>45748</v>
          </cell>
        </row>
        <row r="613">
          <cell r="E613">
            <v>45596</v>
          </cell>
          <cell r="F613">
            <v>45825</v>
          </cell>
        </row>
        <row r="614">
          <cell r="E614">
            <v>45747</v>
          </cell>
          <cell r="F614">
            <v>45836</v>
          </cell>
        </row>
        <row r="616">
          <cell r="E616">
            <v>45560</v>
          </cell>
          <cell r="F616">
            <v>45776</v>
          </cell>
        </row>
        <row r="617">
          <cell r="E617">
            <v>45634</v>
          </cell>
          <cell r="F617">
            <v>45844</v>
          </cell>
        </row>
        <row r="618">
          <cell r="E618">
            <v>45625</v>
          </cell>
          <cell r="F618">
            <v>45804</v>
          </cell>
        </row>
        <row r="619">
          <cell r="E619">
            <v>45572</v>
          </cell>
          <cell r="F619">
            <v>45821</v>
          </cell>
        </row>
        <row r="620">
          <cell r="E620">
            <v>45654</v>
          </cell>
          <cell r="F620">
            <v>45886</v>
          </cell>
        </row>
        <row r="621">
          <cell r="E621">
            <v>45614</v>
          </cell>
          <cell r="F621">
            <v>45759</v>
          </cell>
        </row>
        <row r="622">
          <cell r="E622">
            <v>45570</v>
          </cell>
          <cell r="F622">
            <v>45836</v>
          </cell>
        </row>
        <row r="623">
          <cell r="E623">
            <v>45534</v>
          </cell>
          <cell r="F623">
            <v>45755</v>
          </cell>
        </row>
        <row r="624">
          <cell r="E624">
            <v>45648</v>
          </cell>
          <cell r="F624">
            <v>45794</v>
          </cell>
        </row>
        <row r="625">
          <cell r="E625">
            <v>45599</v>
          </cell>
          <cell r="F625">
            <v>45812</v>
          </cell>
        </row>
        <row r="626">
          <cell r="E626">
            <v>45631</v>
          </cell>
          <cell r="F626">
            <v>45756</v>
          </cell>
        </row>
        <row r="627">
          <cell r="E627">
            <v>45616</v>
          </cell>
          <cell r="F627">
            <v>45729</v>
          </cell>
        </row>
        <row r="628">
          <cell r="E628">
            <v>45654</v>
          </cell>
          <cell r="F628">
            <v>45822</v>
          </cell>
        </row>
        <row r="629">
          <cell r="E629">
            <v>45667</v>
          </cell>
          <cell r="F629">
            <v>45873</v>
          </cell>
        </row>
        <row r="630">
          <cell r="E630">
            <v>45756</v>
          </cell>
          <cell r="F630">
            <v>45847</v>
          </cell>
        </row>
        <row r="631">
          <cell r="E631">
            <v>45667</v>
          </cell>
          <cell r="F631">
            <v>45888</v>
          </cell>
        </row>
        <row r="632">
          <cell r="E632">
            <v>45516</v>
          </cell>
          <cell r="F632">
            <v>45852</v>
          </cell>
        </row>
        <row r="633">
          <cell r="E633">
            <v>45766</v>
          </cell>
          <cell r="F633">
            <v>45825</v>
          </cell>
        </row>
        <row r="634">
          <cell r="E634">
            <v>45698</v>
          </cell>
          <cell r="F634">
            <v>45787</v>
          </cell>
        </row>
      </sheetData>
      <sheetData sheetId="4"/>
      <sheetData sheetId="5"/>
      <sheetData sheetId="6"/>
      <sheetData sheetId="7"/>
      <sheetData sheetId="8"/>
      <sheetData sheetId="9"/>
      <sheetData sheetId="10"/>
    </sheetDataSet>
  </externalBook>
</externalLink>
</file>

<file path=xl/namedSheetViews/namedSheetView1.xml><?xml version="1.0" encoding="utf-8"?>
<namedSheetViews xmlns="http://schemas.microsoft.com/office/spreadsheetml/2019/namedsheetviews" xmlns:x="http://schemas.openxmlformats.org/spreadsheetml/2006/main">
  <namedSheetView name="View1" id="{2FA4A6EA-9734-49CC-88D2-B673D5FD64E2}"/>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933E41-4A56-4774-92CA-F0FC3489E0E5}" name="Table5" displayName="Table5" ref="A1:J12" totalsRowShown="0" headerRowDxfId="65" dataDxfId="63" headerRowBorderDxfId="64" tableBorderDxfId="62" totalsRowBorderDxfId="61">
  <autoFilter ref="A1:J12" xr:uid="{C69567CB-A1D2-4EFE-BA93-D1E900629141}"/>
  <tableColumns count="10">
    <tableColumn id="1" xr3:uid="{00694DEB-6EEA-4B8E-A806-4D7BCDE8B9EB}" name="S No" dataDxfId="60"/>
    <tableColumn id="2" xr3:uid="{375C3487-EDD2-472D-A44F-3AD66847E724}" name="Particulars" dataDxfId="59"/>
    <tableColumn id="3" xr3:uid="{EBA28F23-1EBE-4927-9C1D-CF5303048EE2}" name="UOM" dataDxfId="58"/>
    <tableColumn id="4" xr3:uid="{19B6BCFC-163E-48BB-862E-A8706219D0C6}" name="Scope" dataDxfId="57"/>
    <tableColumn id="5" xr3:uid="{C2515417-F5E8-4235-8C82-DE0A00C0049B}" name="Drawing Released" dataDxfId="56"/>
    <tableColumn id="6" xr3:uid="{F918B146-7BD1-4062-8BF7-E5092B76D097}" name="Current Month Plan" dataDxfId="55"/>
    <tableColumn id="7" xr3:uid="{53A4E70B-D199-4D08-BDB6-88D0B55C21D1}" name="Current Month Actual" dataDxfId="54"/>
    <tableColumn id="8" xr3:uid="{6436CA6E-EC28-44D0-97C7-8F995E510D0E}" name="Cumulative Planned" dataDxfId="53"/>
    <tableColumn id="9" xr3:uid="{533D8D4B-22CA-4D86-9D30-031CBFCB05A1}" name="Cumulative completed" dataDxfId="52"/>
    <tableColumn id="10" xr3:uid="{535DE4A9-5BD4-4E21-8DE9-1CEFD870FDEC}" name="Balance" dataDxfId="51">
      <calculatedColumnFormula>Table5[[#This Row],[Scope]]-Table5[[#This Row],[Cumulative completed]]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55A98A-61B4-4F63-B863-F10B6F40670A}" name="Table11" displayName="Table11" ref="A1:I15" totalsRowShown="0" headerRowDxfId="28" dataDxfId="26" headerRowBorderDxfId="27" tableBorderDxfId="25">
  <autoFilter ref="A1:I15" xr:uid="{C60BA0AB-C953-438B-BB19-AA52EADB477F}"/>
  <tableColumns count="9">
    <tableColumn id="1" xr3:uid="{90DFFA9C-F034-46F0-B2B9-35F2E81C9C9F}" name="Sr No" dataDxfId="24"/>
    <tableColumn id="7" xr3:uid="{06E264FF-FC51-4D89-9CF6-79DA06A5D022}" name="Category" dataDxfId="23"/>
    <tableColumn id="2" xr3:uid="{CBEDD4A3-F8BF-464C-814D-7421BBF76910}" name="Activity Name" dataDxfId="22"/>
    <tableColumn id="3" xr3:uid="{077C92DA-0571-42B6-BD98-38B7DB3BC3C7}" name="Authority" dataDxfId="21"/>
    <tableColumn id="4" xr3:uid="{422C6132-8057-4377-9ADB-CA6558A2681B}" name="Responsibility" dataDxfId="20"/>
    <tableColumn id="5" xr3:uid="{1ED69B7B-EF79-40D0-A4B2-CFE9A7ECE578}" name="Plan Date" dataDxfId="19"/>
    <tableColumn id="6" xr3:uid="{876261B8-C7BF-4DFA-9A8C-E8CD26076C67}" name="Expected/ Actual Date" dataDxfId="18"/>
    <tableColumn id="10" xr3:uid="{0912067B-0F8D-4EEE-85FD-73A8ADBD06E8}" name="Remarks" dataDxfId="17"/>
    <tableColumn id="11" xr3:uid="{A0C1D057-DEF6-4006-B14D-DA699EB4321E}" name="Statu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E38112-83F6-4170-A855-1AA299839C68}" name="Table10" displayName="Table10" ref="A1:B23" totalsRowShown="0" headerRowDxfId="15" dataDxfId="13" headerRowBorderDxfId="14">
  <autoFilter ref="A1:B23" xr:uid="{4CCF03E3-007B-4C89-B24D-3B1B392560B1}"/>
  <tableColumns count="2">
    <tableColumn id="1" xr3:uid="{E82DAFC6-B7F3-4AF1-964B-CB9364225029}" name="Date" dataDxfId="12"/>
    <tableColumn id="3" xr3:uid="{F4B52B36-17F0-4DCF-8CE1-FEDED1D835E1}" name="SPI"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2.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4.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5.bin"/></Relationships>
</file>

<file path=xl/worksheets/_rels/sheet3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6.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39"/>
  <sheetViews>
    <sheetView tabSelected="1" topLeftCell="O1" zoomScale="59" zoomScaleNormal="59" workbookViewId="0">
      <pane ySplit="1" topLeftCell="A47" activePane="bottomLeft" state="frozen"/>
      <selection activeCell="L1" sqref="L1"/>
      <selection pane="bottomLeft" activeCell="W108" sqref="W108"/>
    </sheetView>
  </sheetViews>
  <sheetFormatPr defaultRowHeight="14.5"/>
  <cols>
    <col min="2" max="2" width="26.26953125" customWidth="1"/>
    <col min="3" max="3" width="11.54296875" customWidth="1"/>
    <col min="4" max="4" width="13.54296875" customWidth="1"/>
    <col min="5" max="5" width="11.81640625" customWidth="1"/>
    <col min="6" max="6" width="13.54296875" customWidth="1"/>
    <col min="7" max="7" width="11.54296875" hidden="1" customWidth="1"/>
    <col min="8" max="8" width="11.453125" hidden="1" customWidth="1"/>
    <col min="9" max="9" width="43.7265625" customWidth="1"/>
    <col min="10" max="10" width="15.81640625" customWidth="1"/>
    <col min="11" max="20" width="10.7265625" customWidth="1"/>
    <col min="21" max="21" width="10.7265625" style="332" customWidth="1"/>
    <col min="22" max="25" width="10.7265625" style="564" customWidth="1"/>
    <col min="26" max="26" width="10.7265625" style="132" customWidth="1"/>
    <col min="27" max="32" width="10.7265625" customWidth="1"/>
    <col min="33" max="33" width="11.81640625" style="559" customWidth="1"/>
    <col min="34" max="34" width="14.7265625" customWidth="1"/>
    <col min="35" max="35" width="21.81640625" customWidth="1"/>
    <col min="36" max="36" width="22.54296875" customWidth="1"/>
    <col min="37" max="37" width="18.81640625" customWidth="1"/>
    <col min="38" max="38" width="13.26953125" customWidth="1"/>
    <col min="40" max="40" width="63" customWidth="1"/>
    <col min="41" max="41" width="14.1796875" customWidth="1"/>
    <col min="42" max="42" width="26.26953125" customWidth="1"/>
    <col min="44" max="44" width="40.26953125" customWidth="1"/>
  </cols>
  <sheetData>
    <row r="1" spans="1:37" ht="16" thickBot="1">
      <c r="A1" s="72" t="s">
        <v>0</v>
      </c>
      <c r="B1" s="168" t="s">
        <v>1</v>
      </c>
      <c r="C1" s="168" t="s">
        <v>69</v>
      </c>
      <c r="D1" s="168" t="s">
        <v>67</v>
      </c>
      <c r="E1" s="168" t="s">
        <v>70</v>
      </c>
      <c r="F1" s="168" t="s">
        <v>68</v>
      </c>
      <c r="G1" s="168" t="s">
        <v>71</v>
      </c>
      <c r="H1" s="168" t="s">
        <v>72</v>
      </c>
      <c r="I1" s="630"/>
      <c r="J1" s="85">
        <v>45292</v>
      </c>
      <c r="K1" s="86">
        <v>45323</v>
      </c>
      <c r="L1" s="86">
        <v>45352</v>
      </c>
      <c r="M1" s="86">
        <v>45383</v>
      </c>
      <c r="N1" s="86">
        <v>45413</v>
      </c>
      <c r="O1" s="86">
        <v>45444</v>
      </c>
      <c r="P1" s="86">
        <v>45474</v>
      </c>
      <c r="Q1" s="86">
        <v>45505</v>
      </c>
      <c r="R1" s="86">
        <v>45536</v>
      </c>
      <c r="S1" s="86">
        <v>45566</v>
      </c>
      <c r="T1" s="86">
        <v>45597</v>
      </c>
      <c r="U1" s="86">
        <v>45627</v>
      </c>
      <c r="V1" s="681">
        <v>45658</v>
      </c>
      <c r="W1" s="684">
        <v>45689</v>
      </c>
      <c r="X1" s="684">
        <v>45717</v>
      </c>
      <c r="Y1" s="684">
        <v>45748</v>
      </c>
      <c r="Z1" s="87">
        <v>45778</v>
      </c>
      <c r="AA1" s="86">
        <v>45809</v>
      </c>
      <c r="AB1" s="86">
        <v>45839</v>
      </c>
      <c r="AC1" s="86">
        <v>45870</v>
      </c>
      <c r="AD1" s="88">
        <v>45901</v>
      </c>
      <c r="AE1" s="88">
        <v>45931</v>
      </c>
      <c r="AF1" s="88">
        <v>45962</v>
      </c>
      <c r="AG1" s="88">
        <v>45992</v>
      </c>
      <c r="AH1" s="88">
        <v>46023</v>
      </c>
      <c r="AI1" s="88">
        <v>46054</v>
      </c>
      <c r="AJ1" s="88">
        <v>46082</v>
      </c>
      <c r="AK1" s="88">
        <v>46113</v>
      </c>
    </row>
    <row r="2" spans="1:37" ht="15" thickTop="1">
      <c r="A2" s="167" t="s">
        <v>2</v>
      </c>
      <c r="B2" s="169" t="s">
        <v>3</v>
      </c>
      <c r="C2" s="170">
        <f>D2</f>
        <v>9.9900000000000006E-3</v>
      </c>
      <c r="D2" s="170">
        <f>SUM(J2:AD2)</f>
        <v>9.9900000000000006E-3</v>
      </c>
      <c r="E2" s="170">
        <f>F2</f>
        <v>9.9900000000000006E-3</v>
      </c>
      <c r="F2" s="170">
        <v>9.9900000000000006E-3</v>
      </c>
      <c r="G2" s="170">
        <f>C2-E2</f>
        <v>0</v>
      </c>
      <c r="H2" s="170">
        <f>C2-E2</f>
        <v>0</v>
      </c>
      <c r="I2" s="631" t="s">
        <v>3</v>
      </c>
      <c r="J2" s="258"/>
      <c r="K2" s="259"/>
      <c r="L2" s="90">
        <v>3.5699999999999998E-3</v>
      </c>
      <c r="M2" s="90"/>
      <c r="N2" s="90"/>
      <c r="O2" s="90"/>
      <c r="P2" s="90">
        <v>2.14E-3</v>
      </c>
      <c r="Q2" s="90">
        <v>1.4300000000000001E-3</v>
      </c>
      <c r="R2" s="90">
        <v>7.1000000000000002E-4</v>
      </c>
      <c r="S2" s="90"/>
      <c r="T2" s="90"/>
      <c r="U2" s="91"/>
      <c r="V2" s="91"/>
      <c r="W2" s="685"/>
      <c r="X2" s="685"/>
      <c r="Y2" s="685"/>
      <c r="Z2" s="692">
        <v>7.1000000000000002E-4</v>
      </c>
      <c r="AA2" s="90"/>
      <c r="AB2" s="90"/>
      <c r="AC2" s="91">
        <v>1.4300000000000001E-3</v>
      </c>
      <c r="AD2" s="92"/>
      <c r="AE2" s="92"/>
      <c r="AF2" s="93"/>
      <c r="AG2" s="560">
        <f>F2-SUM(J2:AF2)</f>
        <v>0</v>
      </c>
      <c r="AH2" s="21"/>
      <c r="AI2" s="21"/>
      <c r="AJ2" s="21"/>
    </row>
    <row r="3" spans="1:37" ht="15" thickBot="1">
      <c r="A3" s="167" t="s">
        <v>2</v>
      </c>
      <c r="B3" s="171" t="s">
        <v>4</v>
      </c>
      <c r="C3" s="172">
        <f>D3</f>
        <v>0.01</v>
      </c>
      <c r="D3" s="172">
        <f t="shared" ref="D3:D38" si="0">SUM(J3:AD3)</f>
        <v>0.01</v>
      </c>
      <c r="E3" s="172">
        <f>F3</f>
        <v>0.01</v>
      </c>
      <c r="F3" s="172">
        <v>0.01</v>
      </c>
      <c r="G3" s="172">
        <f>C3-E3</f>
        <v>0</v>
      </c>
      <c r="H3" s="172">
        <f>C3-E3</f>
        <v>0</v>
      </c>
      <c r="I3" s="632" t="s">
        <v>4</v>
      </c>
      <c r="J3" s="260"/>
      <c r="K3" s="261"/>
      <c r="L3" s="173">
        <v>6.0000000000000001E-3</v>
      </c>
      <c r="M3" s="173">
        <v>2E-3</v>
      </c>
      <c r="N3" s="173">
        <v>2E-3</v>
      </c>
      <c r="O3" s="173"/>
      <c r="P3" s="173"/>
      <c r="Q3" s="173"/>
      <c r="R3" s="173"/>
      <c r="S3" s="173"/>
      <c r="T3" s="173"/>
      <c r="U3" s="174"/>
      <c r="V3" s="174"/>
      <c r="W3" s="175"/>
      <c r="X3" s="175"/>
      <c r="Y3" s="175"/>
      <c r="Z3" s="693"/>
      <c r="AA3" s="173"/>
      <c r="AB3" s="173"/>
      <c r="AC3" s="174"/>
      <c r="AD3" s="175"/>
      <c r="AE3" s="175"/>
      <c r="AF3" s="176"/>
      <c r="AG3" s="560">
        <f>F3-SUM(J3:AF3)</f>
        <v>0</v>
      </c>
      <c r="AH3" s="21"/>
      <c r="AI3" s="21"/>
      <c r="AJ3" s="21"/>
    </row>
    <row r="4" spans="1:37">
      <c r="A4" s="177" t="s">
        <v>2</v>
      </c>
      <c r="B4" s="178" t="s">
        <v>5</v>
      </c>
      <c r="C4" s="1125">
        <f>SUM(D4:D7)</f>
        <v>9.9990000000000009E-2</v>
      </c>
      <c r="D4" s="179">
        <f t="shared" si="0"/>
        <v>0.03</v>
      </c>
      <c r="E4" s="1125">
        <f>SUM(F4:F7)</f>
        <v>9.9990000000000009E-2</v>
      </c>
      <c r="F4" s="180">
        <v>0.03</v>
      </c>
      <c r="G4" s="1125">
        <f>C4-E4</f>
        <v>0</v>
      </c>
      <c r="H4" s="180">
        <f>D4-F4</f>
        <v>0</v>
      </c>
      <c r="I4" s="633" t="s">
        <v>6</v>
      </c>
      <c r="J4" s="262">
        <f>('MASTER SHEET -MARATHA SITE'!$F$4/'MARATHA QTY DISTRIBUATION'!$AC$95*'MARATHA QTY DISTRIBUATION'!F94)</f>
        <v>0</v>
      </c>
      <c r="K4" s="263">
        <f>('MASTER SHEET -MARATHA SITE'!$F$4/'MARATHA QTY DISTRIBUATION'!$AC$95*'MARATHA QTY DISTRIBUATION'!G94)</f>
        <v>0</v>
      </c>
      <c r="L4" s="263">
        <f>('MASTER SHEET -MARATHA SITE'!$F$4/'MARATHA QTY DISTRIBUATION'!$AC$95*'MARATHA QTY DISTRIBUATION'!H94)</f>
        <v>0</v>
      </c>
      <c r="M4" s="263">
        <f>('MASTER SHEET -MARATHA SITE'!$F$4/'MARATHA QTY DISTRIBUATION'!$AC$95*'MARATHA QTY DISTRIBUATION'!I94)</f>
        <v>0</v>
      </c>
      <c r="N4" s="263">
        <f>('MASTER SHEET -MARATHA SITE'!$F$4/'MARATHA QTY DISTRIBUATION'!$AC$95*'MARATHA QTY DISTRIBUATION'!J94)</f>
        <v>0</v>
      </c>
      <c r="O4" s="263">
        <f>('MASTER SHEET -MARATHA SITE'!$F$4/'MARATHA QTY DISTRIBUATION'!$AC$95*'MARATHA QTY DISTRIBUATION'!K94)</f>
        <v>0</v>
      </c>
      <c r="P4" s="263">
        <f>('MASTER SHEET -MARATHA SITE'!$F$4/'MARATHA QTY DISTRIBUATION'!$AC$95*'MARATHA QTY DISTRIBUATION'!L94)</f>
        <v>5.0000000000000001E-3</v>
      </c>
      <c r="Q4" s="263">
        <f>('MASTER SHEET -MARATHA SITE'!$F$4/'MARATHA QTY DISTRIBUATION'!$AC$95*'MARATHA QTY DISTRIBUATION'!M94)</f>
        <v>5.0000000000000001E-3</v>
      </c>
      <c r="R4" s="263">
        <f>('MASTER SHEET -MARATHA SITE'!$F$4/'MARATHA QTY DISTRIBUATION'!$AC$95*'MARATHA QTY DISTRIBUATION'!N94)</f>
        <v>5.0000000000000001E-3</v>
      </c>
      <c r="S4" s="263">
        <f>('MASTER SHEET -MARATHA SITE'!$F$4/'MARATHA QTY DISTRIBUATION'!$AC$95*'MARATHA QTY DISTRIBUATION'!O94)</f>
        <v>5.0000000000000001E-3</v>
      </c>
      <c r="T4" s="263">
        <f>('MASTER SHEET -MARATHA SITE'!$F$4/'MARATHA QTY DISTRIBUATION'!$AC$95*'MARATHA QTY DISTRIBUATION'!P94)</f>
        <v>0</v>
      </c>
      <c r="U4" s="263">
        <f>('MASTER SHEET -MARATHA SITE'!$F$4/'MARATHA QTY DISTRIBUATION'!$AC$95*'MARATHA QTY DISTRIBUATION'!Q94)</f>
        <v>0.01</v>
      </c>
      <c r="V4" s="263">
        <f>('MASTER SHEET -MARATHA SITE'!$F$4/'MARATHA QTY DISTRIBUATION'!$AC$95*'MARATHA QTY DISTRIBUATION'!R94)</f>
        <v>0</v>
      </c>
      <c r="W4" s="263">
        <f>('MASTER SHEET -MARATHA SITE'!$F$4/'MARATHA QTY DISTRIBUATION'!$AC$95*'MARATHA QTY DISTRIBUATION'!S94)</f>
        <v>0</v>
      </c>
      <c r="X4" s="263">
        <f>('MASTER SHEET -MARATHA SITE'!$F$4/'MARATHA QTY DISTRIBUATION'!$AC$95*'MARATHA QTY DISTRIBUATION'!T94)</f>
        <v>0</v>
      </c>
      <c r="Y4" s="263">
        <f>('MASTER SHEET -MARATHA SITE'!$F$4/'MARATHA QTY DISTRIBUATION'!$AC$95*'MARATHA QTY DISTRIBUATION'!U94)</f>
        <v>0</v>
      </c>
      <c r="Z4" s="694">
        <f>('MASTER SHEET -MARATHA SITE'!$F$4/'MARATHA QTY DISTRIBUATION'!$AC$95*'MARATHA QTY DISTRIBUATION'!V94)</f>
        <v>0</v>
      </c>
      <c r="AA4" s="263">
        <f>('MASTER SHEET -MARATHA SITE'!$F$4/'MARATHA QTY DISTRIBUATION'!$AC$95*'MARATHA QTY DISTRIBUATION'!W94)</f>
        <v>0</v>
      </c>
      <c r="AB4" s="263">
        <f>('MASTER SHEET -MARATHA SITE'!$F$4/'MARATHA QTY DISTRIBUATION'!$AC$95*'MARATHA QTY DISTRIBUATION'!X94)</f>
        <v>0</v>
      </c>
      <c r="AC4" s="263">
        <f>('MASTER SHEET -MARATHA SITE'!$F$4/'MARATHA QTY DISTRIBUATION'!$AC$95*'MARATHA QTY DISTRIBUATION'!Y94)</f>
        <v>0</v>
      </c>
      <c r="AD4" s="263">
        <f>('MASTER SHEET -MARATHA SITE'!$F$4/'MARATHA QTY DISTRIBUATION'!$AC$95*'MARATHA QTY DISTRIBUATION'!Z94)</f>
        <v>0</v>
      </c>
      <c r="AE4" s="263">
        <f>('MASTER SHEET -MARATHA SITE'!$F$4/'MARATHA QTY DISTRIBUATION'!$AC$95*'MARATHA QTY DISTRIBUATION'!AA94)</f>
        <v>0</v>
      </c>
      <c r="AF4" s="264">
        <f>('MASTER SHEET -MARATHA SITE'!$F$4/'MARATHA QTY DISTRIBUATION'!$AC$95*'MARATHA QTY DISTRIBUATION'!AB94)</f>
        <v>0</v>
      </c>
      <c r="AG4" s="560">
        <f>F4-SUM(J4:AF4)</f>
        <v>0</v>
      </c>
    </row>
    <row r="5" spans="1:37">
      <c r="A5" s="177" t="s">
        <v>2</v>
      </c>
      <c r="B5" s="181" t="s">
        <v>5</v>
      </c>
      <c r="C5" s="1126"/>
      <c r="D5" s="115">
        <f t="shared" si="0"/>
        <v>4.9990000000000014E-2</v>
      </c>
      <c r="E5" s="1126"/>
      <c r="F5" s="117">
        <v>4.9990000000000014E-2</v>
      </c>
      <c r="G5" s="1138"/>
      <c r="H5" s="117">
        <f>D5-F5</f>
        <v>0</v>
      </c>
      <c r="I5" s="634" t="s">
        <v>7</v>
      </c>
      <c r="J5" s="255">
        <f>('MASTER SHEET -MARATHA SITE'!$F$5/'MARATHA QTY DISTRIBUATION'!$AC$100*'MARATHA QTY DISTRIBUATION'!F99)</f>
        <v>0</v>
      </c>
      <c r="K5" s="256">
        <f>('MASTER SHEET -MARATHA SITE'!$F$5/'MARATHA QTY DISTRIBUATION'!$AC$100*'MARATHA QTY DISTRIBUATION'!G99)</f>
        <v>0</v>
      </c>
      <c r="L5" s="256">
        <f>('MASTER SHEET -MARATHA SITE'!$F$5/'MARATHA QTY DISTRIBUATION'!$AC$100*'MARATHA QTY DISTRIBUATION'!H99)</f>
        <v>9.4575675675675694E-3</v>
      </c>
      <c r="M5" s="256">
        <f>('MASTER SHEET -MARATHA SITE'!$F$5/'MARATHA QTY DISTRIBUATION'!$AC$100*'MARATHA QTY DISTRIBUATION'!I99)</f>
        <v>6.0798648648648663E-3</v>
      </c>
      <c r="N5" s="256">
        <f>('MASTER SHEET -MARATHA SITE'!$F$5/'MARATHA QTY DISTRIBUATION'!$AC$100*'MARATHA QTY DISTRIBUATION'!J99)</f>
        <v>1.0808648648648651E-2</v>
      </c>
      <c r="O5" s="256">
        <f>('MASTER SHEET -MARATHA SITE'!$F$5/'MARATHA QTY DISTRIBUATION'!$AC$100*'MARATHA QTY DISTRIBUATION'!K99)</f>
        <v>8.7820270270270295E-3</v>
      </c>
      <c r="P5" s="256">
        <f>('MASTER SHEET -MARATHA SITE'!$F$5/'MARATHA QTY DISTRIBUATION'!$AC$100*'MARATHA QTY DISTRIBUATION'!L99)</f>
        <v>6.7554054054054071E-3</v>
      </c>
      <c r="Q5" s="256">
        <f>('MASTER SHEET -MARATHA SITE'!$F$5/'MARATHA QTY DISTRIBUATION'!$AC$100*'MARATHA QTY DISTRIBUATION'!M99)</f>
        <v>5.4043243243243255E-3</v>
      </c>
      <c r="R5" s="256">
        <f>('MASTER SHEET -MARATHA SITE'!$F$5/'MARATHA QTY DISTRIBUATION'!$AC$100*'MARATHA QTY DISTRIBUATION'!N99)</f>
        <v>0</v>
      </c>
      <c r="S5" s="256">
        <f>('MASTER SHEET -MARATHA SITE'!$F$5/'MARATHA QTY DISTRIBUATION'!$AC$100*'MARATHA QTY DISTRIBUATION'!O99)</f>
        <v>6.7554054054054069E-4</v>
      </c>
      <c r="T5" s="256">
        <f>('MASTER SHEET -MARATHA SITE'!$F$5/'MARATHA QTY DISTRIBUATION'!$AC$100*'MARATHA QTY DISTRIBUATION'!P99)</f>
        <v>1.3510810810810814E-3</v>
      </c>
      <c r="U5" s="256">
        <f>('MASTER SHEET -MARATHA SITE'!$F$5/'MARATHA QTY DISTRIBUATION'!$AC$100*'MARATHA QTY DISTRIBUATION'!Q99)</f>
        <v>6.7554054054054069E-4</v>
      </c>
      <c r="V5" s="256">
        <f>('MASTER SHEET -MARATHA SITE'!$F$5/'MARATHA QTY DISTRIBUATION'!$AC$100*'MARATHA QTY DISTRIBUATION'!R99)</f>
        <v>0</v>
      </c>
      <c r="W5" s="256">
        <f>('MASTER SHEET -MARATHA SITE'!$F$5/'MARATHA QTY DISTRIBUATION'!$AC$100*'MARATHA QTY DISTRIBUATION'!S99)</f>
        <v>0</v>
      </c>
      <c r="X5" s="256">
        <f>('MASTER SHEET -MARATHA SITE'!$F$5/'MARATHA QTY DISTRIBUATION'!$AC$100*'MARATHA QTY DISTRIBUATION'!T99)</f>
        <v>0</v>
      </c>
      <c r="Y5" s="256">
        <f>('MASTER SHEET -MARATHA SITE'!$F$5/'MARATHA QTY DISTRIBUATION'!$AC$100*'MARATHA QTY DISTRIBUATION'!U99)</f>
        <v>0</v>
      </c>
      <c r="Z5" s="655">
        <f>('MASTER SHEET -MARATHA SITE'!$F$5/'MARATHA QTY DISTRIBUATION'!$AC$100*'MARATHA QTY DISTRIBUATION'!V99)</f>
        <v>0</v>
      </c>
      <c r="AA5" s="256">
        <f>('MASTER SHEET -MARATHA SITE'!$F$5/'MARATHA QTY DISTRIBUATION'!$AC$100*'MARATHA QTY DISTRIBUATION'!W99)</f>
        <v>0</v>
      </c>
      <c r="AB5" s="256">
        <f>('MASTER SHEET -MARATHA SITE'!$F$5/'MARATHA QTY DISTRIBUATION'!$AC$100*'MARATHA QTY DISTRIBUATION'!X99)</f>
        <v>0</v>
      </c>
      <c r="AC5" s="256">
        <f>('MASTER SHEET -MARATHA SITE'!$F$5/'MARATHA QTY DISTRIBUATION'!$AC$100*'MARATHA QTY DISTRIBUATION'!Y99)</f>
        <v>0</v>
      </c>
      <c r="AD5" s="256">
        <f>('MASTER SHEET -MARATHA SITE'!$F$5/'MARATHA QTY DISTRIBUATION'!$AC$100*'MARATHA QTY DISTRIBUATION'!Z99)</f>
        <v>0</v>
      </c>
      <c r="AE5" s="256">
        <f>('MASTER SHEET -MARATHA SITE'!$F$5/'MARATHA QTY DISTRIBUATION'!$AC$100*'MARATHA QTY DISTRIBUATION'!AA99)</f>
        <v>0</v>
      </c>
      <c r="AF5" s="257">
        <f>('MASTER SHEET -MARATHA SITE'!$F$5/'MARATHA QTY DISTRIBUATION'!$AC$100*'MARATHA QTY DISTRIBUATION'!AB99)</f>
        <v>0</v>
      </c>
      <c r="AG5" s="560">
        <f t="shared" ref="AG5:AG68" si="1">F5-SUM(J5:AF5)</f>
        <v>0</v>
      </c>
    </row>
    <row r="6" spans="1:37">
      <c r="A6" s="177" t="s">
        <v>2</v>
      </c>
      <c r="B6" s="181" t="s">
        <v>5</v>
      </c>
      <c r="C6" s="1126"/>
      <c r="D6" s="115">
        <f t="shared" si="0"/>
        <v>1.4999999999999998E-2</v>
      </c>
      <c r="E6" s="1126"/>
      <c r="F6" s="117">
        <v>1.4999999999999999E-2</v>
      </c>
      <c r="G6" s="1138"/>
      <c r="H6" s="117">
        <f>D6-F6</f>
        <v>0</v>
      </c>
      <c r="I6" s="634" t="s">
        <v>8</v>
      </c>
      <c r="J6" s="255">
        <f>('MASTER SHEET -MARATHA SITE'!$F$6/'MARATHA QTY DISTRIBUATION'!$AC$105*'MARATHA QTY DISTRIBUATION'!F104)</f>
        <v>0</v>
      </c>
      <c r="K6" s="256">
        <f>('MASTER SHEET -MARATHA SITE'!$F$6/'MARATHA QTY DISTRIBUATION'!$AC$105*'MARATHA QTY DISTRIBUATION'!G104)</f>
        <v>0</v>
      </c>
      <c r="L6" s="256">
        <f>('MASTER SHEET -MARATHA SITE'!$F$6/'MARATHA QTY DISTRIBUATION'!$AC$105*'MARATHA QTY DISTRIBUATION'!H104)</f>
        <v>5.3571428571428574E-4</v>
      </c>
      <c r="M6" s="256">
        <f>('MASTER SHEET -MARATHA SITE'!$F$6/'MARATHA QTY DISTRIBUATION'!$AC$105*'MARATHA QTY DISTRIBUATION'!I104)</f>
        <v>1.0714285714285715E-3</v>
      </c>
      <c r="N6" s="256">
        <f>('MASTER SHEET -MARATHA SITE'!$F$6/'MARATHA QTY DISTRIBUATION'!$AC$105*'MARATHA QTY DISTRIBUATION'!J104)</f>
        <v>2.142857142857143E-3</v>
      </c>
      <c r="O6" s="256">
        <f>('MASTER SHEET -MARATHA SITE'!$F$6/'MARATHA QTY DISTRIBUATION'!$AC$105*'MARATHA QTY DISTRIBUATION'!K104)</f>
        <v>3.2142857142857147E-3</v>
      </c>
      <c r="P6" s="256">
        <f>('MASTER SHEET -MARATHA SITE'!$F$6/'MARATHA QTY DISTRIBUATION'!$AC$105*'MARATHA QTY DISTRIBUATION'!L104)</f>
        <v>2.142857142857143E-3</v>
      </c>
      <c r="Q6" s="256">
        <f>('MASTER SHEET -MARATHA SITE'!$F$6/'MARATHA QTY DISTRIBUATION'!$AC$105*'MARATHA QTY DISTRIBUATION'!M104)</f>
        <v>2.6785714285714286E-3</v>
      </c>
      <c r="R6" s="256">
        <f>('MASTER SHEET -MARATHA SITE'!$F$6/'MARATHA QTY DISTRIBUATION'!$AC$105*'MARATHA QTY DISTRIBUATION'!N104)</f>
        <v>2.142857142857143E-3</v>
      </c>
      <c r="S6" s="256">
        <f>('MASTER SHEET -MARATHA SITE'!$F$6/'MARATHA QTY DISTRIBUATION'!$AC$105*'MARATHA QTY DISTRIBUATION'!O104)</f>
        <v>5.3571428571428574E-4</v>
      </c>
      <c r="T6" s="256">
        <f>('MASTER SHEET -MARATHA SITE'!$F$6/'MARATHA QTY DISTRIBUATION'!$AC$105*'MARATHA QTY DISTRIBUATION'!P104)</f>
        <v>5.3571428571428574E-4</v>
      </c>
      <c r="U6" s="256">
        <f>('MASTER SHEET -MARATHA SITE'!$F$6/'MARATHA QTY DISTRIBUATION'!$AC$105*'MARATHA QTY DISTRIBUATION'!Q104)</f>
        <v>0</v>
      </c>
      <c r="V6" s="256">
        <f>('MASTER SHEET -MARATHA SITE'!$F$6/'MARATHA QTY DISTRIBUATION'!$AC$105*'MARATHA QTY DISTRIBUATION'!R104)</f>
        <v>0</v>
      </c>
      <c r="W6" s="256">
        <f>('MASTER SHEET -MARATHA SITE'!$F$6/'MARATHA QTY DISTRIBUATION'!$AC$105*'MARATHA QTY DISTRIBUATION'!S104)</f>
        <v>0</v>
      </c>
      <c r="X6" s="256">
        <f>('MASTER SHEET -MARATHA SITE'!$F$6/'MARATHA QTY DISTRIBUATION'!$AC$105*'MARATHA QTY DISTRIBUATION'!T104)</f>
        <v>0</v>
      </c>
      <c r="Y6" s="256">
        <f>('MASTER SHEET -MARATHA SITE'!$F$6/'MARATHA QTY DISTRIBUATION'!$AC$105*'MARATHA QTY DISTRIBUATION'!U104)</f>
        <v>0</v>
      </c>
      <c r="Z6" s="655">
        <f>('MASTER SHEET -MARATHA SITE'!$F$6/'MARATHA QTY DISTRIBUATION'!$AC$105*'MARATHA QTY DISTRIBUATION'!V104)</f>
        <v>0</v>
      </c>
      <c r="AA6" s="256">
        <f>('MASTER SHEET -MARATHA SITE'!$F$6/'MARATHA QTY DISTRIBUATION'!$AC$105*'MARATHA QTY DISTRIBUATION'!W104)</f>
        <v>0</v>
      </c>
      <c r="AB6" s="256">
        <f>('MASTER SHEET -MARATHA SITE'!$F$6/'MARATHA QTY DISTRIBUATION'!$AC$105*'MARATHA QTY DISTRIBUATION'!X104)</f>
        <v>0</v>
      </c>
      <c r="AC6" s="256">
        <f>('MASTER SHEET -MARATHA SITE'!$F$6/'MARATHA QTY DISTRIBUATION'!$AC$105*'MARATHA QTY DISTRIBUATION'!Y104)</f>
        <v>0</v>
      </c>
      <c r="AD6" s="256">
        <f>('MASTER SHEET -MARATHA SITE'!$F$6/'MARATHA QTY DISTRIBUATION'!$AC$105*'MARATHA QTY DISTRIBUATION'!Z104)</f>
        <v>0</v>
      </c>
      <c r="AE6" s="256">
        <f>('MASTER SHEET -MARATHA SITE'!$F$6/'MARATHA QTY DISTRIBUATION'!$AC$105*'MARATHA QTY DISTRIBUATION'!AA104)</f>
        <v>0</v>
      </c>
      <c r="AF6" s="257">
        <f>('MASTER SHEET -MARATHA SITE'!$F$6/'MARATHA QTY DISTRIBUATION'!$AC$105*'MARATHA QTY DISTRIBUATION'!AB104)</f>
        <v>0</v>
      </c>
      <c r="AG6" s="560">
        <f t="shared" si="1"/>
        <v>0</v>
      </c>
    </row>
    <row r="7" spans="1:37" ht="15" thickBot="1">
      <c r="A7" s="177" t="s">
        <v>2</v>
      </c>
      <c r="B7" s="182" t="s">
        <v>5</v>
      </c>
      <c r="C7" s="1127"/>
      <c r="D7" s="183">
        <f t="shared" si="0"/>
        <v>5.0000000000000001E-3</v>
      </c>
      <c r="E7" s="1127"/>
      <c r="F7" s="184">
        <v>5.0000000000000001E-3</v>
      </c>
      <c r="G7" s="1139"/>
      <c r="H7" s="184">
        <f>D7-F7</f>
        <v>0</v>
      </c>
      <c r="I7" s="635" t="s">
        <v>9</v>
      </c>
      <c r="J7" s="265">
        <f>('MASTER SHEET -MARATHA SITE'!$F$7/'MARATHA QTY DISTRIBUATION'!$AC$110*'MARATHA QTY DISTRIBUATION'!F109)</f>
        <v>0</v>
      </c>
      <c r="K7" s="266">
        <f>('MASTER SHEET -MARATHA SITE'!$F$7/'MARATHA QTY DISTRIBUATION'!$AC$110*'MARATHA QTY DISTRIBUATION'!G109)</f>
        <v>0</v>
      </c>
      <c r="L7" s="266">
        <f>('MASTER SHEET -MARATHA SITE'!$F$7/'MARATHA QTY DISTRIBUATION'!$AC$110*'MARATHA QTY DISTRIBUATION'!H109)</f>
        <v>0</v>
      </c>
      <c r="M7" s="266">
        <f>('MASTER SHEET -MARATHA SITE'!$F$7/'MARATHA QTY DISTRIBUATION'!$AC$110*'MARATHA QTY DISTRIBUATION'!I109)</f>
        <v>0</v>
      </c>
      <c r="N7" s="266">
        <f>('MASTER SHEET -MARATHA SITE'!$F$7/'MARATHA QTY DISTRIBUATION'!$AC$110*'MARATHA QTY DISTRIBUATION'!J109)</f>
        <v>0</v>
      </c>
      <c r="O7" s="266">
        <f>('MASTER SHEET -MARATHA SITE'!$F$7/'MARATHA QTY DISTRIBUATION'!$AC$110*'MARATHA QTY DISTRIBUATION'!K109)</f>
        <v>0</v>
      </c>
      <c r="P7" s="266">
        <f>('MASTER SHEET -MARATHA SITE'!$F$7/'MARATHA QTY DISTRIBUATION'!$AC$110*'MARATHA QTY DISTRIBUATION'!L109)</f>
        <v>0</v>
      </c>
      <c r="Q7" s="266">
        <f>('MASTER SHEET -MARATHA SITE'!$F$7/'MARATHA QTY DISTRIBUATION'!$AC$110*'MARATHA QTY DISTRIBUATION'!M109)</f>
        <v>0</v>
      </c>
      <c r="R7" s="266">
        <f>('MASTER SHEET -MARATHA SITE'!$F$7/'MARATHA QTY DISTRIBUATION'!$AC$110*'MARATHA QTY DISTRIBUATION'!N109)</f>
        <v>3.5000000000000001E-3</v>
      </c>
      <c r="S7" s="266">
        <f>('MASTER SHEET -MARATHA SITE'!$F$7/'MARATHA QTY DISTRIBUATION'!$AC$110*'MARATHA QTY DISTRIBUATION'!O109)</f>
        <v>1.5E-3</v>
      </c>
      <c r="T7" s="266">
        <f>('MASTER SHEET -MARATHA SITE'!$F$7/'MARATHA QTY DISTRIBUATION'!$AC$110*'MARATHA QTY DISTRIBUATION'!P109)</f>
        <v>0</v>
      </c>
      <c r="U7" s="266">
        <f>('MASTER SHEET -MARATHA SITE'!$F$7/'MARATHA QTY DISTRIBUATION'!$AC$110*'MARATHA QTY DISTRIBUATION'!Q109)</f>
        <v>0</v>
      </c>
      <c r="V7" s="266">
        <f>('MASTER SHEET -MARATHA SITE'!$F$7/'MARATHA QTY DISTRIBUATION'!$AC$110*'MARATHA QTY DISTRIBUATION'!R109)</f>
        <v>0</v>
      </c>
      <c r="W7" s="266">
        <f>('MASTER SHEET -MARATHA SITE'!$F$7/'MARATHA QTY DISTRIBUATION'!$AC$110*'MARATHA QTY DISTRIBUATION'!S109)</f>
        <v>0</v>
      </c>
      <c r="X7" s="266">
        <f>('MASTER SHEET -MARATHA SITE'!$F$7/'MARATHA QTY DISTRIBUATION'!$AC$110*'MARATHA QTY DISTRIBUATION'!T109)</f>
        <v>0</v>
      </c>
      <c r="Y7" s="266">
        <f>('MASTER SHEET -MARATHA SITE'!$F$7/'MARATHA QTY DISTRIBUATION'!$AC$110*'MARATHA QTY DISTRIBUATION'!U109)</f>
        <v>0</v>
      </c>
      <c r="Z7" s="695">
        <f>('MASTER SHEET -MARATHA SITE'!$F$7/'MARATHA QTY DISTRIBUATION'!$AC$110*'MARATHA QTY DISTRIBUATION'!V109)</f>
        <v>0</v>
      </c>
      <c r="AA7" s="266">
        <f>('MASTER SHEET -MARATHA SITE'!$F$7/'MARATHA QTY DISTRIBUATION'!$AC$110*'MARATHA QTY DISTRIBUATION'!W109)</f>
        <v>0</v>
      </c>
      <c r="AB7" s="266">
        <f>('MASTER SHEET -MARATHA SITE'!$F$7/'MARATHA QTY DISTRIBUATION'!$AC$110*'MARATHA QTY DISTRIBUATION'!X109)</f>
        <v>0</v>
      </c>
      <c r="AC7" s="266">
        <f>('MASTER SHEET -MARATHA SITE'!$F$7/'MARATHA QTY DISTRIBUATION'!$AC$110*'MARATHA QTY DISTRIBUATION'!Y109)</f>
        <v>0</v>
      </c>
      <c r="AD7" s="266">
        <f>('MASTER SHEET -MARATHA SITE'!$F$7/'MARATHA QTY DISTRIBUATION'!$AC$110*'MARATHA QTY DISTRIBUATION'!Z109)</f>
        <v>0</v>
      </c>
      <c r="AE7" s="266">
        <f>('MASTER SHEET -MARATHA SITE'!$F$7/'MARATHA QTY DISTRIBUATION'!$AC$110*'MARATHA QTY DISTRIBUATION'!AA109)</f>
        <v>0</v>
      </c>
      <c r="AF7" s="267">
        <f>('MASTER SHEET -MARATHA SITE'!$F$7/'MARATHA QTY DISTRIBUATION'!$AC$110*'MARATHA QTY DISTRIBUATION'!AB109)</f>
        <v>0</v>
      </c>
      <c r="AG7" s="560">
        <f t="shared" si="1"/>
        <v>0</v>
      </c>
    </row>
    <row r="8" spans="1:37">
      <c r="A8" s="185" t="s">
        <v>2</v>
      </c>
      <c r="B8" s="186" t="s">
        <v>10</v>
      </c>
      <c r="C8" s="1128">
        <f>SUM(D8:D13)</f>
        <v>0.15003</v>
      </c>
      <c r="D8" s="179">
        <f t="shared" si="0"/>
        <v>3.5000000000000003E-2</v>
      </c>
      <c r="E8" s="1128">
        <f>SUM(F8:F13)</f>
        <v>0.15003</v>
      </c>
      <c r="F8" s="187">
        <v>3.5000000000000003E-2</v>
      </c>
      <c r="G8" s="1128">
        <f>C8-E8</f>
        <v>0</v>
      </c>
      <c r="H8" s="188">
        <f>D8-F8</f>
        <v>0</v>
      </c>
      <c r="I8" s="636" t="s">
        <v>11</v>
      </c>
      <c r="J8" s="203">
        <f>('MASTER SHEET -MARATHA SITE'!$F$8/'MARATHA QTY DISTRIBUATION'!$AC$3*'MARATHA QTY DISTRIBUATION'!F2)</f>
        <v>0</v>
      </c>
      <c r="K8" s="268">
        <f>('MASTER SHEET -MARATHA SITE'!$F$8/'MARATHA QTY DISTRIBUATION'!$AC$3*'MARATHA QTY DISTRIBUATION'!G2)</f>
        <v>7.5233644859813091E-4</v>
      </c>
      <c r="L8" s="268">
        <f>('MASTER SHEET -MARATHA SITE'!$F$8/'MARATHA QTY DISTRIBUATION'!$AC$3*'MARATHA QTY DISTRIBUATION'!H2)</f>
        <v>6.7056074766355146E-3</v>
      </c>
      <c r="M8" s="268">
        <f>('MASTER SHEET -MARATHA SITE'!$F$8/'MARATHA QTY DISTRIBUATION'!$AC$3*'MARATHA QTY DISTRIBUATION'!I2)</f>
        <v>2.4859813084112154E-3</v>
      </c>
      <c r="N8" s="268">
        <f>('MASTER SHEET -MARATHA SITE'!$F$8/'MARATHA QTY DISTRIBUATION'!$AC$3*'MARATHA QTY DISTRIBUATION'!J2)</f>
        <v>6.9018691588785056E-3</v>
      </c>
      <c r="O8" s="268">
        <f>('MASTER SHEET -MARATHA SITE'!$F$8/'MARATHA QTY DISTRIBUATION'!$AC$3*'MARATHA QTY DISTRIBUATION'!K2)</f>
        <v>3.5000000000000005E-3</v>
      </c>
      <c r="P8" s="268">
        <f>('MASTER SHEET -MARATHA SITE'!$F$8/'MARATHA QTY DISTRIBUATION'!$AC$3*'MARATHA QTY DISTRIBUATION'!L2)</f>
        <v>1.9626168224299068E-4</v>
      </c>
      <c r="Q8" s="268">
        <f>('MASTER SHEET -MARATHA SITE'!$F$8/'MARATHA QTY DISTRIBUATION'!$AC$3*'MARATHA QTY DISTRIBUATION'!M2)</f>
        <v>1.0140186915887851E-3</v>
      </c>
      <c r="R8" s="268">
        <f>('MASTER SHEET -MARATHA SITE'!$F$8/'MARATHA QTY DISTRIBUATION'!$AC$3*'MARATHA QTY DISTRIBUATION'!N2)</f>
        <v>6.5420560747663561E-5</v>
      </c>
      <c r="S8" s="268">
        <f>('MASTER SHEET -MARATHA SITE'!$F$8/'MARATHA QTY DISTRIBUATION'!$AC$3*'MARATHA QTY DISTRIBUATION'!O2)</f>
        <v>9.9112149532710296E-3</v>
      </c>
      <c r="T8" s="268">
        <f>('MASTER SHEET -MARATHA SITE'!$F$8/'MARATHA QTY DISTRIBUATION'!$AC$3*'MARATHA QTY DISTRIBUATION'!P2)</f>
        <v>2.9439252336448604E-3</v>
      </c>
      <c r="U8" s="268">
        <f>('MASTER SHEET -MARATHA SITE'!$F$8/'MARATHA QTY DISTRIBUATION'!$AC$3*'MARATHA QTY DISTRIBUATION'!Q2)</f>
        <v>5.2336448598130848E-4</v>
      </c>
      <c r="V8" s="268">
        <f>('MASTER SHEET -MARATHA SITE'!$F$8/'MARATHA QTY DISTRIBUATION'!$AC$3*'MARATHA QTY DISTRIBUATION'!R2)</f>
        <v>0</v>
      </c>
      <c r="W8" s="268">
        <f>('MASTER SHEET -MARATHA SITE'!$F$8/'MARATHA QTY DISTRIBUATION'!$AC$3*'MARATHA QTY DISTRIBUATION'!S2)</f>
        <v>0</v>
      </c>
      <c r="X8" s="268">
        <f>('MASTER SHEET -MARATHA SITE'!$F$8/'MARATHA QTY DISTRIBUATION'!$AC$3*'MARATHA QTY DISTRIBUATION'!T2)</f>
        <v>0</v>
      </c>
      <c r="Y8" s="268">
        <f>('MASTER SHEET -MARATHA SITE'!$F$8/'MARATHA QTY DISTRIBUATION'!$AC$3*'MARATHA QTY DISTRIBUATION'!U2)</f>
        <v>0</v>
      </c>
      <c r="Z8" s="696">
        <f>('MASTER SHEET -MARATHA SITE'!$F$8/'MARATHA QTY DISTRIBUATION'!$AC$3*'MARATHA QTY DISTRIBUATION'!V2)</f>
        <v>0</v>
      </c>
      <c r="AA8" s="268">
        <f>('MASTER SHEET -MARATHA SITE'!$F$8/'MARATHA QTY DISTRIBUATION'!$AC$3*'MARATHA QTY DISTRIBUATION'!W2)</f>
        <v>0</v>
      </c>
      <c r="AB8" s="268">
        <f>('MASTER SHEET -MARATHA SITE'!$F$8/'MARATHA QTY DISTRIBUATION'!$AC$3*'MARATHA QTY DISTRIBUATION'!X2)</f>
        <v>0</v>
      </c>
      <c r="AC8" s="268">
        <f>('MASTER SHEET -MARATHA SITE'!$F$8/'MARATHA QTY DISTRIBUATION'!$AC$3*'MARATHA QTY DISTRIBUATION'!Y2)</f>
        <v>0</v>
      </c>
      <c r="AD8" s="268">
        <f>('MASTER SHEET -MARATHA SITE'!$F$8/'MARATHA QTY DISTRIBUATION'!$AC$3*'MARATHA QTY DISTRIBUATION'!Z2)</f>
        <v>0</v>
      </c>
      <c r="AE8" s="268">
        <f>('MASTER SHEET -MARATHA SITE'!$F$8/'MARATHA QTY DISTRIBUATION'!$AC$3*'MARATHA QTY DISTRIBUATION'!AA2)</f>
        <v>0</v>
      </c>
      <c r="AF8" s="269">
        <f>('MASTER SHEET -MARATHA SITE'!$F$8/'MARATHA QTY DISTRIBUATION'!$AC$3*'MARATHA QTY DISTRIBUATION'!AB2)</f>
        <v>0</v>
      </c>
      <c r="AG8" s="560">
        <f t="shared" si="1"/>
        <v>0</v>
      </c>
    </row>
    <row r="9" spans="1:37">
      <c r="A9" s="185" t="s">
        <v>2</v>
      </c>
      <c r="B9" s="189" t="s">
        <v>10</v>
      </c>
      <c r="C9" s="1129"/>
      <c r="D9" s="115">
        <f t="shared" si="0"/>
        <v>9.9899999999999971E-3</v>
      </c>
      <c r="E9" s="1129"/>
      <c r="F9" s="116">
        <v>9.9899999999999989E-3</v>
      </c>
      <c r="G9" s="1140"/>
      <c r="H9" s="118">
        <f t="shared" ref="H9:H24" si="2">D9-F9</f>
        <v>0</v>
      </c>
      <c r="I9" s="637" t="s">
        <v>12</v>
      </c>
      <c r="J9" s="68">
        <f>('MASTER SHEET -MARATHA SITE'!$F$9/'MARATHA QTY DISTRIBUATION'!$AC$18*'MARATHA QTY DISTRIBUATION'!F17)</f>
        <v>0</v>
      </c>
      <c r="K9" s="15">
        <f>('MASTER SHEET -MARATHA SITE'!$F$9/'MARATHA QTY DISTRIBUATION'!$AC$18*'MARATHA QTY DISTRIBUATION'!G17)</f>
        <v>0</v>
      </c>
      <c r="L9" s="15">
        <f>('MASTER SHEET -MARATHA SITE'!$F$9/'MARATHA QTY DISTRIBUATION'!$AC$18*'MARATHA QTY DISTRIBUATION'!H17)</f>
        <v>0</v>
      </c>
      <c r="M9" s="15">
        <f>('MASTER SHEET -MARATHA SITE'!$F$9/'MARATHA QTY DISTRIBUATION'!$AC$18*'MARATHA QTY DISTRIBUATION'!I17)</f>
        <v>0</v>
      </c>
      <c r="N9" s="15">
        <f>('MASTER SHEET -MARATHA SITE'!$F$9/'MARATHA QTY DISTRIBUATION'!$AC$18*'MARATHA QTY DISTRIBUATION'!J17)</f>
        <v>0</v>
      </c>
      <c r="O9" s="15">
        <f>('MASTER SHEET -MARATHA SITE'!$F$9/'MARATHA QTY DISTRIBUATION'!$AC$18*'MARATHA QTY DISTRIBUATION'!K17)</f>
        <v>0</v>
      </c>
      <c r="P9" s="15">
        <f>('MASTER SHEET -MARATHA SITE'!$F$9/'MARATHA QTY DISTRIBUATION'!$AC$18*'MARATHA QTY DISTRIBUATION'!L17)</f>
        <v>1.0644500946073794E-3</v>
      </c>
      <c r="Q9" s="15">
        <f>('MASTER SHEET -MARATHA SITE'!$F$9/'MARATHA QTY DISTRIBUATION'!$AC$18*'MARATHA QTY DISTRIBUATION'!M17)</f>
        <v>2.6418485690633863E-3</v>
      </c>
      <c r="R9" s="15">
        <f>('MASTER SHEET -MARATHA SITE'!$F$9/'MARATHA QTY DISTRIBUATION'!$AC$18*'MARATHA QTY DISTRIBUATION'!N17)</f>
        <v>5.6039969843897823E-3</v>
      </c>
      <c r="S9" s="15">
        <f>('MASTER SHEET -MARATHA SITE'!$F$9/'MARATHA QTY DISTRIBUATION'!$AC$18*'MARATHA QTY DISTRIBUATION'!O17)</f>
        <v>3.1161648533585621E-4</v>
      </c>
      <c r="T9" s="15">
        <f>('MASTER SHEET -MARATHA SITE'!$F$9/'MARATHA QTY DISTRIBUATION'!$AC$18*'MARATHA QTY DISTRIBUATION'!P17)</f>
        <v>1.4090279091769157E-4</v>
      </c>
      <c r="U9" s="15">
        <f>('MASTER SHEET -MARATHA SITE'!$F$9/'MARATHA QTY DISTRIBUATION'!$AC$18*'MARATHA QTY DISTRIBUATION'!Q17)</f>
        <v>1.3483822138126773E-4</v>
      </c>
      <c r="V9" s="15">
        <f>('MASTER SHEET -MARATHA SITE'!$F$9/'MARATHA QTY DISTRIBUATION'!$AC$18*'MARATHA QTY DISTRIBUATION'!R17)</f>
        <v>9.2346854304635754E-5</v>
      </c>
      <c r="W9" s="15">
        <f>('MASTER SHEET -MARATHA SITE'!$F$9/'MARATHA QTY DISTRIBUATION'!$AC$18*'MARATHA QTY DISTRIBUATION'!S17)</f>
        <v>0</v>
      </c>
      <c r="X9" s="15">
        <f>('MASTER SHEET -MARATHA SITE'!$F$9/'MARATHA QTY DISTRIBUATION'!$AC$18*'MARATHA QTY DISTRIBUATION'!T17)</f>
        <v>0</v>
      </c>
      <c r="Y9" s="15">
        <f>('MASTER SHEET -MARATHA SITE'!$F$9/'MARATHA QTY DISTRIBUATION'!$AC$18*'MARATHA QTY DISTRIBUATION'!U17)</f>
        <v>0</v>
      </c>
      <c r="Z9" s="697">
        <f>('MASTER SHEET -MARATHA SITE'!$F$9/'MARATHA QTY DISTRIBUATION'!$AC$18*'MARATHA QTY DISTRIBUATION'!V17)</f>
        <v>0</v>
      </c>
      <c r="AA9" s="15">
        <f>('MASTER SHEET -MARATHA SITE'!$F$9/'MARATHA QTY DISTRIBUATION'!$AC$18*'MARATHA QTY DISTRIBUATION'!W17)</f>
        <v>0</v>
      </c>
      <c r="AB9" s="15">
        <f>('MASTER SHEET -MARATHA SITE'!$F$9/'MARATHA QTY DISTRIBUATION'!$AC$18*'MARATHA QTY DISTRIBUATION'!X17)</f>
        <v>0</v>
      </c>
      <c r="AC9" s="15">
        <f>('MASTER SHEET -MARATHA SITE'!$F$9/'MARATHA QTY DISTRIBUATION'!$AC$18*'MARATHA QTY DISTRIBUATION'!Y17)</f>
        <v>0</v>
      </c>
      <c r="AD9" s="15">
        <f>('MASTER SHEET -MARATHA SITE'!$F$9/'MARATHA QTY DISTRIBUATION'!$AC$18*'MARATHA QTY DISTRIBUATION'!Z17)</f>
        <v>0</v>
      </c>
      <c r="AE9" s="15">
        <f>('MASTER SHEET -MARATHA SITE'!$F$9/'MARATHA QTY DISTRIBUATION'!$AC$18*'MARATHA QTY DISTRIBUATION'!AA17)</f>
        <v>0</v>
      </c>
      <c r="AF9" s="69">
        <f>('MASTER SHEET -MARATHA SITE'!$F$9/'MARATHA QTY DISTRIBUATION'!$AC$18*'MARATHA QTY DISTRIBUATION'!AB17)</f>
        <v>0</v>
      </c>
      <c r="AG9" s="560">
        <f t="shared" si="1"/>
        <v>0</v>
      </c>
    </row>
    <row r="10" spans="1:37">
      <c r="A10" s="185" t="s">
        <v>2</v>
      </c>
      <c r="B10" s="189" t="s">
        <v>10</v>
      </c>
      <c r="C10" s="1129"/>
      <c r="D10" s="115">
        <f t="shared" si="0"/>
        <v>3.0009999999999998E-2</v>
      </c>
      <c r="E10" s="1129"/>
      <c r="F10" s="116">
        <v>3.0010000000000002E-2</v>
      </c>
      <c r="G10" s="1140"/>
      <c r="H10" s="118">
        <f t="shared" si="2"/>
        <v>0</v>
      </c>
      <c r="I10" s="637" t="s">
        <v>13</v>
      </c>
      <c r="J10" s="68">
        <f>('MASTER SHEET -MARATHA SITE'!$F$10/'MARATHA QTY DISTRIBUATION'!$AC$13*'MARATHA QTY DISTRIBUATION'!F12)</f>
        <v>0</v>
      </c>
      <c r="K10" s="15">
        <f>('MASTER SHEET -MARATHA SITE'!$F$10/'MARATHA QTY DISTRIBUATION'!$AC$13*'MARATHA QTY DISTRIBUATION'!G12)</f>
        <v>0</v>
      </c>
      <c r="L10" s="15">
        <f>('MASTER SHEET -MARATHA SITE'!$F$10/'MARATHA QTY DISTRIBUATION'!$AC$13*'MARATHA QTY DISTRIBUATION'!H12)</f>
        <v>0</v>
      </c>
      <c r="M10" s="15">
        <f>('MASTER SHEET -MARATHA SITE'!$F$10/'MARATHA QTY DISTRIBUATION'!$AC$13*'MARATHA QTY DISTRIBUATION'!I12)</f>
        <v>0</v>
      </c>
      <c r="N10" s="15">
        <f>('MASTER SHEET -MARATHA SITE'!$F$10/'MARATHA QTY DISTRIBUATION'!$AC$13*'MARATHA QTY DISTRIBUATION'!J12)</f>
        <v>4.3013184845005744E-3</v>
      </c>
      <c r="O10" s="15">
        <f>('MASTER SHEET -MARATHA SITE'!$F$10/'MARATHA QTY DISTRIBUATION'!$AC$13*'MARATHA QTY DISTRIBUATION'!K12)</f>
        <v>4.3474877152698049E-3</v>
      </c>
      <c r="P10" s="15">
        <f>('MASTER SHEET -MARATHA SITE'!$F$10/'MARATHA QTY DISTRIBUATION'!$AC$13*'MARATHA QTY DISTRIBUATION'!L12)</f>
        <v>2.8121885189437428E-3</v>
      </c>
      <c r="Q10" s="15">
        <f>('MASTER SHEET -MARATHA SITE'!$F$10/'MARATHA QTY DISTRIBUATION'!$AC$13*'MARATHA QTY DISTRIBUATION'!M12)</f>
        <v>1.0470768082663606E-3</v>
      </c>
      <c r="R10" s="15">
        <f>('MASTER SHEET -MARATHA SITE'!$F$10/'MARATHA QTY DISTRIBUATION'!$AC$13*'MARATHA QTY DISTRIBUATION'!N12)</f>
        <v>3.8082724454649827E-3</v>
      </c>
      <c r="S10" s="15">
        <f>('MASTER SHEET -MARATHA SITE'!$F$10/'MARATHA QTY DISTRIBUATION'!$AC$13*'MARATHA QTY DISTRIBUATION'!O12)</f>
        <v>4.133868886337543E-3</v>
      </c>
      <c r="T10" s="15">
        <f>('MASTER SHEET -MARATHA SITE'!$F$10/'MARATHA QTY DISTRIBUATION'!$AC$13*'MARATHA QTY DISTRIBUATION'!P12)</f>
        <v>4.1128515499425948E-3</v>
      </c>
      <c r="U10" s="15">
        <f>('MASTER SHEET -MARATHA SITE'!$F$10/'MARATHA QTY DISTRIBUATION'!$AC$13*'MARATHA QTY DISTRIBUATION'!Q12)</f>
        <v>2.6278561423650976E-3</v>
      </c>
      <c r="V10" s="15">
        <f>('MASTER SHEET -MARATHA SITE'!$F$10/'MARATHA QTY DISTRIBUATION'!$AC$13*'MARATHA QTY DISTRIBUATION'!R12)</f>
        <v>1.5232400688863375E-3</v>
      </c>
      <c r="W10" s="15">
        <f>('MASTER SHEET -MARATHA SITE'!$F$10/'MARATHA QTY DISTRIBUATION'!$AC$13*'MARATHA QTY DISTRIBUATION'!S12)</f>
        <v>1.2958393800229621E-3</v>
      </c>
      <c r="X10" s="15">
        <f>('MASTER SHEET -MARATHA SITE'!$F$10/'MARATHA QTY DISTRIBUATION'!$AC$13*'MARATHA QTY DISTRIBUATION'!T12)</f>
        <v>0</v>
      </c>
      <c r="Y10" s="15">
        <f>('MASTER SHEET -MARATHA SITE'!$F$10/'MARATHA QTY DISTRIBUATION'!$AC$13*'MARATHA QTY DISTRIBUATION'!U12)</f>
        <v>0</v>
      </c>
      <c r="Z10" s="697">
        <f>('MASTER SHEET -MARATHA SITE'!$F$10/'MARATHA QTY DISTRIBUATION'!$AC$13*'MARATHA QTY DISTRIBUATION'!V12)</f>
        <v>0</v>
      </c>
      <c r="AA10" s="15">
        <f>('MASTER SHEET -MARATHA SITE'!$F$10/'MARATHA QTY DISTRIBUATION'!$AC$13*'MARATHA QTY DISTRIBUATION'!W12)</f>
        <v>0</v>
      </c>
      <c r="AB10" s="15">
        <f>('MASTER SHEET -MARATHA SITE'!$F$10/'MARATHA QTY DISTRIBUATION'!$AC$13*'MARATHA QTY DISTRIBUATION'!X12)</f>
        <v>0</v>
      </c>
      <c r="AC10" s="15">
        <f>('MASTER SHEET -MARATHA SITE'!$F$10/'MARATHA QTY DISTRIBUATION'!$AC$13*'MARATHA QTY DISTRIBUATION'!Y12)</f>
        <v>0</v>
      </c>
      <c r="AD10" s="15">
        <f>('MASTER SHEET -MARATHA SITE'!$F$10/'MARATHA QTY DISTRIBUATION'!$AC$13*'MARATHA QTY DISTRIBUATION'!Z12)</f>
        <v>0</v>
      </c>
      <c r="AE10" s="15">
        <f>('MASTER SHEET -MARATHA SITE'!$F$10/'MARATHA QTY DISTRIBUATION'!$AC$13*'MARATHA QTY DISTRIBUATION'!AA12)</f>
        <v>0</v>
      </c>
      <c r="AF10" s="69">
        <f>('MASTER SHEET -MARATHA SITE'!$F$10/'MARATHA QTY DISTRIBUATION'!$AC$13*'MARATHA QTY DISTRIBUATION'!AB12)</f>
        <v>0</v>
      </c>
      <c r="AG10" s="560">
        <f t="shared" si="1"/>
        <v>0</v>
      </c>
    </row>
    <row r="11" spans="1:37">
      <c r="A11" s="185" t="s">
        <v>2</v>
      </c>
      <c r="B11" s="189" t="s">
        <v>10</v>
      </c>
      <c r="C11" s="1129"/>
      <c r="D11" s="115">
        <f t="shared" si="0"/>
        <v>3.0000000000000002E-2</v>
      </c>
      <c r="E11" s="1129"/>
      <c r="F11" s="116">
        <v>3.0000000000000002E-2</v>
      </c>
      <c r="G11" s="1140"/>
      <c r="H11" s="118">
        <f t="shared" si="2"/>
        <v>0</v>
      </c>
      <c r="I11" s="637" t="s">
        <v>14</v>
      </c>
      <c r="J11" s="68">
        <f>('MASTER SHEET -MARATHA SITE'!$F$11/'MARATHA QTY DISTRIBUATION'!$AC$23*'MARATHA QTY DISTRIBUATION'!F22)</f>
        <v>0</v>
      </c>
      <c r="K11" s="15">
        <f>('MASTER SHEET -MARATHA SITE'!$F$11/'MARATHA QTY DISTRIBUATION'!$AC$23*'MARATHA QTY DISTRIBUATION'!G22)</f>
        <v>0</v>
      </c>
      <c r="L11" s="15">
        <f>('MASTER SHEET -MARATHA SITE'!$F$11/'MARATHA QTY DISTRIBUATION'!$AC$23*'MARATHA QTY DISTRIBUATION'!H22)</f>
        <v>0</v>
      </c>
      <c r="M11" s="15">
        <f>('MASTER SHEET -MARATHA SITE'!$F$11/'MARATHA QTY DISTRIBUATION'!$AC$23*'MARATHA QTY DISTRIBUATION'!I22)</f>
        <v>0</v>
      </c>
      <c r="N11" s="15">
        <f>('MASTER SHEET -MARATHA SITE'!$F$11/'MARATHA QTY DISTRIBUATION'!$AC$23*'MARATHA QTY DISTRIBUATION'!J22)</f>
        <v>0</v>
      </c>
      <c r="O11" s="15">
        <f>('MASTER SHEET -MARATHA SITE'!$F$11/'MARATHA QTY DISTRIBUATION'!$AC$23*'MARATHA QTY DISTRIBUATION'!K22)</f>
        <v>2.2099976082276968E-4</v>
      </c>
      <c r="P11" s="15">
        <f>('MASTER SHEET -MARATHA SITE'!$F$11/'MARATHA QTY DISTRIBUATION'!$AC$23*'MARATHA QTY DISTRIBUATION'!L22)</f>
        <v>3.5489117436020095E-3</v>
      </c>
      <c r="Q11" s="15">
        <f>('MASTER SHEET -MARATHA SITE'!$F$11/'MARATHA QTY DISTRIBUATION'!$AC$23*'MARATHA QTY DISTRIBUATION'!M22)</f>
        <v>5.6125328868691701E-3</v>
      </c>
      <c r="R11" s="15">
        <f>('MASTER SHEET -MARATHA SITE'!$F$11/'MARATHA QTY DISTRIBUATION'!$AC$23*'MARATHA QTY DISTRIBUATION'!N22)</f>
        <v>2.5156661085864629E-3</v>
      </c>
      <c r="S11" s="15">
        <f>('MASTER SHEET -MARATHA SITE'!$F$11/'MARATHA QTY DISTRIBUATION'!$AC$23*'MARATHA QTY DISTRIBUATION'!O22)</f>
        <v>6.3702463525472375E-3</v>
      </c>
      <c r="T11" s="15">
        <f>('MASTER SHEET -MARATHA SITE'!$F$11/'MARATHA QTY DISTRIBUATION'!$AC$23*'MARATHA QTY DISTRIBUATION'!P22)</f>
        <v>6.3946424300406609E-3</v>
      </c>
      <c r="U11" s="15">
        <f>('MASTER SHEET -MARATHA SITE'!$F$11/'MARATHA QTY DISTRIBUATION'!$AC$23*'MARATHA QTY DISTRIBUATION'!Q22)</f>
        <v>5.3370007175316909E-3</v>
      </c>
      <c r="V11" s="15">
        <f>('MASTER SHEET -MARATHA SITE'!$F$11/'MARATHA QTY DISTRIBUATION'!$AC$23*'MARATHA QTY DISTRIBUATION'!R22)</f>
        <v>0</v>
      </c>
      <c r="W11" s="15">
        <f>('MASTER SHEET -MARATHA SITE'!$F$11/'MARATHA QTY DISTRIBUATION'!$AC$23*'MARATHA QTY DISTRIBUATION'!S22)</f>
        <v>0</v>
      </c>
      <c r="X11" s="15">
        <f>('MASTER SHEET -MARATHA SITE'!$F$11/'MARATHA QTY DISTRIBUATION'!$AC$23*'MARATHA QTY DISTRIBUATION'!T22)</f>
        <v>0</v>
      </c>
      <c r="Y11" s="15">
        <f>('MASTER SHEET -MARATHA SITE'!$F$11/'MARATHA QTY DISTRIBUATION'!$AC$23*'MARATHA QTY DISTRIBUATION'!U22)</f>
        <v>0</v>
      </c>
      <c r="Z11" s="697">
        <f>('MASTER SHEET -MARATHA SITE'!$F$11/'MARATHA QTY DISTRIBUATION'!$AC$23*'MARATHA QTY DISTRIBUATION'!V22)</f>
        <v>0</v>
      </c>
      <c r="AA11" s="15">
        <f>('MASTER SHEET -MARATHA SITE'!$F$11/'MARATHA QTY DISTRIBUATION'!$AC$23*'MARATHA QTY DISTRIBUATION'!W22)</f>
        <v>0</v>
      </c>
      <c r="AB11" s="15">
        <f>('MASTER SHEET -MARATHA SITE'!$F$11/'MARATHA QTY DISTRIBUATION'!$AC$23*'MARATHA QTY DISTRIBUATION'!X22)</f>
        <v>0</v>
      </c>
      <c r="AC11" s="15">
        <f>('MASTER SHEET -MARATHA SITE'!$F$11/'MARATHA QTY DISTRIBUATION'!$AC$23*'MARATHA QTY DISTRIBUATION'!Y22)</f>
        <v>0</v>
      </c>
      <c r="AD11" s="15">
        <f>('MASTER SHEET -MARATHA SITE'!$F$11/'MARATHA QTY DISTRIBUATION'!$AC$23*'MARATHA QTY DISTRIBUATION'!Z22)</f>
        <v>0</v>
      </c>
      <c r="AE11" s="15">
        <f>('MASTER SHEET -MARATHA SITE'!$F$11/'MARATHA QTY DISTRIBUATION'!$AC$23*'MARATHA QTY DISTRIBUATION'!AA22)</f>
        <v>0</v>
      </c>
      <c r="AF11" s="69">
        <f>('MASTER SHEET -MARATHA SITE'!$F$11/'MARATHA QTY DISTRIBUATION'!$AC$23*'MARATHA QTY DISTRIBUATION'!AB22)</f>
        <v>0</v>
      </c>
      <c r="AG11" s="560">
        <f t="shared" si="1"/>
        <v>0</v>
      </c>
    </row>
    <row r="12" spans="1:37">
      <c r="A12" s="185" t="s">
        <v>2</v>
      </c>
      <c r="B12" s="189" t="s">
        <v>10</v>
      </c>
      <c r="C12" s="1129"/>
      <c r="D12" s="115">
        <f t="shared" si="0"/>
        <v>1.5010000000000003E-2</v>
      </c>
      <c r="E12" s="1129"/>
      <c r="F12" s="116">
        <v>1.5010000000000003E-2</v>
      </c>
      <c r="G12" s="1140"/>
      <c r="H12" s="118">
        <f t="shared" si="2"/>
        <v>0</v>
      </c>
      <c r="I12" s="637" t="s">
        <v>15</v>
      </c>
      <c r="J12" s="68">
        <f>('MASTER SHEET -MARATHA SITE'!$F$12/'MARATHA QTY DISTRIBUATION'!$AC$28*'MARATHA QTY DISTRIBUATION'!F27)</f>
        <v>0</v>
      </c>
      <c r="K12" s="15">
        <f>('MASTER SHEET -MARATHA SITE'!$F$12/'MARATHA QTY DISTRIBUATION'!$AC$28*'MARATHA QTY DISTRIBUATION'!G27)</f>
        <v>0</v>
      </c>
      <c r="L12" s="15">
        <f>('MASTER SHEET -MARATHA SITE'!$F$12/'MARATHA QTY DISTRIBUATION'!$AC$28*'MARATHA QTY DISTRIBUATION'!H27)</f>
        <v>0</v>
      </c>
      <c r="M12" s="15">
        <f>('MASTER SHEET -MARATHA SITE'!$F$12/'MARATHA QTY DISTRIBUATION'!$AC$28*'MARATHA QTY DISTRIBUATION'!I27)</f>
        <v>0</v>
      </c>
      <c r="N12" s="15">
        <f>('MASTER SHEET -MARATHA SITE'!$F$12/'MARATHA QTY DISTRIBUATION'!$AC$28*'MARATHA QTY DISTRIBUATION'!J27)</f>
        <v>0</v>
      </c>
      <c r="O12" s="15">
        <f>('MASTER SHEET -MARATHA SITE'!$F$12/'MARATHA QTY DISTRIBUATION'!$AC$28*'MARATHA QTY DISTRIBUATION'!K27)</f>
        <v>1.166921630094044E-4</v>
      </c>
      <c r="P12" s="15">
        <f>('MASTER SHEET -MARATHA SITE'!$F$12/'MARATHA QTY DISTRIBUATION'!$AC$28*'MARATHA QTY DISTRIBUATION'!L27)</f>
        <v>7.6790971786833866E-4</v>
      </c>
      <c r="Q12" s="15">
        <f>('MASTER SHEET -MARATHA SITE'!$F$12/'MARATHA QTY DISTRIBUATION'!$AC$28*'MARATHA QTY DISTRIBUATION'!M27)</f>
        <v>4.0983416927899688E-3</v>
      </c>
      <c r="R12" s="15">
        <f>('MASTER SHEET -MARATHA SITE'!$F$12/'MARATHA QTY DISTRIBUATION'!$AC$28*'MARATHA QTY DISTRIBUATION'!N27)</f>
        <v>7.9049529780564275E-5</v>
      </c>
      <c r="S12" s="15">
        <f>('MASTER SHEET -MARATHA SITE'!$F$12/'MARATHA QTY DISTRIBUATION'!$AC$28*'MARATHA QTY DISTRIBUATION'!O27)</f>
        <v>5.3264326018808783E-4</v>
      </c>
      <c r="T12" s="15">
        <f>('MASTER SHEET -MARATHA SITE'!$F$12/'MARATHA QTY DISTRIBUATION'!$AC$28*'MARATHA QTY DISTRIBUATION'!P27)</f>
        <v>6.029408777429468E-3</v>
      </c>
      <c r="U12" s="15">
        <f>('MASTER SHEET -MARATHA SITE'!$F$12/'MARATHA QTY DISTRIBUATION'!$AC$28*'MARATHA QTY DISTRIBUATION'!Q27)</f>
        <v>3.3859548589341695E-3</v>
      </c>
      <c r="V12" s="15">
        <f>('MASTER SHEET -MARATHA SITE'!$F$12/'MARATHA QTY DISTRIBUATION'!$AC$28*'MARATHA QTY DISTRIBUATION'!R27)</f>
        <v>0</v>
      </c>
      <c r="W12" s="15">
        <f>('MASTER SHEET -MARATHA SITE'!$F$12/'MARATHA QTY DISTRIBUATION'!$AC$28*'MARATHA QTY DISTRIBUATION'!S27)</f>
        <v>0</v>
      </c>
      <c r="X12" s="15">
        <f>('MASTER SHEET -MARATHA SITE'!$F$12/'MARATHA QTY DISTRIBUATION'!$AC$28*'MARATHA QTY DISTRIBUATION'!T27)</f>
        <v>0</v>
      </c>
      <c r="Y12" s="15">
        <f>('MASTER SHEET -MARATHA SITE'!$F$12/'MARATHA QTY DISTRIBUATION'!$AC$28*'MARATHA QTY DISTRIBUATION'!U27)</f>
        <v>0</v>
      </c>
      <c r="Z12" s="697">
        <f>('MASTER SHEET -MARATHA SITE'!$F$12/'MARATHA QTY DISTRIBUATION'!$AC$28*'MARATHA QTY DISTRIBUATION'!V27)</f>
        <v>0</v>
      </c>
      <c r="AA12" s="15">
        <f>('MASTER SHEET -MARATHA SITE'!$F$12/'MARATHA QTY DISTRIBUATION'!$AC$28*'MARATHA QTY DISTRIBUATION'!W27)</f>
        <v>0</v>
      </c>
      <c r="AB12" s="15">
        <f>('MASTER SHEET -MARATHA SITE'!$F$12/'MARATHA QTY DISTRIBUATION'!$AC$28*'MARATHA QTY DISTRIBUATION'!X27)</f>
        <v>0</v>
      </c>
      <c r="AC12" s="15">
        <f>('MASTER SHEET -MARATHA SITE'!$F$12/'MARATHA QTY DISTRIBUATION'!$AC$28*'MARATHA QTY DISTRIBUATION'!Y27)</f>
        <v>0</v>
      </c>
      <c r="AD12" s="15">
        <f>('MASTER SHEET -MARATHA SITE'!$F$12/'MARATHA QTY DISTRIBUATION'!$AC$28*'MARATHA QTY DISTRIBUATION'!Z27)</f>
        <v>0</v>
      </c>
      <c r="AE12" s="15">
        <f>('MASTER SHEET -MARATHA SITE'!$F$12/'MARATHA QTY DISTRIBUATION'!$AC$28*'MARATHA QTY DISTRIBUATION'!AA27)</f>
        <v>0</v>
      </c>
      <c r="AF12" s="69">
        <f>('MASTER SHEET -MARATHA SITE'!$F$12/'MARATHA QTY DISTRIBUATION'!$AC$28*'MARATHA QTY DISTRIBUATION'!AB27)</f>
        <v>0</v>
      </c>
      <c r="AG12" s="560">
        <f t="shared" si="1"/>
        <v>0</v>
      </c>
    </row>
    <row r="13" spans="1:37" ht="15" thickBot="1">
      <c r="A13" s="185" t="s">
        <v>2</v>
      </c>
      <c r="B13" s="190" t="s">
        <v>10</v>
      </c>
      <c r="C13" s="1130"/>
      <c r="D13" s="183">
        <f t="shared" si="0"/>
        <v>3.0019999999999998E-2</v>
      </c>
      <c r="E13" s="1130"/>
      <c r="F13" s="191">
        <v>3.0019999999999998E-2</v>
      </c>
      <c r="G13" s="1141"/>
      <c r="H13" s="192">
        <f t="shared" si="2"/>
        <v>0</v>
      </c>
      <c r="I13" s="638" t="s">
        <v>16</v>
      </c>
      <c r="J13" s="193">
        <f>('MASTER SHEET -MARATHA SITE'!$F$13/'MARATHA QTY DISTRIBUATION'!$AC$8*'MARATHA QTY DISTRIBUATION'!F7)</f>
        <v>0</v>
      </c>
      <c r="K13" s="194">
        <f>('MASTER SHEET -MARATHA SITE'!$F$13/'MARATHA QTY DISTRIBUATION'!$AC$8*'MARATHA QTY DISTRIBUATION'!G7)</f>
        <v>0</v>
      </c>
      <c r="L13" s="194">
        <f>('MASTER SHEET -MARATHA SITE'!$F$13/'MARATHA QTY DISTRIBUATION'!$AC$8*'MARATHA QTY DISTRIBUATION'!H7)</f>
        <v>0</v>
      </c>
      <c r="M13" s="194">
        <f>('MASTER SHEET -MARATHA SITE'!$F$13/'MARATHA QTY DISTRIBUATION'!$AC$8*'MARATHA QTY DISTRIBUATION'!I7)</f>
        <v>0</v>
      </c>
      <c r="N13" s="194">
        <f>('MASTER SHEET -MARATHA SITE'!$F$13/'MARATHA QTY DISTRIBUATION'!$AC$8*'MARATHA QTY DISTRIBUATION'!J7)</f>
        <v>1.4679706601466991E-4</v>
      </c>
      <c r="O13" s="194">
        <f>('MASTER SHEET -MARATHA SITE'!$F$13/'MARATHA QTY DISTRIBUATION'!$AC$8*'MARATHA QTY DISTRIBUATION'!K7)</f>
        <v>1.3211735941320293E-3</v>
      </c>
      <c r="P13" s="194">
        <f>('MASTER SHEET -MARATHA SITE'!$F$13/'MARATHA QTY DISTRIBUATION'!$AC$8*'MARATHA QTY DISTRIBUATION'!L7)</f>
        <v>2.5689486552567236E-3</v>
      </c>
      <c r="Q13" s="194">
        <f>('MASTER SHEET -MARATHA SITE'!$F$13/'MARATHA QTY DISTRIBUATION'!$AC$8*'MARATHA QTY DISTRIBUATION'!M7)</f>
        <v>2.5689486552567236E-3</v>
      </c>
      <c r="R13" s="194">
        <f>('MASTER SHEET -MARATHA SITE'!$F$13/'MARATHA QTY DISTRIBUATION'!$AC$8*'MARATHA QTY DISTRIBUATION'!N7)</f>
        <v>4.7709046454767721E-3</v>
      </c>
      <c r="S13" s="194">
        <f>('MASTER SHEET -MARATHA SITE'!$F$13/'MARATHA QTY DISTRIBUATION'!$AC$8*'MARATHA QTY DISTRIBUATION'!O7)</f>
        <v>4.7709046454767721E-3</v>
      </c>
      <c r="T13" s="194">
        <f>('MASTER SHEET -MARATHA SITE'!$F$13/'MARATHA QTY DISTRIBUATION'!$AC$8*'MARATHA QTY DISTRIBUATION'!P7)</f>
        <v>4.7709046454767721E-3</v>
      </c>
      <c r="U13" s="194">
        <f>('MASTER SHEET -MARATHA SITE'!$F$13/'MARATHA QTY DISTRIBUATION'!$AC$8*'MARATHA QTY DISTRIBUATION'!Q7)</f>
        <v>4.4039119804400971E-3</v>
      </c>
      <c r="V13" s="194">
        <f>('MASTER SHEET -MARATHA SITE'!$F$13/'MARATHA QTY DISTRIBUATION'!$AC$8*'MARATHA QTY DISTRIBUATION'!R7)</f>
        <v>3.2295354523227378E-3</v>
      </c>
      <c r="W13" s="194">
        <f>('MASTER SHEET -MARATHA SITE'!$F$13/'MARATHA QTY DISTRIBUATION'!$AC$8*'MARATHA QTY DISTRIBUATION'!S7)</f>
        <v>1.4679706601466991E-3</v>
      </c>
      <c r="X13" s="194">
        <f>('MASTER SHEET -MARATHA SITE'!$F$13/'MARATHA QTY DISTRIBUATION'!$AC$8*'MARATHA QTY DISTRIBUATION'!T7)</f>
        <v>0</v>
      </c>
      <c r="Y13" s="194">
        <f>('MASTER SHEET -MARATHA SITE'!$F$13/'MARATHA QTY DISTRIBUATION'!$AC$8*'MARATHA QTY DISTRIBUATION'!U7)</f>
        <v>0</v>
      </c>
      <c r="Z13" s="698">
        <f>('MASTER SHEET -MARATHA SITE'!$F$13/'MARATHA QTY DISTRIBUATION'!$AC$8*'MARATHA QTY DISTRIBUATION'!V7)</f>
        <v>0</v>
      </c>
      <c r="AA13" s="194">
        <f>('MASTER SHEET -MARATHA SITE'!$F$13/'MARATHA QTY DISTRIBUATION'!$AC$8*'MARATHA QTY DISTRIBUATION'!W7)</f>
        <v>0</v>
      </c>
      <c r="AB13" s="194">
        <f>('MASTER SHEET -MARATHA SITE'!$F$13/'MARATHA QTY DISTRIBUATION'!$AC$8*'MARATHA QTY DISTRIBUATION'!X7)</f>
        <v>0</v>
      </c>
      <c r="AC13" s="194">
        <f>('MASTER SHEET -MARATHA SITE'!$F$13/'MARATHA QTY DISTRIBUATION'!$AC$8*'MARATHA QTY DISTRIBUATION'!Y7)</f>
        <v>0</v>
      </c>
      <c r="AD13" s="194">
        <f>('MASTER SHEET -MARATHA SITE'!$F$13/'MARATHA QTY DISTRIBUATION'!$AC$8*'MARATHA QTY DISTRIBUATION'!Z7)</f>
        <v>0</v>
      </c>
      <c r="AE13" s="194">
        <f>('MASTER SHEET -MARATHA SITE'!$F$13/'MARATHA QTY DISTRIBUATION'!$AC$8*'MARATHA QTY DISTRIBUATION'!AA7)</f>
        <v>0</v>
      </c>
      <c r="AF13" s="195">
        <f>('MASTER SHEET -MARATHA SITE'!$F$13/'MARATHA QTY DISTRIBUATION'!$AC$8*'MARATHA QTY DISTRIBUATION'!AB7)</f>
        <v>0</v>
      </c>
      <c r="AG13" s="560">
        <f t="shared" si="1"/>
        <v>0</v>
      </c>
    </row>
    <row r="14" spans="1:37" ht="15" thickBot="1">
      <c r="A14" s="196" t="s">
        <v>2</v>
      </c>
      <c r="B14" s="197" t="s">
        <v>17</v>
      </c>
      <c r="C14" s="1131">
        <f>SUM(D14:D24)</f>
        <v>0.25000999999999995</v>
      </c>
      <c r="D14" s="179">
        <f t="shared" si="0"/>
        <v>9.9999999999999985E-3</v>
      </c>
      <c r="E14" s="1131">
        <f>SUM(F14:F24)</f>
        <v>0.25001000000000001</v>
      </c>
      <c r="F14" s="179">
        <v>0.01</v>
      </c>
      <c r="G14" s="1142">
        <f>C14-E14</f>
        <v>0</v>
      </c>
      <c r="H14" s="188">
        <f t="shared" si="2"/>
        <v>0</v>
      </c>
      <c r="I14" s="639" t="s">
        <v>73</v>
      </c>
      <c r="J14" s="198">
        <f>('MASTER SHEET -MARATHA SITE'!$F$14/'MARATHA QTY DISTRIBUATION'!$AC$146*'MARATHA QTY DISTRIBUATION'!F145)</f>
        <v>0</v>
      </c>
      <c r="K14" s="198">
        <f>('MASTER SHEET -MARATHA SITE'!$F$14/'MARATHA QTY DISTRIBUATION'!$AC$146*'MARATHA QTY DISTRIBUATION'!G145)</f>
        <v>0</v>
      </c>
      <c r="L14" s="686">
        <f>('MASTER SHEET -MARATHA SITE'!$F$14/'MARATHA QTY DISTRIBUATION'!$AC$146*'MARATHA QTY DISTRIBUATION'!H145)</f>
        <v>0</v>
      </c>
      <c r="M14" s="686">
        <f>('MASTER SHEET -MARATHA SITE'!$F$14/'MARATHA QTY DISTRIBUATION'!$AC$146*'MARATHA QTY DISTRIBUATION'!I145)</f>
        <v>0</v>
      </c>
      <c r="N14" s="686">
        <f>('MASTER SHEET -MARATHA SITE'!$F$14/'MARATHA QTY DISTRIBUATION'!$AC$146*'MARATHA QTY DISTRIBUATION'!J145)</f>
        <v>0</v>
      </c>
      <c r="O14" s="686">
        <f>('MASTER SHEET -MARATHA SITE'!$F$14/'MARATHA QTY DISTRIBUATION'!$AC$146*'MARATHA QTY DISTRIBUATION'!K145)</f>
        <v>1.9134178426213823E-5</v>
      </c>
      <c r="P14" s="686">
        <f>('MASTER SHEET -MARATHA SITE'!$F$14/'MARATHA QTY DISTRIBUATION'!$AC$146*'MARATHA QTY DISTRIBUATION'!L145)</f>
        <v>3.8268356852427647E-5</v>
      </c>
      <c r="Q14" s="686">
        <f>('MASTER SHEET -MARATHA SITE'!$F$14/'MARATHA QTY DISTRIBUATION'!$AC$146*'MARATHA QTY DISTRIBUATION'!M145)</f>
        <v>7.2183688112891647E-4</v>
      </c>
      <c r="R14" s="686">
        <f>('MASTER SHEET -MARATHA SITE'!$F$14/'MARATHA QTY DISTRIBUATION'!$AC$146*'MARATHA QTY DISTRIBUATION'!N145)</f>
        <v>6.4290839512078448E-4</v>
      </c>
      <c r="S14" s="686">
        <f>('MASTER SHEET -MARATHA SITE'!$F$14/'MARATHA QTY DISTRIBUATION'!$AC$146*'MARATHA QTY DISTRIBUATION'!O145)</f>
        <v>1.6407558000478353E-4</v>
      </c>
      <c r="T14" s="686">
        <f>('MASTER SHEET -MARATHA SITE'!$F$14/'MARATHA QTY DISTRIBUATION'!$AC$146*'MARATHA QTY DISTRIBUATION'!P145)</f>
        <v>3.3245635015546519E-4</v>
      </c>
      <c r="U14" s="686">
        <f>('MASTER SHEET -MARATHA SITE'!$F$14/'MARATHA QTY DISTRIBUATION'!$AC$146*'MARATHA QTY DISTRIBUATION'!Q145)</f>
        <v>6.6108586462568762E-4</v>
      </c>
      <c r="V14" s="686">
        <f>('MASTER SHEET -MARATHA SITE'!$F$14/'MARATHA QTY DISTRIBUATION'!$AC$146*'MARATHA QTY DISTRIBUATION'!R145)</f>
        <v>1.1150442477876107E-3</v>
      </c>
      <c r="W14" s="686">
        <f>('MASTER SHEET -MARATHA SITE'!$F$14/'MARATHA QTY DISTRIBUATION'!$AC$146*'MARATHA QTY DISTRIBUATION'!S145)</f>
        <v>1.7445587180100455E-3</v>
      </c>
      <c r="X14" s="686">
        <f>('MASTER SHEET -MARATHA SITE'!$F$14/'MARATHA QTY DISTRIBUATION'!$AC$146*'MARATHA QTY DISTRIBUATION'!T145)</f>
        <v>2.3161922984931832E-3</v>
      </c>
      <c r="Y14" s="686">
        <f>('MASTER SHEET -MARATHA SITE'!$F$14/'MARATHA QTY DISTRIBUATION'!$AC$146*'MARATHA QTY DISTRIBUATION'!U145)</f>
        <v>1.4355417364266922E-3</v>
      </c>
      <c r="Z14" s="653">
        <f>('MASTER SHEET -MARATHA SITE'!$F$14/'MARATHA QTY DISTRIBUATION'!$AC$146*'MARATHA QTY DISTRIBUATION'!V145)</f>
        <v>8.0889739296818939E-4</v>
      </c>
      <c r="AA14" s="686">
        <f>('MASTER SHEET -MARATHA SITE'!$F$14/'MARATHA QTY DISTRIBUATION'!$AC$146*'MARATHA QTY DISTRIBUATION'!W145)</f>
        <v>0</v>
      </c>
      <c r="AB14" s="686">
        <f>('MASTER SHEET -MARATHA SITE'!$F$14/'MARATHA QTY DISTRIBUATION'!$AC$146*'MARATHA QTY DISTRIBUATION'!X145)</f>
        <v>0</v>
      </c>
      <c r="AC14" s="686">
        <f>('MASTER SHEET -MARATHA SITE'!$F$14/'MARATHA QTY DISTRIBUATION'!$AC$146*'MARATHA QTY DISTRIBUATION'!Y145)</f>
        <v>0</v>
      </c>
      <c r="AD14" s="686">
        <f>('MASTER SHEET -MARATHA SITE'!$F$14/'MARATHA QTY DISTRIBUATION'!$AC$146*'MARATHA QTY DISTRIBUATION'!Z145)</f>
        <v>0</v>
      </c>
      <c r="AE14" s="686">
        <f>('MASTER SHEET -MARATHA SITE'!$F$14/'MARATHA QTY DISTRIBUATION'!$AC$146*'MARATHA QTY DISTRIBUATION'!AA145)</f>
        <v>0</v>
      </c>
      <c r="AF14" s="686">
        <f>('MASTER SHEET -MARATHA SITE'!$F$14/'MARATHA QTY DISTRIBUATION'!$AC$146*'MARATHA QTY DISTRIBUATION'!AB145)</f>
        <v>0</v>
      </c>
      <c r="AG14" s="560">
        <f t="shared" si="1"/>
        <v>0</v>
      </c>
    </row>
    <row r="15" spans="1:37">
      <c r="A15" s="196" t="s">
        <v>2</v>
      </c>
      <c r="B15" s="199" t="s">
        <v>17</v>
      </c>
      <c r="C15" s="1132"/>
      <c r="D15" s="115">
        <f t="shared" si="0"/>
        <v>9.9999999999999985E-3</v>
      </c>
      <c r="E15" s="1132"/>
      <c r="F15" s="118">
        <v>0.01</v>
      </c>
      <c r="G15" s="1143"/>
      <c r="H15" s="118">
        <f>D15-F15</f>
        <v>0</v>
      </c>
      <c r="I15" s="640" t="s">
        <v>75</v>
      </c>
      <c r="J15" s="198">
        <f>('MASTER SHEET -MARATHA SITE'!$F$14/'MARATHA QTY DISTRIBUATION'!$AC$146*'MARATHA QTY DISTRIBUATION'!F145)</f>
        <v>0</v>
      </c>
      <c r="K15" s="198">
        <f>('MASTER SHEET -MARATHA SITE'!$F$14/'MARATHA QTY DISTRIBUATION'!$AC$146*'MARATHA QTY DISTRIBUATION'!G145)</f>
        <v>0</v>
      </c>
      <c r="L15" s="19">
        <f>('MASTER SHEET -MARATHA SITE'!$F$14/'MARATHA QTY DISTRIBUATION'!$AC$146*'MARATHA QTY DISTRIBUATION'!H145)</f>
        <v>0</v>
      </c>
      <c r="M15" s="19">
        <f>('MASTER SHEET -MARATHA SITE'!$F$14/'MARATHA QTY DISTRIBUATION'!$AC$146*'MARATHA QTY DISTRIBUATION'!I145)</f>
        <v>0</v>
      </c>
      <c r="N15" s="19">
        <f>('MASTER SHEET -MARATHA SITE'!$F$14/'MARATHA QTY DISTRIBUATION'!$AC$146*'MARATHA QTY DISTRIBUATION'!J145)</f>
        <v>0</v>
      </c>
      <c r="O15" s="19">
        <f>('MASTER SHEET -MARATHA SITE'!$F$14/'MARATHA QTY DISTRIBUATION'!$AC$146*'MARATHA QTY DISTRIBUATION'!K145)</f>
        <v>1.9134178426213823E-5</v>
      </c>
      <c r="P15" s="19">
        <f>('MASTER SHEET -MARATHA SITE'!$F$14/'MARATHA QTY DISTRIBUATION'!$AC$146*'MARATHA QTY DISTRIBUATION'!L145)</f>
        <v>3.8268356852427647E-5</v>
      </c>
      <c r="Q15" s="19">
        <f>('MASTER SHEET -MARATHA SITE'!$F$14/'MARATHA QTY DISTRIBUATION'!$AC$146*'MARATHA QTY DISTRIBUATION'!M145)</f>
        <v>7.2183688112891647E-4</v>
      </c>
      <c r="R15" s="19">
        <f>('MASTER SHEET -MARATHA SITE'!$F$14/'MARATHA QTY DISTRIBUATION'!$AC$146*'MARATHA QTY DISTRIBUATION'!N145)</f>
        <v>6.4290839512078448E-4</v>
      </c>
      <c r="S15" s="19">
        <f>('MASTER SHEET -MARATHA SITE'!$F$14/'MARATHA QTY DISTRIBUATION'!$AC$146*'MARATHA QTY DISTRIBUATION'!O145)</f>
        <v>1.6407558000478353E-4</v>
      </c>
      <c r="T15" s="19">
        <f>('MASTER SHEET -MARATHA SITE'!$F$14/'MARATHA QTY DISTRIBUATION'!$AC$146*'MARATHA QTY DISTRIBUATION'!P145)</f>
        <v>3.3245635015546519E-4</v>
      </c>
      <c r="U15" s="19">
        <f>('MASTER SHEET -MARATHA SITE'!$F$14/'MARATHA QTY DISTRIBUATION'!$AC$146*'MARATHA QTY DISTRIBUATION'!Q145)</f>
        <v>6.6108586462568762E-4</v>
      </c>
      <c r="V15" s="19">
        <f>('MASTER SHEET -MARATHA SITE'!$F$14/'MARATHA QTY DISTRIBUATION'!$AC$146*'MARATHA QTY DISTRIBUATION'!R145)</f>
        <v>1.1150442477876107E-3</v>
      </c>
      <c r="W15" s="19">
        <f>('MASTER SHEET -MARATHA SITE'!$F$14/'MARATHA QTY DISTRIBUATION'!$AC$146*'MARATHA QTY DISTRIBUATION'!S145)</f>
        <v>1.7445587180100455E-3</v>
      </c>
      <c r="X15" s="19">
        <f>('MASTER SHEET -MARATHA SITE'!$F$14/'MARATHA QTY DISTRIBUATION'!$AC$146*'MARATHA QTY DISTRIBUATION'!T145)</f>
        <v>2.3161922984931832E-3</v>
      </c>
      <c r="Y15" s="19">
        <f>('MASTER SHEET -MARATHA SITE'!$F$14/'MARATHA QTY DISTRIBUATION'!$AC$146*'MARATHA QTY DISTRIBUATION'!U145)</f>
        <v>1.4355417364266922E-3</v>
      </c>
      <c r="Z15" s="654">
        <f>('MASTER SHEET -MARATHA SITE'!$F$14/'MARATHA QTY DISTRIBUATION'!$AC$146*'MARATHA QTY DISTRIBUATION'!V145)</f>
        <v>8.0889739296818939E-4</v>
      </c>
      <c r="AA15" s="19">
        <f>('MASTER SHEET -MARATHA SITE'!$F$14/'MARATHA QTY DISTRIBUATION'!$AC$146*'MARATHA QTY DISTRIBUATION'!W145)</f>
        <v>0</v>
      </c>
      <c r="AB15" s="19">
        <f>('MASTER SHEET -MARATHA SITE'!$F$14/'MARATHA QTY DISTRIBUATION'!$AC$146*'MARATHA QTY DISTRIBUATION'!X145)</f>
        <v>0</v>
      </c>
      <c r="AC15" s="19">
        <f>('MASTER SHEET -MARATHA SITE'!$F$14/'MARATHA QTY DISTRIBUATION'!$AC$146*'MARATHA QTY DISTRIBUATION'!Y145)</f>
        <v>0</v>
      </c>
      <c r="AD15" s="19">
        <f>('MASTER SHEET -MARATHA SITE'!$F$14/'MARATHA QTY DISTRIBUATION'!$AC$146*'MARATHA QTY DISTRIBUATION'!Z145)</f>
        <v>0</v>
      </c>
      <c r="AE15" s="19">
        <f>('MASTER SHEET -MARATHA SITE'!$F$14/'MARATHA QTY DISTRIBUATION'!$AC$146*'MARATHA QTY DISTRIBUATION'!AA145)</f>
        <v>0</v>
      </c>
      <c r="AF15" s="19">
        <f>('MASTER SHEET -MARATHA SITE'!$F$14/'MARATHA QTY DISTRIBUATION'!$AC$146*'MARATHA QTY DISTRIBUATION'!AB145)</f>
        <v>0</v>
      </c>
      <c r="AG15" s="560">
        <f t="shared" si="1"/>
        <v>0</v>
      </c>
    </row>
    <row r="16" spans="1:37">
      <c r="A16" s="196" t="s">
        <v>2</v>
      </c>
      <c r="B16" s="199" t="s">
        <v>17</v>
      </c>
      <c r="C16" s="1132"/>
      <c r="D16" s="115">
        <f t="shared" si="0"/>
        <v>1.9999999999999997E-2</v>
      </c>
      <c r="E16" s="1132"/>
      <c r="F16" s="118">
        <v>0.02</v>
      </c>
      <c r="G16" s="1143"/>
      <c r="H16" s="118">
        <f>D16-F16</f>
        <v>0</v>
      </c>
      <c r="I16" s="640" t="s">
        <v>74</v>
      </c>
      <c r="J16" s="70">
        <f>('MASTER SHEET -MARATHA SITE'!$F$16/'MARATHA QTY DISTRIBUATION'!$AC$126*'MARATHA QTY DISTRIBUATION'!F125)</f>
        <v>0</v>
      </c>
      <c r="K16" s="19">
        <f>('MASTER SHEET -MARATHA SITE'!$F$16/'MARATHA QTY DISTRIBUATION'!$AC$126*'MARATHA QTY DISTRIBUATION'!G125)</f>
        <v>0</v>
      </c>
      <c r="L16" s="19">
        <f>('MASTER SHEET -MARATHA SITE'!$F$16/'MARATHA QTY DISTRIBUATION'!$AC$126*'MARATHA QTY DISTRIBUATION'!H125)</f>
        <v>0</v>
      </c>
      <c r="M16" s="19">
        <f>('MASTER SHEET -MARATHA SITE'!$F$16/'MARATHA QTY DISTRIBUATION'!$AC$126*'MARATHA QTY DISTRIBUATION'!I125)</f>
        <v>0</v>
      </c>
      <c r="N16" s="19">
        <f>('MASTER SHEET -MARATHA SITE'!$F$16/'MARATHA QTY DISTRIBUATION'!$AC$126*'MARATHA QTY DISTRIBUATION'!J125)</f>
        <v>0</v>
      </c>
      <c r="O16" s="19">
        <f>('MASTER SHEET -MARATHA SITE'!$F$16/'MARATHA QTY DISTRIBUATION'!$AC$126*'MARATHA QTY DISTRIBUATION'!K125)</f>
        <v>0</v>
      </c>
      <c r="P16" s="19">
        <f>('MASTER SHEET -MARATHA SITE'!$F$16/'MARATHA QTY DISTRIBUATION'!$AC$126*'MARATHA QTY DISTRIBUATION'!L125)</f>
        <v>0</v>
      </c>
      <c r="Q16" s="19">
        <f>('MASTER SHEET -MARATHA SITE'!$F$16/'MARATHA QTY DISTRIBUATION'!$AC$126*'MARATHA QTY DISTRIBUATION'!M125)</f>
        <v>3.8268356852427647E-5</v>
      </c>
      <c r="R16" s="19">
        <f>('MASTER SHEET -MARATHA SITE'!$F$16/'MARATHA QTY DISTRIBUATION'!$AC$126*'MARATHA QTY DISTRIBUATION'!N125)</f>
        <v>7.6536713704855293E-5</v>
      </c>
      <c r="S16" s="19">
        <f>('MASTER SHEET -MARATHA SITE'!$F$16/'MARATHA QTY DISTRIBUATION'!$AC$126*'MARATHA QTY DISTRIBUATION'!O125)</f>
        <v>1.4436737622578329E-3</v>
      </c>
      <c r="T16" s="19">
        <f>('MASTER SHEET -MARATHA SITE'!$F$16/'MARATHA QTY DISTRIBUATION'!$AC$126*'MARATHA QTY DISTRIBUATION'!P125)</f>
        <v>1.285816790241569E-3</v>
      </c>
      <c r="U16" s="19">
        <f>('MASTER SHEET -MARATHA SITE'!$F$16/'MARATHA QTY DISTRIBUATION'!$AC$126*'MARATHA QTY DISTRIBUATION'!Q125)</f>
        <v>3.2815116000956706E-4</v>
      </c>
      <c r="V16" s="19">
        <f>('MASTER SHEET -MARATHA SITE'!$F$16/'MARATHA QTY DISTRIBUATION'!$AC$126*'MARATHA QTY DISTRIBUATION'!R125)</f>
        <v>6.6491270031093037E-4</v>
      </c>
      <c r="W16" s="19">
        <f>('MASTER SHEET -MARATHA SITE'!$F$16/'MARATHA QTY DISTRIBUATION'!$AC$126*'MARATHA QTY DISTRIBUATION'!S125)</f>
        <v>1.3221717292513752E-3</v>
      </c>
      <c r="X16" s="19">
        <f>('MASTER SHEET -MARATHA SITE'!$F$16/'MARATHA QTY DISTRIBUATION'!$AC$126*'MARATHA QTY DISTRIBUATION'!T125)</f>
        <v>2.2300884955752213E-3</v>
      </c>
      <c r="Y16" s="19">
        <f>('MASTER SHEET -MARATHA SITE'!$F$16/'MARATHA QTY DISTRIBUATION'!$AC$126*'MARATHA QTY DISTRIBUATION'!U125)</f>
        <v>3.489117436020091E-3</v>
      </c>
      <c r="Z16" s="654">
        <f>('MASTER SHEET -MARATHA SITE'!$F$16/'MARATHA QTY DISTRIBUATION'!$AC$126*'MARATHA QTY DISTRIBUATION'!V125)</f>
        <v>4.6323845969863664E-3</v>
      </c>
      <c r="AA16" s="19">
        <f>('MASTER SHEET -MARATHA SITE'!$F$16/'MARATHA QTY DISTRIBUATION'!$AC$126*'MARATHA QTY DISTRIBUATION'!W125)</f>
        <v>2.8710834728533845E-3</v>
      </c>
      <c r="AB16" s="19">
        <f>('MASTER SHEET -MARATHA SITE'!$F$16/'MARATHA QTY DISTRIBUATION'!$AC$126*'MARATHA QTY DISTRIBUATION'!X125)</f>
        <v>1.6177947859363788E-3</v>
      </c>
      <c r="AC16" s="19">
        <f>('MASTER SHEET -MARATHA SITE'!$F$16/'MARATHA QTY DISTRIBUATION'!$AC$126*'MARATHA QTY DISTRIBUATION'!Y125)</f>
        <v>0</v>
      </c>
      <c r="AD16" s="19">
        <f>('MASTER SHEET -MARATHA SITE'!$F$16/'MARATHA QTY DISTRIBUATION'!$AC$126*'MARATHA QTY DISTRIBUATION'!Z125)</f>
        <v>0</v>
      </c>
      <c r="AE16" s="19">
        <f>('MASTER SHEET -MARATHA SITE'!$F$16/'MARATHA QTY DISTRIBUATION'!$AC$126*'MARATHA QTY DISTRIBUATION'!AA125)</f>
        <v>0</v>
      </c>
      <c r="AF16" s="19">
        <f>('MASTER SHEET -MARATHA SITE'!$F$16/'MARATHA QTY DISTRIBUATION'!$AC$126*'MARATHA QTY DISTRIBUATION'!AB125)</f>
        <v>0</v>
      </c>
      <c r="AG16" s="560">
        <f t="shared" si="1"/>
        <v>0</v>
      </c>
    </row>
    <row r="17" spans="1:33">
      <c r="A17" s="196" t="s">
        <v>2</v>
      </c>
      <c r="B17" s="199" t="s">
        <v>17</v>
      </c>
      <c r="C17" s="1133"/>
      <c r="D17" s="115">
        <f t="shared" si="0"/>
        <v>5.9999999999999991E-2</v>
      </c>
      <c r="E17" s="1133"/>
      <c r="F17" s="118">
        <v>6.0000000000000005E-2</v>
      </c>
      <c r="G17" s="1143"/>
      <c r="H17" s="118">
        <f t="shared" si="2"/>
        <v>0</v>
      </c>
      <c r="I17" s="629" t="s">
        <v>76</v>
      </c>
      <c r="J17" s="70">
        <f>('MASTER SHEET -MARATHA SITE'!$F$17/'MARATHA QTY DISTRIBUATION'!$AC$151*'MARATHA QTY DISTRIBUATION'!F150)</f>
        <v>0</v>
      </c>
      <c r="K17" s="70">
        <f>('MASTER SHEET -MARATHA SITE'!$F$17/'MARATHA QTY DISTRIBUATION'!$AC$151*'MARATHA QTY DISTRIBUATION'!G150)</f>
        <v>0</v>
      </c>
      <c r="L17" s="19">
        <f>('MASTER SHEET -MARATHA SITE'!$F$17/'MARATHA QTY DISTRIBUATION'!$AC$151*'MARATHA QTY DISTRIBUATION'!H150)</f>
        <v>0</v>
      </c>
      <c r="M17" s="19">
        <f>('MASTER SHEET -MARATHA SITE'!$F$17/'MARATHA QTY DISTRIBUATION'!$AC$151*'MARATHA QTY DISTRIBUATION'!I150)</f>
        <v>0</v>
      </c>
      <c r="N17" s="19">
        <f>('MASTER SHEET -MARATHA SITE'!$F$17/'MARATHA QTY DISTRIBUATION'!$AC$151*'MARATHA QTY DISTRIBUATION'!J150)</f>
        <v>0</v>
      </c>
      <c r="O17" s="19">
        <f>('MASTER SHEET -MARATHA SITE'!$F$17/'MARATHA QTY DISTRIBUATION'!$AC$151*'MARATHA QTY DISTRIBUATION'!K150)</f>
        <v>0</v>
      </c>
      <c r="P17" s="19">
        <f>('MASTER SHEET -MARATHA SITE'!$F$17/'MARATHA QTY DISTRIBUATION'!$AC$151*'MARATHA QTY DISTRIBUATION'!L150)</f>
        <v>0</v>
      </c>
      <c r="Q17" s="19">
        <f>('MASTER SHEET -MARATHA SITE'!$F$17/'MARATHA QTY DISTRIBUATION'!$AC$151*'MARATHA QTY DISTRIBUATION'!M150)</f>
        <v>5.0000000000000001E-3</v>
      </c>
      <c r="R17" s="19">
        <f>('MASTER SHEET -MARATHA SITE'!$F$17/'MARATHA QTY DISTRIBUATION'!$AC$151*'MARATHA QTY DISTRIBUATION'!N150)</f>
        <v>8.3333333333333332E-3</v>
      </c>
      <c r="S17" s="19">
        <f>('MASTER SHEET -MARATHA SITE'!$F$17/'MARATHA QTY DISTRIBUATION'!$AC$151*'MARATHA QTY DISTRIBUATION'!O150)</f>
        <v>1.0833333333333334E-2</v>
      </c>
      <c r="T17" s="19">
        <f>('MASTER SHEET -MARATHA SITE'!$F$17/'MARATHA QTY DISTRIBUATION'!$AC$151*'MARATHA QTY DISTRIBUATION'!P150)</f>
        <v>1.2500000000000001E-2</v>
      </c>
      <c r="U17" s="19">
        <f>('MASTER SHEET -MARATHA SITE'!$F$17/'MARATHA QTY DISTRIBUATION'!$AC$151*'MARATHA QTY DISTRIBUATION'!Q150)</f>
        <v>8.3333333333333332E-3</v>
      </c>
      <c r="V17" s="19">
        <f>('MASTER SHEET -MARATHA SITE'!$F$17/'MARATHA QTY DISTRIBUATION'!$AC$151*'MARATHA QTY DISTRIBUATION'!R150)</f>
        <v>8.3333333333333332E-3</v>
      </c>
      <c r="W17" s="19">
        <f>('MASTER SHEET -MARATHA SITE'!$F$17/'MARATHA QTY DISTRIBUATION'!$AC$151*'MARATHA QTY DISTRIBUATION'!S150)</f>
        <v>4.1666666666666666E-3</v>
      </c>
      <c r="X17" s="19">
        <f>('MASTER SHEET -MARATHA SITE'!$F$17/'MARATHA QTY DISTRIBUATION'!$AC$151*'MARATHA QTY DISTRIBUATION'!T150)</f>
        <v>8.3333333333333339E-4</v>
      </c>
      <c r="Y17" s="19">
        <f>('MASTER SHEET -MARATHA SITE'!$F$17/'MARATHA QTY DISTRIBUATION'!$AC$151*'MARATHA QTY DISTRIBUATION'!U150)</f>
        <v>8.3333333333333339E-4</v>
      </c>
      <c r="Z17" s="654">
        <f>('MASTER SHEET -MARATHA SITE'!$F$17/'MARATHA QTY DISTRIBUATION'!$AC$151*'MARATHA QTY DISTRIBUATION'!V150)</f>
        <v>8.3333333333333339E-4</v>
      </c>
      <c r="AA17" s="19">
        <f>('MASTER SHEET -MARATHA SITE'!$F$17/'MARATHA QTY DISTRIBUATION'!$AC$151*'MARATHA QTY DISTRIBUATION'!W150)</f>
        <v>0</v>
      </c>
      <c r="AB17" s="19">
        <f>('MASTER SHEET -MARATHA SITE'!$F$17/'MARATHA QTY DISTRIBUATION'!$AC$151*'MARATHA QTY DISTRIBUATION'!X150)</f>
        <v>0</v>
      </c>
      <c r="AC17" s="19">
        <f>('MASTER SHEET -MARATHA SITE'!$F$17/'MARATHA QTY DISTRIBUATION'!$AC$151*'MARATHA QTY DISTRIBUATION'!Y150)</f>
        <v>0</v>
      </c>
      <c r="AD17" s="19">
        <f>('MASTER SHEET -MARATHA SITE'!$F$17/'MARATHA QTY DISTRIBUATION'!$AC$151*'MARATHA QTY DISTRIBUATION'!Z150)</f>
        <v>0</v>
      </c>
      <c r="AE17" s="19">
        <f>('MASTER SHEET -MARATHA SITE'!$F$17/'MARATHA QTY DISTRIBUATION'!$AC$151*'MARATHA QTY DISTRIBUATION'!AA150)</f>
        <v>0</v>
      </c>
      <c r="AF17" s="19">
        <f>('MASTER SHEET -MARATHA SITE'!$F$17/'MARATHA QTY DISTRIBUATION'!$AC$151*'MARATHA QTY DISTRIBUATION'!AB150)</f>
        <v>0</v>
      </c>
      <c r="AG17" s="560">
        <f t="shared" si="1"/>
        <v>0</v>
      </c>
    </row>
    <row r="18" spans="1:33">
      <c r="A18" s="196" t="s">
        <v>2</v>
      </c>
      <c r="B18" s="199" t="s">
        <v>17</v>
      </c>
      <c r="C18" s="1133"/>
      <c r="D18" s="115">
        <f t="shared" si="0"/>
        <v>1.9999999999999993E-2</v>
      </c>
      <c r="E18" s="1133"/>
      <c r="F18" s="118">
        <v>0.02</v>
      </c>
      <c r="G18" s="1143"/>
      <c r="H18" s="118">
        <f t="shared" si="2"/>
        <v>0</v>
      </c>
      <c r="I18" s="629" t="s">
        <v>77</v>
      </c>
      <c r="J18" s="255">
        <f>('MASTER SHEET -MARATHA SITE'!$F$18/'MARATHA QTY DISTRIBUATION'!$AC$151*'MARATHA QTY DISTRIBUATION'!F150)</f>
        <v>0</v>
      </c>
      <c r="K18" s="255">
        <f>('MASTER SHEET -MARATHA SITE'!$F$18/'MARATHA QTY DISTRIBUATION'!$AC$151*'MARATHA QTY DISTRIBUATION'!G150)</f>
        <v>0</v>
      </c>
      <c r="L18" s="256">
        <f>('MASTER SHEET -MARATHA SITE'!$F$18/'MARATHA QTY DISTRIBUATION'!$AC$151*'MARATHA QTY DISTRIBUATION'!H150)</f>
        <v>0</v>
      </c>
      <c r="M18" s="256">
        <f>('MASTER SHEET -MARATHA SITE'!$F$18/'MARATHA QTY DISTRIBUATION'!$AC$151*'MARATHA QTY DISTRIBUATION'!I150)</f>
        <v>0</v>
      </c>
      <c r="N18" s="256">
        <f>('MASTER SHEET -MARATHA SITE'!$F$18/'MARATHA QTY DISTRIBUATION'!$AC$151*'MARATHA QTY DISTRIBUATION'!J150)</f>
        <v>0</v>
      </c>
      <c r="O18" s="256">
        <f>('MASTER SHEET -MARATHA SITE'!$F$18/'MARATHA QTY DISTRIBUATION'!$AC$151*'MARATHA QTY DISTRIBUATION'!K150)</f>
        <v>0</v>
      </c>
      <c r="P18" s="256">
        <f>('MASTER SHEET -MARATHA SITE'!$F$18/'MARATHA QTY DISTRIBUATION'!$AC$151*'MARATHA QTY DISTRIBUATION'!L150)</f>
        <v>0</v>
      </c>
      <c r="Q18" s="256">
        <f>('MASTER SHEET -MARATHA SITE'!$F$18/'MARATHA QTY DISTRIBUATION'!$AC$151*'MARATHA QTY DISTRIBUATION'!M150)</f>
        <v>1.6666666666666666E-3</v>
      </c>
      <c r="R18" s="256">
        <f>('MASTER SHEET -MARATHA SITE'!$F$18/'MARATHA QTY DISTRIBUATION'!$AC$151*'MARATHA QTY DISTRIBUATION'!N150)</f>
        <v>2.7777777777777779E-3</v>
      </c>
      <c r="S18" s="256">
        <f>('MASTER SHEET -MARATHA SITE'!$F$18/'MARATHA QTY DISTRIBUATION'!$AC$151*'MARATHA QTY DISTRIBUATION'!O150)</f>
        <v>3.6111111111111109E-3</v>
      </c>
      <c r="T18" s="256">
        <f>('MASTER SHEET -MARATHA SITE'!$F$18/'MARATHA QTY DISTRIBUATION'!$AC$151*'MARATHA QTY DISTRIBUATION'!P150)</f>
        <v>4.1666666666666666E-3</v>
      </c>
      <c r="U18" s="256">
        <f>('MASTER SHEET -MARATHA SITE'!$F$18/'MARATHA QTY DISTRIBUATION'!$AC$151*'MARATHA QTY DISTRIBUATION'!Q150)</f>
        <v>2.7777777777777779E-3</v>
      </c>
      <c r="V18" s="256">
        <f>('MASTER SHEET -MARATHA SITE'!$F$18/'MARATHA QTY DISTRIBUATION'!$AC$151*'MARATHA QTY DISTRIBUATION'!R150)</f>
        <v>2.7777777777777779E-3</v>
      </c>
      <c r="W18" s="256">
        <f>('MASTER SHEET -MARATHA SITE'!$F$18/'MARATHA QTY DISTRIBUATION'!$AC$151*'MARATHA QTY DISTRIBUATION'!S150)</f>
        <v>1.3888888888888889E-3</v>
      </c>
      <c r="X18" s="256">
        <f>('MASTER SHEET -MARATHA SITE'!$F$18/'MARATHA QTY DISTRIBUATION'!$AC$151*'MARATHA QTY DISTRIBUATION'!T150)</f>
        <v>2.7777777777777778E-4</v>
      </c>
      <c r="Y18" s="256">
        <f>('MASTER SHEET -MARATHA SITE'!$F$18/'MARATHA QTY DISTRIBUATION'!$AC$151*'MARATHA QTY DISTRIBUATION'!U150)</f>
        <v>2.7777777777777778E-4</v>
      </c>
      <c r="Z18" s="655">
        <f>('MASTER SHEET -MARATHA SITE'!$F$18/'MARATHA QTY DISTRIBUATION'!$AC$151*'MARATHA QTY DISTRIBUATION'!V150)</f>
        <v>2.7777777777777778E-4</v>
      </c>
      <c r="AA18" s="256">
        <f>('MASTER SHEET -MARATHA SITE'!$F$18/'MARATHA QTY DISTRIBUATION'!$AC$151*'MARATHA QTY DISTRIBUATION'!W150)</f>
        <v>0</v>
      </c>
      <c r="AB18" s="256">
        <f>('MASTER SHEET -MARATHA SITE'!$F$18/'MARATHA QTY DISTRIBUATION'!$AC$151*'MARATHA QTY DISTRIBUATION'!X150)</f>
        <v>0</v>
      </c>
      <c r="AC18" s="256">
        <f>('MASTER SHEET -MARATHA SITE'!$F$18/'MARATHA QTY DISTRIBUATION'!$AC$151*'MARATHA QTY DISTRIBUATION'!Y150)</f>
        <v>0</v>
      </c>
      <c r="AD18" s="256">
        <f>('MASTER SHEET -MARATHA SITE'!$F$18/'MARATHA QTY DISTRIBUATION'!$AC$151*'MARATHA QTY DISTRIBUATION'!Z150)</f>
        <v>0</v>
      </c>
      <c r="AE18" s="256">
        <f>('MASTER SHEET -MARATHA SITE'!$F$18/'MARATHA QTY DISTRIBUATION'!$AC$151*'MARATHA QTY DISTRIBUATION'!AA150)</f>
        <v>0</v>
      </c>
      <c r="AF18" s="256">
        <f>('MASTER SHEET -MARATHA SITE'!$F$18/'MARATHA QTY DISTRIBUATION'!$AC$151*'MARATHA QTY DISTRIBUATION'!AB150)</f>
        <v>0</v>
      </c>
      <c r="AG18" s="664">
        <f t="shared" si="1"/>
        <v>0</v>
      </c>
    </row>
    <row r="19" spans="1:33">
      <c r="A19" s="196" t="s">
        <v>2</v>
      </c>
      <c r="B19" s="199" t="s">
        <v>17</v>
      </c>
      <c r="C19" s="1133"/>
      <c r="D19" s="115">
        <f t="shared" si="0"/>
        <v>5.4999999999999993E-2</v>
      </c>
      <c r="E19" s="1133"/>
      <c r="F19" s="118">
        <v>5.5E-2</v>
      </c>
      <c r="G19" s="1143"/>
      <c r="H19" s="118">
        <f t="shared" si="2"/>
        <v>0</v>
      </c>
      <c r="I19" s="629" t="s">
        <v>78</v>
      </c>
      <c r="J19" s="70">
        <f>('MASTER SHEET -MARATHA SITE'!$F$19/'MARATHA QTY DISTRIBUATION'!$AC$131*'MARATHA QTY DISTRIBUATION'!F130)</f>
        <v>0</v>
      </c>
      <c r="K19" s="70">
        <f>('MASTER SHEET -MARATHA SITE'!$F$19/'MARATHA QTY DISTRIBUATION'!$AC$131*'MARATHA QTY DISTRIBUATION'!G130)</f>
        <v>0</v>
      </c>
      <c r="L19" s="19">
        <f>('MASTER SHEET -MARATHA SITE'!$F$19/'MARATHA QTY DISTRIBUATION'!$AC$131*'MARATHA QTY DISTRIBUATION'!H130)</f>
        <v>0</v>
      </c>
      <c r="M19" s="19">
        <f>('MASTER SHEET -MARATHA SITE'!$F$19/'MARATHA QTY DISTRIBUATION'!$AC$131*'MARATHA QTY DISTRIBUATION'!I130)</f>
        <v>0</v>
      </c>
      <c r="N19" s="19">
        <f>('MASTER SHEET -MARATHA SITE'!$F$19/'MARATHA QTY DISTRIBUATION'!$AC$131*'MARATHA QTY DISTRIBUATION'!J130)</f>
        <v>0</v>
      </c>
      <c r="O19" s="19">
        <f>('MASTER SHEET -MARATHA SITE'!$F$19/'MARATHA QTY DISTRIBUATION'!$AC$131*'MARATHA QTY DISTRIBUATION'!K130)</f>
        <v>0</v>
      </c>
      <c r="P19" s="19">
        <f>('MASTER SHEET -MARATHA SITE'!$F$19/'MARATHA QTY DISTRIBUATION'!$AC$131*'MARATHA QTY DISTRIBUATION'!L130)</f>
        <v>0</v>
      </c>
      <c r="Q19" s="19">
        <f>('MASTER SHEET -MARATHA SITE'!$F$19/'MARATHA QTY DISTRIBUATION'!$AC$131*'MARATHA QTY DISTRIBUATION'!M130)</f>
        <v>0</v>
      </c>
      <c r="R19" s="19">
        <f>('MASTER SHEET -MARATHA SITE'!$F$19/'MARATHA QTY DISTRIBUATION'!$AC$131*'MARATHA QTY DISTRIBUATION'!N130)</f>
        <v>5.4896232730813703E-4</v>
      </c>
      <c r="S19" s="19">
        <f>('MASTER SHEET -MARATHA SITE'!$F$19/'MARATHA QTY DISTRIBUATION'!$AC$131*'MARATHA QTY DISTRIBUATION'!O130)</f>
        <v>1.0979246546162741E-3</v>
      </c>
      <c r="T19" s="19">
        <f>('MASTER SHEET -MARATHA SITE'!$F$19/'MARATHA QTY DISTRIBUATION'!$AC$131*'MARATHA QTY DISTRIBUATION'!P130)</f>
        <v>3.2971212951128964E-3</v>
      </c>
      <c r="U19" s="19">
        <f>('MASTER SHEET -MARATHA SITE'!$F$19/'MARATHA QTY DISTRIBUATION'!$AC$131*'MARATHA QTY DISTRIBUATION'!Q130)</f>
        <v>5.4996652668735926E-3</v>
      </c>
      <c r="V19" s="19">
        <f>('MASTER SHEET -MARATHA SITE'!$F$19/'MARATHA QTY DISTRIBUATION'!$AC$131*'MARATHA QTY DISTRIBUATION'!R130)</f>
        <v>1.0447020875174974E-2</v>
      </c>
      <c r="W19" s="19">
        <f>('MASTER SHEET -MARATHA SITE'!$F$19/'MARATHA QTY DISTRIBUATION'!$AC$131*'MARATHA QTY DISTRIBUATION'!S130)</f>
        <v>1.1548292861055322E-2</v>
      </c>
      <c r="X19" s="19">
        <f>('MASTER SHEET -MARATHA SITE'!$F$19/'MARATHA QTY DISTRIBUATION'!$AC$131*'MARATHA QTY DISTRIBUATION'!T130)</f>
        <v>7.1498995800620777E-3</v>
      </c>
      <c r="Y19" s="19">
        <f>('MASTER SHEET -MARATHA SITE'!$F$19/'MARATHA QTY DISTRIBUATION'!$AC$131*'MARATHA QTY DISTRIBUATION'!U130)</f>
        <v>5.4996652668735926E-3</v>
      </c>
      <c r="Z19" s="654">
        <f>('MASTER SHEET -MARATHA SITE'!$F$19/'MARATHA QTY DISTRIBUATION'!$AC$131*'MARATHA QTY DISTRIBUATION'!V130)</f>
        <v>4.3983932809932447E-3</v>
      </c>
      <c r="AA19" s="19">
        <f>('MASTER SHEET -MARATHA SITE'!$F$19/'MARATHA QTY DISTRIBUATION'!$AC$131*'MARATHA QTY DISTRIBUATION'!W130)</f>
        <v>3.2971212951128964E-3</v>
      </c>
      <c r="AB19" s="19">
        <f>('MASTER SHEET -MARATHA SITE'!$F$19/'MARATHA QTY DISTRIBUATION'!$AC$131*'MARATHA QTY DISTRIBUATION'!X130)</f>
        <v>2.2159332968169922E-3</v>
      </c>
      <c r="AC19" s="19">
        <f>('MASTER SHEET -MARATHA SITE'!$F$19/'MARATHA QTY DISTRIBUATION'!$AC$131*'MARATHA QTY DISTRIBUATION'!Y130)</f>
        <v>0</v>
      </c>
      <c r="AD19" s="19">
        <f>('MASTER SHEET -MARATHA SITE'!$F$19/'MARATHA QTY DISTRIBUATION'!$AC$131*'MARATHA QTY DISTRIBUATION'!Z130)</f>
        <v>0</v>
      </c>
      <c r="AE19" s="19">
        <f>('MASTER SHEET -MARATHA SITE'!$F$19/'MARATHA QTY DISTRIBUATION'!$AC$131*'MARATHA QTY DISTRIBUATION'!AA130)</f>
        <v>0</v>
      </c>
      <c r="AF19" s="19">
        <f>('MASTER SHEET -MARATHA SITE'!$F$19/'MARATHA QTY DISTRIBUATION'!$AC$131*'MARATHA QTY DISTRIBUATION'!AB130)</f>
        <v>0</v>
      </c>
      <c r="AG19" s="560">
        <f t="shared" si="1"/>
        <v>0</v>
      </c>
    </row>
    <row r="20" spans="1:33">
      <c r="A20" s="196" t="s">
        <v>2</v>
      </c>
      <c r="B20" s="199" t="s">
        <v>17</v>
      </c>
      <c r="C20" s="1133"/>
      <c r="D20" s="115">
        <f t="shared" si="0"/>
        <v>3.0000000000000002E-2</v>
      </c>
      <c r="E20" s="1133"/>
      <c r="F20" s="118">
        <v>3.0000000000000002E-2</v>
      </c>
      <c r="G20" s="1143"/>
      <c r="H20" s="118">
        <f t="shared" si="2"/>
        <v>0</v>
      </c>
      <c r="I20" s="629" t="s">
        <v>79</v>
      </c>
      <c r="J20" s="70">
        <f>('MASTER SHEET -MARATHA SITE'!$F$20/'MARATHA QTY DISTRIBUATION'!$AC$156*'MARATHA QTY DISTRIBUATION'!F155)</f>
        <v>0</v>
      </c>
      <c r="K20" s="70">
        <f>('MASTER SHEET -MARATHA SITE'!$F$20/'MARATHA QTY DISTRIBUATION'!$AC$156*'MARATHA QTY DISTRIBUATION'!G155)</f>
        <v>0</v>
      </c>
      <c r="L20" s="19">
        <f>('MASTER SHEET -MARATHA SITE'!$F$20/'MARATHA QTY DISTRIBUATION'!$AC$156*'MARATHA QTY DISTRIBUATION'!H155)</f>
        <v>0</v>
      </c>
      <c r="M20" s="19">
        <f>('MASTER SHEET -MARATHA SITE'!$F$20/'MARATHA QTY DISTRIBUATION'!$AC$156*'MARATHA QTY DISTRIBUATION'!I155)</f>
        <v>0</v>
      </c>
      <c r="N20" s="19">
        <f>('MASTER SHEET -MARATHA SITE'!$F$20/'MARATHA QTY DISTRIBUATION'!$AC$156*'MARATHA QTY DISTRIBUATION'!J155)</f>
        <v>0</v>
      </c>
      <c r="O20" s="19">
        <f>('MASTER SHEET -MARATHA SITE'!$F$20/'MARATHA QTY DISTRIBUATION'!$AC$156*'MARATHA QTY DISTRIBUATION'!K155)</f>
        <v>0</v>
      </c>
      <c r="P20" s="19">
        <f>('MASTER SHEET -MARATHA SITE'!$F$20/'MARATHA QTY DISTRIBUATION'!$AC$156*'MARATHA QTY DISTRIBUATION'!L155)</f>
        <v>0</v>
      </c>
      <c r="Q20" s="19">
        <f>('MASTER SHEET -MARATHA SITE'!$F$20/'MARATHA QTY DISTRIBUATION'!$AC$156*'MARATHA QTY DISTRIBUATION'!M155)</f>
        <v>0</v>
      </c>
      <c r="R20" s="19">
        <f>('MASTER SHEET -MARATHA SITE'!$F$20/'MARATHA QTY DISTRIBUATION'!$AC$156*'MARATHA QTY DISTRIBUATION'!N155)</f>
        <v>2.7777777777777779E-3</v>
      </c>
      <c r="S20" s="19">
        <f>('MASTER SHEET -MARATHA SITE'!$F$20/'MARATHA QTY DISTRIBUATION'!$AC$156*'MARATHA QTY DISTRIBUATION'!O155)</f>
        <v>3.8888888888888888E-3</v>
      </c>
      <c r="T20" s="19">
        <f>('MASTER SHEET -MARATHA SITE'!$F$20/'MARATHA QTY DISTRIBUATION'!$AC$156*'MARATHA QTY DISTRIBUATION'!P155)</f>
        <v>4.4444444444444444E-3</v>
      </c>
      <c r="U20" s="19">
        <f>('MASTER SHEET -MARATHA SITE'!$F$20/'MARATHA QTY DISTRIBUATION'!$AC$156*'MARATHA QTY DISTRIBUATION'!Q155)</f>
        <v>6.1111111111111114E-3</v>
      </c>
      <c r="V20" s="19">
        <f>('MASTER SHEET -MARATHA SITE'!$F$20/'MARATHA QTY DISTRIBUATION'!$AC$156*'MARATHA QTY DISTRIBUATION'!R155)</f>
        <v>5.0000000000000001E-3</v>
      </c>
      <c r="W20" s="19">
        <f>('MASTER SHEET -MARATHA SITE'!$F$20/'MARATHA QTY DISTRIBUATION'!$AC$156*'MARATHA QTY DISTRIBUATION'!S155)</f>
        <v>3.3333333333333331E-3</v>
      </c>
      <c r="X20" s="19">
        <f>('MASTER SHEET -MARATHA SITE'!$F$20/'MARATHA QTY DISTRIBUATION'!$AC$156*'MARATHA QTY DISTRIBUATION'!T155)</f>
        <v>2.2222222222222222E-3</v>
      </c>
      <c r="Y20" s="19">
        <f>('MASTER SHEET -MARATHA SITE'!$F$20/'MARATHA QTY DISTRIBUATION'!$AC$156*'MARATHA QTY DISTRIBUATION'!U155)</f>
        <v>1.6666666666666666E-3</v>
      </c>
      <c r="Z20" s="654">
        <f>('MASTER SHEET -MARATHA SITE'!$F$20/'MARATHA QTY DISTRIBUATION'!$AC$156*'MARATHA QTY DISTRIBUATION'!V155)</f>
        <v>5.5555555555555556E-4</v>
      </c>
      <c r="AA20" s="19">
        <f>('MASTER SHEET -MARATHA SITE'!$F$20/'MARATHA QTY DISTRIBUATION'!$AC$156*'MARATHA QTY DISTRIBUATION'!W155)</f>
        <v>0</v>
      </c>
      <c r="AB20" s="19">
        <f>('MASTER SHEET -MARATHA SITE'!$F$20/'MARATHA QTY DISTRIBUATION'!$AC$156*'MARATHA QTY DISTRIBUATION'!X155)</f>
        <v>0</v>
      </c>
      <c r="AC20" s="19">
        <f>('MASTER SHEET -MARATHA SITE'!$F$20/'MARATHA QTY DISTRIBUATION'!$AC$156*'MARATHA QTY DISTRIBUATION'!Y155)</f>
        <v>0</v>
      </c>
      <c r="AD20" s="19">
        <f>('MASTER SHEET -MARATHA SITE'!$F$20/'MARATHA QTY DISTRIBUATION'!$AC$156*'MARATHA QTY DISTRIBUATION'!Z155)</f>
        <v>0</v>
      </c>
      <c r="AE20" s="19">
        <f>('MASTER SHEET -MARATHA SITE'!$F$20/'MARATHA QTY DISTRIBUATION'!$AC$156*'MARATHA QTY DISTRIBUATION'!AA155)</f>
        <v>0</v>
      </c>
      <c r="AF20" s="19">
        <f>('MASTER SHEET -MARATHA SITE'!$F$20/'MARATHA QTY DISTRIBUATION'!$AC$156*'MARATHA QTY DISTRIBUATION'!AB155)</f>
        <v>0</v>
      </c>
      <c r="AG20" s="560">
        <f t="shared" si="1"/>
        <v>0</v>
      </c>
    </row>
    <row r="21" spans="1:33">
      <c r="A21" s="196" t="s">
        <v>2</v>
      </c>
      <c r="B21" s="199" t="s">
        <v>17</v>
      </c>
      <c r="C21" s="1133"/>
      <c r="D21" s="115">
        <f t="shared" si="0"/>
        <v>1.001E-2</v>
      </c>
      <c r="E21" s="1133"/>
      <c r="F21" s="118">
        <v>1.001E-2</v>
      </c>
      <c r="G21" s="1143"/>
      <c r="H21" s="118">
        <f t="shared" si="2"/>
        <v>0</v>
      </c>
      <c r="I21" s="629" t="s">
        <v>80</v>
      </c>
      <c r="J21" s="70">
        <f>('MASTER SHEET -MARATHA SITE'!$F$21/'MARATHA QTY DISTRIBUATION'!$AC$156*'MARATHA QTY DISTRIBUATION'!F155)</f>
        <v>0</v>
      </c>
      <c r="K21" s="70">
        <f>('MASTER SHEET -MARATHA SITE'!$F$21/'MARATHA QTY DISTRIBUATION'!$AC$156*'MARATHA QTY DISTRIBUATION'!G155)</f>
        <v>0</v>
      </c>
      <c r="L21" s="19">
        <f>('MASTER SHEET -MARATHA SITE'!$F$21/'MARATHA QTY DISTRIBUATION'!$AC$156*'MARATHA QTY DISTRIBUATION'!H155)</f>
        <v>0</v>
      </c>
      <c r="M21" s="19">
        <f>('MASTER SHEET -MARATHA SITE'!$F$21/'MARATHA QTY DISTRIBUATION'!$AC$156*'MARATHA QTY DISTRIBUATION'!I155)</f>
        <v>0</v>
      </c>
      <c r="N21" s="19">
        <f>('MASTER SHEET -MARATHA SITE'!$F$21/'MARATHA QTY DISTRIBUATION'!$AC$156*'MARATHA QTY DISTRIBUATION'!J155)</f>
        <v>0</v>
      </c>
      <c r="O21" s="19">
        <f>('MASTER SHEET -MARATHA SITE'!$F$21/'MARATHA QTY DISTRIBUATION'!$AC$156*'MARATHA QTY DISTRIBUATION'!K155)</f>
        <v>0</v>
      </c>
      <c r="P21" s="19">
        <f>('MASTER SHEET -MARATHA SITE'!$F$21/'MARATHA QTY DISTRIBUATION'!$AC$156*'MARATHA QTY DISTRIBUATION'!L155)</f>
        <v>0</v>
      </c>
      <c r="Q21" s="19">
        <f>('MASTER SHEET -MARATHA SITE'!$F$21/'MARATHA QTY DISTRIBUATION'!$AC$156*'MARATHA QTY DISTRIBUATION'!M155)</f>
        <v>0</v>
      </c>
      <c r="R21" s="19">
        <f>('MASTER SHEET -MARATHA SITE'!$F$21/'MARATHA QTY DISTRIBUATION'!$AC$156*'MARATHA QTY DISTRIBUATION'!N155)</f>
        <v>9.2685185185185177E-4</v>
      </c>
      <c r="S21" s="19">
        <f>('MASTER SHEET -MARATHA SITE'!$F$21/'MARATHA QTY DISTRIBUATION'!$AC$156*'MARATHA QTY DISTRIBUATION'!O155)</f>
        <v>1.2975925925925924E-3</v>
      </c>
      <c r="T21" s="19">
        <f>('MASTER SHEET -MARATHA SITE'!$F$21/'MARATHA QTY DISTRIBUATION'!$AC$156*'MARATHA QTY DISTRIBUATION'!P155)</f>
        <v>1.4829629629629628E-3</v>
      </c>
      <c r="U21" s="19">
        <f>('MASTER SHEET -MARATHA SITE'!$F$21/'MARATHA QTY DISTRIBUATION'!$AC$156*'MARATHA QTY DISTRIBUATION'!Q155)</f>
        <v>2.0390740740740738E-3</v>
      </c>
      <c r="V21" s="19">
        <f>('MASTER SHEET -MARATHA SITE'!$F$21/'MARATHA QTY DISTRIBUATION'!$AC$156*'MARATHA QTY DISTRIBUATION'!R155)</f>
        <v>1.6683333333333333E-3</v>
      </c>
      <c r="W21" s="19">
        <f>('MASTER SHEET -MARATHA SITE'!$F$21/'MARATHA QTY DISTRIBUATION'!$AC$156*'MARATHA QTY DISTRIBUATION'!S155)</f>
        <v>1.1122222222222221E-3</v>
      </c>
      <c r="X21" s="19">
        <f>('MASTER SHEET -MARATHA SITE'!$F$21/'MARATHA QTY DISTRIBUATION'!$AC$156*'MARATHA QTY DISTRIBUATION'!T155)</f>
        <v>7.4148148148148142E-4</v>
      </c>
      <c r="Y21" s="19">
        <f>('MASTER SHEET -MARATHA SITE'!$F$21/'MARATHA QTY DISTRIBUATION'!$AC$156*'MARATHA QTY DISTRIBUATION'!U155)</f>
        <v>5.5611111111111106E-4</v>
      </c>
      <c r="Z21" s="654">
        <f>('MASTER SHEET -MARATHA SITE'!$F$21/'MARATHA QTY DISTRIBUATION'!$AC$156*'MARATHA QTY DISTRIBUATION'!V155)</f>
        <v>1.8537037037037035E-4</v>
      </c>
      <c r="AA21" s="19">
        <f>('MASTER SHEET -MARATHA SITE'!$F$21/'MARATHA QTY DISTRIBUATION'!$AC$156*'MARATHA QTY DISTRIBUATION'!W155)</f>
        <v>0</v>
      </c>
      <c r="AB21" s="19">
        <f>('MASTER SHEET -MARATHA SITE'!$F$21/'MARATHA QTY DISTRIBUATION'!$AC$156*'MARATHA QTY DISTRIBUATION'!X155)</f>
        <v>0</v>
      </c>
      <c r="AC21" s="19">
        <f>('MASTER SHEET -MARATHA SITE'!$F$21/'MARATHA QTY DISTRIBUATION'!$AC$156*'MARATHA QTY DISTRIBUATION'!Y155)</f>
        <v>0</v>
      </c>
      <c r="AD21" s="19">
        <f>('MASTER SHEET -MARATHA SITE'!$F$21/'MARATHA QTY DISTRIBUATION'!$AC$156*'MARATHA QTY DISTRIBUATION'!Z155)</f>
        <v>0</v>
      </c>
      <c r="AE21" s="19">
        <f>('MASTER SHEET -MARATHA SITE'!$F$21/'MARATHA QTY DISTRIBUATION'!$AC$156*'MARATHA QTY DISTRIBUATION'!AA155)</f>
        <v>0</v>
      </c>
      <c r="AF21" s="19">
        <f>('MASTER SHEET -MARATHA SITE'!$F$21/'MARATHA QTY DISTRIBUATION'!$AC$156*'MARATHA QTY DISTRIBUATION'!AB155)</f>
        <v>0</v>
      </c>
      <c r="AG21" s="560">
        <f t="shared" si="1"/>
        <v>0</v>
      </c>
    </row>
    <row r="22" spans="1:33">
      <c r="A22" s="196" t="s">
        <v>2</v>
      </c>
      <c r="B22" s="199" t="s">
        <v>17</v>
      </c>
      <c r="C22" s="1133"/>
      <c r="D22" s="115">
        <f t="shared" si="0"/>
        <v>1.9989999999999997E-2</v>
      </c>
      <c r="E22" s="1133"/>
      <c r="F22" s="118">
        <v>1.9989999999999997E-2</v>
      </c>
      <c r="G22" s="1143"/>
      <c r="H22" s="118">
        <f t="shared" si="2"/>
        <v>0</v>
      </c>
      <c r="I22" s="629" t="s">
        <v>81</v>
      </c>
      <c r="J22" s="70">
        <f>('MASTER SHEET -MARATHA SITE'!$F$22/'MARATHA QTY DISTRIBUATION'!$AC$136*'MARATHA QTY DISTRIBUATION'!F135)</f>
        <v>0</v>
      </c>
      <c r="K22" s="70">
        <f>('MASTER SHEET -MARATHA SITE'!$F$22/'MARATHA QTY DISTRIBUATION'!$AC$136*'MARATHA QTY DISTRIBUATION'!G135)</f>
        <v>0</v>
      </c>
      <c r="L22" s="19">
        <f>('MASTER SHEET -MARATHA SITE'!$F$22/'MARATHA QTY DISTRIBUATION'!$AC$136*'MARATHA QTY DISTRIBUATION'!H135)</f>
        <v>0</v>
      </c>
      <c r="M22" s="19">
        <f>('MASTER SHEET -MARATHA SITE'!$F$22/'MARATHA QTY DISTRIBUATION'!$AC$136*'MARATHA QTY DISTRIBUATION'!I135)</f>
        <v>0</v>
      </c>
      <c r="N22" s="19">
        <f>('MASTER SHEET -MARATHA SITE'!$F$22/'MARATHA QTY DISTRIBUATION'!$AC$136*'MARATHA QTY DISTRIBUATION'!J135)</f>
        <v>0</v>
      </c>
      <c r="O22" s="19">
        <f>('MASTER SHEET -MARATHA SITE'!$F$22/'MARATHA QTY DISTRIBUATION'!$AC$136*'MARATHA QTY DISTRIBUATION'!K135)</f>
        <v>0</v>
      </c>
      <c r="P22" s="19">
        <f>('MASTER SHEET -MARATHA SITE'!$F$22/'MARATHA QTY DISTRIBUATION'!$AC$136*'MARATHA QTY DISTRIBUATION'!L135)</f>
        <v>0</v>
      </c>
      <c r="Q22" s="19">
        <f>('MASTER SHEET -MARATHA SITE'!$F$22/'MARATHA QTY DISTRIBUATION'!$AC$136*'MARATHA QTY DISTRIBUATION'!M135)</f>
        <v>0</v>
      </c>
      <c r="R22" s="19">
        <f>('MASTER SHEET -MARATHA SITE'!$F$22/'MARATHA QTY DISTRIBUATION'!$AC$136*'MARATHA QTY DISTRIBUATION'!N135)</f>
        <v>0</v>
      </c>
      <c r="S22" s="19">
        <f>('MASTER SHEET -MARATHA SITE'!$F$22/'MARATHA QTY DISTRIBUATION'!$AC$136*'MARATHA QTY DISTRIBUATION'!O135)</f>
        <v>0</v>
      </c>
      <c r="T22" s="19">
        <f>('MASTER SHEET -MARATHA SITE'!$F$22/'MARATHA QTY DISTRIBUATION'!$AC$136*'MARATHA QTY DISTRIBUATION'!P135)</f>
        <v>7.4037037037037029E-4</v>
      </c>
      <c r="U22" s="19">
        <f>('MASTER SHEET -MARATHA SITE'!$F$22/'MARATHA QTY DISTRIBUATION'!$AC$136*'MARATHA QTY DISTRIBUATION'!Q135)</f>
        <v>3.7018518518518515E-4</v>
      </c>
      <c r="V22" s="19">
        <f>('MASTER SHEET -MARATHA SITE'!$F$22/'MARATHA QTY DISTRIBUATION'!$AC$136*'MARATHA QTY DISTRIBUATION'!R135)</f>
        <v>2.591296296296296E-3</v>
      </c>
      <c r="W22" s="19">
        <f>('MASTER SHEET -MARATHA SITE'!$F$22/'MARATHA QTY DISTRIBUATION'!$AC$136*'MARATHA QTY DISTRIBUATION'!S135)</f>
        <v>3.3316666666666664E-3</v>
      </c>
      <c r="X22" s="19">
        <f>('MASTER SHEET -MARATHA SITE'!$F$22/'MARATHA QTY DISTRIBUATION'!$AC$136*'MARATHA QTY DISTRIBUATION'!T135)</f>
        <v>3.7018518518518516E-3</v>
      </c>
      <c r="Y22" s="19">
        <f>('MASTER SHEET -MARATHA SITE'!$F$22/'MARATHA QTY DISTRIBUATION'!$AC$136*'MARATHA QTY DISTRIBUATION'!U135)</f>
        <v>2.9614814814814812E-3</v>
      </c>
      <c r="Z22" s="654">
        <f>('MASTER SHEET -MARATHA SITE'!$F$22/'MARATHA QTY DISTRIBUATION'!$AC$136*'MARATHA QTY DISTRIBUATION'!V135)</f>
        <v>2.9614814814814812E-3</v>
      </c>
      <c r="AA22" s="19">
        <f>('MASTER SHEET -MARATHA SITE'!$F$22/'MARATHA QTY DISTRIBUATION'!$AC$136*'MARATHA QTY DISTRIBUATION'!W135)</f>
        <v>2.2211111111111108E-3</v>
      </c>
      <c r="AB22" s="19">
        <f>('MASTER SHEET -MARATHA SITE'!$F$22/'MARATHA QTY DISTRIBUATION'!$AC$136*'MARATHA QTY DISTRIBUATION'!X135)</f>
        <v>1.1105555555555554E-3</v>
      </c>
      <c r="AC22" s="19">
        <f>('MASTER SHEET -MARATHA SITE'!$F$22/'MARATHA QTY DISTRIBUATION'!$AC$136*'MARATHA QTY DISTRIBUATION'!Y135)</f>
        <v>0</v>
      </c>
      <c r="AD22" s="19">
        <f>('MASTER SHEET -MARATHA SITE'!$F$22/'MARATHA QTY DISTRIBUATION'!$AC$136*'MARATHA QTY DISTRIBUATION'!Z135)</f>
        <v>0</v>
      </c>
      <c r="AE22" s="19">
        <f>('MASTER SHEET -MARATHA SITE'!$F$22/'MARATHA QTY DISTRIBUATION'!$AC$136*'MARATHA QTY DISTRIBUATION'!AA135)</f>
        <v>0</v>
      </c>
      <c r="AF22" s="19">
        <f>('MASTER SHEET -MARATHA SITE'!$F$22/'MARATHA QTY DISTRIBUATION'!$AC$136*'MARATHA QTY DISTRIBUATION'!AB135)</f>
        <v>0</v>
      </c>
      <c r="AG22" s="560">
        <f t="shared" si="1"/>
        <v>0</v>
      </c>
    </row>
    <row r="23" spans="1:33">
      <c r="A23" s="196" t="s">
        <v>2</v>
      </c>
      <c r="B23" s="199" t="s">
        <v>17</v>
      </c>
      <c r="C23" s="1133"/>
      <c r="D23" s="115">
        <f t="shared" si="0"/>
        <v>1.0010000000000002E-2</v>
      </c>
      <c r="E23" s="1133"/>
      <c r="F23" s="115">
        <v>1.0010000000000002E-2</v>
      </c>
      <c r="G23" s="1143"/>
      <c r="H23" s="118">
        <f t="shared" si="2"/>
        <v>0</v>
      </c>
      <c r="I23" s="640" t="s">
        <v>18</v>
      </c>
      <c r="J23" s="70">
        <f>('MASTER SHEET -MARATHA SITE'!$F$23/'MARATHA QTY DISTRIBUATION'!$AC$121*'MARATHA QTY DISTRIBUATION'!F120)</f>
        <v>0</v>
      </c>
      <c r="K23" s="19">
        <f>('MASTER SHEET -MARATHA SITE'!$F$23/'MARATHA QTY DISTRIBUATION'!$AC$121*'MARATHA QTY DISTRIBUATION'!G120)</f>
        <v>0</v>
      </c>
      <c r="L23" s="19">
        <f>('MASTER SHEET -MARATHA SITE'!$F$23/'MARATHA QTY DISTRIBUATION'!$AC$121*'MARATHA QTY DISTRIBUATION'!H120)</f>
        <v>0</v>
      </c>
      <c r="M23" s="19">
        <f>('MASTER SHEET -MARATHA SITE'!$F$23/'MARATHA QTY DISTRIBUATION'!$AC$121*'MARATHA QTY DISTRIBUATION'!I120)</f>
        <v>0</v>
      </c>
      <c r="N23" s="19">
        <f>('MASTER SHEET -MARATHA SITE'!$F$23/'MARATHA QTY DISTRIBUATION'!$AC$121*'MARATHA QTY DISTRIBUATION'!J120)</f>
        <v>3.131056701030928E-4</v>
      </c>
      <c r="O23" s="19">
        <f>('MASTER SHEET -MARATHA SITE'!$F$23/'MARATHA QTY DISTRIBUATION'!$AC$121*'MARATHA QTY DISTRIBUATION'!K120)</f>
        <v>2.88479381443299E-4</v>
      </c>
      <c r="P23" s="19">
        <f>('MASTER SHEET -MARATHA SITE'!$F$23/'MARATHA QTY DISTRIBUATION'!$AC$121*'MARATHA QTY DISTRIBUATION'!L120)</f>
        <v>2.9551546391752581E-4</v>
      </c>
      <c r="Q23" s="19">
        <f>('MASTER SHEET -MARATHA SITE'!$F$23/'MARATHA QTY DISTRIBUATION'!$AC$121*'MARATHA QTY DISTRIBUATION'!M120)</f>
        <v>5.7109536082474235E-4</v>
      </c>
      <c r="R23" s="19">
        <f>('MASTER SHEET -MARATHA SITE'!$F$23/'MARATHA QTY DISTRIBUATION'!$AC$121*'MARATHA QTY DISTRIBUATION'!N120)</f>
        <v>8.3905283505154654E-4</v>
      </c>
      <c r="S23" s="19">
        <f>('MASTER SHEET -MARATHA SITE'!$F$23/'MARATHA QTY DISTRIBUATION'!$AC$121*'MARATHA QTY DISTRIBUATION'!O120)</f>
        <v>1.0841430412371136E-3</v>
      </c>
      <c r="T23" s="19">
        <f>('MASTER SHEET -MARATHA SITE'!$F$23/'MARATHA QTY DISTRIBUATION'!$AC$121*'MARATHA QTY DISTRIBUATION'!P120)</f>
        <v>1.4324291237113405E-3</v>
      </c>
      <c r="U23" s="19">
        <f>('MASTER SHEET -MARATHA SITE'!$F$23/'MARATHA QTY DISTRIBUATION'!$AC$121*'MARATHA QTY DISTRIBUATION'!Q120)</f>
        <v>1.2535953608247424E-3</v>
      </c>
      <c r="V23" s="19">
        <f>('MASTER SHEET -MARATHA SITE'!$F$23/'MARATHA QTY DISTRIBUATION'!$AC$121*'MARATHA QTY DISTRIBUATION'!R120)</f>
        <v>1.0131958762886598E-3</v>
      </c>
      <c r="W23" s="19">
        <f>('MASTER SHEET -MARATHA SITE'!$F$23/'MARATHA QTY DISTRIBUATION'!$AC$121*'MARATHA QTY DISTRIBUATION'!S120)</f>
        <v>8.2322164948453621E-4</v>
      </c>
      <c r="X23" s="19">
        <f>('MASTER SHEET -MARATHA SITE'!$F$23/'MARATHA QTY DISTRIBUATION'!$AC$121*'MARATHA QTY DISTRIBUATION'!T120)</f>
        <v>6.267976804123712E-4</v>
      </c>
      <c r="Y23" s="19">
        <f>('MASTER SHEET -MARATHA SITE'!$F$23/'MARATHA QTY DISTRIBUATION'!$AC$121*'MARATHA QTY DISTRIBUATION'!U120)</f>
        <v>5.9513530927835054E-4</v>
      </c>
      <c r="Z23" s="654">
        <f>('MASTER SHEET -MARATHA SITE'!$F$23/'MARATHA QTY DISTRIBUATION'!$AC$121*'MARATHA QTY DISTRIBUATION'!V120)</f>
        <v>6.3442010309278356E-4</v>
      </c>
      <c r="AA23" s="19">
        <f>('MASTER SHEET -MARATHA SITE'!$F$23/'MARATHA QTY DISTRIBUATION'!$AC$121*'MARATHA QTY DISTRIBUATION'!W120)</f>
        <v>2.3981314432989693E-4</v>
      </c>
      <c r="AB23" s="19">
        <f>('MASTER SHEET -MARATHA SITE'!$F$23/'MARATHA QTY DISTRIBUATION'!$AC$121*'MARATHA QTY DISTRIBUATION'!X120)</f>
        <v>0</v>
      </c>
      <c r="AC23" s="19">
        <f>('MASTER SHEET -MARATHA SITE'!$F$23/'MARATHA QTY DISTRIBUATION'!$AC$121*'MARATHA QTY DISTRIBUATION'!Y120)</f>
        <v>0</v>
      </c>
      <c r="AD23" s="19">
        <f>('MASTER SHEET -MARATHA SITE'!$F$23/'MARATHA QTY DISTRIBUATION'!$AC$121*'MARATHA QTY DISTRIBUATION'!Z120)</f>
        <v>0</v>
      </c>
      <c r="AE23" s="19">
        <f>('MASTER SHEET -MARATHA SITE'!$F$23/'MARATHA QTY DISTRIBUATION'!$AC$121*'MARATHA QTY DISTRIBUATION'!AA120)</f>
        <v>0</v>
      </c>
      <c r="AF23" s="19">
        <f>('MASTER SHEET -MARATHA SITE'!$F$23/'MARATHA QTY DISTRIBUATION'!$AC$121*'MARATHA QTY DISTRIBUATION'!AB120)</f>
        <v>0</v>
      </c>
      <c r="AG23" s="560">
        <f t="shared" si="1"/>
        <v>0</v>
      </c>
    </row>
    <row r="24" spans="1:33" ht="15" thickBot="1">
      <c r="A24" s="196" t="s">
        <v>2</v>
      </c>
      <c r="B24" s="200" t="s">
        <v>17</v>
      </c>
      <c r="C24" s="1134"/>
      <c r="D24" s="183">
        <f t="shared" si="0"/>
        <v>5.0000000000000001E-3</v>
      </c>
      <c r="E24" s="1134"/>
      <c r="F24" s="192">
        <v>5.0000000000000001E-3</v>
      </c>
      <c r="G24" s="1144"/>
      <c r="H24" s="192">
        <f t="shared" si="2"/>
        <v>0</v>
      </c>
      <c r="I24" s="641" t="s">
        <v>24</v>
      </c>
      <c r="J24" s="70"/>
      <c r="K24" s="19"/>
      <c r="L24" s="19"/>
      <c r="M24" s="19"/>
      <c r="N24" s="19"/>
      <c r="O24" s="19"/>
      <c r="P24" s="19"/>
      <c r="Q24" s="19"/>
      <c r="R24" s="19"/>
      <c r="S24" s="19"/>
      <c r="T24" s="19"/>
      <c r="U24" s="19"/>
      <c r="V24" s="19"/>
      <c r="W24" s="19"/>
      <c r="X24" s="19">
        <v>1E-3</v>
      </c>
      <c r="Y24" s="19">
        <v>1E-3</v>
      </c>
      <c r="Z24" s="703">
        <v>1E-3</v>
      </c>
      <c r="AA24" s="19">
        <v>1E-3</v>
      </c>
      <c r="AB24" s="19">
        <v>1E-3</v>
      </c>
      <c r="AC24" s="19"/>
      <c r="AD24" s="19"/>
      <c r="AE24" s="19"/>
      <c r="AF24" s="71"/>
      <c r="AG24" s="560">
        <f t="shared" si="1"/>
        <v>0</v>
      </c>
    </row>
    <row r="25" spans="1:33">
      <c r="A25" s="177" t="s">
        <v>2</v>
      </c>
      <c r="B25" s="178" t="s">
        <v>19</v>
      </c>
      <c r="C25" s="1125">
        <f>SUM(D25:D34)</f>
        <v>0.41170647114888287</v>
      </c>
      <c r="D25" s="179">
        <f t="shared" si="0"/>
        <v>1.9999999999999997E-2</v>
      </c>
      <c r="E25" s="1125">
        <f>SUM(F25:F34)</f>
        <v>0.43002999999999997</v>
      </c>
      <c r="F25" s="180">
        <v>0.02</v>
      </c>
      <c r="G25" s="1142">
        <f>C25-E25</f>
        <v>-1.8323528851117099E-2</v>
      </c>
      <c r="H25" s="180">
        <f>D25-F25</f>
        <v>0</v>
      </c>
      <c r="I25" s="642" t="s">
        <v>83</v>
      </c>
      <c r="J25" s="328">
        <f>('MASTER SHEET -MARATHA SITE'!$F$25/'MARATHA QTY DISTRIBUATION'!$AC$34*'MARATHA QTY DISTRIBUATION'!F33)</f>
        <v>0</v>
      </c>
      <c r="K25" s="329">
        <f>('MASTER SHEET -MARATHA SITE'!$F$25/'MARATHA QTY DISTRIBUATION'!$AC$34*'MARATHA QTY DISTRIBUATION'!G33)</f>
        <v>0</v>
      </c>
      <c r="L25" s="329">
        <f>('MASTER SHEET -MARATHA SITE'!$F$25/'MARATHA QTY DISTRIBUATION'!$AC$34*'MARATHA QTY DISTRIBUATION'!H33)</f>
        <v>1.2949039915987129E-3</v>
      </c>
      <c r="M25" s="329">
        <f>('MASTER SHEET -MARATHA SITE'!$F$25/'MARATHA QTY DISTRIBUATION'!$AC$34*'MARATHA QTY DISTRIBUATION'!I33)</f>
        <v>1.9240132462650698E-3</v>
      </c>
      <c r="N25" s="329">
        <f>('MASTER SHEET -MARATHA SITE'!$F$25/'MARATHA QTY DISTRIBUATION'!$AC$34*'MARATHA QTY DISTRIBUATION'!J33)</f>
        <v>7.1129304893250962E-4</v>
      </c>
      <c r="O25" s="329">
        <f>('MASTER SHEET -MARATHA SITE'!$F$25/'MARATHA QTY DISTRIBUATION'!$AC$34*'MARATHA QTY DISTRIBUATION'!K33)</f>
        <v>2.633560357231379E-4</v>
      </c>
      <c r="P25" s="329">
        <f>('MASTER SHEET -MARATHA SITE'!$F$25/'MARATHA QTY DISTRIBUATION'!$AC$34*'MARATHA QTY DISTRIBUATION'!L33)</f>
        <v>2.0542830820169947E-4</v>
      </c>
      <c r="Q25" s="329">
        <f>('MASTER SHEET -MARATHA SITE'!$F$25/'MARATHA QTY DISTRIBUATION'!$AC$34*'MARATHA QTY DISTRIBUATION'!M33)</f>
        <v>6.4738964087199182E-4</v>
      </c>
      <c r="R25" s="329">
        <f>('MASTER SHEET -MARATHA SITE'!$F$25/'MARATHA QTY DISTRIBUATION'!$AC$34*'MARATHA QTY DISTRIBUATION'!N33)</f>
        <v>1.3184376319706776E-3</v>
      </c>
      <c r="S25" s="329">
        <f>('MASTER SHEET -MARATHA SITE'!$F$25/'MARATHA QTY DISTRIBUATION'!$AC$34*'MARATHA QTY DISTRIBUATION'!O33)</f>
        <v>1.0618346348810939E-3</v>
      </c>
      <c r="T25" s="329">
        <f>('MASTER SHEET -MARATHA SITE'!$F$25/'MARATHA QTY DISTRIBUATION'!$AC$34*'MARATHA QTY DISTRIBUATION'!P33)</f>
        <v>2.1895681839624753E-3</v>
      </c>
      <c r="U25" s="329">
        <f>('MASTER SHEET -MARATHA SITE'!$F$25/'MARATHA QTY DISTRIBUATION'!$AC$34*'MARATHA QTY DISTRIBUATION'!Q33)</f>
        <v>1.318094679870174E-3</v>
      </c>
      <c r="V25" s="329">
        <f>('MASTER SHEET -MARATHA SITE'!$F$25/'MARATHA QTY DISTRIBUATION'!$AC$34*'MARATHA QTY DISTRIBUATION'!R33)</f>
        <v>2.9342955985314622E-3</v>
      </c>
      <c r="W25" s="329">
        <f>('MASTER SHEET -MARATHA SITE'!$F$25/'MARATHA QTY DISTRIBUATION'!$AC$34*'MARATHA QTY DISTRIBUATION'!S33)</f>
        <v>4.6640295976075703E-3</v>
      </c>
      <c r="X25" s="329">
        <f>('MASTER SHEET -MARATHA SITE'!$F$25/'MARATHA QTY DISTRIBUATION'!$AC$34*'MARATHA QTY DISTRIBUATION'!T33)</f>
        <v>1.4673554015834241E-3</v>
      </c>
      <c r="Y25" s="329">
        <f>('MASTER SHEET -MARATHA SITE'!$F$25/'MARATHA QTY DISTRIBUATION'!$AC$34*'MARATHA QTY DISTRIBUATION'!U33)</f>
        <v>0</v>
      </c>
      <c r="Z25" s="655">
        <f>('MASTER SHEET -MARATHA SITE'!$F$25/'MARATHA QTY DISTRIBUATION'!$AC$34*'MARATHA QTY DISTRIBUATION'!V33)</f>
        <v>0</v>
      </c>
      <c r="AA25" s="329">
        <f>('MASTER SHEET -MARATHA SITE'!$F$25/'MARATHA QTY DISTRIBUATION'!$AC$34*'MARATHA QTY DISTRIBUATION'!W33)</f>
        <v>0</v>
      </c>
      <c r="AB25" s="329">
        <f>('MASTER SHEET -MARATHA SITE'!$F$25/'MARATHA QTY DISTRIBUATION'!$AC$34*'MARATHA QTY DISTRIBUATION'!X33)</f>
        <v>0</v>
      </c>
      <c r="AC25" s="329">
        <f>('MASTER SHEET -MARATHA SITE'!$F$25/'MARATHA QTY DISTRIBUATION'!$AC$34*'MARATHA QTY DISTRIBUATION'!Y33)</f>
        <v>0</v>
      </c>
      <c r="AD25" s="329">
        <f>('MASTER SHEET -MARATHA SITE'!$F$25/'MARATHA QTY DISTRIBUATION'!$AC$34*'MARATHA QTY DISTRIBUATION'!Z33)</f>
        <v>0</v>
      </c>
      <c r="AE25" s="329">
        <f>('MASTER SHEET -MARATHA SITE'!$F$25/'MARATHA QTY DISTRIBUATION'!$AC$34*'MARATHA QTY DISTRIBUATION'!AA33)</f>
        <v>0</v>
      </c>
      <c r="AF25" s="329">
        <f>('MASTER SHEET -MARATHA SITE'!$F$25/'MARATHA QTY DISTRIBUATION'!$AC$34*'MARATHA QTY DISTRIBUATION'!AB33)</f>
        <v>0</v>
      </c>
      <c r="AG25" s="560">
        <f t="shared" si="1"/>
        <v>0</v>
      </c>
    </row>
    <row r="26" spans="1:33">
      <c r="A26" s="177" t="s">
        <v>2</v>
      </c>
      <c r="B26" s="181" t="s">
        <v>19</v>
      </c>
      <c r="C26" s="1126"/>
      <c r="D26" s="115">
        <f t="shared" si="0"/>
        <v>0.1477676002296211</v>
      </c>
      <c r="E26" s="1126"/>
      <c r="F26" s="117">
        <v>0.15000999999999998</v>
      </c>
      <c r="G26" s="1143"/>
      <c r="H26" s="117">
        <f>D26-F26</f>
        <v>-2.2423997703788778E-3</v>
      </c>
      <c r="I26" s="629" t="s">
        <v>84</v>
      </c>
      <c r="J26" s="255">
        <f>('MASTER SHEET -MARATHA SITE'!$F$26/'MARATHA QTY DISTRIBUATION'!$AC$39*'MARATHA QTY DISTRIBUATION'!F38)</f>
        <v>0</v>
      </c>
      <c r="K26" s="256">
        <f>('MASTER SHEET -MARATHA SITE'!$F$26/'MARATHA QTY DISTRIBUATION'!$AC$39*'MARATHA QTY DISTRIBUATION'!G38)</f>
        <v>0</v>
      </c>
      <c r="L26" s="256">
        <f>('MASTER SHEET -MARATHA SITE'!$F$26/'MARATHA QTY DISTRIBUATION'!$AC$39*'MARATHA QTY DISTRIBUATION'!H38)</f>
        <v>0</v>
      </c>
      <c r="M26" s="256">
        <f>('MASTER SHEET -MARATHA SITE'!$F$26/'MARATHA QTY DISTRIBUATION'!$AC$39*'MARATHA QTY DISTRIBUATION'!I38)</f>
        <v>0</v>
      </c>
      <c r="N26" s="256">
        <f>('MASTER SHEET -MARATHA SITE'!$F$26/'MARATHA QTY DISTRIBUATION'!$AC$39*'MARATHA QTY DISTRIBUATION'!J38)</f>
        <v>0</v>
      </c>
      <c r="O26" s="256">
        <f>('MASTER SHEET -MARATHA SITE'!$F$26/'MARATHA QTY DISTRIBUATION'!$AC$39*'MARATHA QTY DISTRIBUATION'!K38)</f>
        <v>1.2331476463834671E-3</v>
      </c>
      <c r="P26" s="256">
        <f>('MASTER SHEET -MARATHA SITE'!$F$26/'MARATHA QTY DISTRIBUATION'!$AC$39*'MARATHA QTY DISTRIBUATION'!L38)</f>
        <v>5.7455035591274387E-3</v>
      </c>
      <c r="Q26" s="256">
        <f>('MASTER SHEET -MARATHA SITE'!$F$26/'MARATHA QTY DISTRIBUATION'!$AC$39*'MARATHA QTY DISTRIBUATION'!M38)</f>
        <v>6.4240792192881736E-3</v>
      </c>
      <c r="R26" s="256">
        <f>('MASTER SHEET -MARATHA SITE'!$F$26/'MARATHA QTY DISTRIBUATION'!$AC$39*'MARATHA QTY DISTRIBUATION'!N38)</f>
        <v>6.5842506314580931E-3</v>
      </c>
      <c r="S26" s="256">
        <f>('MASTER SHEET -MARATHA SITE'!$F$26/'MARATHA QTY DISTRIBUATION'!$AC$39*'MARATHA QTY DISTRIBUATION'!O38)</f>
        <v>6.2656300803673928E-3</v>
      </c>
      <c r="T26" s="256">
        <f>('MASTER SHEET -MARATHA SITE'!$F$26/'MARATHA QTY DISTRIBUATION'!$AC$39*'MARATHA QTY DISTRIBUATION'!P38)</f>
        <v>7.1853239954075762E-3</v>
      </c>
      <c r="U26" s="256">
        <f>('MASTER SHEET -MARATHA SITE'!$F$26/'MARATHA QTY DISTRIBUATION'!$AC$39*'MARATHA QTY DISTRIBUATION'!Q38)</f>
        <v>7.968958323765785E-3</v>
      </c>
      <c r="V26" s="256">
        <f>('MASTER SHEET -MARATHA SITE'!$F$26/'MARATHA QTY DISTRIBUATION'!$AC$39*'MARATHA QTY DISTRIBUATION'!R38)</f>
        <v>1.4864940413318022E-2</v>
      </c>
      <c r="W26" s="256">
        <f>('MASTER SHEET -MARATHA SITE'!$F$26/'MARATHA QTY DISTRIBUATION'!$AC$39*'MARATHA QTY DISTRIBUATION'!S38)</f>
        <v>1.4894219058553385E-2</v>
      </c>
      <c r="X26" s="256">
        <f>('MASTER SHEET -MARATHA SITE'!$F$26/'MARATHA QTY DISTRIBUATION'!$AC$39*'MARATHA QTY DISTRIBUATION'!T38)</f>
        <v>1.6389152238805969E-2</v>
      </c>
      <c r="Y26" s="256">
        <f>('MASTER SHEET -MARATHA SITE'!$F$26/'MARATHA QTY DISTRIBUATION'!$AC$39*'MARATHA QTY DISTRIBUATION'!U38)</f>
        <v>1.5779467508610791E-2</v>
      </c>
      <c r="Z26" s="655">
        <f>('MASTER SHEET -MARATHA SITE'!$F$26/'MARATHA QTY DISTRIBUATION'!$AC$39*'MARATHA QTY DISTRIBUATION'!V38)</f>
        <v>1.3955580137772672E-2</v>
      </c>
      <c r="AA26" s="256">
        <f>('MASTER SHEET -MARATHA SITE'!$F$26/'MARATHA QTY DISTRIBUATION'!$AC$39*'MARATHA QTY DISTRIBUATION'!W38)</f>
        <v>1.3249448105625715E-2</v>
      </c>
      <c r="AB26" s="256">
        <f>('MASTER SHEET -MARATHA SITE'!$F$26/'MARATHA QTY DISTRIBUATION'!$AC$39*'MARATHA QTY DISTRIBUATION'!X38)</f>
        <v>9.2675523536165302E-3</v>
      </c>
      <c r="AC26" s="256">
        <f>('MASTER SHEET -MARATHA SITE'!$F$26/'MARATHA QTY DISTRIBUATION'!$AC$39*'MARATHA QTY DISTRIBUATION'!Y38)</f>
        <v>4.8585328358208947E-3</v>
      </c>
      <c r="AD26" s="256">
        <f>('MASTER SHEET -MARATHA SITE'!$F$26/'MARATHA QTY DISTRIBUATION'!$AC$39*'MARATHA QTY DISTRIBUATION'!Z38)</f>
        <v>3.1018141216991959E-3</v>
      </c>
      <c r="AE26" s="256">
        <f>('MASTER SHEET -MARATHA SITE'!$F$26/'MARATHA QTY DISTRIBUATION'!$AC$39*'MARATHA QTY DISTRIBUATION'!AA38)</f>
        <v>2.2423997703788744E-3</v>
      </c>
      <c r="AF26" s="257">
        <f>('MASTER SHEET -MARATHA SITE'!$F$26/'MARATHA QTY DISTRIBUATION'!$AC$39*'MARATHA QTY DISTRIBUATION'!AB38)</f>
        <v>0</v>
      </c>
      <c r="AG26" s="560">
        <f t="shared" si="1"/>
        <v>0</v>
      </c>
    </row>
    <row r="27" spans="1:33">
      <c r="A27" s="177" t="s">
        <v>2</v>
      </c>
      <c r="B27" s="181" t="s">
        <v>19</v>
      </c>
      <c r="C27" s="1126"/>
      <c r="D27" s="115">
        <f t="shared" si="0"/>
        <v>4.0000000000000008E-2</v>
      </c>
      <c r="E27" s="1126"/>
      <c r="F27" s="117">
        <v>0.04</v>
      </c>
      <c r="G27" s="1143"/>
      <c r="H27" s="117">
        <f t="shared" ref="H27:H34" si="3">D27-F27</f>
        <v>0</v>
      </c>
      <c r="I27" s="629" t="s">
        <v>85</v>
      </c>
      <c r="J27" s="255">
        <f>('MASTER SHEET -MARATHA SITE'!$F$27/'MARATHA QTY DISTRIBUATION'!$AC$44*'MARATHA QTY DISTRIBUATION'!F43)</f>
        <v>0</v>
      </c>
      <c r="K27" s="256">
        <f>('MASTER SHEET -MARATHA SITE'!$F$27/'MARATHA QTY DISTRIBUATION'!$AC$44*'MARATHA QTY DISTRIBUATION'!G43)</f>
        <v>0</v>
      </c>
      <c r="L27" s="256">
        <f>('MASTER SHEET -MARATHA SITE'!$F$27/'MARATHA QTY DISTRIBUATION'!$AC$44*'MARATHA QTY DISTRIBUATION'!H43)</f>
        <v>0</v>
      </c>
      <c r="M27" s="256">
        <f>('MASTER SHEET -MARATHA SITE'!$F$27/'MARATHA QTY DISTRIBUATION'!$AC$44*'MARATHA QTY DISTRIBUATION'!I43)</f>
        <v>0</v>
      </c>
      <c r="N27" s="256">
        <f>('MASTER SHEET -MARATHA SITE'!$F$27/'MARATHA QTY DISTRIBUATION'!$AC$44*'MARATHA QTY DISTRIBUATION'!J43)</f>
        <v>0</v>
      </c>
      <c r="O27" s="256">
        <f>('MASTER SHEET -MARATHA SITE'!$F$27/'MARATHA QTY DISTRIBUATION'!$AC$44*'MARATHA QTY DISTRIBUATION'!K43)</f>
        <v>0</v>
      </c>
      <c r="P27" s="256">
        <f>('MASTER SHEET -MARATHA SITE'!$F$27/'MARATHA QTY DISTRIBUATION'!$AC$44*'MARATHA QTY DISTRIBUATION'!L43)</f>
        <v>0</v>
      </c>
      <c r="Q27" s="256">
        <f>('MASTER SHEET -MARATHA SITE'!$F$27/'MARATHA QTY DISTRIBUATION'!$AC$44*'MARATHA QTY DISTRIBUATION'!M43)</f>
        <v>0</v>
      </c>
      <c r="R27" s="256">
        <f>('MASTER SHEET -MARATHA SITE'!$F$27/'MARATHA QTY DISTRIBUATION'!$AC$44*'MARATHA QTY DISTRIBUATION'!N43)</f>
        <v>0</v>
      </c>
      <c r="S27" s="256">
        <f>('MASTER SHEET -MARATHA SITE'!$F$27/'MARATHA QTY DISTRIBUATION'!$AC$44*'MARATHA QTY DISTRIBUATION'!O43)</f>
        <v>1.5392620624408704E-3</v>
      </c>
      <c r="T27" s="256">
        <f>('MASTER SHEET -MARATHA SITE'!$F$27/'MARATHA QTY DISTRIBUATION'!$AC$44*'MARATHA QTY DISTRIBUATION'!P43)</f>
        <v>1.9240775780510881E-3</v>
      </c>
      <c r="U27" s="256">
        <f>('MASTER SHEET -MARATHA SITE'!$F$27/'MARATHA QTY DISTRIBUATION'!$AC$44*'MARATHA QTY DISTRIBUATION'!Q43)</f>
        <v>3.9785950804162723E-3</v>
      </c>
      <c r="V27" s="256">
        <f>('MASTER SHEET -MARATHA SITE'!$F$27/'MARATHA QTY DISTRIBUATION'!$AC$44*'MARATHA QTY DISTRIBUATION'!R43)</f>
        <v>5.6422894985808892E-3</v>
      </c>
      <c r="W27" s="256">
        <f>('MASTER SHEET -MARATHA SITE'!$F$27/'MARATHA QTY DISTRIBUATION'!$AC$44*'MARATHA QTY DISTRIBUATION'!S43)</f>
        <v>6.2992431409649953E-3</v>
      </c>
      <c r="X27" s="256">
        <f>('MASTER SHEET -MARATHA SITE'!$F$27/'MARATHA QTY DISTRIBUATION'!$AC$44*'MARATHA QTY DISTRIBUATION'!T43)</f>
        <v>5.5596026490066222E-3</v>
      </c>
      <c r="Y27" s="256">
        <f>('MASTER SHEET -MARATHA SITE'!$F$27/'MARATHA QTY DISTRIBUATION'!$AC$44*'MARATHA QTY DISTRIBUATION'!U43)</f>
        <v>5.401773888363293E-3</v>
      </c>
      <c r="Z27" s="655">
        <f>('MASTER SHEET -MARATHA SITE'!$F$27/'MARATHA QTY DISTRIBUATION'!$AC$44*'MARATHA QTY DISTRIBUATION'!V43)</f>
        <v>4.6852018290759996E-3</v>
      </c>
      <c r="AA27" s="256">
        <f>('MASTER SHEET -MARATHA SITE'!$F$27/'MARATHA QTY DISTRIBUATION'!$AC$44*'MARATHA QTY DISTRIBUATION'!W43)</f>
        <v>2.5703405865657521E-3</v>
      </c>
      <c r="AB27" s="256">
        <f>('MASTER SHEET -MARATHA SITE'!$F$27/'MARATHA QTY DISTRIBUATION'!$AC$44*'MARATHA QTY DISTRIBUATION'!X43)</f>
        <v>2.3996136865342167E-3</v>
      </c>
      <c r="AC27" s="256">
        <f>('MASTER SHEET -MARATHA SITE'!$F$27/'MARATHA QTY DISTRIBUATION'!$AC$44*'MARATHA QTY DISTRIBUATION'!Y43)</f>
        <v>0</v>
      </c>
      <c r="AD27" s="256">
        <f>('MASTER SHEET -MARATHA SITE'!$F$27/'MARATHA QTY DISTRIBUATION'!$AC$44*'MARATHA QTY DISTRIBUATION'!Z43)</f>
        <v>0</v>
      </c>
      <c r="AE27" s="256">
        <f>('MASTER SHEET -MARATHA SITE'!$F$27/'MARATHA QTY DISTRIBUATION'!$AC$44*'MARATHA QTY DISTRIBUATION'!AA43)</f>
        <v>0</v>
      </c>
      <c r="AF27" s="257">
        <f>('MASTER SHEET -MARATHA SITE'!$F$27/'MARATHA QTY DISTRIBUATION'!$AC$44*'MARATHA QTY DISTRIBUATION'!AB43)</f>
        <v>0</v>
      </c>
      <c r="AG27" s="560">
        <f t="shared" si="1"/>
        <v>0</v>
      </c>
    </row>
    <row r="28" spans="1:33">
      <c r="A28" s="177" t="s">
        <v>2</v>
      </c>
      <c r="B28" s="181" t="s">
        <v>19</v>
      </c>
      <c r="C28" s="1126"/>
      <c r="D28" s="115">
        <f t="shared" si="0"/>
        <v>6.7267202104759616E-2</v>
      </c>
      <c r="E28" s="1126"/>
      <c r="F28" s="117">
        <v>7.0010000000000003E-2</v>
      </c>
      <c r="G28" s="1143"/>
      <c r="H28" s="117">
        <f t="shared" si="3"/>
        <v>-2.742797895240387E-3</v>
      </c>
      <c r="I28" s="629" t="s">
        <v>86</v>
      </c>
      <c r="J28" s="255">
        <f>('MASTER SHEET -MARATHA SITE'!$F$28/'MARATHA QTY DISTRIBUATION'!$AC$49*'MARATHA QTY DISTRIBUATION'!F48)</f>
        <v>0</v>
      </c>
      <c r="K28" s="256">
        <f>('MASTER SHEET -MARATHA SITE'!$F$28/'MARATHA QTY DISTRIBUATION'!$AC$49*'MARATHA QTY DISTRIBUATION'!G48)</f>
        <v>0</v>
      </c>
      <c r="L28" s="256">
        <f>('MASTER SHEET -MARATHA SITE'!$F$28/'MARATHA QTY DISTRIBUATION'!$AC$49*'MARATHA QTY DISTRIBUATION'!H48)</f>
        <v>0</v>
      </c>
      <c r="M28" s="256">
        <f>('MASTER SHEET -MARATHA SITE'!$F$28/'MARATHA QTY DISTRIBUATION'!$AC$49*'MARATHA QTY DISTRIBUATION'!I48)</f>
        <v>0</v>
      </c>
      <c r="N28" s="256">
        <f>('MASTER SHEET -MARATHA SITE'!$F$28/'MARATHA QTY DISTRIBUATION'!$AC$49*'MARATHA QTY DISTRIBUATION'!J48)</f>
        <v>0</v>
      </c>
      <c r="O28" s="256">
        <f>('MASTER SHEET -MARATHA SITE'!$F$28/'MARATHA QTY DISTRIBUATION'!$AC$49*'MARATHA QTY DISTRIBUATION'!K48)</f>
        <v>0</v>
      </c>
      <c r="P28" s="256">
        <f>('MASTER SHEET -MARATHA SITE'!$F$28/'MARATHA QTY DISTRIBUATION'!$AC$49*'MARATHA QTY DISTRIBUATION'!L48)</f>
        <v>0</v>
      </c>
      <c r="Q28" s="256">
        <f>('MASTER SHEET -MARATHA SITE'!$F$28/'MARATHA QTY DISTRIBUATION'!$AC$49*'MARATHA QTY DISTRIBUATION'!M48)</f>
        <v>0</v>
      </c>
      <c r="R28" s="256">
        <f>('MASTER SHEET -MARATHA SITE'!$F$28/'MARATHA QTY DISTRIBUATION'!$AC$49*'MARATHA QTY DISTRIBUATION'!N48)</f>
        <v>0</v>
      </c>
      <c r="S28" s="256">
        <f>('MASTER SHEET -MARATHA SITE'!$F$28/'MARATHA QTY DISTRIBUATION'!$AC$49*'MARATHA QTY DISTRIBUATION'!O48)</f>
        <v>0</v>
      </c>
      <c r="T28" s="256">
        <f>('MASTER SHEET -MARATHA SITE'!$F$28/'MARATHA QTY DISTRIBUATION'!$AC$49*'MARATHA QTY DISTRIBUATION'!P48)</f>
        <v>0</v>
      </c>
      <c r="U28" s="256">
        <f>('MASTER SHEET -MARATHA SITE'!$F$28/'MARATHA QTY DISTRIBUATION'!$AC$49*'MARATHA QTY DISTRIBUATION'!Q48)</f>
        <v>0</v>
      </c>
      <c r="V28" s="256">
        <f>('MASTER SHEET -MARATHA SITE'!$F$28/'MARATHA QTY DISTRIBUATION'!$AC$49*'MARATHA QTY DISTRIBUATION'!R48)</f>
        <v>1.2156723271944511E-3</v>
      </c>
      <c r="W28" s="256">
        <f>('MASTER SHEET -MARATHA SITE'!$F$28/'MARATHA QTY DISTRIBUATION'!$AC$49*'MARATHA QTY DISTRIBUATION'!S48)</f>
        <v>3.3456106194690266E-3</v>
      </c>
      <c r="X28" s="256">
        <f>('MASTER SHEET -MARATHA SITE'!$F$28/'MARATHA QTY DISTRIBUATION'!$AC$49*'MARATHA QTY DISTRIBUATION'!T48)</f>
        <v>3.5733398708442956E-3</v>
      </c>
      <c r="Y28" s="256">
        <f>('MASTER SHEET -MARATHA SITE'!$F$28/'MARATHA QTY DISTRIBUATION'!$AC$49*'MARATHA QTY DISTRIBUATION'!U48)</f>
        <v>8.5097062903611576E-3</v>
      </c>
      <c r="Z28" s="655">
        <f>('MASTER SHEET -MARATHA SITE'!$F$28/'MARATHA QTY DISTRIBUATION'!$AC$49*'MARATHA QTY DISTRIBUATION'!V48)</f>
        <v>1.1229061468548194E-2</v>
      </c>
      <c r="AA28" s="256">
        <f>('MASTER SHEET -MARATHA SITE'!$F$28/'MARATHA QTY DISTRIBUATION'!$AC$49*'MARATHA QTY DISTRIBUATION'!W48)</f>
        <v>1.170461372877302E-2</v>
      </c>
      <c r="AB28" s="256">
        <f>('MASTER SHEET -MARATHA SITE'!$F$28/'MARATHA QTY DISTRIBUATION'!$AC$49*'MARATHA QTY DISTRIBUATION'!X48)</f>
        <v>1.3214994498923703E-2</v>
      </c>
      <c r="AC28" s="256">
        <f>('MASTER SHEET -MARATHA SITE'!$F$28/'MARATHA QTY DISTRIBUATION'!$AC$49*'MARATHA QTY DISTRIBUATION'!Y48)</f>
        <v>9.9899464243004069E-3</v>
      </c>
      <c r="AD28" s="256">
        <f>('MASTER SHEET -MARATHA SITE'!$F$28/'MARATHA QTY DISTRIBUATION'!$AC$49*'MARATHA QTY DISTRIBUATION'!Z48)</f>
        <v>4.484256876345372E-3</v>
      </c>
      <c r="AE28" s="256">
        <f>('MASTER SHEET -MARATHA SITE'!$F$28/'MARATHA QTY DISTRIBUATION'!$AC$49*'MARATHA QTY DISTRIBUATION'!AA48)</f>
        <v>2.7427978952403731E-3</v>
      </c>
      <c r="AF28" s="257">
        <f>('MASTER SHEET -MARATHA SITE'!$F$28/'MARATHA QTY DISTRIBUATION'!$AC$49*'MARATHA QTY DISTRIBUATION'!AB48)</f>
        <v>0</v>
      </c>
      <c r="AG28" s="560">
        <f t="shared" si="1"/>
        <v>0</v>
      </c>
    </row>
    <row r="29" spans="1:33">
      <c r="A29" s="177" t="s">
        <v>2</v>
      </c>
      <c r="B29" s="181" t="s">
        <v>19</v>
      </c>
      <c r="C29" s="1126"/>
      <c r="D29" s="115">
        <f t="shared" si="0"/>
        <v>9.2262189723320134E-2</v>
      </c>
      <c r="E29" s="1126"/>
      <c r="F29" s="117">
        <v>0.10000999999999999</v>
      </c>
      <c r="G29" s="1143"/>
      <c r="H29" s="117">
        <f t="shared" si="3"/>
        <v>-7.7478102766798534E-3</v>
      </c>
      <c r="I29" s="629" t="s">
        <v>87</v>
      </c>
      <c r="J29" s="255">
        <f>('MASTER SHEET -MARATHA SITE'!$F$29/'MARATHA QTY DISTRIBUATION'!$AC$54*'MARATHA QTY DISTRIBUATION'!F53)</f>
        <v>0</v>
      </c>
      <c r="K29" s="256">
        <f>('MASTER SHEET -MARATHA SITE'!$F$29/'MARATHA QTY DISTRIBUATION'!$AC$54*'MARATHA QTY DISTRIBUATION'!G53)</f>
        <v>0</v>
      </c>
      <c r="L29" s="256">
        <f>('MASTER SHEET -MARATHA SITE'!$F$29/'MARATHA QTY DISTRIBUATION'!$AC$54*'MARATHA QTY DISTRIBUATION'!H53)</f>
        <v>0</v>
      </c>
      <c r="M29" s="256">
        <f>('MASTER SHEET -MARATHA SITE'!$F$29/'MARATHA QTY DISTRIBUATION'!$AC$54*'MARATHA QTY DISTRIBUATION'!I53)</f>
        <v>0</v>
      </c>
      <c r="N29" s="256">
        <f>('MASTER SHEET -MARATHA SITE'!$F$29/'MARATHA QTY DISTRIBUATION'!$AC$54*'MARATHA QTY DISTRIBUATION'!J53)</f>
        <v>0</v>
      </c>
      <c r="O29" s="256">
        <f>('MASTER SHEET -MARATHA SITE'!$F$29/'MARATHA QTY DISTRIBUATION'!$AC$54*'MARATHA QTY DISTRIBUATION'!K53)</f>
        <v>0</v>
      </c>
      <c r="P29" s="256">
        <f>('MASTER SHEET -MARATHA SITE'!$F$29/'MARATHA QTY DISTRIBUATION'!$AC$54*'MARATHA QTY DISTRIBUATION'!L53)</f>
        <v>0</v>
      </c>
      <c r="Q29" s="256">
        <f>('MASTER SHEET -MARATHA SITE'!$F$29/'MARATHA QTY DISTRIBUATION'!$AC$54*'MARATHA QTY DISTRIBUATION'!M53)</f>
        <v>0</v>
      </c>
      <c r="R29" s="256">
        <f>('MASTER SHEET -MARATHA SITE'!$F$29/'MARATHA QTY DISTRIBUATION'!$AC$54*'MARATHA QTY DISTRIBUATION'!N53)</f>
        <v>0</v>
      </c>
      <c r="S29" s="256">
        <f>('MASTER SHEET -MARATHA SITE'!$F$29/'MARATHA QTY DISTRIBUATION'!$AC$54*'MARATHA QTY DISTRIBUATION'!O53)</f>
        <v>0</v>
      </c>
      <c r="T29" s="256">
        <f>('MASTER SHEET -MARATHA SITE'!$F$29/'MARATHA QTY DISTRIBUATION'!$AC$54*'MARATHA QTY DISTRIBUATION'!P53)</f>
        <v>0</v>
      </c>
      <c r="U29" s="256">
        <f>('MASTER SHEET -MARATHA SITE'!$F$29/'MARATHA QTY DISTRIBUATION'!$AC$54*'MARATHA QTY DISTRIBUATION'!Q53)</f>
        <v>3.1158660776563581E-4</v>
      </c>
      <c r="V29" s="256">
        <f>('MASTER SHEET -MARATHA SITE'!$F$29/'MARATHA QTY DISTRIBUATION'!$AC$54*'MARATHA QTY DISTRIBUATION'!R53)</f>
        <v>1.7579065333643334E-3</v>
      </c>
      <c r="W29" s="256">
        <f>('MASTER SHEET -MARATHA SITE'!$F$29/'MARATHA QTY DISTRIBUATION'!$AC$54*'MARATHA QTY DISTRIBUATION'!S53)</f>
        <v>4.2133950244129265E-3</v>
      </c>
      <c r="X29" s="256">
        <f>('MASTER SHEET -MARATHA SITE'!$F$29/'MARATHA QTY DISTRIBUATION'!$AC$54*'MARATHA QTY DISTRIBUATION'!T53)</f>
        <v>6.5991253196930931E-3</v>
      </c>
      <c r="Y29" s="256">
        <f>('MASTER SHEET -MARATHA SITE'!$F$29/'MARATHA QTY DISTRIBUATION'!$AC$54*'MARATHA QTY DISTRIBUATION'!U53)</f>
        <v>8.7337261102069276E-3</v>
      </c>
      <c r="Z29" s="655">
        <f>('MASTER SHEET -MARATHA SITE'!$F$29/'MARATHA QTY DISTRIBUATION'!$AC$54*'MARATHA QTY DISTRIBUATION'!V53)</f>
        <v>1.0496283189955822E-2</v>
      </c>
      <c r="AA29" s="256">
        <f>('MASTER SHEET -MARATHA SITE'!$F$29/'MARATHA QTY DISTRIBUATION'!$AC$54*'MARATHA QTY DISTRIBUATION'!W53)</f>
        <v>1.5323550337130896E-2</v>
      </c>
      <c r="AB29" s="256">
        <f>('MASTER SHEET -MARATHA SITE'!$F$29/'MARATHA QTY DISTRIBUATION'!$AC$54*'MARATHA QTY DISTRIBUATION'!X53)</f>
        <v>1.7569764240874211E-2</v>
      </c>
      <c r="AC29" s="256">
        <f>('MASTER SHEET -MARATHA SITE'!$F$29/'MARATHA QTY DISTRIBUATION'!$AC$54*'MARATHA QTY DISTRIBUATION'!Y53)</f>
        <v>1.5900218088816552E-2</v>
      </c>
      <c r="AD29" s="256">
        <f>('MASTER SHEET -MARATHA SITE'!$F$29/'MARATHA QTY DISTRIBUATION'!$AC$54*'MARATHA QTY DISTRIBUATION'!Z53)</f>
        <v>1.1356634271099742E-2</v>
      </c>
      <c r="AE29" s="256">
        <f>('MASTER SHEET -MARATHA SITE'!$F$29/'MARATHA QTY DISTRIBUATION'!$AC$54*'MARATHA QTY DISTRIBUATION'!AA53)</f>
        <v>7.231599627993488E-3</v>
      </c>
      <c r="AF29" s="257">
        <f>('MASTER SHEET -MARATHA SITE'!$F$29/'MARATHA QTY DISTRIBUATION'!$AC$54*'MARATHA QTY DISTRIBUATION'!AB53)</f>
        <v>5.1621064868635194E-4</v>
      </c>
      <c r="AG29" s="560">
        <f t="shared" si="1"/>
        <v>0</v>
      </c>
    </row>
    <row r="30" spans="1:33">
      <c r="A30" s="177" t="s">
        <v>2</v>
      </c>
      <c r="B30" s="181" t="s">
        <v>19</v>
      </c>
      <c r="C30" s="1126"/>
      <c r="D30" s="115">
        <f t="shared" si="0"/>
        <v>3.6184521060963828E-2</v>
      </c>
      <c r="E30" s="1126"/>
      <c r="F30" s="117">
        <v>0.04</v>
      </c>
      <c r="G30" s="1143"/>
      <c r="H30" s="117">
        <f t="shared" si="3"/>
        <v>-3.8154789390361724E-3</v>
      </c>
      <c r="I30" s="629" t="s">
        <v>88</v>
      </c>
      <c r="J30" s="255">
        <f>('MASTER SHEET -MARATHA SITE'!$F$30/'MARATHA QTY DISTRIBUATION'!$AC$84*'MARATHA QTY DISTRIBUATION'!F83)</f>
        <v>0</v>
      </c>
      <c r="K30" s="256">
        <f>('MASTER SHEET -MARATHA SITE'!$F$30/'MARATHA QTY DISTRIBUATION'!$AC$84*'MARATHA QTY DISTRIBUATION'!G83)</f>
        <v>0</v>
      </c>
      <c r="L30" s="256">
        <f>('MASTER SHEET -MARATHA SITE'!$F$30/'MARATHA QTY DISTRIBUATION'!$AC$84*'MARATHA QTY DISTRIBUATION'!H83)</f>
        <v>0</v>
      </c>
      <c r="M30" s="256">
        <f>('MASTER SHEET -MARATHA SITE'!$F$30/'MARATHA QTY DISTRIBUATION'!$AC$84*'MARATHA QTY DISTRIBUATION'!I83)</f>
        <v>0</v>
      </c>
      <c r="N30" s="256">
        <f>('MASTER SHEET -MARATHA SITE'!$F$30/'MARATHA QTY DISTRIBUATION'!$AC$84*'MARATHA QTY DISTRIBUATION'!J83)</f>
        <v>0</v>
      </c>
      <c r="O30" s="256">
        <f>('MASTER SHEET -MARATHA SITE'!$F$30/'MARATHA QTY DISTRIBUATION'!$AC$84*'MARATHA QTY DISTRIBUATION'!K83)</f>
        <v>0</v>
      </c>
      <c r="P30" s="256">
        <f>('MASTER SHEET -MARATHA SITE'!$F$30/'MARATHA QTY DISTRIBUATION'!$AC$84*'MARATHA QTY DISTRIBUATION'!L83)</f>
        <v>0</v>
      </c>
      <c r="Q30" s="256">
        <f>('MASTER SHEET -MARATHA SITE'!$F$30/'MARATHA QTY DISTRIBUATION'!$AC$84*'MARATHA QTY DISTRIBUATION'!M83)</f>
        <v>0</v>
      </c>
      <c r="R30" s="256">
        <f>('MASTER SHEET -MARATHA SITE'!$F$30/'MARATHA QTY DISTRIBUATION'!$AC$84*'MARATHA QTY DISTRIBUATION'!N83)</f>
        <v>0</v>
      </c>
      <c r="S30" s="256">
        <f>('MASTER SHEET -MARATHA SITE'!$F$30/'MARATHA QTY DISTRIBUATION'!$AC$84*'MARATHA QTY DISTRIBUATION'!O83)</f>
        <v>0</v>
      </c>
      <c r="T30" s="256">
        <f>('MASTER SHEET -MARATHA SITE'!$F$30/'MARATHA QTY DISTRIBUATION'!$AC$84*'MARATHA QTY DISTRIBUATION'!P83)</f>
        <v>0</v>
      </c>
      <c r="U30" s="256">
        <f>('MASTER SHEET -MARATHA SITE'!$F$30/'MARATHA QTY DISTRIBUATION'!$AC$84*'MARATHA QTY DISTRIBUATION'!Q83)</f>
        <v>0</v>
      </c>
      <c r="V30" s="256">
        <f>('MASTER SHEET -MARATHA SITE'!$F$30/'MARATHA QTY DISTRIBUATION'!$AC$84*'MARATHA QTY DISTRIBUATION'!R83)</f>
        <v>0</v>
      </c>
      <c r="W30" s="256">
        <f>('MASTER SHEET -MARATHA SITE'!$F$30/'MARATHA QTY DISTRIBUATION'!$AC$84*'MARATHA QTY DISTRIBUATION'!S83)</f>
        <v>0</v>
      </c>
      <c r="X30" s="256">
        <f>('MASTER SHEET -MARATHA SITE'!$F$30/'MARATHA QTY DISTRIBUATION'!$AC$84*'MARATHA QTY DISTRIBUATION'!T83)</f>
        <v>0</v>
      </c>
      <c r="Y30" s="256">
        <f>('MASTER SHEET -MARATHA SITE'!$F$30/'MARATHA QTY DISTRIBUATION'!$AC$84*'MARATHA QTY DISTRIBUATION'!U83)</f>
        <v>0</v>
      </c>
      <c r="Z30" s="655">
        <f>('MASTER SHEET -MARATHA SITE'!$F$30/'MARATHA QTY DISTRIBUATION'!$AC$84*'MARATHA QTY DISTRIBUATION'!V83)</f>
        <v>3.4853535827269306E-3</v>
      </c>
      <c r="AA30" s="256">
        <f>('MASTER SHEET -MARATHA SITE'!$F$30/'MARATHA QTY DISTRIBUATION'!$AC$84*'MARATHA QTY DISTRIBUATION'!W83)</f>
        <v>6.4612954138766913E-3</v>
      </c>
      <c r="AB30" s="256">
        <f>('MASTER SHEET -MARATHA SITE'!$F$30/'MARATHA QTY DISTRIBUATION'!$AC$84*'MARATHA QTY DISTRIBUATION'!X83)</f>
        <v>8.9984011890496696E-3</v>
      </c>
      <c r="AC30" s="256">
        <f>('MASTER SHEET -MARATHA SITE'!$F$30/'MARATHA QTY DISTRIBUATION'!$AC$84*'MARATHA QTY DISTRIBUATION'!Y83)</f>
        <v>9.8100216884541482E-3</v>
      </c>
      <c r="AD30" s="256">
        <f>('MASTER SHEET -MARATHA SITE'!$F$30/'MARATHA QTY DISTRIBUATION'!$AC$84*'MARATHA QTY DISTRIBUATION'!Z83)</f>
        <v>7.4294491868563926E-3</v>
      </c>
      <c r="AE30" s="256">
        <f>('MASTER SHEET -MARATHA SITE'!$F$30/'MARATHA QTY DISTRIBUATION'!$AC$84*'MARATHA QTY DISTRIBUATION'!AA83)</f>
        <v>2.9738305923924829E-3</v>
      </c>
      <c r="AF30" s="257">
        <f>('MASTER SHEET -MARATHA SITE'!$F$30/'MARATHA QTY DISTRIBUATION'!$AC$84*'MARATHA QTY DISTRIBUATION'!AB83)</f>
        <v>8.4164834664368843E-4</v>
      </c>
      <c r="AG30" s="664">
        <f t="shared" si="1"/>
        <v>0</v>
      </c>
    </row>
    <row r="31" spans="1:33">
      <c r="A31" s="177" t="s">
        <v>2</v>
      </c>
      <c r="B31" s="181" t="s">
        <v>19</v>
      </c>
      <c r="C31" s="1126"/>
      <c r="D31" s="115">
        <f t="shared" si="0"/>
        <v>8.2249580302182438E-3</v>
      </c>
      <c r="E31" s="1126"/>
      <c r="F31" s="117">
        <v>0.01</v>
      </c>
      <c r="G31" s="1143"/>
      <c r="H31" s="117">
        <f t="shared" si="3"/>
        <v>-1.7750419697817564E-3</v>
      </c>
      <c r="I31" s="629" t="s">
        <v>89</v>
      </c>
      <c r="J31" s="255">
        <f>('MASTER SHEET -MARATHA SITE'!$F$31/'MARATHA QTY DISTRIBUATION'!$AC$59*'MARATHA QTY DISTRIBUATION'!F58)</f>
        <v>0</v>
      </c>
      <c r="K31" s="256">
        <f>('MASTER SHEET -MARATHA SITE'!$F$31/'MARATHA QTY DISTRIBUATION'!$AC$59*'MARATHA QTY DISTRIBUATION'!G58)</f>
        <v>0</v>
      </c>
      <c r="L31" s="256">
        <f>('MASTER SHEET -MARATHA SITE'!$F$31/'MARATHA QTY DISTRIBUATION'!$AC$59*'MARATHA QTY DISTRIBUATION'!H58)</f>
        <v>0</v>
      </c>
      <c r="M31" s="256">
        <f>('MASTER SHEET -MARATHA SITE'!$F$31/'MARATHA QTY DISTRIBUATION'!$AC$59*'MARATHA QTY DISTRIBUATION'!I58)</f>
        <v>0</v>
      </c>
      <c r="N31" s="256">
        <f>('MASTER SHEET -MARATHA SITE'!$F$31/'MARATHA QTY DISTRIBUATION'!$AC$59*'MARATHA QTY DISTRIBUATION'!J58)</f>
        <v>0</v>
      </c>
      <c r="O31" s="256">
        <f>('MASTER SHEET -MARATHA SITE'!$F$31/'MARATHA QTY DISTRIBUATION'!$AC$59*'MARATHA QTY DISTRIBUATION'!K58)</f>
        <v>0</v>
      </c>
      <c r="P31" s="256">
        <f>('MASTER SHEET -MARATHA SITE'!$F$31/'MARATHA QTY DISTRIBUATION'!$AC$59*'MARATHA QTY DISTRIBUATION'!L58)</f>
        <v>0</v>
      </c>
      <c r="Q31" s="256">
        <f>('MASTER SHEET -MARATHA SITE'!$F$31/'MARATHA QTY DISTRIBUATION'!$AC$59*'MARATHA QTY DISTRIBUATION'!M58)</f>
        <v>0</v>
      </c>
      <c r="R31" s="256">
        <f>('MASTER SHEET -MARATHA SITE'!$F$31/'MARATHA QTY DISTRIBUATION'!$AC$59*'MARATHA QTY DISTRIBUATION'!N58)</f>
        <v>0</v>
      </c>
      <c r="S31" s="256">
        <f>('MASTER SHEET -MARATHA SITE'!$F$31/'MARATHA QTY DISTRIBUATION'!$AC$59*'MARATHA QTY DISTRIBUATION'!O58)</f>
        <v>0</v>
      </c>
      <c r="T31" s="256">
        <f>('MASTER SHEET -MARATHA SITE'!$F$31/'MARATHA QTY DISTRIBUATION'!$AC$59*'MARATHA QTY DISTRIBUATION'!P58)</f>
        <v>0</v>
      </c>
      <c r="U31" s="256">
        <f>('MASTER SHEET -MARATHA SITE'!$F$31/'MARATHA QTY DISTRIBUATION'!$AC$59*'MARATHA QTY DISTRIBUATION'!Q58)</f>
        <v>0</v>
      </c>
      <c r="V31" s="256">
        <f>('MASTER SHEET -MARATHA SITE'!$F$31/'MARATHA QTY DISTRIBUATION'!$AC$59*'MARATHA QTY DISTRIBUATION'!R58)</f>
        <v>0</v>
      </c>
      <c r="W31" s="256">
        <f>('MASTER SHEET -MARATHA SITE'!$F$31/'MARATHA QTY DISTRIBUATION'!$AC$59*'MARATHA QTY DISTRIBUATION'!S58)</f>
        <v>0</v>
      </c>
      <c r="X31" s="256">
        <f>('MASTER SHEET -MARATHA SITE'!$F$31/'MARATHA QTY DISTRIBUATION'!$AC$59*'MARATHA QTY DISTRIBUATION'!T58)</f>
        <v>0</v>
      </c>
      <c r="Y31" s="256">
        <f>('MASTER SHEET -MARATHA SITE'!$F$31/'MARATHA QTY DISTRIBUATION'!$AC$59*'MARATHA QTY DISTRIBUATION'!U58)</f>
        <v>5.5400111919418017E-4</v>
      </c>
      <c r="Z31" s="655">
        <f>('MASTER SHEET -MARATHA SITE'!$F$31/'MARATHA QTY DISTRIBUATION'!$AC$59*'MARATHA QTY DISTRIBUATION'!V58)</f>
        <v>1.0296586457750419E-3</v>
      </c>
      <c r="AA31" s="256">
        <f>('MASTER SHEET -MARATHA SITE'!$F$31/'MARATHA QTY DISTRIBUATION'!$AC$59*'MARATHA QTY DISTRIBUATION'!W58)</f>
        <v>1.4258533855623951E-3</v>
      </c>
      <c r="AB31" s="256">
        <f>('MASTER SHEET -MARATHA SITE'!$F$31/'MARATHA QTY DISTRIBUATION'!$AC$59*'MARATHA QTY DISTRIBUATION'!X58)</f>
        <v>1.7425853385562395E-3</v>
      </c>
      <c r="AC31" s="256">
        <f>('MASTER SHEET -MARATHA SITE'!$F$31/'MARATHA QTY DISTRIBUATION'!$AC$59*'MARATHA QTY DISTRIBUATION'!Y58)</f>
        <v>1.5243424734191382E-3</v>
      </c>
      <c r="AD31" s="256">
        <f>('MASTER SHEET -MARATHA SITE'!$F$31/'MARATHA QTY DISTRIBUATION'!$AC$59*'MARATHA QTY DISTRIBUATION'!Z58)</f>
        <v>1.9485170677112477E-3</v>
      </c>
      <c r="AE31" s="256">
        <f>('MASTER SHEET -MARATHA SITE'!$F$31/'MARATHA QTY DISTRIBUATION'!$AC$59*'MARATHA QTY DISTRIBUATION'!AA58)</f>
        <v>1.6127588136541689E-3</v>
      </c>
      <c r="AF31" s="257">
        <f>('MASTER SHEET -MARATHA SITE'!$F$31/'MARATHA QTY DISTRIBUATION'!$AC$59*'MARATHA QTY DISTRIBUATION'!AB58)</f>
        <v>1.6228315612758812E-4</v>
      </c>
      <c r="AG31" s="560">
        <f t="shared" si="1"/>
        <v>0</v>
      </c>
    </row>
    <row r="32" spans="1:33">
      <c r="A32" s="202" t="s">
        <v>2</v>
      </c>
      <c r="B32" s="204" t="s">
        <v>19</v>
      </c>
      <c r="C32" s="1126"/>
      <c r="D32" s="115">
        <f t="shared" si="0"/>
        <v>0</v>
      </c>
      <c r="E32" s="1126"/>
      <c r="F32" s="117">
        <v>0</v>
      </c>
      <c r="G32" s="1143"/>
      <c r="H32" s="119">
        <f t="shared" si="3"/>
        <v>0</v>
      </c>
      <c r="I32" s="643" t="s">
        <v>23</v>
      </c>
      <c r="J32" s="270"/>
      <c r="K32" s="271"/>
      <c r="L32" s="271"/>
      <c r="M32" s="271"/>
      <c r="N32" s="271"/>
      <c r="O32" s="271"/>
      <c r="P32" s="271"/>
      <c r="Q32" s="271"/>
      <c r="R32" s="271"/>
      <c r="S32" s="271"/>
      <c r="T32" s="271"/>
      <c r="U32" s="271"/>
      <c r="V32" s="271"/>
      <c r="W32" s="271"/>
      <c r="X32" s="271"/>
      <c r="Y32" s="271"/>
      <c r="Z32" s="807"/>
      <c r="AA32" s="271"/>
      <c r="AB32" s="271"/>
      <c r="AC32" s="271"/>
      <c r="AD32" s="271"/>
      <c r="AE32" s="271"/>
      <c r="AF32" s="272"/>
      <c r="AG32" s="560">
        <f t="shared" si="1"/>
        <v>0</v>
      </c>
    </row>
    <row r="33" spans="1:34">
      <c r="A33" s="202" t="s">
        <v>2</v>
      </c>
      <c r="B33" s="204" t="s">
        <v>19</v>
      </c>
      <c r="C33" s="1126"/>
      <c r="D33" s="115">
        <f t="shared" si="0"/>
        <v>0</v>
      </c>
      <c r="E33" s="1126"/>
      <c r="F33" s="117">
        <v>0</v>
      </c>
      <c r="G33" s="1143"/>
      <c r="H33" s="119">
        <f t="shared" si="3"/>
        <v>0</v>
      </c>
      <c r="I33" s="643" t="s">
        <v>23</v>
      </c>
      <c r="J33" s="270"/>
      <c r="K33" s="271"/>
      <c r="L33" s="271"/>
      <c r="M33" s="271"/>
      <c r="N33" s="271"/>
      <c r="O33" s="271"/>
      <c r="P33" s="271"/>
      <c r="Q33" s="271"/>
      <c r="R33" s="271"/>
      <c r="S33" s="271"/>
      <c r="T33" s="271"/>
      <c r="U33" s="271"/>
      <c r="V33" s="271"/>
      <c r="W33" s="271"/>
      <c r="X33" s="271"/>
      <c r="Y33" s="271"/>
      <c r="Z33" s="807"/>
      <c r="AA33" s="271"/>
      <c r="AB33" s="271"/>
      <c r="AC33" s="271"/>
      <c r="AD33" s="271"/>
      <c r="AE33" s="271"/>
      <c r="AF33" s="272"/>
      <c r="AG33" s="560">
        <f t="shared" si="1"/>
        <v>0</v>
      </c>
    </row>
    <row r="34" spans="1:34" ht="15" thickBot="1">
      <c r="A34" s="202" t="s">
        <v>2</v>
      </c>
      <c r="B34" s="205" t="s">
        <v>19</v>
      </c>
      <c r="C34" s="1127"/>
      <c r="D34" s="183">
        <f t="shared" si="0"/>
        <v>0</v>
      </c>
      <c r="E34" s="1127"/>
      <c r="F34" s="184">
        <v>0</v>
      </c>
      <c r="G34" s="1144"/>
      <c r="H34" s="206">
        <f t="shared" si="3"/>
        <v>0</v>
      </c>
      <c r="I34" s="641" t="s">
        <v>24</v>
      </c>
      <c r="J34" s="273"/>
      <c r="K34" s="274"/>
      <c r="L34" s="274"/>
      <c r="M34" s="274"/>
      <c r="N34" s="274"/>
      <c r="O34" s="274"/>
      <c r="P34" s="274"/>
      <c r="Q34" s="274"/>
      <c r="R34" s="274"/>
      <c r="S34" s="274"/>
      <c r="T34" s="274"/>
      <c r="U34" s="274"/>
      <c r="V34" s="274"/>
      <c r="W34" s="274"/>
      <c r="X34" s="274"/>
      <c r="Y34" s="274"/>
      <c r="Z34" s="808"/>
      <c r="AA34" s="274"/>
      <c r="AB34" s="274"/>
      <c r="AC34" s="274"/>
      <c r="AD34" s="274"/>
      <c r="AE34" s="274"/>
      <c r="AF34" s="275"/>
      <c r="AG34" s="560">
        <f t="shared" si="1"/>
        <v>0</v>
      </c>
    </row>
    <row r="35" spans="1:34">
      <c r="A35" s="207" t="s">
        <v>2</v>
      </c>
      <c r="B35" s="208" t="s">
        <v>25</v>
      </c>
      <c r="C35" s="1135">
        <f>SUM(D35:D38)</f>
        <v>0</v>
      </c>
      <c r="D35" s="179">
        <f t="shared" si="0"/>
        <v>0</v>
      </c>
      <c r="E35" s="1135">
        <f>SUM(F35:F38)</f>
        <v>0.05</v>
      </c>
      <c r="F35" s="179">
        <v>0.02</v>
      </c>
      <c r="G35" s="1135">
        <f>C35-E35</f>
        <v>-0.05</v>
      </c>
      <c r="H35" s="179">
        <f>C35-E35</f>
        <v>-0.05</v>
      </c>
      <c r="I35" s="639" t="s">
        <v>26</v>
      </c>
      <c r="J35" s="276"/>
      <c r="K35" s="277"/>
      <c r="L35" s="277"/>
      <c r="M35" s="277"/>
      <c r="N35" s="277"/>
      <c r="O35" s="277"/>
      <c r="P35" s="277"/>
      <c r="Q35" s="277"/>
      <c r="R35" s="277"/>
      <c r="S35" s="277"/>
      <c r="T35" s="277"/>
      <c r="U35" s="277"/>
      <c r="V35" s="277"/>
      <c r="W35" s="277"/>
      <c r="X35" s="277"/>
      <c r="Y35" s="277"/>
      <c r="Z35" s="809"/>
      <c r="AA35" s="277"/>
      <c r="AB35" s="277"/>
      <c r="AC35" s="209"/>
      <c r="AD35" s="209"/>
      <c r="AE35" s="209">
        <v>1.2E-2</v>
      </c>
      <c r="AF35" s="210">
        <v>8.0000000000000002E-3</v>
      </c>
      <c r="AG35" s="560">
        <f t="shared" si="1"/>
        <v>0</v>
      </c>
    </row>
    <row r="36" spans="1:34">
      <c r="A36" s="207" t="s">
        <v>2</v>
      </c>
      <c r="B36" s="211" t="s">
        <v>25</v>
      </c>
      <c r="C36" s="1136"/>
      <c r="D36" s="115">
        <f t="shared" si="0"/>
        <v>0</v>
      </c>
      <c r="E36" s="1136"/>
      <c r="F36" s="115">
        <v>0.01</v>
      </c>
      <c r="G36" s="1145"/>
      <c r="H36" s="115">
        <f>C36-E36</f>
        <v>0</v>
      </c>
      <c r="I36" s="640" t="s">
        <v>27</v>
      </c>
      <c r="J36" s="278"/>
      <c r="K36" s="279"/>
      <c r="L36" s="279"/>
      <c r="M36" s="279"/>
      <c r="N36" s="279"/>
      <c r="O36" s="279"/>
      <c r="P36" s="279"/>
      <c r="Q36" s="279"/>
      <c r="R36" s="279"/>
      <c r="S36" s="279"/>
      <c r="T36" s="279"/>
      <c r="U36" s="279"/>
      <c r="V36" s="279"/>
      <c r="W36" s="279"/>
      <c r="X36" s="279"/>
      <c r="Y36" s="279"/>
      <c r="Z36" s="810"/>
      <c r="AA36" s="279"/>
      <c r="AB36" s="279"/>
      <c r="AC36" s="84"/>
      <c r="AD36" s="84"/>
      <c r="AE36" s="84">
        <v>6.0000000000000001E-3</v>
      </c>
      <c r="AF36" s="89">
        <v>4.0000000000000001E-3</v>
      </c>
      <c r="AG36" s="560">
        <f t="shared" si="1"/>
        <v>0</v>
      </c>
    </row>
    <row r="37" spans="1:34">
      <c r="A37" s="207" t="s">
        <v>2</v>
      </c>
      <c r="B37" s="211" t="s">
        <v>25</v>
      </c>
      <c r="C37" s="1136"/>
      <c r="D37" s="115">
        <f t="shared" si="0"/>
        <v>0</v>
      </c>
      <c r="E37" s="1136"/>
      <c r="F37" s="115">
        <v>0.01</v>
      </c>
      <c r="G37" s="1145"/>
      <c r="H37" s="115">
        <f>C37-E37</f>
        <v>0</v>
      </c>
      <c r="I37" s="640" t="s">
        <v>28</v>
      </c>
      <c r="J37" s="278"/>
      <c r="K37" s="279"/>
      <c r="L37" s="279"/>
      <c r="M37" s="279"/>
      <c r="N37" s="279"/>
      <c r="O37" s="279"/>
      <c r="P37" s="279"/>
      <c r="Q37" s="279"/>
      <c r="R37" s="279"/>
      <c r="S37" s="279"/>
      <c r="T37" s="279"/>
      <c r="U37" s="279"/>
      <c r="V37" s="279"/>
      <c r="W37" s="279"/>
      <c r="X37" s="279"/>
      <c r="Y37" s="279"/>
      <c r="Z37" s="810"/>
      <c r="AA37" s="279"/>
      <c r="AB37" s="279"/>
      <c r="AC37" s="84"/>
      <c r="AD37" s="84"/>
      <c r="AE37" s="84"/>
      <c r="AF37" s="89">
        <v>0.01</v>
      </c>
      <c r="AG37" s="560">
        <f t="shared" si="1"/>
        <v>0</v>
      </c>
    </row>
    <row r="38" spans="1:34" ht="15" thickBot="1">
      <c r="A38" s="207" t="s">
        <v>2</v>
      </c>
      <c r="B38" s="212" t="s">
        <v>25</v>
      </c>
      <c r="C38" s="1137"/>
      <c r="D38" s="183">
        <f t="shared" si="0"/>
        <v>0</v>
      </c>
      <c r="E38" s="1137"/>
      <c r="F38" s="183">
        <v>0.01</v>
      </c>
      <c r="G38" s="1146"/>
      <c r="H38" s="183">
        <f>C38-E38</f>
        <v>0</v>
      </c>
      <c r="I38" s="644" t="s">
        <v>29</v>
      </c>
      <c r="J38" s="280"/>
      <c r="K38" s="281"/>
      <c r="L38" s="281"/>
      <c r="M38" s="281"/>
      <c r="N38" s="281"/>
      <c r="O38" s="281"/>
      <c r="P38" s="281"/>
      <c r="Q38" s="281"/>
      <c r="R38" s="281"/>
      <c r="S38" s="281"/>
      <c r="T38" s="281"/>
      <c r="U38" s="281"/>
      <c r="V38" s="281"/>
      <c r="W38" s="281"/>
      <c r="X38" s="281"/>
      <c r="Y38" s="281"/>
      <c r="Z38" s="811"/>
      <c r="AA38" s="281"/>
      <c r="AB38" s="281"/>
      <c r="AC38" s="213"/>
      <c r="AD38" s="213"/>
      <c r="AE38" s="213"/>
      <c r="AF38" s="214">
        <v>0.01</v>
      </c>
      <c r="AG38" s="560">
        <f t="shared" si="1"/>
        <v>0</v>
      </c>
    </row>
    <row r="39" spans="1:34">
      <c r="A39" s="79">
        <v>1</v>
      </c>
      <c r="B39" s="215" t="s">
        <v>30</v>
      </c>
      <c r="C39" s="216"/>
      <c r="D39" s="170"/>
      <c r="E39" s="216"/>
      <c r="F39" s="217"/>
      <c r="G39" s="216"/>
      <c r="H39" s="216"/>
      <c r="I39" s="645"/>
      <c r="J39" s="282">
        <f>SUM(J2:J38)</f>
        <v>0</v>
      </c>
      <c r="K39" s="282">
        <f t="shared" ref="K39:AE39" si="4">SUM(K2:K38)</f>
        <v>7.5233644859813091E-4</v>
      </c>
      <c r="L39" s="282">
        <f>SUM(L2:L38)+K39</f>
        <v>2.8316129770114214E-2</v>
      </c>
      <c r="M39" s="282">
        <f t="shared" si="4"/>
        <v>1.3561287990969723E-2</v>
      </c>
      <c r="N39" s="282">
        <f t="shared" si="4"/>
        <v>2.7325889219935146E-2</v>
      </c>
      <c r="O39" s="282">
        <f t="shared" si="4"/>
        <v>2.3325917394949089E-2</v>
      </c>
      <c r="P39" s="282">
        <f t="shared" si="4"/>
        <v>3.331991700573525E-2</v>
      </c>
      <c r="Q39" s="282">
        <f t="shared" si="4"/>
        <v>4.7286836063491988E-2</v>
      </c>
      <c r="R39" s="282">
        <f t="shared" si="4"/>
        <v>5.3664965087778987E-2</v>
      </c>
      <c r="S39" s="282">
        <f t="shared" si="4"/>
        <v>6.6193294731147434E-2</v>
      </c>
      <c r="T39" s="282">
        <f t="shared" si="4"/>
        <v>6.7593124905489729E-2</v>
      </c>
      <c r="U39" s="401">
        <f t="shared" si="4"/>
        <v>6.8700766637432797E-2</v>
      </c>
      <c r="V39" s="401">
        <f>SUM(V2:V38)</f>
        <v>6.5986185434593392E-2</v>
      </c>
      <c r="W39" s="687">
        <f>SUM(W2:W38)</f>
        <v>6.6695888934766662E-2</v>
      </c>
      <c r="X39" s="687">
        <f t="shared" ref="X39:Z39" si="5">SUM(X2:X38)</f>
        <v>5.7004412499636108E-2</v>
      </c>
      <c r="Y39" s="687">
        <f t="shared" si="5"/>
        <v>5.8729046772132143E-2</v>
      </c>
      <c r="Z39" s="656">
        <f t="shared" si="5"/>
        <v>6.2687650139381962E-2</v>
      </c>
      <c r="AA39" s="404">
        <f>SUM(AA2:AA38)</f>
        <v>6.0364230580941758E-2</v>
      </c>
      <c r="AB39" s="404">
        <f t="shared" ref="AB39" si="6">SUM(AB2:AB38)</f>
        <v>5.9137194945863489E-2</v>
      </c>
      <c r="AC39" s="404">
        <f t="shared" ref="AC39" si="7">SUM(AC2:AC38)</f>
        <v>4.3513061510811142E-2</v>
      </c>
      <c r="AD39" s="404">
        <f t="shared" ref="AD39" si="8">SUM(AD2:AD38)</f>
        <v>2.8320671523711947E-2</v>
      </c>
      <c r="AE39" s="282">
        <f t="shared" si="4"/>
        <v>3.4803386699659392E-2</v>
      </c>
      <c r="AF39" s="656">
        <f>SUM(AF2:AF38)</f>
        <v>3.3520142151457627E-2</v>
      </c>
      <c r="AG39" s="560">
        <f t="shared" si="1"/>
        <v>-1.0008023364485981</v>
      </c>
    </row>
    <row r="40" spans="1:34" ht="15" thickBot="1">
      <c r="A40" s="79">
        <v>2</v>
      </c>
      <c r="B40" s="219" t="s">
        <v>31</v>
      </c>
      <c r="C40" s="22"/>
      <c r="D40" s="23"/>
      <c r="E40" s="22"/>
      <c r="F40" s="23"/>
      <c r="G40" s="23"/>
      <c r="H40" s="23"/>
      <c r="I40" s="646"/>
      <c r="J40" s="283">
        <f>J39</f>
        <v>0</v>
      </c>
      <c r="K40" s="284">
        <f>K39+J40</f>
        <v>7.5233644859813091E-4</v>
      </c>
      <c r="L40" s="284">
        <f t="shared" ref="L40:AF40" si="9">L39+K40</f>
        <v>2.9068466218712345E-2</v>
      </c>
      <c r="M40" s="284">
        <f t="shared" si="9"/>
        <v>4.2629754209682069E-2</v>
      </c>
      <c r="N40" s="284">
        <f t="shared" si="9"/>
        <v>6.9955643429617215E-2</v>
      </c>
      <c r="O40" s="284">
        <f t="shared" si="9"/>
        <v>9.3281560824566304E-2</v>
      </c>
      <c r="P40" s="284">
        <f t="shared" si="9"/>
        <v>0.12660147783030157</v>
      </c>
      <c r="Q40" s="284">
        <f t="shared" si="9"/>
        <v>0.17388831389379356</v>
      </c>
      <c r="R40" s="284">
        <f t="shared" si="9"/>
        <v>0.22755327898157254</v>
      </c>
      <c r="S40" s="284">
        <f t="shared" si="9"/>
        <v>0.29374657371271995</v>
      </c>
      <c r="T40" s="284">
        <f t="shared" si="9"/>
        <v>0.36133969861820969</v>
      </c>
      <c r="U40" s="402">
        <f t="shared" si="9"/>
        <v>0.43004046525564249</v>
      </c>
      <c r="V40" s="402">
        <f t="shared" si="9"/>
        <v>0.49602665069023588</v>
      </c>
      <c r="W40" s="688">
        <f t="shared" si="9"/>
        <v>0.56272253962500252</v>
      </c>
      <c r="X40" s="688">
        <f t="shared" si="9"/>
        <v>0.61972695212463857</v>
      </c>
      <c r="Y40" s="688">
        <f t="shared" si="9"/>
        <v>0.67845599889677066</v>
      </c>
      <c r="Z40" s="699">
        <f t="shared" si="9"/>
        <v>0.7411436490361526</v>
      </c>
      <c r="AA40" s="284">
        <f t="shared" si="9"/>
        <v>0.80150787961709435</v>
      </c>
      <c r="AB40" s="284">
        <f t="shared" si="9"/>
        <v>0.8606450745629578</v>
      </c>
      <c r="AC40" s="284">
        <f t="shared" si="9"/>
        <v>0.90415813607376894</v>
      </c>
      <c r="AD40" s="284">
        <f t="shared" si="9"/>
        <v>0.93247880759748092</v>
      </c>
      <c r="AE40" s="284">
        <f t="shared" si="9"/>
        <v>0.96728219429714035</v>
      </c>
      <c r="AF40" s="657">
        <f t="shared" si="9"/>
        <v>1.0008023364485981</v>
      </c>
      <c r="AG40" s="560">
        <f t="shared" si="1"/>
        <v>-10.413807788393257</v>
      </c>
    </row>
    <row r="41" spans="1:34">
      <c r="A41" s="220" t="s">
        <v>2</v>
      </c>
      <c r="B41" s="221" t="s">
        <v>3</v>
      </c>
      <c r="C41" s="179">
        <f>D41</f>
        <v>5.7000000000000002E-3</v>
      </c>
      <c r="D41" s="179">
        <f t="shared" ref="D41:D52" si="10">SUM(J41:AD41)</f>
        <v>5.7000000000000002E-3</v>
      </c>
      <c r="E41" s="179">
        <f>F41</f>
        <v>9.9900000000000006E-3</v>
      </c>
      <c r="F41" s="222">
        <f>F2</f>
        <v>9.9900000000000006E-3</v>
      </c>
      <c r="G41" s="179">
        <f>C41-E41</f>
        <v>-4.2900000000000004E-3</v>
      </c>
      <c r="H41" s="179">
        <f>C41-E41</f>
        <v>-4.2900000000000004E-3</v>
      </c>
      <c r="I41" s="639" t="s">
        <v>3</v>
      </c>
      <c r="J41" s="331"/>
      <c r="K41" s="330"/>
      <c r="L41" s="335">
        <v>3.5999999999999999E-3</v>
      </c>
      <c r="M41" s="335"/>
      <c r="N41" s="335">
        <v>6.9999999999999999E-4</v>
      </c>
      <c r="O41" s="335"/>
      <c r="P41" s="335"/>
      <c r="Q41" s="336"/>
      <c r="R41" s="335">
        <v>6.9999999999999999E-4</v>
      </c>
      <c r="S41" s="285"/>
      <c r="T41" s="285"/>
      <c r="U41" s="285"/>
      <c r="V41" s="285">
        <v>6.9999999999999999E-4</v>
      </c>
      <c r="W41" s="285"/>
      <c r="X41" s="285"/>
      <c r="Y41" s="285"/>
      <c r="Z41" s="700"/>
      <c r="AA41" s="285"/>
      <c r="AB41" s="285"/>
      <c r="AC41" s="285"/>
      <c r="AD41" s="285"/>
      <c r="AE41" s="285"/>
      <c r="AF41" s="286"/>
      <c r="AG41" s="560">
        <f t="shared" si="1"/>
        <v>4.2900000000000004E-3</v>
      </c>
    </row>
    <row r="42" spans="1:34" ht="15" thickBot="1">
      <c r="A42" s="223" t="s">
        <v>2</v>
      </c>
      <c r="B42" s="224" t="s">
        <v>4</v>
      </c>
      <c r="C42" s="183">
        <f>D42</f>
        <v>0.01</v>
      </c>
      <c r="D42" s="183">
        <f t="shared" si="10"/>
        <v>0.01</v>
      </c>
      <c r="E42" s="183">
        <f>F42</f>
        <v>0.01</v>
      </c>
      <c r="F42" s="225">
        <f t="shared" ref="F42:F77" si="11">F3</f>
        <v>0.01</v>
      </c>
      <c r="G42" s="183">
        <f>C42-E42</f>
        <v>0</v>
      </c>
      <c r="H42" s="183">
        <f>C42-E42</f>
        <v>0</v>
      </c>
      <c r="I42" s="644" t="s">
        <v>4</v>
      </c>
      <c r="J42" s="337"/>
      <c r="K42" s="338"/>
      <c r="L42" s="339">
        <v>6.0000000000000001E-3</v>
      </c>
      <c r="M42" s="339">
        <v>2E-3</v>
      </c>
      <c r="N42" s="339">
        <v>2E-3</v>
      </c>
      <c r="O42" s="339"/>
      <c r="P42" s="339"/>
      <c r="Q42" s="340"/>
      <c r="R42" s="339"/>
      <c r="S42" s="287"/>
      <c r="T42" s="287"/>
      <c r="U42" s="287"/>
      <c r="V42" s="287"/>
      <c r="W42" s="287"/>
      <c r="X42" s="287"/>
      <c r="Y42" s="287"/>
      <c r="Z42" s="701"/>
      <c r="AA42" s="287"/>
      <c r="AB42" s="287"/>
      <c r="AC42" s="287"/>
      <c r="AD42" s="287"/>
      <c r="AE42" s="287"/>
      <c r="AF42" s="288"/>
      <c r="AG42" s="560">
        <f t="shared" si="1"/>
        <v>0</v>
      </c>
    </row>
    <row r="43" spans="1:34">
      <c r="A43" s="226" t="s">
        <v>2</v>
      </c>
      <c r="B43" s="227" t="s">
        <v>5</v>
      </c>
      <c r="C43" s="1125">
        <f>SUM(D43:D46)</f>
        <v>7.5704613899613901E-2</v>
      </c>
      <c r="D43" s="180">
        <f>SUM(J43:AD43)</f>
        <v>0.02</v>
      </c>
      <c r="E43" s="1125">
        <f>SUM(F43:F46)</f>
        <v>9.9990000000000009E-2</v>
      </c>
      <c r="F43" s="222">
        <f t="shared" si="11"/>
        <v>0.03</v>
      </c>
      <c r="G43" s="1125">
        <f>C43-E43</f>
        <v>-2.4285386100386108E-2</v>
      </c>
      <c r="H43" s="180">
        <f>D43-F43</f>
        <v>-9.9999999999999985E-3</v>
      </c>
      <c r="I43" s="633" t="s">
        <v>6</v>
      </c>
      <c r="J43" s="262">
        <f>('MASTER SHEET -MARATHA SITE'!$F$4/'MARATHA QTY DISTRIBUATION'!$AC$95*'MARATHA QTY DISTRIBUATION'!F96)</f>
        <v>0</v>
      </c>
      <c r="K43" s="263">
        <f>('MASTER SHEET -MARATHA SITE'!$F$4/'MARATHA QTY DISTRIBUATION'!$AC$95*'MARATHA QTY DISTRIBUATION'!G96)</f>
        <v>0</v>
      </c>
      <c r="L43" s="263">
        <f>('MASTER SHEET -MARATHA SITE'!$F$4/'MARATHA QTY DISTRIBUATION'!$AC$95*'MARATHA QTY DISTRIBUATION'!H96)</f>
        <v>0</v>
      </c>
      <c r="M43" s="263">
        <f>('MASTER SHEET -MARATHA SITE'!$F$4/'MARATHA QTY DISTRIBUATION'!$AC$95*'MARATHA QTY DISTRIBUATION'!I96)</f>
        <v>0</v>
      </c>
      <c r="N43" s="263">
        <f>('MASTER SHEET -MARATHA SITE'!$F$4/'MARATHA QTY DISTRIBUATION'!$AC$95*'MARATHA QTY DISTRIBUATION'!J96)</f>
        <v>0</v>
      </c>
      <c r="O43" s="263">
        <f>('MASTER SHEET -MARATHA SITE'!$F$4/'MARATHA QTY DISTRIBUATION'!$AC$95*'MARATHA QTY DISTRIBUATION'!K96)</f>
        <v>5.0000000000000001E-3</v>
      </c>
      <c r="P43" s="263">
        <f>('MASTER SHEET -MARATHA SITE'!$F$4/'MARATHA QTY DISTRIBUATION'!$AC$95*'MARATHA QTY DISTRIBUATION'!L96)</f>
        <v>5.0000000000000001E-3</v>
      </c>
      <c r="Q43" s="263">
        <f>('MASTER SHEET -MARATHA SITE'!$F$4/'MARATHA QTY DISTRIBUATION'!$AC$95*'MARATHA QTY DISTRIBUATION'!M96)</f>
        <v>0</v>
      </c>
      <c r="R43" s="263">
        <f>('MASTER SHEET -MARATHA SITE'!$F$4/'MARATHA QTY DISTRIBUATION'!$AC$95*'MARATHA QTY DISTRIBUATION'!N96)</f>
        <v>5.0000000000000001E-3</v>
      </c>
      <c r="S43" s="263">
        <f>('MASTER SHEET -MARATHA SITE'!$F$4/'MARATHA QTY DISTRIBUATION'!$AC$95*'MARATHA QTY DISTRIBUATION'!O96)</f>
        <v>0</v>
      </c>
      <c r="T43" s="263">
        <f>('MASTER SHEET -MARATHA SITE'!$F$4/'MARATHA QTY DISTRIBUATION'!$AC$95*'MARATHA QTY DISTRIBUATION'!P96)</f>
        <v>5.0000000000000001E-3</v>
      </c>
      <c r="U43" s="263">
        <f>('MASTER SHEET -MARATHA SITE'!$F$4/'MARATHA QTY DISTRIBUATION'!$AC$95*'MARATHA QTY DISTRIBUATION'!Q96)</f>
        <v>0</v>
      </c>
      <c r="V43" s="263">
        <f>('MASTER SHEET -MARATHA SITE'!$F$4/'MARATHA QTY DISTRIBUATION'!$AC$95*'MARATHA QTY DISTRIBUATION'!R96)</f>
        <v>0</v>
      </c>
      <c r="W43" s="263">
        <f>('MASTER SHEET -MARATHA SITE'!$F$4/'MARATHA QTY DISTRIBUATION'!$AC$95*'MARATHA QTY DISTRIBUATION'!S96)</f>
        <v>0</v>
      </c>
      <c r="X43" s="263">
        <f>('MASTER SHEET -MARATHA SITE'!$F$4/'MARATHA QTY DISTRIBUATION'!$AC$95*'MARATHA QTY DISTRIBUATION'!T96)</f>
        <v>0</v>
      </c>
      <c r="Y43" s="263">
        <f>('MASTER SHEET -MARATHA SITE'!$F$4/'MARATHA QTY DISTRIBUATION'!$AC$95*'MARATHA QTY DISTRIBUATION'!U96)</f>
        <v>0</v>
      </c>
      <c r="Z43" s="694">
        <f>('MASTER SHEET -MARATHA SITE'!$F$4/'MARATHA QTY DISTRIBUATION'!$AC$95*'MARATHA QTY DISTRIBUATION'!V96)</f>
        <v>0</v>
      </c>
      <c r="AA43" s="263">
        <f>('MASTER SHEET -MARATHA SITE'!$F$4/'MARATHA QTY DISTRIBUATION'!$AC$95*'MARATHA QTY DISTRIBUATION'!W96)</f>
        <v>0</v>
      </c>
      <c r="AB43" s="263">
        <f>('MASTER SHEET -MARATHA SITE'!$F$4/'MARATHA QTY DISTRIBUATION'!$AC$95*'MARATHA QTY DISTRIBUATION'!X96)</f>
        <v>0</v>
      </c>
      <c r="AC43" s="263">
        <f>('MASTER SHEET -MARATHA SITE'!$F$4/'MARATHA QTY DISTRIBUATION'!$AC$95*'MARATHA QTY DISTRIBUATION'!Y96)</f>
        <v>0</v>
      </c>
      <c r="AD43" s="263">
        <f>('MASTER SHEET -MARATHA SITE'!$F$4/'MARATHA QTY DISTRIBUATION'!$AC$95*'MARATHA QTY DISTRIBUATION'!Z96)</f>
        <v>0</v>
      </c>
      <c r="AE43" s="263">
        <f>('MASTER SHEET -MARATHA SITE'!$F$4/'MARATHA QTY DISTRIBUATION'!$AC$95*'MARATHA QTY DISTRIBUATION'!AA96)</f>
        <v>0</v>
      </c>
      <c r="AF43" s="264">
        <f>('MASTER SHEET -MARATHA SITE'!$F$4/'MARATHA QTY DISTRIBUATION'!$AC$95*'MARATHA QTY DISTRIBUATION'!AB96)</f>
        <v>0</v>
      </c>
      <c r="AG43" s="560">
        <f t="shared" si="1"/>
        <v>9.9999999999999985E-3</v>
      </c>
    </row>
    <row r="44" spans="1:34">
      <c r="A44" s="75" t="s">
        <v>2</v>
      </c>
      <c r="B44" s="17" t="s">
        <v>5</v>
      </c>
      <c r="C44" s="1126"/>
      <c r="D44" s="117">
        <f t="shared" si="10"/>
        <v>4.5936756756756757E-2</v>
      </c>
      <c r="E44" s="1126"/>
      <c r="F44" s="166">
        <f t="shared" si="11"/>
        <v>4.9990000000000014E-2</v>
      </c>
      <c r="G44" s="1138"/>
      <c r="H44" s="117">
        <f>D44-F44</f>
        <v>-4.0532432432432569E-3</v>
      </c>
      <c r="I44" s="634" t="s">
        <v>7</v>
      </c>
      <c r="J44" s="255">
        <f>('MASTER SHEET -MARATHA SITE'!$F$5/'MARATHA QTY DISTRIBUATION'!$AC$100*'MARATHA QTY DISTRIBUATION'!F101)</f>
        <v>0</v>
      </c>
      <c r="K44" s="256">
        <f>('MASTER SHEET -MARATHA SITE'!$F$5/'MARATHA QTY DISTRIBUATION'!$AC$100*'MARATHA QTY DISTRIBUATION'!G101)</f>
        <v>0</v>
      </c>
      <c r="L44" s="256">
        <f>('MASTER SHEET -MARATHA SITE'!$F$5/'MARATHA QTY DISTRIBUATION'!$AC$100*'MARATHA QTY DISTRIBUATION'!H101)</f>
        <v>4.7287837837837847E-3</v>
      </c>
      <c r="M44" s="256">
        <f>('MASTER SHEET -MARATHA SITE'!$F$5/'MARATHA QTY DISTRIBUATION'!$AC$100*'MARATHA QTY DISTRIBUATION'!I101)</f>
        <v>1.4186351351351354E-2</v>
      </c>
      <c r="N44" s="256">
        <f>('MASTER SHEET -MARATHA SITE'!$F$5/'MARATHA QTY DISTRIBUATION'!$AC$100*'MARATHA QTY DISTRIBUATION'!J101)</f>
        <v>6.0798648648648663E-3</v>
      </c>
      <c r="O44" s="256">
        <f>('MASTER SHEET -MARATHA SITE'!$F$5/'MARATHA QTY DISTRIBUATION'!$AC$100*'MARATHA QTY DISTRIBUATION'!K101)</f>
        <v>4.0532432432432439E-3</v>
      </c>
      <c r="P44" s="256">
        <f>('MASTER SHEET -MARATHA SITE'!$F$5/'MARATHA QTY DISTRIBUATION'!$AC$100*'MARATHA QTY DISTRIBUATION'!L101)</f>
        <v>8.1064864864864878E-3</v>
      </c>
      <c r="Q44" s="256">
        <f>('MASTER SHEET -MARATHA SITE'!$F$5/'MARATHA QTY DISTRIBUATION'!$AC$100*'MARATHA QTY DISTRIBUATION'!M101)</f>
        <v>3.3777027027027035E-3</v>
      </c>
      <c r="R44" s="256">
        <f>('MASTER SHEET -MARATHA SITE'!$F$5/'MARATHA QTY DISTRIBUATION'!$AC$100*'MARATHA QTY DISTRIBUATION'!N101)</f>
        <v>1.3510810810810814E-3</v>
      </c>
      <c r="S44" s="256">
        <f>('MASTER SHEET -MARATHA SITE'!$F$5/'MARATHA QTY DISTRIBUATION'!$AC$100*'MARATHA QTY DISTRIBUATION'!O101)</f>
        <v>6.7554054054054069E-4</v>
      </c>
      <c r="T44" s="256">
        <f>('MASTER SHEET -MARATHA SITE'!$F$5/'MARATHA QTY DISTRIBUATION'!$AC$100*'MARATHA QTY DISTRIBUATION'!P101)</f>
        <v>2.0266216216216219E-3</v>
      </c>
      <c r="U44" s="256">
        <f>('MASTER SHEET -MARATHA SITE'!$F$5/'MARATHA QTY DISTRIBUATION'!$AC$100*'MARATHA QTY DISTRIBUATION'!Q101)</f>
        <v>0</v>
      </c>
      <c r="V44" s="256">
        <f>('MASTER SHEET -MARATHA SITE'!$F$5/'MARATHA QTY DISTRIBUATION'!$AC$100*'MARATHA QTY DISTRIBUATION'!R101)</f>
        <v>6.7554054054054069E-4</v>
      </c>
      <c r="W44" s="689">
        <f>('MASTER SHEET -MARATHA SITE'!$F$5/'MARATHA QTY DISTRIBUATION'!$AC$100*'MARATHA QTY DISTRIBUATION'!S101)</f>
        <v>0</v>
      </c>
      <c r="X44" s="689">
        <f>('MASTER SHEET -MARATHA SITE'!$F$5/'MARATHA QTY DISTRIBUATION'!$AC$100*'MARATHA QTY DISTRIBUATION'!T101)</f>
        <v>6.7554054054054069E-4</v>
      </c>
      <c r="Y44" s="689">
        <f>('MASTER SHEET -MARATHA SITE'!$F$5/'MARATHA QTY DISTRIBUATION'!$AC$100*'MARATHA QTY DISTRIBUATION'!U101)</f>
        <v>0</v>
      </c>
      <c r="Z44" s="702">
        <f>('MASTER SHEET -MARATHA SITE'!$F$5/'MARATHA QTY DISTRIBUATION'!$AC$100*'MARATHA QTY DISTRIBUATION'!V101)</f>
        <v>0</v>
      </c>
      <c r="AA44" s="256">
        <f>('MASTER SHEET -MARATHA SITE'!$F$5/'MARATHA QTY DISTRIBUATION'!$AC$100*'MARATHA QTY DISTRIBUATION'!W101)</f>
        <v>0</v>
      </c>
      <c r="AB44" s="256">
        <f>('MASTER SHEET -MARATHA SITE'!$F$5/'MARATHA QTY DISTRIBUATION'!$AC$100*'MARATHA QTY DISTRIBUATION'!X101)</f>
        <v>0</v>
      </c>
      <c r="AC44" s="256">
        <f>('MASTER SHEET -MARATHA SITE'!$F$5/'MARATHA QTY DISTRIBUATION'!$AC$100*'MARATHA QTY DISTRIBUATION'!Y101)</f>
        <v>0</v>
      </c>
      <c r="AD44" s="256">
        <f>('MASTER SHEET -MARATHA SITE'!$F$5/'MARATHA QTY DISTRIBUATION'!$AC$100*'MARATHA QTY DISTRIBUATION'!Z101)</f>
        <v>0</v>
      </c>
      <c r="AE44" s="256">
        <f>('MASTER SHEET -MARATHA SITE'!$F$5/'MARATHA QTY DISTRIBUATION'!$AC$100*'MARATHA QTY DISTRIBUATION'!AA101)</f>
        <v>0</v>
      </c>
      <c r="AF44" s="257">
        <f>('MASTER SHEET -MARATHA SITE'!$F$5/'MARATHA QTY DISTRIBUATION'!$AC$100*'MARATHA QTY DISTRIBUATION'!AB101)</f>
        <v>0</v>
      </c>
      <c r="AG44" s="560">
        <f t="shared" si="1"/>
        <v>4.0532432432432569E-3</v>
      </c>
    </row>
    <row r="45" spans="1:34">
      <c r="A45" s="75" t="s">
        <v>2</v>
      </c>
      <c r="B45" s="17" t="s">
        <v>5</v>
      </c>
      <c r="C45" s="1126"/>
      <c r="D45" s="117">
        <f t="shared" si="10"/>
        <v>7.7678571428571441E-3</v>
      </c>
      <c r="E45" s="1126"/>
      <c r="F45" s="166">
        <f t="shared" si="11"/>
        <v>1.4999999999999999E-2</v>
      </c>
      <c r="G45" s="1138"/>
      <c r="H45" s="117">
        <f>D45-F45</f>
        <v>-7.2321428571428554E-3</v>
      </c>
      <c r="I45" s="634" t="s">
        <v>8</v>
      </c>
      <c r="J45" s="255">
        <f>('MASTER SHEET -MARATHA SITE'!$F$6/'MARATHA QTY DISTRIBUATION'!$AC$105*'MARATHA QTY DISTRIBUATION'!F106)</f>
        <v>0</v>
      </c>
      <c r="K45" s="256">
        <f>('MASTER SHEET -MARATHA SITE'!$F$6/'MARATHA QTY DISTRIBUATION'!$AC$105*'MARATHA QTY DISTRIBUATION'!G106)</f>
        <v>0</v>
      </c>
      <c r="L45" s="256">
        <f>('MASTER SHEET -MARATHA SITE'!$F$6/'MARATHA QTY DISTRIBUATION'!$AC$105*'MARATHA QTY DISTRIBUATION'!H106)</f>
        <v>2.6785714285714287E-4</v>
      </c>
      <c r="M45" s="256">
        <f>('MASTER SHEET -MARATHA SITE'!$F$6/'MARATHA QTY DISTRIBUATION'!$AC$105*'MARATHA QTY DISTRIBUATION'!I106)</f>
        <v>2.6785714285714287E-4</v>
      </c>
      <c r="N45" s="256">
        <f>('MASTER SHEET -MARATHA SITE'!$F$6/'MARATHA QTY DISTRIBUATION'!$AC$105*'MARATHA QTY DISTRIBUATION'!J106)</f>
        <v>5.3571428571428574E-4</v>
      </c>
      <c r="O45" s="256">
        <f>('MASTER SHEET -MARATHA SITE'!$F$6/'MARATHA QTY DISTRIBUATION'!$AC$105*'MARATHA QTY DISTRIBUATION'!K106)</f>
        <v>0</v>
      </c>
      <c r="P45" s="256">
        <f>('MASTER SHEET -MARATHA SITE'!$F$6/'MARATHA QTY DISTRIBUATION'!$AC$105*'MARATHA QTY DISTRIBUATION'!L106)</f>
        <v>5.3571428571428574E-4</v>
      </c>
      <c r="Q45" s="256">
        <f>('MASTER SHEET -MARATHA SITE'!$F$6/'MARATHA QTY DISTRIBUATION'!$AC$105*'MARATHA QTY DISTRIBUATION'!M106)</f>
        <v>8.0357142857142867E-4</v>
      </c>
      <c r="R45" s="256">
        <f>('MASTER SHEET -MARATHA SITE'!$F$6/'MARATHA QTY DISTRIBUATION'!$AC$105*'MARATHA QTY DISTRIBUATION'!N106)</f>
        <v>1.3392857142857143E-3</v>
      </c>
      <c r="S45" s="256">
        <f>('MASTER SHEET -MARATHA SITE'!$F$6/'MARATHA QTY DISTRIBUATION'!$AC$105*'MARATHA QTY DISTRIBUATION'!O106)</f>
        <v>1.0714285714285715E-3</v>
      </c>
      <c r="T45" s="256">
        <f>('MASTER SHEET -MARATHA SITE'!$F$6/'MARATHA QTY DISTRIBUATION'!$AC$105*'MARATHA QTY DISTRIBUATION'!P106)</f>
        <v>2.6785714285714287E-4</v>
      </c>
      <c r="U45" s="256">
        <f>('MASTER SHEET -MARATHA SITE'!$F$6/'MARATHA QTY DISTRIBUATION'!$AC$105*'MARATHA QTY DISTRIBUATION'!Q106)</f>
        <v>5.3571428571428574E-4</v>
      </c>
      <c r="V45" s="256">
        <f>('MASTER SHEET -MARATHA SITE'!$F$6/'MARATHA QTY DISTRIBUATION'!$AC$105*'MARATHA QTY DISTRIBUATION'!R106)</f>
        <v>5.3571428571428574E-4</v>
      </c>
      <c r="W45" s="256">
        <f>('MASTER SHEET -MARATHA SITE'!$F$6/'MARATHA QTY DISTRIBUATION'!$AC$105*'MARATHA QTY DISTRIBUATION'!S106)</f>
        <v>8.0357142857142867E-4</v>
      </c>
      <c r="X45" s="256">
        <f>('MASTER SHEET -MARATHA SITE'!$F$6/'MARATHA QTY DISTRIBUATION'!$AC$105*'MARATHA QTY DISTRIBUATION'!T106)</f>
        <v>8.0357142857142867E-4</v>
      </c>
      <c r="Y45" s="256">
        <f>('MASTER SHEET -MARATHA SITE'!$F$6/'MARATHA QTY DISTRIBUATION'!$AC$105*'MARATHA QTY DISTRIBUATION'!U106)</f>
        <v>0</v>
      </c>
      <c r="Z45" s="655">
        <f>('MASTER SHEET -MARATHA SITE'!$F$6/'MARATHA QTY DISTRIBUATION'!$AC$105*'MARATHA QTY DISTRIBUATION'!V106)</f>
        <v>0</v>
      </c>
      <c r="AA45" s="256">
        <f>('MASTER SHEET -MARATHA SITE'!$F$6/'MARATHA QTY DISTRIBUATION'!$AC$105*'MARATHA QTY DISTRIBUATION'!W106)</f>
        <v>0</v>
      </c>
      <c r="AB45" s="256">
        <f>('MASTER SHEET -MARATHA SITE'!$F$6/'MARATHA QTY DISTRIBUATION'!$AC$105*'MARATHA QTY DISTRIBUATION'!X106)</f>
        <v>0</v>
      </c>
      <c r="AC45" s="256">
        <f>('MASTER SHEET -MARATHA SITE'!$F$6/'MARATHA QTY DISTRIBUATION'!$AC$105*'MARATHA QTY DISTRIBUATION'!Y106)</f>
        <v>0</v>
      </c>
      <c r="AD45" s="256">
        <f>('MASTER SHEET -MARATHA SITE'!$F$6/'MARATHA QTY DISTRIBUATION'!$AC$105*'MARATHA QTY DISTRIBUATION'!Z106)</f>
        <v>0</v>
      </c>
      <c r="AE45" s="256">
        <f>('MASTER SHEET -MARATHA SITE'!$F$6/'MARATHA QTY DISTRIBUATION'!$AC$105*'MARATHA QTY DISTRIBUATION'!AA106)</f>
        <v>0</v>
      </c>
      <c r="AF45" s="257">
        <f>('MASTER SHEET -MARATHA SITE'!$F$6/'MARATHA QTY DISTRIBUATION'!$AC$105*'MARATHA QTY DISTRIBUATION'!AB106)</f>
        <v>0</v>
      </c>
      <c r="AG45" s="560">
        <f t="shared" si="1"/>
        <v>7.2321428571428554E-3</v>
      </c>
    </row>
    <row r="46" spans="1:34" ht="15" thickBot="1">
      <c r="A46" s="228" t="s">
        <v>2</v>
      </c>
      <c r="B46" s="229" t="s">
        <v>5</v>
      </c>
      <c r="C46" s="1127"/>
      <c r="D46" s="184">
        <f t="shared" si="10"/>
        <v>2E-3</v>
      </c>
      <c r="E46" s="1127"/>
      <c r="F46" s="225">
        <f t="shared" si="11"/>
        <v>5.0000000000000001E-3</v>
      </c>
      <c r="G46" s="1139"/>
      <c r="H46" s="184">
        <f>D46-F46</f>
        <v>-3.0000000000000001E-3</v>
      </c>
      <c r="I46" s="635" t="s">
        <v>9</v>
      </c>
      <c r="J46" s="265">
        <f>('MASTER SHEET -MARATHA SITE'!$F$7/'MARATHA QTY DISTRIBUATION'!$AC$110*'MARATHA QTY DISTRIBUATION'!F111)</f>
        <v>0</v>
      </c>
      <c r="K46" s="266">
        <f>('MASTER SHEET -MARATHA SITE'!$F$7/'MARATHA QTY DISTRIBUATION'!$AC$110*'MARATHA QTY DISTRIBUATION'!G111)</f>
        <v>0</v>
      </c>
      <c r="L46" s="266">
        <f>('MASTER SHEET -MARATHA SITE'!$F$7/'MARATHA QTY DISTRIBUATION'!$AC$110*'MARATHA QTY DISTRIBUATION'!H111)</f>
        <v>0</v>
      </c>
      <c r="M46" s="266">
        <f>('MASTER SHEET -MARATHA SITE'!$F$7/'MARATHA QTY DISTRIBUATION'!$AC$110*'MARATHA QTY DISTRIBUATION'!I111)</f>
        <v>0</v>
      </c>
      <c r="N46" s="266">
        <f>('MASTER SHEET -MARATHA SITE'!$F$7/'MARATHA QTY DISTRIBUATION'!$AC$110*'MARATHA QTY DISTRIBUATION'!J111)</f>
        <v>0</v>
      </c>
      <c r="O46" s="266">
        <f>('MASTER SHEET -MARATHA SITE'!$F$7/'MARATHA QTY DISTRIBUATION'!$AC$110*'MARATHA QTY DISTRIBUATION'!K111)</f>
        <v>0</v>
      </c>
      <c r="P46" s="266">
        <f>('MASTER SHEET -MARATHA SITE'!$F$7/'MARATHA QTY DISTRIBUATION'!$AC$110*'MARATHA QTY DISTRIBUATION'!L111)</f>
        <v>0</v>
      </c>
      <c r="Q46" s="266">
        <f>('MASTER SHEET -MARATHA SITE'!$F$7/'MARATHA QTY DISTRIBUATION'!$AC$110*'MARATHA QTY DISTRIBUATION'!M111)</f>
        <v>1.5E-3</v>
      </c>
      <c r="R46" s="266">
        <f>('MASTER SHEET -MARATHA SITE'!$F$7/'MARATHA QTY DISTRIBUATION'!$AC$110*'MARATHA QTY DISTRIBUATION'!N111)</f>
        <v>0</v>
      </c>
      <c r="S46" s="266">
        <f>('MASTER SHEET -MARATHA SITE'!$F$7/'MARATHA QTY DISTRIBUATION'!$AC$110*'MARATHA QTY DISTRIBUATION'!O111)</f>
        <v>5.0000000000000001E-4</v>
      </c>
      <c r="T46" s="266">
        <f>('MASTER SHEET -MARATHA SITE'!$F$7/'MARATHA QTY DISTRIBUATION'!$AC$110*'MARATHA QTY DISTRIBUATION'!P111)</f>
        <v>0</v>
      </c>
      <c r="U46" s="266">
        <f>('MASTER SHEET -MARATHA SITE'!$F$7/'MARATHA QTY DISTRIBUATION'!$AC$110*'MARATHA QTY DISTRIBUATION'!Q111)</f>
        <v>0</v>
      </c>
      <c r="V46" s="266">
        <f>('MASTER SHEET -MARATHA SITE'!$F$7/'MARATHA QTY DISTRIBUATION'!$AC$110*'MARATHA QTY DISTRIBUATION'!R111)</f>
        <v>0</v>
      </c>
      <c r="W46" s="266">
        <f>('MASTER SHEET -MARATHA SITE'!$F$7/'MARATHA QTY DISTRIBUATION'!$AC$110*'MARATHA QTY DISTRIBUATION'!S111)</f>
        <v>0</v>
      </c>
      <c r="X46" s="266">
        <f>('MASTER SHEET -MARATHA SITE'!$F$7/'MARATHA QTY DISTRIBUATION'!$AC$110*'MARATHA QTY DISTRIBUATION'!T111)</f>
        <v>0</v>
      </c>
      <c r="Y46" s="266">
        <f>('MASTER SHEET -MARATHA SITE'!$F$7/'MARATHA QTY DISTRIBUATION'!$AC$110*'MARATHA QTY DISTRIBUATION'!U111)</f>
        <v>0</v>
      </c>
      <c r="Z46" s="695">
        <f>('MASTER SHEET -MARATHA SITE'!$F$7/'MARATHA QTY DISTRIBUATION'!$AC$110*'MARATHA QTY DISTRIBUATION'!V111)</f>
        <v>0</v>
      </c>
      <c r="AA46" s="266">
        <f>('MASTER SHEET -MARATHA SITE'!$F$7/'MARATHA QTY DISTRIBUATION'!$AC$110*'MARATHA QTY DISTRIBUATION'!W111)</f>
        <v>0</v>
      </c>
      <c r="AB46" s="266">
        <f>('MASTER SHEET -MARATHA SITE'!$F$7/'MARATHA QTY DISTRIBUATION'!$AC$110*'MARATHA QTY DISTRIBUATION'!X111)</f>
        <v>0</v>
      </c>
      <c r="AC46" s="266">
        <f>('MASTER SHEET -MARATHA SITE'!$F$7/'MARATHA QTY DISTRIBUATION'!$AC$110*'MARATHA QTY DISTRIBUATION'!Y111)</f>
        <v>0</v>
      </c>
      <c r="AD46" s="266">
        <f>('MASTER SHEET -MARATHA SITE'!$F$7/'MARATHA QTY DISTRIBUATION'!$AC$110*'MARATHA QTY DISTRIBUATION'!Z111)</f>
        <v>0</v>
      </c>
      <c r="AE46" s="266">
        <f>('MASTER SHEET -MARATHA SITE'!$F$7/'MARATHA QTY DISTRIBUATION'!$AC$110*'MARATHA QTY DISTRIBUATION'!AA111)</f>
        <v>0</v>
      </c>
      <c r="AF46" s="267">
        <f>('MASTER SHEET -MARATHA SITE'!$F$7/'MARATHA QTY DISTRIBUATION'!$AC$110*'MARATHA QTY DISTRIBUATION'!AB111)</f>
        <v>0</v>
      </c>
      <c r="AG46" s="560">
        <f t="shared" si="1"/>
        <v>3.0000000000000001E-3</v>
      </c>
    </row>
    <row r="47" spans="1:34">
      <c r="A47" s="230" t="s">
        <v>2</v>
      </c>
      <c r="B47" s="231" t="s">
        <v>10</v>
      </c>
      <c r="C47" s="1128">
        <f>SUM(D47:D52)</f>
        <v>0.14081875220528053</v>
      </c>
      <c r="D47" s="187">
        <f t="shared" si="10"/>
        <v>3.3822429906542065E-2</v>
      </c>
      <c r="E47" s="1128">
        <f>SUM(F47:F52)</f>
        <v>0.15003</v>
      </c>
      <c r="F47" s="222">
        <f t="shared" si="11"/>
        <v>3.5000000000000003E-2</v>
      </c>
      <c r="G47" s="1128">
        <f>C47-E47</f>
        <v>-9.2112477947194626E-3</v>
      </c>
      <c r="H47" s="188">
        <f>D47-F47</f>
        <v>-1.1775700934579386E-3</v>
      </c>
      <c r="I47" s="636" t="s">
        <v>11</v>
      </c>
      <c r="J47" s="203">
        <f>('MASTER SHEET -MARATHA SITE'!$F$8/'MARATHA QTY DISTRIBUATION'!$AC$3*'MARATHA QTY DISTRIBUATION'!F4)</f>
        <v>0</v>
      </c>
      <c r="K47" s="268">
        <f>('MASTER SHEET -MARATHA SITE'!$F$8/'MARATHA QTY DISTRIBUATION'!$AC$3*'MARATHA QTY DISTRIBUATION'!G4)</f>
        <v>0</v>
      </c>
      <c r="L47" s="268">
        <f>('MASTER SHEET -MARATHA SITE'!$F$8/'MARATHA QTY DISTRIBUATION'!$AC$3*'MARATHA QTY DISTRIBUATION'!H4)</f>
        <v>6.640186915887851E-3</v>
      </c>
      <c r="M47" s="268">
        <f>('MASTER SHEET -MARATHA SITE'!$F$8/'MARATHA QTY DISTRIBUATION'!$AC$3*'MARATHA QTY DISTRIBUATION'!I4)</f>
        <v>2.8785046728971968E-3</v>
      </c>
      <c r="N47" s="268">
        <f>('MASTER SHEET -MARATHA SITE'!$F$8/'MARATHA QTY DISTRIBUATION'!$AC$3*'MARATHA QTY DISTRIBUATION'!J4)</f>
        <v>2.1261682242990658E-3</v>
      </c>
      <c r="O47" s="268">
        <f>('MASTER SHEET -MARATHA SITE'!$F$8/'MARATHA QTY DISTRIBUATION'!$AC$3*'MARATHA QTY DISTRIBUATION'!K4)</f>
        <v>3.5000000000000005E-3</v>
      </c>
      <c r="P47" s="268">
        <f>('MASTER SHEET -MARATHA SITE'!$F$8/'MARATHA QTY DISTRIBUATION'!$AC$3*'MARATHA QTY DISTRIBUATION'!L4)</f>
        <v>2.3878504672897199E-3</v>
      </c>
      <c r="Q47" s="268">
        <f>('MASTER SHEET -MARATHA SITE'!$F$8/'MARATHA QTY DISTRIBUATION'!$AC$3*'MARATHA QTY DISTRIBUATION'!M4)</f>
        <v>3.2056074766355146E-3</v>
      </c>
      <c r="R47" s="268">
        <f>('MASTER SHEET -MARATHA SITE'!$F$8/'MARATHA QTY DISTRIBUATION'!$AC$3*'MARATHA QTY DISTRIBUATION'!N4)</f>
        <v>2.4532710280373835E-3</v>
      </c>
      <c r="S47" s="268">
        <f>('MASTER SHEET -MARATHA SITE'!$F$8/'MARATHA QTY DISTRIBUATION'!$AC$3*'MARATHA QTY DISTRIBUATION'!O4)</f>
        <v>2.4532710280373835E-3</v>
      </c>
      <c r="T47" s="268">
        <f>('MASTER SHEET -MARATHA SITE'!$F$8/'MARATHA QTY DISTRIBUATION'!$AC$3*'MARATHA QTY DISTRIBUATION'!P4)</f>
        <v>3.7616822429906546E-3</v>
      </c>
      <c r="U47" s="268">
        <f>('MASTER SHEET -MARATHA SITE'!$F$8/'MARATHA QTY DISTRIBUATION'!$AC$3*'MARATHA QTY DISTRIBUATION'!Q4)</f>
        <v>1.046728971962617E-3</v>
      </c>
      <c r="V47" s="268">
        <f>('MASTER SHEET -MARATHA SITE'!$F$8/'MARATHA QTY DISTRIBUATION'!$AC$3*'MARATHA QTY DISTRIBUATION'!R4)</f>
        <v>2.0934579439252339E-3</v>
      </c>
      <c r="W47" s="268">
        <f>('MASTER SHEET -MARATHA SITE'!$F$8/'MARATHA QTY DISTRIBUATION'!$AC$3*'MARATHA QTY DISTRIBUATION'!S4)</f>
        <v>6.8691588785046737E-4</v>
      </c>
      <c r="X47" s="268">
        <f>('MASTER SHEET -MARATHA SITE'!$F$8/'MARATHA QTY DISTRIBUATION'!$AC$3*'MARATHA QTY DISTRIBUATION'!T4)</f>
        <v>3.598130841121496E-4</v>
      </c>
      <c r="Y47" s="268">
        <f>('MASTER SHEET -MARATHA SITE'!$F$8/'MARATHA QTY DISTRIBUATION'!$AC$3*'MARATHA QTY DISTRIBUATION'!U4)</f>
        <v>2.2897196261682248E-4</v>
      </c>
      <c r="Z47" s="696">
        <f>('MASTER SHEET -MARATHA SITE'!$F$8/'MARATHA QTY DISTRIBUATION'!$AC$3*'MARATHA QTY DISTRIBUATION'!V4)</f>
        <v>0</v>
      </c>
      <c r="AA47" s="268">
        <f>('MASTER SHEET -MARATHA SITE'!$F$8/'MARATHA QTY DISTRIBUATION'!$AC$3*'MARATHA QTY DISTRIBUATION'!W4)</f>
        <v>0</v>
      </c>
      <c r="AB47" s="268">
        <f>('MASTER SHEET -MARATHA SITE'!$F$8/'MARATHA QTY DISTRIBUATION'!$AC$3*'MARATHA QTY DISTRIBUATION'!X4)</f>
        <v>0</v>
      </c>
      <c r="AC47" s="268">
        <f>('MASTER SHEET -MARATHA SITE'!$F$8/'MARATHA QTY DISTRIBUATION'!$AC$3*'MARATHA QTY DISTRIBUATION'!Y4)</f>
        <v>0</v>
      </c>
      <c r="AD47" s="268">
        <f>('MASTER SHEET -MARATHA SITE'!$F$8/'MARATHA QTY DISTRIBUATION'!$AC$3*'MARATHA QTY DISTRIBUATION'!Z4)</f>
        <v>0</v>
      </c>
      <c r="AE47" s="268">
        <f>('MASTER SHEET -MARATHA SITE'!$F$8/'MARATHA QTY DISTRIBUATION'!$AC$3*'MARATHA QTY DISTRIBUATION'!AA4)</f>
        <v>0</v>
      </c>
      <c r="AF47" s="269">
        <f>('MASTER SHEET -MARATHA SITE'!$F$8/'MARATHA QTY DISTRIBUATION'!$AC$3*'MARATHA QTY DISTRIBUATION'!AB4)</f>
        <v>0</v>
      </c>
      <c r="AG47" s="560">
        <f t="shared" si="1"/>
        <v>1.1775700934579386E-3</v>
      </c>
      <c r="AH47" s="670"/>
    </row>
    <row r="48" spans="1:34">
      <c r="A48" s="76" t="s">
        <v>2</v>
      </c>
      <c r="B48" s="12" t="s">
        <v>10</v>
      </c>
      <c r="C48" s="1129"/>
      <c r="D48" s="116">
        <f t="shared" si="10"/>
        <v>8.8349751655629125E-3</v>
      </c>
      <c r="E48" s="1129"/>
      <c r="F48" s="166">
        <f t="shared" si="11"/>
        <v>9.9899999999999989E-3</v>
      </c>
      <c r="G48" s="1140"/>
      <c r="H48" s="118">
        <f t="shared" ref="H48:H63" si="12">D48-F48</f>
        <v>-1.1550248344370864E-3</v>
      </c>
      <c r="I48" s="637" t="s">
        <v>12</v>
      </c>
      <c r="J48" s="68">
        <f>('MASTER SHEET -MARATHA SITE'!$F$9/'MARATHA QTY DISTRIBUATION'!$AC$18*'MARATHA QTY DISTRIBUATION'!F19)</f>
        <v>0</v>
      </c>
      <c r="K48" s="15">
        <f>('MASTER SHEET -MARATHA SITE'!$F$9/'MARATHA QTY DISTRIBUATION'!$AC$18*'MARATHA QTY DISTRIBUATION'!G19)</f>
        <v>0</v>
      </c>
      <c r="L48" s="15">
        <f>('MASTER SHEET -MARATHA SITE'!$F$9/'MARATHA QTY DISTRIBUATION'!$AC$18*'MARATHA QTY DISTRIBUATION'!H19)</f>
        <v>0</v>
      </c>
      <c r="M48" s="15">
        <f>('MASTER SHEET -MARATHA SITE'!$F$9/'MARATHA QTY DISTRIBUATION'!$AC$18*'MARATHA QTY DISTRIBUATION'!I19)</f>
        <v>0</v>
      </c>
      <c r="N48" s="15">
        <f>('MASTER SHEET -MARATHA SITE'!$F$9/'MARATHA QTY DISTRIBUATION'!$AC$18*'MARATHA QTY DISTRIBUATION'!J19)</f>
        <v>0</v>
      </c>
      <c r="O48" s="15">
        <f>('MASTER SHEET -MARATHA SITE'!$F$9/'MARATHA QTY DISTRIBUATION'!$AC$18*'MARATHA QTY DISTRIBUATION'!K19)</f>
        <v>0</v>
      </c>
      <c r="P48" s="15">
        <f>('MASTER SHEET -MARATHA SITE'!$F$9/'MARATHA QTY DISTRIBUATION'!$AC$18*'MARATHA QTY DISTRIBUATION'!L19)</f>
        <v>3.8769926679280979E-3</v>
      </c>
      <c r="Q48" s="15">
        <f>('MASTER SHEET -MARATHA SITE'!$F$9/'MARATHA QTY DISTRIBUATION'!$AC$18*'MARATHA QTY DISTRIBUATION'!M19)</f>
        <v>0</v>
      </c>
      <c r="R48" s="15">
        <f>('MASTER SHEET -MARATHA SITE'!$F$9/'MARATHA QTY DISTRIBUATION'!$AC$18*'MARATHA QTY DISTRIBUATION'!N19)</f>
        <v>6.793105487228003E-4</v>
      </c>
      <c r="S48" s="15">
        <f>('MASTER SHEET -MARATHA SITE'!$F$9/'MARATHA QTY DISTRIBUATION'!$AC$18*'MARATHA QTY DISTRIBUATION'!O19)</f>
        <v>0</v>
      </c>
      <c r="T48" s="15">
        <f>('MASTER SHEET -MARATHA SITE'!$F$9/'MARATHA QTY DISTRIBUATION'!$AC$18*'MARATHA QTY DISTRIBUATION'!P19)</f>
        <v>2.3352530747398296E-3</v>
      </c>
      <c r="U48" s="15">
        <f>('MASTER SHEET -MARATHA SITE'!$F$9/'MARATHA QTY DISTRIBUATION'!$AC$18*'MARATHA QTY DISTRIBUATION'!Q19)</f>
        <v>1.6972918637653735E-3</v>
      </c>
      <c r="V48" s="15">
        <f>('MASTER SHEET -MARATHA SITE'!$F$9/'MARATHA QTY DISTRIBUATION'!$AC$18*'MARATHA QTY DISTRIBUATION'!R19)</f>
        <v>1.6736636707663196E-4</v>
      </c>
      <c r="W48" s="15">
        <f>('MASTER SHEET -MARATHA SITE'!$F$9/'MARATHA QTY DISTRIBUATION'!$AC$18*'MARATHA QTY DISTRIBUATION'!S19)</f>
        <v>0</v>
      </c>
      <c r="X48" s="15">
        <f>('MASTER SHEET -MARATHA SITE'!$F$9/'MARATHA QTY DISTRIBUATION'!$AC$18*'MARATHA QTY DISTRIBUATION'!T19)</f>
        <v>0</v>
      </c>
      <c r="Y48" s="15">
        <f>('MASTER SHEET -MARATHA SITE'!$F$9/'MARATHA QTY DISTRIBUATION'!$AC$18*'MARATHA QTY DISTRIBUATION'!U19)</f>
        <v>7.8760643330179749E-5</v>
      </c>
      <c r="Z48" s="697">
        <f>('MASTER SHEET -MARATHA SITE'!$F$9/'MARATHA QTY DISTRIBUATION'!$AC$18*'MARATHA QTY DISTRIBUATION'!V19)</f>
        <v>0</v>
      </c>
      <c r="AA48" s="15">
        <f>('MASTER SHEET -MARATHA SITE'!$F$9/'MARATHA QTY DISTRIBUATION'!$AC$18*'MARATHA QTY DISTRIBUATION'!W19)</f>
        <v>0</v>
      </c>
      <c r="AB48" s="15">
        <f>('MASTER SHEET -MARATHA SITE'!$F$9/'MARATHA QTY DISTRIBUATION'!$AC$18*'MARATHA QTY DISTRIBUATION'!X19)</f>
        <v>0</v>
      </c>
      <c r="AC48" s="15">
        <f>('MASTER SHEET -MARATHA SITE'!$F$9/'MARATHA QTY DISTRIBUATION'!$AC$18*'MARATHA QTY DISTRIBUATION'!Y19)</f>
        <v>0</v>
      </c>
      <c r="AD48" s="15">
        <f>('MASTER SHEET -MARATHA SITE'!$F$9/'MARATHA QTY DISTRIBUATION'!$AC$18*'MARATHA QTY DISTRIBUATION'!Z19)</f>
        <v>0</v>
      </c>
      <c r="AE48" s="15">
        <f>('MASTER SHEET -MARATHA SITE'!$F$9/'MARATHA QTY DISTRIBUATION'!$AC$18*'MARATHA QTY DISTRIBUATION'!AA19)</f>
        <v>0</v>
      </c>
      <c r="AF48" s="69">
        <f>('MASTER SHEET -MARATHA SITE'!$F$9/'MARATHA QTY DISTRIBUATION'!$AC$18*'MARATHA QTY DISTRIBUATION'!AB19)</f>
        <v>0</v>
      </c>
      <c r="AG48" s="560">
        <f t="shared" si="1"/>
        <v>1.1550248344370864E-3</v>
      </c>
      <c r="AH48" s="670"/>
    </row>
    <row r="49" spans="1:34">
      <c r="A49" s="76" t="s">
        <v>2</v>
      </c>
      <c r="B49" s="12" t="s">
        <v>10</v>
      </c>
      <c r="C49" s="1129"/>
      <c r="D49" s="116">
        <f t="shared" si="10"/>
        <v>2.9975545350172217E-2</v>
      </c>
      <c r="E49" s="1129"/>
      <c r="F49" s="166">
        <f t="shared" si="11"/>
        <v>3.0010000000000002E-2</v>
      </c>
      <c r="G49" s="1140"/>
      <c r="H49" s="118">
        <f t="shared" si="12"/>
        <v>-3.4454649827785067E-5</v>
      </c>
      <c r="I49" s="637" t="s">
        <v>13</v>
      </c>
      <c r="J49" s="68">
        <f>('MASTER SHEET -MARATHA SITE'!$F$10/'MARATHA QTY DISTRIBUATION'!$AC$13*'MARATHA QTY DISTRIBUATION'!F14)</f>
        <v>0</v>
      </c>
      <c r="K49" s="15">
        <f>('MASTER SHEET -MARATHA SITE'!$F$10/'MARATHA QTY DISTRIBUATION'!$AC$13*'MARATHA QTY DISTRIBUATION'!G14)</f>
        <v>0</v>
      </c>
      <c r="L49" s="15">
        <f>('MASTER SHEET -MARATHA SITE'!$F$10/'MARATHA QTY DISTRIBUATION'!$AC$13*'MARATHA QTY DISTRIBUATION'!H14)</f>
        <v>2.2233585533869117E-3</v>
      </c>
      <c r="M49" s="15">
        <f>('MASTER SHEET -MARATHA SITE'!$F$10/'MARATHA QTY DISTRIBUATION'!$AC$13*'MARATHA QTY DISTRIBUATION'!I14)</f>
        <v>1.4588098737083812E-3</v>
      </c>
      <c r="N49" s="15">
        <f>('MASTER SHEET -MARATHA SITE'!$F$10/'MARATHA QTY DISTRIBUATION'!$AC$13*'MARATHA QTY DISTRIBUATION'!J14)</f>
        <v>2.4173382319173367E-3</v>
      </c>
      <c r="O49" s="15">
        <f>('MASTER SHEET -MARATHA SITE'!$F$10/'MARATHA QTY DISTRIBUATION'!$AC$13*'MARATHA QTY DISTRIBUATION'!K14)</f>
        <v>2.4528265212399544E-3</v>
      </c>
      <c r="P49" s="15">
        <f>('MASTER SHEET -MARATHA SITE'!$F$10/'MARATHA QTY DISTRIBUATION'!$AC$13*'MARATHA QTY DISTRIBUATION'!L14)</f>
        <v>2.2536786452353619E-3</v>
      </c>
      <c r="Q49" s="15">
        <f>('MASTER SHEET -MARATHA SITE'!$F$10/'MARATHA QTY DISTRIBUATION'!$AC$13*'MARATHA QTY DISTRIBUATION'!M14)</f>
        <v>1.3041084959816303E-3</v>
      </c>
      <c r="R49" s="15">
        <f>('MASTER SHEET -MARATHA SITE'!$F$10/'MARATHA QTY DISTRIBUATION'!$AC$13*'MARATHA QTY DISTRIBUATION'!N14)</f>
        <v>7.1527853042479914E-3</v>
      </c>
      <c r="S49" s="15">
        <f>('MASTER SHEET -MARATHA SITE'!$F$10/'MARATHA QTY DISTRIBUATION'!$AC$13*'MARATHA QTY DISTRIBUATION'!O14)</f>
        <v>2.2130221584385763E-3</v>
      </c>
      <c r="T49" s="15">
        <f>('MASTER SHEET -MARATHA SITE'!$F$10/'MARATHA QTY DISTRIBUATION'!$AC$13*'MARATHA QTY DISTRIBUATION'!P14)</f>
        <v>2.3222433983926521E-3</v>
      </c>
      <c r="U49" s="15">
        <f>('MASTER SHEET -MARATHA SITE'!$F$10/'MARATHA QTY DISTRIBUATION'!$AC$13*'MARATHA QTY DISTRIBUATION'!Q14)</f>
        <v>3.3638074626865674E-3</v>
      </c>
      <c r="V49" s="15">
        <f>('MASTER SHEET -MARATHA SITE'!$F$10/'MARATHA QTY DISTRIBUATION'!$AC$13*'MARATHA QTY DISTRIBUATION'!R14)</f>
        <v>2.4324982778415613E-3</v>
      </c>
      <c r="W49" s="15">
        <f>('MASTER SHEET -MARATHA SITE'!$F$10/'MARATHA QTY DISTRIBUATION'!$AC$13*'MARATHA QTY DISTRIBUATION'!S14)</f>
        <v>1.7227324913892078E-4</v>
      </c>
      <c r="X49" s="15">
        <f>('MASTER SHEET -MARATHA SITE'!$F$10/'MARATHA QTY DISTRIBUATION'!$AC$13*'MARATHA QTY DISTRIBUATION'!T14)</f>
        <v>0</v>
      </c>
      <c r="Y49" s="15">
        <f>('MASTER SHEET -MARATHA SITE'!$F$10/'MARATHA QTY DISTRIBUATION'!$AC$13*'MARATHA QTY DISTRIBUATION'!U14)</f>
        <v>2.0879517795637201E-4</v>
      </c>
      <c r="Z49" s="697">
        <f>('MASTER SHEET -MARATHA SITE'!$F$10/'MARATHA QTY DISTRIBUATION'!$AC$13*'MARATHA QTY DISTRIBUATION'!V14)</f>
        <v>0</v>
      </c>
      <c r="AA49" s="15">
        <f>('MASTER SHEET -MARATHA SITE'!$F$10/'MARATHA QTY DISTRIBUATION'!$AC$13*'MARATHA QTY DISTRIBUATION'!W14)</f>
        <v>0</v>
      </c>
      <c r="AB49" s="15">
        <f>('MASTER SHEET -MARATHA SITE'!$F$10/'MARATHA QTY DISTRIBUATION'!$AC$13*'MARATHA QTY DISTRIBUATION'!X14)</f>
        <v>0</v>
      </c>
      <c r="AC49" s="15">
        <f>('MASTER SHEET -MARATHA SITE'!$F$10/'MARATHA QTY DISTRIBUATION'!$AC$13*'MARATHA QTY DISTRIBUATION'!Y14)</f>
        <v>0</v>
      </c>
      <c r="AD49" s="15">
        <f>('MASTER SHEET -MARATHA SITE'!$F$10/'MARATHA QTY DISTRIBUATION'!$AC$13*'MARATHA QTY DISTRIBUATION'!Z14)</f>
        <v>0</v>
      </c>
      <c r="AE49" s="15">
        <f>('MASTER SHEET -MARATHA SITE'!$F$10/'MARATHA QTY DISTRIBUATION'!$AC$13*'MARATHA QTY DISTRIBUATION'!AA14)</f>
        <v>0</v>
      </c>
      <c r="AF49" s="69">
        <f>('MASTER SHEET -MARATHA SITE'!$F$10/'MARATHA QTY DISTRIBUATION'!$AC$13*'MARATHA QTY DISTRIBUATION'!AB14)</f>
        <v>0</v>
      </c>
      <c r="AG49" s="560">
        <f t="shared" si="1"/>
        <v>3.4454649827785067E-5</v>
      </c>
      <c r="AH49" s="670"/>
    </row>
    <row r="50" spans="1:34">
      <c r="A50" s="76" t="s">
        <v>2</v>
      </c>
      <c r="B50" s="12" t="s">
        <v>10</v>
      </c>
      <c r="C50" s="1129"/>
      <c r="D50" s="116">
        <f t="shared" si="10"/>
        <v>2.9532169337479073E-2</v>
      </c>
      <c r="E50" s="1129"/>
      <c r="F50" s="166">
        <f t="shared" si="11"/>
        <v>3.0000000000000002E-2</v>
      </c>
      <c r="G50" s="1140"/>
      <c r="H50" s="118">
        <f t="shared" si="12"/>
        <v>-4.6783066252092942E-4</v>
      </c>
      <c r="I50" s="637" t="s">
        <v>14</v>
      </c>
      <c r="J50" s="68">
        <f>('MASTER SHEET -MARATHA SITE'!$F$11/'MARATHA QTY DISTRIBUATION'!$AC$23*'MARATHA QTY DISTRIBUATION'!F24)</f>
        <v>0</v>
      </c>
      <c r="K50" s="15">
        <f>('MASTER SHEET -MARATHA SITE'!$F$11/'MARATHA QTY DISTRIBUATION'!$AC$23*'MARATHA QTY DISTRIBUATION'!G24)</f>
        <v>0</v>
      </c>
      <c r="L50" s="15">
        <f>('MASTER SHEET -MARATHA SITE'!$F$11/'MARATHA QTY DISTRIBUATION'!$AC$23*'MARATHA QTY DISTRIBUATION'!H24)</f>
        <v>0</v>
      </c>
      <c r="M50" s="15">
        <f>('MASTER SHEET -MARATHA SITE'!$F$11/'MARATHA QTY DISTRIBUATION'!$AC$23*'MARATHA QTY DISTRIBUATION'!I24)</f>
        <v>0</v>
      </c>
      <c r="N50" s="15">
        <f>('MASTER SHEET -MARATHA SITE'!$F$11/'MARATHA QTY DISTRIBUATION'!$AC$23*'MARATHA QTY DISTRIBUATION'!J24)</f>
        <v>0</v>
      </c>
      <c r="O50" s="15">
        <f>('MASTER SHEET -MARATHA SITE'!$F$11/'MARATHA QTY DISTRIBUATION'!$AC$23*'MARATHA QTY DISTRIBUATION'!K24)</f>
        <v>0</v>
      </c>
      <c r="P50" s="15">
        <f>('MASTER SHEET -MARATHA SITE'!$F$11/'MARATHA QTY DISTRIBUATION'!$AC$23*'MARATHA QTY DISTRIBUATION'!L24)</f>
        <v>9.4226261659889985E-3</v>
      </c>
      <c r="Q50" s="15">
        <f>('MASTER SHEET -MARATHA SITE'!$F$11/'MARATHA QTY DISTRIBUATION'!$AC$23*'MARATHA QTY DISTRIBUATION'!M24)</f>
        <v>1.5642190863429802E-3</v>
      </c>
      <c r="R50" s="15">
        <f>('MASTER SHEET -MARATHA SITE'!$F$11/'MARATHA QTY DISTRIBUATION'!$AC$23*'MARATHA QTY DISTRIBUATION'!N24)</f>
        <v>1.9373355656541499E-3</v>
      </c>
      <c r="S50" s="15">
        <f>('MASTER SHEET -MARATHA SITE'!$F$11/'MARATHA QTY DISTRIBUATION'!$AC$23*'MARATHA QTY DISTRIBUATION'!O24)</f>
        <v>1.7220760583592442E-3</v>
      </c>
      <c r="T50" s="15">
        <f>('MASTER SHEET -MARATHA SITE'!$F$11/'MARATHA QTY DISTRIBUATION'!$AC$23*'MARATHA QTY DISTRIBUATION'!P24)</f>
        <v>1.6359722554412821E-3</v>
      </c>
      <c r="U50" s="15">
        <f>('MASTER SHEET -MARATHA SITE'!$F$11/'MARATHA QTY DISTRIBUATION'!$AC$23*'MARATHA QTY DISTRIBUATION'!Q24)</f>
        <v>1.3920114805070559E-3</v>
      </c>
      <c r="V50" s="15">
        <f>('MASTER SHEET -MARATHA SITE'!$F$11/'MARATHA QTY DISTRIBUATION'!$AC$23*'MARATHA QTY DISTRIBUATION'!R24)</f>
        <v>5.6972016264051663E-3</v>
      </c>
      <c r="W50" s="15">
        <f>('MASTER SHEET -MARATHA SITE'!$F$11/'MARATHA QTY DISTRIBUATION'!$AC$23*'MARATHA QTY DISTRIBUATION'!S24)</f>
        <v>6.1607270987801962E-3</v>
      </c>
      <c r="X50" s="15">
        <f>('MASTER SHEET -MARATHA SITE'!$F$11/'MARATHA QTY DISTRIBUATION'!$AC$23*'MARATHA QTY DISTRIBUATION'!T24)</f>
        <v>0</v>
      </c>
      <c r="Y50" s="15">
        <f>('MASTER SHEET -MARATHA SITE'!$F$11/'MARATHA QTY DISTRIBUATION'!$AC$23*'MARATHA QTY DISTRIBUATION'!U24)</f>
        <v>0</v>
      </c>
      <c r="Z50" s="697">
        <f>('MASTER SHEET -MARATHA SITE'!$F$11/'MARATHA QTY DISTRIBUATION'!$AC$23*'MARATHA QTY DISTRIBUATION'!V24)</f>
        <v>0</v>
      </c>
      <c r="AA50" s="15">
        <f>('MASTER SHEET -MARATHA SITE'!$F$11/'MARATHA QTY DISTRIBUATION'!$AC$23*'MARATHA QTY DISTRIBUATION'!W24)</f>
        <v>0</v>
      </c>
      <c r="AB50" s="15">
        <f>('MASTER SHEET -MARATHA SITE'!$F$11/'MARATHA QTY DISTRIBUATION'!$AC$23*'MARATHA QTY DISTRIBUATION'!X24)</f>
        <v>0</v>
      </c>
      <c r="AC50" s="15">
        <f>('MASTER SHEET -MARATHA SITE'!$F$11/'MARATHA QTY DISTRIBUATION'!$AC$23*'MARATHA QTY DISTRIBUATION'!Y24)</f>
        <v>0</v>
      </c>
      <c r="AD50" s="15">
        <f>('MASTER SHEET -MARATHA SITE'!$F$11/'MARATHA QTY DISTRIBUATION'!$AC$23*'MARATHA QTY DISTRIBUATION'!Z24)</f>
        <v>0</v>
      </c>
      <c r="AE50" s="15">
        <f>('MASTER SHEET -MARATHA SITE'!$F$11/'MARATHA QTY DISTRIBUATION'!$AC$23*'MARATHA QTY DISTRIBUATION'!AA24)</f>
        <v>0</v>
      </c>
      <c r="AF50" s="69">
        <f>('MASTER SHEET -MARATHA SITE'!$F$11/'MARATHA QTY DISTRIBUATION'!$AC$23*'MARATHA QTY DISTRIBUATION'!AB24)</f>
        <v>0</v>
      </c>
      <c r="AG50" s="560">
        <f t="shared" si="1"/>
        <v>4.6783066252092942E-4</v>
      </c>
      <c r="AH50" s="670"/>
    </row>
    <row r="51" spans="1:34">
      <c r="A51" s="76" t="s">
        <v>2</v>
      </c>
      <c r="B51" s="12" t="s">
        <v>10</v>
      </c>
      <c r="C51" s="1129"/>
      <c r="D51" s="116">
        <f t="shared" si="10"/>
        <v>1.333113855799373E-2</v>
      </c>
      <c r="E51" s="1129"/>
      <c r="F51" s="166">
        <f t="shared" si="11"/>
        <v>1.5010000000000003E-2</v>
      </c>
      <c r="G51" s="1140"/>
      <c r="H51" s="118">
        <f t="shared" si="12"/>
        <v>-1.6788614420062721E-3</v>
      </c>
      <c r="I51" s="637" t="s">
        <v>15</v>
      </c>
      <c r="J51" s="68">
        <f>('MASTER SHEET -MARATHA SITE'!$F$12/'MARATHA QTY DISTRIBUATION'!$AC$28*'MARATHA QTY DISTRIBUATION'!F29)</f>
        <v>0</v>
      </c>
      <c r="K51" s="15">
        <f>('MASTER SHEET -MARATHA SITE'!$F$12/'MARATHA QTY DISTRIBUATION'!$AC$28*'MARATHA QTY DISTRIBUATION'!G29)</f>
        <v>0</v>
      </c>
      <c r="L51" s="15">
        <f>('MASTER SHEET -MARATHA SITE'!$F$12/'MARATHA QTY DISTRIBUATION'!$AC$28*'MARATHA QTY DISTRIBUATION'!H29)</f>
        <v>0</v>
      </c>
      <c r="M51" s="15">
        <f>('MASTER SHEET -MARATHA SITE'!$F$12/'MARATHA QTY DISTRIBUATION'!$AC$28*'MARATHA QTY DISTRIBUATION'!I29)</f>
        <v>0</v>
      </c>
      <c r="N51" s="15">
        <f>('MASTER SHEET -MARATHA SITE'!$F$12/'MARATHA QTY DISTRIBUATION'!$AC$28*'MARATHA QTY DISTRIBUATION'!J29)</f>
        <v>0</v>
      </c>
      <c r="O51" s="15">
        <f>('MASTER SHEET -MARATHA SITE'!$F$12/'MARATHA QTY DISTRIBUATION'!$AC$28*'MARATHA QTY DISTRIBUATION'!K29)</f>
        <v>0</v>
      </c>
      <c r="P51" s="15">
        <f>('MASTER SHEET -MARATHA SITE'!$F$12/'MARATHA QTY DISTRIBUATION'!$AC$28*'MARATHA QTY DISTRIBUATION'!L29)</f>
        <v>0</v>
      </c>
      <c r="Q51" s="15">
        <f>('MASTER SHEET -MARATHA SITE'!$F$12/'MARATHA QTY DISTRIBUATION'!$AC$28*'MARATHA QTY DISTRIBUATION'!M29)</f>
        <v>1.0257617554858935E-3</v>
      </c>
      <c r="R51" s="15">
        <f>('MASTER SHEET -MARATHA SITE'!$F$12/'MARATHA QTY DISTRIBUATION'!$AC$28*'MARATHA QTY DISTRIBUATION'!N29)</f>
        <v>9.6271034482758627E-4</v>
      </c>
      <c r="S51" s="15">
        <f>('MASTER SHEET -MARATHA SITE'!$F$12/'MARATHA QTY DISTRIBUATION'!$AC$28*'MARATHA QTY DISTRIBUATION'!O29)</f>
        <v>1.1292789968652039E-3</v>
      </c>
      <c r="T51" s="15">
        <f>('MASTER SHEET -MARATHA SITE'!$F$12/'MARATHA QTY DISTRIBUATION'!$AC$28*'MARATHA QTY DISTRIBUATION'!P29)</f>
        <v>1.0728150470219436E-3</v>
      </c>
      <c r="U51" s="15">
        <f>('MASTER SHEET -MARATHA SITE'!$F$12/'MARATHA QTY DISTRIBUATION'!$AC$28*'MARATHA QTY DISTRIBUATION'!Q29)</f>
        <v>9.3824263322884018E-4</v>
      </c>
      <c r="V51" s="15">
        <f>('MASTER SHEET -MARATHA SITE'!$F$12/'MARATHA QTY DISTRIBUATION'!$AC$28*'MARATHA QTY DISTRIBUATION'!R29)</f>
        <v>1.3880721003134797E-3</v>
      </c>
      <c r="W51" s="15">
        <f>('MASTER SHEET -MARATHA SITE'!$F$12/'MARATHA QTY DISTRIBUATION'!$AC$28*'MARATHA QTY DISTRIBUATION'!S29)</f>
        <v>2.4580639498432604E-3</v>
      </c>
      <c r="X51" s="15">
        <f>('MASTER SHEET -MARATHA SITE'!$F$12/'MARATHA QTY DISTRIBUATION'!$AC$28*'MARATHA QTY DISTRIBUATION'!T29)</f>
        <v>4.3561937304075239E-3</v>
      </c>
      <c r="Y51" s="15">
        <f>('MASTER SHEET -MARATHA SITE'!$F$12/'MARATHA QTY DISTRIBUATION'!$AC$28*'MARATHA QTY DISTRIBUATION'!U29)</f>
        <v>0</v>
      </c>
      <c r="Z51" s="697">
        <f>('MASTER SHEET -MARATHA SITE'!$F$12/'MARATHA QTY DISTRIBUATION'!$AC$28*'MARATHA QTY DISTRIBUATION'!V29)</f>
        <v>0</v>
      </c>
      <c r="AA51" s="15">
        <f>('MASTER SHEET -MARATHA SITE'!$F$12/'MARATHA QTY DISTRIBUATION'!$AC$28*'MARATHA QTY DISTRIBUATION'!W29)</f>
        <v>0</v>
      </c>
      <c r="AB51" s="15">
        <f>('MASTER SHEET -MARATHA SITE'!$F$12/'MARATHA QTY DISTRIBUATION'!$AC$28*'MARATHA QTY DISTRIBUATION'!X29)</f>
        <v>0</v>
      </c>
      <c r="AC51" s="15">
        <f>('MASTER SHEET -MARATHA SITE'!$F$12/'MARATHA QTY DISTRIBUATION'!$AC$28*'MARATHA QTY DISTRIBUATION'!Y29)</f>
        <v>0</v>
      </c>
      <c r="AD51" s="15">
        <f>('MASTER SHEET -MARATHA SITE'!$F$12/'MARATHA QTY DISTRIBUATION'!$AC$28*'MARATHA QTY DISTRIBUATION'!Z29)</f>
        <v>0</v>
      </c>
      <c r="AE51" s="15">
        <f>('MASTER SHEET -MARATHA SITE'!$F$12/'MARATHA QTY DISTRIBUATION'!$AC$28*'MARATHA QTY DISTRIBUATION'!AA29)</f>
        <v>0</v>
      </c>
      <c r="AF51" s="69">
        <f>('MASTER SHEET -MARATHA SITE'!$F$12/'MARATHA QTY DISTRIBUATION'!$AC$28*'MARATHA QTY DISTRIBUATION'!AB29)</f>
        <v>0</v>
      </c>
      <c r="AG51" s="560">
        <f t="shared" si="1"/>
        <v>1.6788614420062721E-3</v>
      </c>
      <c r="AH51" s="670"/>
    </row>
    <row r="52" spans="1:34" ht="15" thickBot="1">
      <c r="A52" s="232" t="s">
        <v>2</v>
      </c>
      <c r="B52" s="233" t="s">
        <v>10</v>
      </c>
      <c r="C52" s="1130"/>
      <c r="D52" s="191">
        <f t="shared" si="10"/>
        <v>2.5322493887530557E-2</v>
      </c>
      <c r="E52" s="1130"/>
      <c r="F52" s="225">
        <f t="shared" si="11"/>
        <v>3.0019999999999998E-2</v>
      </c>
      <c r="G52" s="1141"/>
      <c r="H52" s="192">
        <f t="shared" si="12"/>
        <v>-4.6975061124694406E-3</v>
      </c>
      <c r="I52" s="638" t="s">
        <v>16</v>
      </c>
      <c r="J52" s="193">
        <f>('MASTER SHEET -MARATHA SITE'!$F$13/'MARATHA QTY DISTRIBUATION'!$AC$8*'MARATHA QTY DISTRIBUATION'!F9)</f>
        <v>0</v>
      </c>
      <c r="K52" s="194">
        <f>('MASTER SHEET -MARATHA SITE'!$F$13/'MARATHA QTY DISTRIBUATION'!$AC$8*'MARATHA QTY DISTRIBUATION'!G9)</f>
        <v>0</v>
      </c>
      <c r="L52" s="194">
        <f>('MASTER SHEET -MARATHA SITE'!$F$13/'MARATHA QTY DISTRIBUATION'!$AC$8*'MARATHA QTY DISTRIBUATION'!H9)</f>
        <v>0</v>
      </c>
      <c r="M52" s="194">
        <f>('MASTER SHEET -MARATHA SITE'!$F$13/'MARATHA QTY DISTRIBUATION'!$AC$8*'MARATHA QTY DISTRIBUATION'!I9)</f>
        <v>0</v>
      </c>
      <c r="N52" s="194">
        <f>('MASTER SHEET -MARATHA SITE'!$F$13/'MARATHA QTY DISTRIBUATION'!$AC$8*'MARATHA QTY DISTRIBUATION'!J9)</f>
        <v>1.4679706601466991E-4</v>
      </c>
      <c r="O52" s="194">
        <f>('MASTER SHEET -MARATHA SITE'!$F$13/'MARATHA QTY DISTRIBUATION'!$AC$8*'MARATHA QTY DISTRIBUATION'!K9)</f>
        <v>1.9083618581907089E-3</v>
      </c>
      <c r="P52" s="194">
        <f>('MASTER SHEET -MARATHA SITE'!$F$13/'MARATHA QTY DISTRIBUATION'!$AC$8*'MARATHA QTY DISTRIBUATION'!L9)</f>
        <v>0</v>
      </c>
      <c r="Q52" s="194">
        <f>('MASTER SHEET -MARATHA SITE'!$F$13/'MARATHA QTY DISTRIBUATION'!$AC$8*'MARATHA QTY DISTRIBUATION'!M9)</f>
        <v>3.6699266503667478E-4</v>
      </c>
      <c r="R52" s="194">
        <f>('MASTER SHEET -MARATHA SITE'!$F$13/'MARATHA QTY DISTRIBUATION'!$AC$8*'MARATHA QTY DISTRIBUATION'!N9)</f>
        <v>1.4679706601466991E-3</v>
      </c>
      <c r="S52" s="194">
        <f>('MASTER SHEET -MARATHA SITE'!$F$13/'MARATHA QTY DISTRIBUATION'!$AC$8*'MARATHA QTY DISTRIBUATION'!O9)</f>
        <v>1.4679706601466991E-3</v>
      </c>
      <c r="T52" s="194">
        <f>('MASTER SHEET -MARATHA SITE'!$F$13/'MARATHA QTY DISTRIBUATION'!$AC$8*'MARATHA QTY DISTRIBUATION'!P9)</f>
        <v>7.3398533007334955E-4</v>
      </c>
      <c r="U52" s="194">
        <f>('MASTER SHEET -MARATHA SITE'!$F$13/'MARATHA QTY DISTRIBUATION'!$AC$8*'MARATHA QTY DISTRIBUATION'!Q9)</f>
        <v>1.1303374083129583E-2</v>
      </c>
      <c r="V52" s="194">
        <f>('MASTER SHEET -MARATHA SITE'!$F$13/'MARATHA QTY DISTRIBUATION'!$AC$8*'MARATHA QTY DISTRIBUATION'!R9)</f>
        <v>7.3398533007334955E-5</v>
      </c>
      <c r="W52" s="194">
        <f>('MASTER SHEET -MARATHA SITE'!$F$13/'MARATHA QTY DISTRIBUATION'!$AC$8*'MARATHA QTY DISTRIBUATION'!S9)</f>
        <v>7.3398533007334955E-4</v>
      </c>
      <c r="X52" s="194">
        <f>('MASTER SHEET -MARATHA SITE'!$F$13/'MARATHA QTY DISTRIBUATION'!$AC$8*'MARATHA QTY DISTRIBUATION'!T9)</f>
        <v>0</v>
      </c>
      <c r="Y52" s="194">
        <f>('MASTER SHEET -MARATHA SITE'!$F$13/'MARATHA QTY DISTRIBUATION'!$AC$8*'MARATHA QTY DISTRIBUATION'!U9)</f>
        <v>7.1196577017114907E-3</v>
      </c>
      <c r="Z52" s="698">
        <f>('MASTER SHEET -MARATHA SITE'!$F$13/'MARATHA QTY DISTRIBUATION'!$AC$8*'MARATHA QTY DISTRIBUATION'!V9)</f>
        <v>0</v>
      </c>
      <c r="AA52" s="194">
        <f>('MASTER SHEET -MARATHA SITE'!$F$13/'MARATHA QTY DISTRIBUATION'!$AC$8*'MARATHA QTY DISTRIBUATION'!W9)</f>
        <v>0</v>
      </c>
      <c r="AB52" s="194">
        <f>('MASTER SHEET -MARATHA SITE'!$F$13/'MARATHA QTY DISTRIBUATION'!$AC$8*'MARATHA QTY DISTRIBUATION'!X9)</f>
        <v>0</v>
      </c>
      <c r="AC52" s="194">
        <f>('MASTER SHEET -MARATHA SITE'!$F$13/'MARATHA QTY DISTRIBUATION'!$AC$8*'MARATHA QTY DISTRIBUATION'!Y9)</f>
        <v>0</v>
      </c>
      <c r="AD52" s="194">
        <f>('MASTER SHEET -MARATHA SITE'!$F$13/'MARATHA QTY DISTRIBUATION'!$AC$8*'MARATHA QTY DISTRIBUATION'!Z9)</f>
        <v>0</v>
      </c>
      <c r="AE52" s="194">
        <f>('MASTER SHEET -MARATHA SITE'!$F$13/'MARATHA QTY DISTRIBUATION'!$AC$8*'MARATHA QTY DISTRIBUATION'!AA9)</f>
        <v>0</v>
      </c>
      <c r="AF52" s="195">
        <f>('MASTER SHEET -MARATHA SITE'!$F$13/'MARATHA QTY DISTRIBUATION'!$AC$8*'MARATHA QTY DISTRIBUATION'!AB9)</f>
        <v>0</v>
      </c>
      <c r="AG52" s="560">
        <f t="shared" si="1"/>
        <v>4.6975061124694406E-3</v>
      </c>
      <c r="AH52" s="670"/>
    </row>
    <row r="53" spans="1:34">
      <c r="A53" s="234" t="s">
        <v>2</v>
      </c>
      <c r="B53" s="235" t="s">
        <v>17</v>
      </c>
      <c r="C53" s="1131">
        <f>SUM(D53:D63)</f>
        <v>0.11369885931687973</v>
      </c>
      <c r="D53" s="188">
        <f>SUM(J53:AD53)</f>
        <v>5.9684286055967468E-3</v>
      </c>
      <c r="E53" s="1131">
        <f>SUM(F53:F63)</f>
        <v>0.25001000000000001</v>
      </c>
      <c r="F53" s="222">
        <f t="shared" si="11"/>
        <v>0.01</v>
      </c>
      <c r="G53" s="1131">
        <f>C53-E53</f>
        <v>-0.13631114068312028</v>
      </c>
      <c r="H53" s="188">
        <f t="shared" si="12"/>
        <v>-4.0315713944032534E-3</v>
      </c>
      <c r="I53" s="639" t="s">
        <v>73</v>
      </c>
      <c r="J53" s="70">
        <f>('MASTER SHEET -MARATHA SITE'!$F$14/'MARATHA QTY DISTRIBUATION'!$AC$146*'MARATHA QTY DISTRIBUATION'!F147)</f>
        <v>0</v>
      </c>
      <c r="K53" s="19">
        <f>('MASTER SHEET -MARATHA SITE'!$F$14/'MARATHA QTY DISTRIBUATION'!$AC$146*'MARATHA QTY DISTRIBUATION'!G147)</f>
        <v>0</v>
      </c>
      <c r="L53" s="19">
        <f>('MASTER SHEET -MARATHA SITE'!$F$14/'MARATHA QTY DISTRIBUATION'!$AC$146*'MARATHA QTY DISTRIBUATION'!H147)</f>
        <v>0</v>
      </c>
      <c r="M53" s="19">
        <f>('MASTER SHEET -MARATHA SITE'!$F$14/'MARATHA QTY DISTRIBUATION'!$AC$146*'MARATHA QTY DISTRIBUATION'!I147)</f>
        <v>0</v>
      </c>
      <c r="N53" s="19">
        <f>('MASTER SHEET -MARATHA SITE'!$F$14/'MARATHA QTY DISTRIBUATION'!$AC$146*'MARATHA QTY DISTRIBUATION'!J147)</f>
        <v>0</v>
      </c>
      <c r="O53" s="19">
        <f>('MASTER SHEET -MARATHA SITE'!$F$14/'MARATHA QTY DISTRIBUATION'!$AC$146*'MARATHA QTY DISTRIBUATION'!K147)</f>
        <v>0</v>
      </c>
      <c r="P53" s="19">
        <f>('MASTER SHEET -MARATHA SITE'!$F$14/'MARATHA QTY DISTRIBUATION'!$AC$146*'MARATHA QTY DISTRIBUATION'!L147)</f>
        <v>0</v>
      </c>
      <c r="Q53" s="19">
        <f>('MASTER SHEET -MARATHA SITE'!$F$14/'MARATHA QTY DISTRIBUATION'!$AC$146*'MARATHA QTY DISTRIBUATION'!M147)</f>
        <v>0</v>
      </c>
      <c r="R53" s="19">
        <f>('MASTER SHEET -MARATHA SITE'!$F$14/'MARATHA QTY DISTRIBUATION'!$AC$146*'MARATHA QTY DISTRIBUATION'!N147)</f>
        <v>0</v>
      </c>
      <c r="S53" s="19">
        <f>('MASTER SHEET -MARATHA SITE'!$F$14/'MARATHA QTY DISTRIBUATION'!$AC$146*'MARATHA QTY DISTRIBUATION'!O147)</f>
        <v>0</v>
      </c>
      <c r="T53" s="19">
        <f>('MASTER SHEET -MARATHA SITE'!$F$14/'MARATHA QTY DISTRIBUATION'!$AC$146*'MARATHA QTY DISTRIBUATION'!P147)</f>
        <v>2.1860798851949294E-4</v>
      </c>
      <c r="U53" s="19">
        <f>('MASTER SHEET -MARATHA SITE'!$F$14/'MARATHA QTY DISTRIBUATION'!$AC$146*'MARATHA QTY DISTRIBUATION'!Q147)</f>
        <v>2.9705812006696961E-4</v>
      </c>
      <c r="V53" s="19">
        <f>('MASTER SHEET -MARATHA SITE'!$F$14/'MARATHA QTY DISTRIBUATION'!$AC$146*'MARATHA QTY DISTRIBUATION'!R147)</f>
        <v>5.4245395838316193E-4</v>
      </c>
      <c r="W53" s="686">
        <f>('MASTER SHEET -MARATHA SITE'!$F$14/'MARATHA QTY DISTRIBUATION'!$AC$146*'MARATHA QTY DISTRIBUATION'!S147)</f>
        <v>7.127481463764649E-4</v>
      </c>
      <c r="X53" s="686">
        <f>('MASTER SHEET -MARATHA SITE'!$F$14/'MARATHA QTY DISTRIBUATION'!$AC$146*'MARATHA QTY DISTRIBUATION'!T147)</f>
        <v>1.424061229370964E-3</v>
      </c>
      <c r="Y53" s="686">
        <f>('MASTER SHEET -MARATHA SITE'!$F$14/'MARATHA QTY DISTRIBUATION'!$AC$146*'MARATHA QTY DISTRIBUATION'!U147)</f>
        <v>2.7734991628796937E-3</v>
      </c>
      <c r="Z53" s="653">
        <f>('MASTER SHEET -MARATHA SITE'!$F$14/'MARATHA QTY DISTRIBUATION'!$AC$146*'MARATHA QTY DISTRIBUATION'!V147)</f>
        <v>0</v>
      </c>
      <c r="AA53" s="19">
        <f>('MASTER SHEET -MARATHA SITE'!$F$14/'MARATHA QTY DISTRIBUATION'!$AC$146*'MARATHA QTY DISTRIBUATION'!W147)</f>
        <v>0</v>
      </c>
      <c r="AB53" s="19">
        <f>('MASTER SHEET -MARATHA SITE'!$F$14/'MARATHA QTY DISTRIBUATION'!$AC$146*'MARATHA QTY DISTRIBUATION'!X147)</f>
        <v>0</v>
      </c>
      <c r="AC53" s="19">
        <f>('MASTER SHEET -MARATHA SITE'!$F$14/'MARATHA QTY DISTRIBUATION'!$AC$146*'MARATHA QTY DISTRIBUATION'!Y147)</f>
        <v>0</v>
      </c>
      <c r="AD53" s="19">
        <f>('MASTER SHEET -MARATHA SITE'!$F$14/'MARATHA QTY DISTRIBUATION'!$AC$146*'MARATHA QTY DISTRIBUATION'!Z147)</f>
        <v>0</v>
      </c>
      <c r="AE53" s="19">
        <f>('MASTER SHEET -MARATHA SITE'!$F$14/'MARATHA QTY DISTRIBUATION'!$AC$146*'MARATHA QTY DISTRIBUATION'!AA147)</f>
        <v>0</v>
      </c>
      <c r="AF53" s="71">
        <f>('MASTER SHEET -MARATHA SITE'!$F$14/'MARATHA QTY DISTRIBUATION'!$AC$146*'MARATHA QTY DISTRIBUATION'!AB147)</f>
        <v>0</v>
      </c>
      <c r="AG53" s="560">
        <f t="shared" si="1"/>
        <v>4.0315713944032534E-3</v>
      </c>
      <c r="AH53" s="575"/>
    </row>
    <row r="54" spans="1:34">
      <c r="A54" s="77" t="s">
        <v>2</v>
      </c>
      <c r="B54" s="16" t="s">
        <v>17</v>
      </c>
      <c r="C54" s="1132"/>
      <c r="D54" s="118">
        <f t="shared" ref="D54:D63" si="13">SUM(J54:AD54)</f>
        <v>5.9684286055967468E-3</v>
      </c>
      <c r="E54" s="1132"/>
      <c r="F54" s="166">
        <f t="shared" si="11"/>
        <v>0.01</v>
      </c>
      <c r="G54" s="1132"/>
      <c r="H54" s="118">
        <f t="shared" si="12"/>
        <v>-4.0315713944032534E-3</v>
      </c>
      <c r="I54" s="640" t="s">
        <v>75</v>
      </c>
      <c r="J54" s="70">
        <f>('MASTER SHEET -MARATHA SITE'!$F$14/'MARATHA QTY DISTRIBUATION'!$AC$146*'MARATHA QTY DISTRIBUATION'!F147)</f>
        <v>0</v>
      </c>
      <c r="K54" s="19">
        <f>('MASTER SHEET -MARATHA SITE'!$F$14/'MARATHA QTY DISTRIBUATION'!$AC$146*'MARATHA QTY DISTRIBUATION'!G147)</f>
        <v>0</v>
      </c>
      <c r="L54" s="19">
        <f>('MASTER SHEET -MARATHA SITE'!$F$14/'MARATHA QTY DISTRIBUATION'!$AC$146*'MARATHA QTY DISTRIBUATION'!H147)</f>
        <v>0</v>
      </c>
      <c r="M54" s="19">
        <f>('MASTER SHEET -MARATHA SITE'!$F$14/'MARATHA QTY DISTRIBUATION'!$AC$146*'MARATHA QTY DISTRIBUATION'!I147)</f>
        <v>0</v>
      </c>
      <c r="N54" s="19">
        <f>('MASTER SHEET -MARATHA SITE'!$F$14/'MARATHA QTY DISTRIBUATION'!$AC$146*'MARATHA QTY DISTRIBUATION'!J147)</f>
        <v>0</v>
      </c>
      <c r="O54" s="19">
        <f>('MASTER SHEET -MARATHA SITE'!$F$14/'MARATHA QTY DISTRIBUATION'!$AC$146*'MARATHA QTY DISTRIBUATION'!K147)</f>
        <v>0</v>
      </c>
      <c r="P54" s="19">
        <f>('MASTER SHEET -MARATHA SITE'!$F$14/'MARATHA QTY DISTRIBUATION'!$AC$146*'MARATHA QTY DISTRIBUATION'!L147)</f>
        <v>0</v>
      </c>
      <c r="Q54" s="19">
        <f>('MASTER SHEET -MARATHA SITE'!$F$14/'MARATHA QTY DISTRIBUATION'!$AC$146*'MARATHA QTY DISTRIBUATION'!M147)</f>
        <v>0</v>
      </c>
      <c r="R54" s="19">
        <f>('MASTER SHEET -MARATHA SITE'!$F$14/'MARATHA QTY DISTRIBUATION'!$AC$146*'MARATHA QTY DISTRIBUATION'!N147)</f>
        <v>0</v>
      </c>
      <c r="S54" s="19">
        <f>('MASTER SHEET -MARATHA SITE'!$F$14/'MARATHA QTY DISTRIBUATION'!$AC$146*'MARATHA QTY DISTRIBUATION'!O147)</f>
        <v>0</v>
      </c>
      <c r="T54" s="19">
        <f>('MASTER SHEET -MARATHA SITE'!$F$14/'MARATHA QTY DISTRIBUATION'!$AC$146*'MARATHA QTY DISTRIBUATION'!P147)</f>
        <v>2.1860798851949294E-4</v>
      </c>
      <c r="U54" s="19">
        <f>('MASTER SHEET -MARATHA SITE'!$F$14/'MARATHA QTY DISTRIBUATION'!$AC$146*'MARATHA QTY DISTRIBUATION'!Q147)</f>
        <v>2.9705812006696961E-4</v>
      </c>
      <c r="V54" s="19">
        <f>('MASTER SHEET -MARATHA SITE'!$F$14/'MARATHA QTY DISTRIBUATION'!$AC$146*'MARATHA QTY DISTRIBUATION'!R147)</f>
        <v>5.4245395838316193E-4</v>
      </c>
      <c r="W54" s="19">
        <f>('MASTER SHEET -MARATHA SITE'!$F$14/'MARATHA QTY DISTRIBUATION'!$AC$146*'MARATHA QTY DISTRIBUATION'!S147)</f>
        <v>7.127481463764649E-4</v>
      </c>
      <c r="X54" s="19">
        <f>('MASTER SHEET -MARATHA SITE'!$F$14/'MARATHA QTY DISTRIBUATION'!$AC$146*'MARATHA QTY DISTRIBUATION'!T147)</f>
        <v>1.424061229370964E-3</v>
      </c>
      <c r="Y54" s="19">
        <f>('MASTER SHEET -MARATHA SITE'!$F$14/'MARATHA QTY DISTRIBUATION'!$AC$146*'MARATHA QTY DISTRIBUATION'!U147)</f>
        <v>2.7734991628796937E-3</v>
      </c>
      <c r="Z54" s="654">
        <f>('MASTER SHEET -MARATHA SITE'!$F$14/'MARATHA QTY DISTRIBUATION'!$AC$146*'MARATHA QTY DISTRIBUATION'!V147)</f>
        <v>0</v>
      </c>
      <c r="AA54" s="19">
        <f>('MASTER SHEET -MARATHA SITE'!$F$14/'MARATHA QTY DISTRIBUATION'!$AC$146*'MARATHA QTY DISTRIBUATION'!W147)</f>
        <v>0</v>
      </c>
      <c r="AB54" s="19">
        <f>('MASTER SHEET -MARATHA SITE'!$F$14/'MARATHA QTY DISTRIBUATION'!$AC$146*'MARATHA QTY DISTRIBUATION'!X147)</f>
        <v>0</v>
      </c>
      <c r="AC54" s="19">
        <f>('MASTER SHEET -MARATHA SITE'!$F$14/'MARATHA QTY DISTRIBUATION'!$AC$146*'MARATHA QTY DISTRIBUATION'!Y147)</f>
        <v>0</v>
      </c>
      <c r="AD54" s="19">
        <f>('MASTER SHEET -MARATHA SITE'!$F$14/'MARATHA QTY DISTRIBUATION'!$AC$146*'MARATHA QTY DISTRIBUATION'!Z147)</f>
        <v>0</v>
      </c>
      <c r="AE54" s="19">
        <f>('MASTER SHEET -MARATHA SITE'!$F$14/'MARATHA QTY DISTRIBUATION'!$AC$146*'MARATHA QTY DISTRIBUATION'!AA147)</f>
        <v>0</v>
      </c>
      <c r="AF54" s="71">
        <f>('MASTER SHEET -MARATHA SITE'!$F$14/'MARATHA QTY DISTRIBUATION'!$AC$146*'MARATHA QTY DISTRIBUATION'!AB147)</f>
        <v>0</v>
      </c>
      <c r="AG54" s="560">
        <f t="shared" si="1"/>
        <v>4.0315713944032534E-3</v>
      </c>
      <c r="AH54" s="575"/>
    </row>
    <row r="55" spans="1:34">
      <c r="A55" s="77" t="s">
        <v>2</v>
      </c>
      <c r="B55" s="16" t="s">
        <v>17</v>
      </c>
      <c r="C55" s="1132"/>
      <c r="D55" s="118">
        <f t="shared" si="13"/>
        <v>5.9402056924180817E-3</v>
      </c>
      <c r="E55" s="1132"/>
      <c r="F55" s="166">
        <f t="shared" si="11"/>
        <v>0.02</v>
      </c>
      <c r="G55" s="1132"/>
      <c r="H55" s="118">
        <f t="shared" si="12"/>
        <v>-1.4059794307581919E-2</v>
      </c>
      <c r="I55" s="640" t="s">
        <v>74</v>
      </c>
      <c r="J55" s="70">
        <f>('MASTER SHEET -MARATHA SITE'!$F$16/'MARATHA QTY DISTRIBUATION'!$AC$126*'MARATHA QTY DISTRIBUATION'!F127)</f>
        <v>0</v>
      </c>
      <c r="K55" s="19">
        <f>('MASTER SHEET -MARATHA SITE'!$F$16/'MARATHA QTY DISTRIBUATION'!$AC$126*'MARATHA QTY DISTRIBUATION'!G127)</f>
        <v>0</v>
      </c>
      <c r="L55" s="19">
        <f>('MASTER SHEET -MARATHA SITE'!$F$16/'MARATHA QTY DISTRIBUATION'!$AC$126*'MARATHA QTY DISTRIBUATION'!H127)</f>
        <v>0</v>
      </c>
      <c r="M55" s="19">
        <f>('MASTER SHEET -MARATHA SITE'!$F$16/'MARATHA QTY DISTRIBUATION'!$AC$126*'MARATHA QTY DISTRIBUATION'!I127)</f>
        <v>0</v>
      </c>
      <c r="N55" s="19">
        <f>('MASTER SHEET -MARATHA SITE'!$F$16/'MARATHA QTY DISTRIBUATION'!$AC$126*'MARATHA QTY DISTRIBUATION'!J127)</f>
        <v>0</v>
      </c>
      <c r="O55" s="19">
        <f>('MASTER SHEET -MARATHA SITE'!$F$16/'MARATHA QTY DISTRIBUATION'!$AC$126*'MARATHA QTY DISTRIBUATION'!K127)</f>
        <v>0</v>
      </c>
      <c r="P55" s="19">
        <f>('MASTER SHEET -MARATHA SITE'!$F$16/'MARATHA QTY DISTRIBUATION'!$AC$126*'MARATHA QTY DISTRIBUATION'!L127)</f>
        <v>0</v>
      </c>
      <c r="Q55" s="19">
        <f>('MASTER SHEET -MARATHA SITE'!$F$16/'MARATHA QTY DISTRIBUATION'!$AC$126*'MARATHA QTY DISTRIBUATION'!M127)</f>
        <v>0</v>
      </c>
      <c r="R55" s="19">
        <f>('MASTER SHEET -MARATHA SITE'!$F$16/'MARATHA QTY DISTRIBUATION'!$AC$126*'MARATHA QTY DISTRIBUATION'!N127)</f>
        <v>0</v>
      </c>
      <c r="S55" s="19">
        <f>('MASTER SHEET -MARATHA SITE'!$F$16/'MARATHA QTY DISTRIBUATION'!$AC$126*'MARATHA QTY DISTRIBUATION'!O127)</f>
        <v>0</v>
      </c>
      <c r="T55" s="19">
        <f>('MASTER SHEET -MARATHA SITE'!$F$16/'MARATHA QTY DISTRIBUATION'!$AC$126*'MARATHA QTY DISTRIBUATION'!P127)</f>
        <v>4.3721597703898587E-4</v>
      </c>
      <c r="U55" s="19">
        <f>('MASTER SHEET -MARATHA SITE'!$F$16/'MARATHA QTY DISTRIBUATION'!$AC$126*'MARATHA QTY DISTRIBUATION'!Q127)</f>
        <v>5.9411624013393921E-4</v>
      </c>
      <c r="V55" s="19">
        <f>('MASTER SHEET -MARATHA SITE'!$F$16/'MARATHA QTY DISTRIBUATION'!$AC$126*'MARATHA QTY DISTRIBUATION'!R127)</f>
        <v>1.0849079167663239E-3</v>
      </c>
      <c r="W55" s="19">
        <f>('MASTER SHEET -MARATHA SITE'!$F$16/'MARATHA QTY DISTRIBUATION'!$AC$126*'MARATHA QTY DISTRIBUATION'!S127)</f>
        <v>1.4254962927529298E-3</v>
      </c>
      <c r="X55" s="19">
        <f>('MASTER SHEET -MARATHA SITE'!$F$16/'MARATHA QTY DISTRIBUATION'!$AC$126*'MARATHA QTY DISTRIBUATION'!T127)</f>
        <v>4.8696484094714183E-4</v>
      </c>
      <c r="Y55" s="19">
        <f>('MASTER SHEET -MARATHA SITE'!$F$16/'MARATHA QTY DISTRIBUATION'!$AC$126*'MARATHA QTY DISTRIBUATION'!U127)</f>
        <v>1.9115044247787611E-3</v>
      </c>
      <c r="Z55" s="654">
        <f>('MASTER SHEET -MARATHA SITE'!$F$16/'MARATHA QTY DISTRIBUATION'!$AC$126*'MARATHA QTY DISTRIBUATION'!V127)</f>
        <v>0</v>
      </c>
      <c r="AA55" s="19">
        <f>('MASTER SHEET -MARATHA SITE'!$F$16/'MARATHA QTY DISTRIBUATION'!$AC$126*'MARATHA QTY DISTRIBUATION'!W127)</f>
        <v>0</v>
      </c>
      <c r="AB55" s="19">
        <f>('MASTER SHEET -MARATHA SITE'!$F$16/'MARATHA QTY DISTRIBUATION'!$AC$126*'MARATHA QTY DISTRIBUATION'!X127)</f>
        <v>0</v>
      </c>
      <c r="AC55" s="19">
        <f>('MASTER SHEET -MARATHA SITE'!$F$16/'MARATHA QTY DISTRIBUATION'!$AC$126*'MARATHA QTY DISTRIBUATION'!Y127)</f>
        <v>0</v>
      </c>
      <c r="AD55" s="19">
        <f>('MASTER SHEET -MARATHA SITE'!$F$16/'MARATHA QTY DISTRIBUATION'!$AC$126*'MARATHA QTY DISTRIBUATION'!Z127)</f>
        <v>0</v>
      </c>
      <c r="AE55" s="19">
        <f>('MASTER SHEET -MARATHA SITE'!$F$16/'MARATHA QTY DISTRIBUATION'!$AC$126*'MARATHA QTY DISTRIBUATION'!AA127)</f>
        <v>0</v>
      </c>
      <c r="AF55" s="71">
        <f>('MASTER SHEET -MARATHA SITE'!$F$16/'MARATHA QTY DISTRIBUATION'!$AC$126*'MARATHA QTY DISTRIBUATION'!AB127)</f>
        <v>0</v>
      </c>
      <c r="AG55" s="560">
        <f t="shared" si="1"/>
        <v>1.4059794307581919E-2</v>
      </c>
      <c r="AH55" s="575"/>
    </row>
    <row r="56" spans="1:34">
      <c r="A56" s="77" t="s">
        <v>2</v>
      </c>
      <c r="B56" s="16" t="s">
        <v>17</v>
      </c>
      <c r="C56" s="1133"/>
      <c r="D56" s="118">
        <f t="shared" si="13"/>
        <v>0.04</v>
      </c>
      <c r="E56" s="1133"/>
      <c r="F56" s="166">
        <f t="shared" si="11"/>
        <v>6.0000000000000005E-2</v>
      </c>
      <c r="G56" s="1132"/>
      <c r="H56" s="118">
        <f t="shared" si="12"/>
        <v>-2.0000000000000004E-2</v>
      </c>
      <c r="I56" s="629" t="s">
        <v>76</v>
      </c>
      <c r="J56" s="70">
        <f>('MASTER SHEET -MARATHA SITE'!$F$17/'MARATHA QTY DISTRIBUATION'!$AC$151*'MARATHA QTY DISTRIBUATION'!F152)</f>
        <v>0</v>
      </c>
      <c r="K56" s="19">
        <f>('MASTER SHEET -MARATHA SITE'!$F$17/'MARATHA QTY DISTRIBUATION'!$AC$151*'MARATHA QTY DISTRIBUATION'!G152)</f>
        <v>0</v>
      </c>
      <c r="L56" s="19">
        <f>('MASTER SHEET -MARATHA SITE'!$F$17/'MARATHA QTY DISTRIBUATION'!$AC$151*'MARATHA QTY DISTRIBUATION'!H152)</f>
        <v>0</v>
      </c>
      <c r="M56" s="19">
        <f>('MASTER SHEET -MARATHA SITE'!$F$17/'MARATHA QTY DISTRIBUATION'!$AC$151*'MARATHA QTY DISTRIBUATION'!I152)</f>
        <v>0</v>
      </c>
      <c r="N56" s="19">
        <f>('MASTER SHEET -MARATHA SITE'!$F$17/'MARATHA QTY DISTRIBUATION'!$AC$151*'MARATHA QTY DISTRIBUATION'!J152)</f>
        <v>0</v>
      </c>
      <c r="O56" s="19">
        <f>('MASTER SHEET -MARATHA SITE'!$F$17/'MARATHA QTY DISTRIBUATION'!$AC$151*'MARATHA QTY DISTRIBUATION'!K152)</f>
        <v>0</v>
      </c>
      <c r="P56" s="19">
        <f>('MASTER SHEET -MARATHA SITE'!$F$17/'MARATHA QTY DISTRIBUATION'!$AC$151*'MARATHA QTY DISTRIBUATION'!L152)</f>
        <v>8.3333333333333339E-4</v>
      </c>
      <c r="Q56" s="19">
        <f>('MASTER SHEET -MARATHA SITE'!$F$17/'MARATHA QTY DISTRIBUATION'!$AC$151*'MARATHA QTY DISTRIBUATION'!M152)</f>
        <v>8.3333333333333339E-4</v>
      </c>
      <c r="R56" s="19">
        <f>('MASTER SHEET -MARATHA SITE'!$F$17/'MARATHA QTY DISTRIBUATION'!$AC$151*'MARATHA QTY DISTRIBUATION'!N152)</f>
        <v>1.5000000000000001E-2</v>
      </c>
      <c r="S56" s="19">
        <f>('MASTER SHEET -MARATHA SITE'!$F$17/'MARATHA QTY DISTRIBUATION'!$AC$151*'MARATHA QTY DISTRIBUATION'!O152)</f>
        <v>8.3333333333333332E-3</v>
      </c>
      <c r="T56" s="19">
        <f>('MASTER SHEET -MARATHA SITE'!$F$17/'MARATHA QTY DISTRIBUATION'!$AC$151*'MARATHA QTY DISTRIBUATION'!P152)</f>
        <v>5.0000000000000001E-3</v>
      </c>
      <c r="U56" s="19">
        <f>('MASTER SHEET -MARATHA SITE'!$F$17/'MARATHA QTY DISTRIBUATION'!$AC$151*'MARATHA QTY DISTRIBUATION'!Q152)</f>
        <v>0</v>
      </c>
      <c r="V56" s="19">
        <f>('MASTER SHEET -MARATHA SITE'!$F$17/'MARATHA QTY DISTRIBUATION'!$AC$151*'MARATHA QTY DISTRIBUATION'!R152)</f>
        <v>0</v>
      </c>
      <c r="W56" s="19">
        <f>('MASTER SHEET -MARATHA SITE'!$F$17/'MARATHA QTY DISTRIBUATION'!$AC$151*'MARATHA QTY DISTRIBUATION'!S152)</f>
        <v>0.01</v>
      </c>
      <c r="X56" s="19">
        <f>('MASTER SHEET -MARATHA SITE'!$F$17/'MARATHA QTY DISTRIBUATION'!$AC$151*'MARATHA QTY DISTRIBUATION'!T152)</f>
        <v>0</v>
      </c>
      <c r="Y56" s="19">
        <f>('MASTER SHEET -MARATHA SITE'!$F$17/'MARATHA QTY DISTRIBUATION'!$AC$151*'MARATHA QTY DISTRIBUATION'!U152)</f>
        <v>0</v>
      </c>
      <c r="Z56" s="654">
        <f>('MASTER SHEET -MARATHA SITE'!$F$17/'MARATHA QTY DISTRIBUATION'!$AC$151*'MARATHA QTY DISTRIBUATION'!V152)</f>
        <v>0</v>
      </c>
      <c r="AA56" s="19">
        <f>('MASTER SHEET -MARATHA SITE'!$F$17/'MARATHA QTY DISTRIBUATION'!$AC$151*'MARATHA QTY DISTRIBUATION'!W152)</f>
        <v>0</v>
      </c>
      <c r="AB56" s="19">
        <f>('MASTER SHEET -MARATHA SITE'!$F$17/'MARATHA QTY DISTRIBUATION'!$AC$151*'MARATHA QTY DISTRIBUATION'!X152)</f>
        <v>0</v>
      </c>
      <c r="AC56" s="19">
        <f>('MASTER SHEET -MARATHA SITE'!$F$17/'MARATHA QTY DISTRIBUATION'!$AC$151*'MARATHA QTY DISTRIBUATION'!Y152)</f>
        <v>0</v>
      </c>
      <c r="AD56" s="19">
        <f>('MASTER SHEET -MARATHA SITE'!$F$17/'MARATHA QTY DISTRIBUATION'!$AC$151*'MARATHA QTY DISTRIBUATION'!Z152)</f>
        <v>0</v>
      </c>
      <c r="AE56" s="19">
        <f>('MASTER SHEET -MARATHA SITE'!$F$17/'MARATHA QTY DISTRIBUATION'!$AC$151*'MARATHA QTY DISTRIBUATION'!AA152)</f>
        <v>0</v>
      </c>
      <c r="AF56" s="71">
        <f>('MASTER SHEET -MARATHA SITE'!$F$17/'MARATHA QTY DISTRIBUATION'!$AC$151*'MARATHA QTY DISTRIBUATION'!AB152)</f>
        <v>0</v>
      </c>
      <c r="AG56" s="560">
        <f t="shared" si="1"/>
        <v>2.0000000000000004E-2</v>
      </c>
      <c r="AH56" s="575"/>
    </row>
    <row r="57" spans="1:34">
      <c r="A57" s="77" t="s">
        <v>2</v>
      </c>
      <c r="B57" s="16" t="s">
        <v>17</v>
      </c>
      <c r="C57" s="1133"/>
      <c r="D57" s="118">
        <f t="shared" si="13"/>
        <v>1.3333333333333332E-2</v>
      </c>
      <c r="E57" s="1133"/>
      <c r="F57" s="166">
        <f t="shared" si="11"/>
        <v>0.02</v>
      </c>
      <c r="G57" s="1132"/>
      <c r="H57" s="118">
        <f t="shared" si="12"/>
        <v>-6.666666666666668E-3</v>
      </c>
      <c r="I57" s="629" t="s">
        <v>77</v>
      </c>
      <c r="J57" s="70">
        <f>('MASTER SHEET -MARATHA SITE'!$F$18/'MARATHA QTY DISTRIBUATION'!$AC$151*'MARATHA QTY DISTRIBUATION'!F152)</f>
        <v>0</v>
      </c>
      <c r="K57" s="19">
        <f>('MASTER SHEET -MARATHA SITE'!$F$18/'MARATHA QTY DISTRIBUATION'!$AC$151*'MARATHA QTY DISTRIBUATION'!G152)</f>
        <v>0</v>
      </c>
      <c r="L57" s="19">
        <f>('MASTER SHEET -MARATHA SITE'!$F$18/'MARATHA QTY DISTRIBUATION'!$AC$151*'MARATHA QTY DISTRIBUATION'!H152)</f>
        <v>0</v>
      </c>
      <c r="M57" s="19">
        <f>('MASTER SHEET -MARATHA SITE'!$F$18/'MARATHA QTY DISTRIBUATION'!$AC$151*'MARATHA QTY DISTRIBUATION'!I152)</f>
        <v>0</v>
      </c>
      <c r="N57" s="19">
        <f>('MASTER SHEET -MARATHA SITE'!$F$18/'MARATHA QTY DISTRIBUATION'!$AC$151*'MARATHA QTY DISTRIBUATION'!J152)</f>
        <v>0</v>
      </c>
      <c r="O57" s="19">
        <f>('MASTER SHEET -MARATHA SITE'!$F$18/'MARATHA QTY DISTRIBUATION'!$AC$151*'MARATHA QTY DISTRIBUATION'!K152)</f>
        <v>0</v>
      </c>
      <c r="P57" s="19">
        <f>('MASTER SHEET -MARATHA SITE'!$F$18/'MARATHA QTY DISTRIBUATION'!$AC$151*'MARATHA QTY DISTRIBUATION'!L152)</f>
        <v>2.7777777777777778E-4</v>
      </c>
      <c r="Q57" s="19">
        <f>('MASTER SHEET -MARATHA SITE'!$F$18/'MARATHA QTY DISTRIBUATION'!$AC$151*'MARATHA QTY DISTRIBUATION'!M152)</f>
        <v>2.7777777777777778E-4</v>
      </c>
      <c r="R57" s="19">
        <f>('MASTER SHEET -MARATHA SITE'!$F$18/'MARATHA QTY DISTRIBUATION'!$AC$151*'MARATHA QTY DISTRIBUATION'!N152)</f>
        <v>5.0000000000000001E-3</v>
      </c>
      <c r="S57" s="19">
        <f>('MASTER SHEET -MARATHA SITE'!$F$18/'MARATHA QTY DISTRIBUATION'!$AC$151*'MARATHA QTY DISTRIBUATION'!O152)</f>
        <v>2.7777777777777779E-3</v>
      </c>
      <c r="T57" s="19">
        <f>('MASTER SHEET -MARATHA SITE'!$F$18/'MARATHA QTY DISTRIBUATION'!$AC$151*'MARATHA QTY DISTRIBUATION'!P152)</f>
        <v>1.6666666666666666E-3</v>
      </c>
      <c r="U57" s="19">
        <f>('MASTER SHEET -MARATHA SITE'!$F$18/'MARATHA QTY DISTRIBUATION'!$AC$151*'MARATHA QTY DISTRIBUATION'!Q152)</f>
        <v>0</v>
      </c>
      <c r="V57" s="19">
        <f>('MASTER SHEET -MARATHA SITE'!$F$18/'MARATHA QTY DISTRIBUATION'!$AC$151*'MARATHA QTY DISTRIBUATION'!R152)</f>
        <v>0</v>
      </c>
      <c r="W57" s="19">
        <f>('MASTER SHEET -MARATHA SITE'!$F$18/'MARATHA QTY DISTRIBUATION'!$AC$151*'MARATHA QTY DISTRIBUATION'!S152)</f>
        <v>3.3333333333333331E-3</v>
      </c>
      <c r="X57" s="19">
        <f>('MASTER SHEET -MARATHA SITE'!$F$18/'MARATHA QTY DISTRIBUATION'!$AC$151*'MARATHA QTY DISTRIBUATION'!T152)</f>
        <v>0</v>
      </c>
      <c r="Y57" s="19">
        <f>('MASTER SHEET -MARATHA SITE'!$F$18/'MARATHA QTY DISTRIBUATION'!$AC$151*'MARATHA QTY DISTRIBUATION'!U152)</f>
        <v>0</v>
      </c>
      <c r="Z57" s="654">
        <f>('MASTER SHEET -MARATHA SITE'!$F$18/'MARATHA QTY DISTRIBUATION'!$AC$151*'MARATHA QTY DISTRIBUATION'!V152)</f>
        <v>0</v>
      </c>
      <c r="AA57" s="19">
        <f>('MASTER SHEET -MARATHA SITE'!$F$18/'MARATHA QTY DISTRIBUATION'!$AC$151*'MARATHA QTY DISTRIBUATION'!W152)</f>
        <v>0</v>
      </c>
      <c r="AB57" s="19">
        <f>('MASTER SHEET -MARATHA SITE'!$F$18/'MARATHA QTY DISTRIBUATION'!$AC$151*'MARATHA QTY DISTRIBUATION'!X152)</f>
        <v>0</v>
      </c>
      <c r="AC57" s="19">
        <f>('MASTER SHEET -MARATHA SITE'!$F$18/'MARATHA QTY DISTRIBUATION'!$AC$151*'MARATHA QTY DISTRIBUATION'!Y152)</f>
        <v>0</v>
      </c>
      <c r="AD57" s="19">
        <f>('MASTER SHEET -MARATHA SITE'!$F$18/'MARATHA QTY DISTRIBUATION'!$AC$151*'MARATHA QTY DISTRIBUATION'!Z152)</f>
        <v>0</v>
      </c>
      <c r="AE57" s="19">
        <f>('MASTER SHEET -MARATHA SITE'!$F$18/'MARATHA QTY DISTRIBUATION'!$AC$151*'MARATHA QTY DISTRIBUATION'!AA152)</f>
        <v>0</v>
      </c>
      <c r="AF57" s="71">
        <f>('MASTER SHEET -MARATHA SITE'!$F$18/'MARATHA QTY DISTRIBUATION'!$AC$151*'MARATHA QTY DISTRIBUATION'!AB152)</f>
        <v>0</v>
      </c>
      <c r="AG57" s="560">
        <f t="shared" si="1"/>
        <v>6.666666666666668E-3</v>
      </c>
      <c r="AH57" s="575"/>
    </row>
    <row r="58" spans="1:34">
      <c r="A58" s="77" t="s">
        <v>2</v>
      </c>
      <c r="B58" s="16" t="s">
        <v>17</v>
      </c>
      <c r="C58" s="1133"/>
      <c r="D58" s="118">
        <f t="shared" si="13"/>
        <v>2.4971091229992089E-2</v>
      </c>
      <c r="E58" s="1133"/>
      <c r="F58" s="166">
        <f t="shared" si="11"/>
        <v>5.5E-2</v>
      </c>
      <c r="G58" s="1132"/>
      <c r="H58" s="118">
        <f t="shared" si="12"/>
        <v>-3.0028908770007912E-2</v>
      </c>
      <c r="I58" s="629" t="s">
        <v>78</v>
      </c>
      <c r="J58" s="70">
        <f>('MASTER SHEET -MARATHA SITE'!$F$19/'MARATHA QTY DISTRIBUATION'!$AC$131*'MARATHA QTY DISTRIBUATION'!F132)</f>
        <v>0</v>
      </c>
      <c r="K58" s="19">
        <f>('MASTER SHEET -MARATHA SITE'!$F$19/'MARATHA QTY DISTRIBUATION'!$AC$131*'MARATHA QTY DISTRIBUATION'!G132)</f>
        <v>0</v>
      </c>
      <c r="L58" s="19">
        <f>('MASTER SHEET -MARATHA SITE'!$F$19/'MARATHA QTY DISTRIBUATION'!$AC$131*'MARATHA QTY DISTRIBUATION'!H132)</f>
        <v>0</v>
      </c>
      <c r="M58" s="19">
        <f>('MASTER SHEET -MARATHA SITE'!$F$19/'MARATHA QTY DISTRIBUATION'!$AC$131*'MARATHA QTY DISTRIBUATION'!I132)</f>
        <v>0</v>
      </c>
      <c r="N58" s="19">
        <f>('MASTER SHEET -MARATHA SITE'!$F$19/'MARATHA QTY DISTRIBUATION'!$AC$131*'MARATHA QTY DISTRIBUATION'!J132)</f>
        <v>0</v>
      </c>
      <c r="O58" s="19">
        <f>('MASTER SHEET -MARATHA SITE'!$F$19/'MARATHA QTY DISTRIBUATION'!$AC$131*'MARATHA QTY DISTRIBUATION'!K132)</f>
        <v>0</v>
      </c>
      <c r="P58" s="19">
        <f>('MASTER SHEET -MARATHA SITE'!$F$19/'MARATHA QTY DISTRIBUATION'!$AC$131*'MARATHA QTY DISTRIBUATION'!L132)</f>
        <v>0</v>
      </c>
      <c r="Q58" s="19">
        <f>('MASTER SHEET -MARATHA SITE'!$F$19/'MARATHA QTY DISTRIBUATION'!$AC$131*'MARATHA QTY DISTRIBUATION'!M132)</f>
        <v>0</v>
      </c>
      <c r="R58" s="19">
        <f>('MASTER SHEET -MARATHA SITE'!$F$19/'MARATHA QTY DISTRIBUATION'!$AC$131*'MARATHA QTY DISTRIBUATION'!N132)</f>
        <v>0</v>
      </c>
      <c r="S58" s="19">
        <f>('MASTER SHEET -MARATHA SITE'!$F$19/'MARATHA QTY DISTRIBUATION'!$AC$131*'MARATHA QTY DISTRIBUATION'!O132)</f>
        <v>0</v>
      </c>
      <c r="T58" s="19">
        <f>('MASTER SHEET -MARATHA SITE'!$F$19/'MARATHA QTY DISTRIBUATION'!$AC$131*'MARATHA QTY DISTRIBUATION'!P132)</f>
        <v>1.4058791309110828E-3</v>
      </c>
      <c r="U58" s="19">
        <f>('MASTER SHEET -MARATHA SITE'!$F$19/'MARATHA QTY DISTRIBUATION'!$AC$131*'MARATHA QTY DISTRIBUATION'!Q132)</f>
        <v>3.7624003408191836E-3</v>
      </c>
      <c r="V58" s="19">
        <f>('MASTER SHEET -MARATHA SITE'!$F$19/'MARATHA QTY DISTRIBUATION'!$AC$131*'MARATHA QTY DISTRIBUATION'!R132)</f>
        <v>5.5733065546832213E-3</v>
      </c>
      <c r="W58" s="19">
        <f>('MASTER SHEET -MARATHA SITE'!$F$19/'MARATHA QTY DISTRIBUATION'!$AC$131*'MARATHA QTY DISTRIBUATION'!S132)</f>
        <v>2.9489988436492E-3</v>
      </c>
      <c r="X58" s="19">
        <f>('MASTER SHEET -MARATHA SITE'!$F$19/'MARATHA QTY DISTRIBUATION'!$AC$131*'MARATHA QTY DISTRIBUATION'!T132)</f>
        <v>2.2259752906092145E-3</v>
      </c>
      <c r="Y58" s="19">
        <f>('MASTER SHEET -MARATHA SITE'!$F$19/'MARATHA QTY DISTRIBUATION'!$AC$131*'MARATHA QTY DISTRIBUATION'!U132)</f>
        <v>9.0545310693201878E-3</v>
      </c>
      <c r="Z58" s="654">
        <f>('MASTER SHEET -MARATHA SITE'!$F$19/'MARATHA QTY DISTRIBUATION'!$AC$131*'MARATHA QTY DISTRIBUATION'!V132)</f>
        <v>0</v>
      </c>
      <c r="AA58" s="19">
        <f>('MASTER SHEET -MARATHA SITE'!$F$19/'MARATHA QTY DISTRIBUATION'!$AC$131*'MARATHA QTY DISTRIBUATION'!W132)</f>
        <v>0</v>
      </c>
      <c r="AB58" s="19">
        <f>('MASTER SHEET -MARATHA SITE'!$F$19/'MARATHA QTY DISTRIBUATION'!$AC$131*'MARATHA QTY DISTRIBUATION'!X132)</f>
        <v>0</v>
      </c>
      <c r="AC58" s="19">
        <f>('MASTER SHEET -MARATHA SITE'!$F$19/'MARATHA QTY DISTRIBUATION'!$AC$131*'MARATHA QTY DISTRIBUATION'!Y132)</f>
        <v>0</v>
      </c>
      <c r="AD58" s="19">
        <f>('MASTER SHEET -MARATHA SITE'!$F$19/'MARATHA QTY DISTRIBUATION'!$AC$131*'MARATHA QTY DISTRIBUATION'!Z132)</f>
        <v>0</v>
      </c>
      <c r="AE58" s="19">
        <f>('MASTER SHEET -MARATHA SITE'!$F$19/'MARATHA QTY DISTRIBUATION'!$AC$131*'MARATHA QTY DISTRIBUATION'!AA132)</f>
        <v>0</v>
      </c>
      <c r="AF58" s="71">
        <f>('MASTER SHEET -MARATHA SITE'!$F$19/'MARATHA QTY DISTRIBUATION'!$AC$131*'MARATHA QTY DISTRIBUATION'!AB132)</f>
        <v>0</v>
      </c>
      <c r="AG58" s="560">
        <f t="shared" si="1"/>
        <v>3.0028908770007912E-2</v>
      </c>
      <c r="AH58" s="575"/>
    </row>
    <row r="59" spans="1:34">
      <c r="A59" s="77" t="s">
        <v>2</v>
      </c>
      <c r="B59" s="16" t="s">
        <v>17</v>
      </c>
      <c r="C59" s="1133"/>
      <c r="D59" s="118">
        <f t="shared" si="13"/>
        <v>7.2222222222222219E-3</v>
      </c>
      <c r="E59" s="1133"/>
      <c r="F59" s="166">
        <f t="shared" si="11"/>
        <v>3.0000000000000002E-2</v>
      </c>
      <c r="G59" s="1132"/>
      <c r="H59" s="118">
        <f t="shared" si="12"/>
        <v>-2.2777777777777779E-2</v>
      </c>
      <c r="I59" s="629" t="s">
        <v>79</v>
      </c>
      <c r="J59" s="70">
        <f>('MASTER SHEET -MARATHA SITE'!$F$20/'MARATHA QTY DISTRIBUATION'!$AC$156*'MARATHA QTY DISTRIBUATION'!F157)</f>
        <v>0</v>
      </c>
      <c r="K59" s="19">
        <f>('MASTER SHEET -MARATHA SITE'!$F$20/'MARATHA QTY DISTRIBUATION'!$AC$156*'MARATHA QTY DISTRIBUATION'!G157)</f>
        <v>0</v>
      </c>
      <c r="L59" s="19">
        <f>('MASTER SHEET -MARATHA SITE'!$F$20/'MARATHA QTY DISTRIBUATION'!$AC$156*'MARATHA QTY DISTRIBUATION'!H157)</f>
        <v>0</v>
      </c>
      <c r="M59" s="19">
        <f>('MASTER SHEET -MARATHA SITE'!$F$20/'MARATHA QTY DISTRIBUATION'!$AC$156*'MARATHA QTY DISTRIBUATION'!I157)</f>
        <v>0</v>
      </c>
      <c r="N59" s="19">
        <f>('MASTER SHEET -MARATHA SITE'!$F$20/'MARATHA QTY DISTRIBUATION'!$AC$156*'MARATHA QTY DISTRIBUATION'!J157)</f>
        <v>0</v>
      </c>
      <c r="O59" s="19">
        <f>('MASTER SHEET -MARATHA SITE'!$F$20/'MARATHA QTY DISTRIBUATION'!$AC$156*'MARATHA QTY DISTRIBUATION'!K157)</f>
        <v>0</v>
      </c>
      <c r="P59" s="19">
        <f>('MASTER SHEET -MARATHA SITE'!$F$20/'MARATHA QTY DISTRIBUATION'!$AC$156*'MARATHA QTY DISTRIBUATION'!L157)</f>
        <v>0</v>
      </c>
      <c r="Q59" s="19">
        <f>('MASTER SHEET -MARATHA SITE'!$F$20/'MARATHA QTY DISTRIBUATION'!$AC$156*'MARATHA QTY DISTRIBUATION'!M157)</f>
        <v>0</v>
      </c>
      <c r="R59" s="19">
        <f>('MASTER SHEET -MARATHA SITE'!$F$20/'MARATHA QTY DISTRIBUATION'!$AC$156*'MARATHA QTY DISTRIBUATION'!N157)</f>
        <v>1.1111111111111111E-3</v>
      </c>
      <c r="S59" s="19">
        <f>('MASTER SHEET -MARATHA SITE'!$F$20/'MARATHA QTY DISTRIBUATION'!$AC$156*'MARATHA QTY DISTRIBUATION'!O157)</f>
        <v>0</v>
      </c>
      <c r="T59" s="19">
        <f>('MASTER SHEET -MARATHA SITE'!$F$20/'MARATHA QTY DISTRIBUATION'!$AC$156*'MARATHA QTY DISTRIBUATION'!P157)</f>
        <v>1.6666666666666666E-3</v>
      </c>
      <c r="U59" s="19">
        <f>('MASTER SHEET -MARATHA SITE'!$F$20/'MARATHA QTY DISTRIBUATION'!$AC$156*'MARATHA QTY DISTRIBUATION'!Q157)</f>
        <v>0</v>
      </c>
      <c r="V59" s="19">
        <f>('MASTER SHEET -MARATHA SITE'!$F$20/'MARATHA QTY DISTRIBUATION'!$AC$156*'MARATHA QTY DISTRIBUATION'!R157)</f>
        <v>0</v>
      </c>
      <c r="W59" s="19">
        <f>('MASTER SHEET -MARATHA SITE'!$F$20/'MARATHA QTY DISTRIBUATION'!$AC$156*'MARATHA QTY DISTRIBUATION'!S157)</f>
        <v>3.3333333333333331E-3</v>
      </c>
      <c r="X59" s="19">
        <f>('MASTER SHEET -MARATHA SITE'!$F$20/'MARATHA QTY DISTRIBUATION'!$AC$156*'MARATHA QTY DISTRIBUATION'!T157)</f>
        <v>0</v>
      </c>
      <c r="Y59" s="19">
        <f>('MASTER SHEET -MARATHA SITE'!$F$20/'MARATHA QTY DISTRIBUATION'!$AC$156*'MARATHA QTY DISTRIBUATION'!U157)</f>
        <v>1.1111111111111111E-3</v>
      </c>
      <c r="Z59" s="654">
        <f>('MASTER SHEET -MARATHA SITE'!$F$20/'MARATHA QTY DISTRIBUATION'!$AC$156*'MARATHA QTY DISTRIBUATION'!V157)</f>
        <v>0</v>
      </c>
      <c r="AA59" s="19">
        <f>('MASTER SHEET -MARATHA SITE'!$F$20/'MARATHA QTY DISTRIBUATION'!$AC$156*'MARATHA QTY DISTRIBUATION'!W157)</f>
        <v>0</v>
      </c>
      <c r="AB59" s="19">
        <f>('MASTER SHEET -MARATHA SITE'!$F$20/'MARATHA QTY DISTRIBUATION'!$AC$156*'MARATHA QTY DISTRIBUATION'!X157)</f>
        <v>0</v>
      </c>
      <c r="AC59" s="19">
        <f>('MASTER SHEET -MARATHA SITE'!$F$20/'MARATHA QTY DISTRIBUATION'!$AC$156*'MARATHA QTY DISTRIBUATION'!Y157)</f>
        <v>0</v>
      </c>
      <c r="AD59" s="19">
        <f>('MASTER SHEET -MARATHA SITE'!$F$20/'MARATHA QTY DISTRIBUATION'!$AC$156*'MARATHA QTY DISTRIBUATION'!Z157)</f>
        <v>0</v>
      </c>
      <c r="AE59" s="19">
        <f>('MASTER SHEET -MARATHA SITE'!$F$20/'MARATHA QTY DISTRIBUATION'!$AC$156*'MARATHA QTY DISTRIBUATION'!AA157)</f>
        <v>0</v>
      </c>
      <c r="AF59" s="71">
        <f>('MASTER SHEET -MARATHA SITE'!$F$20/'MARATHA QTY DISTRIBUATION'!$AC$156*'MARATHA QTY DISTRIBUATION'!AB157)</f>
        <v>0</v>
      </c>
      <c r="AG59" s="560">
        <f t="shared" si="1"/>
        <v>2.2777777777777779E-2</v>
      </c>
      <c r="AH59" s="575"/>
    </row>
    <row r="60" spans="1:34">
      <c r="A60" s="77" t="s">
        <v>2</v>
      </c>
      <c r="B60" s="16" t="s">
        <v>17</v>
      </c>
      <c r="C60" s="1133"/>
      <c r="D60" s="118">
        <f t="shared" si="13"/>
        <v>2.4098148148148143E-3</v>
      </c>
      <c r="E60" s="1133"/>
      <c r="F60" s="166">
        <f t="shared" si="11"/>
        <v>1.001E-2</v>
      </c>
      <c r="G60" s="1132"/>
      <c r="H60" s="118">
        <f t="shared" si="12"/>
        <v>-7.6001851851851855E-3</v>
      </c>
      <c r="I60" s="629" t="s">
        <v>80</v>
      </c>
      <c r="J60" s="70">
        <f>('MASTER SHEET -MARATHA SITE'!$F$21/'MARATHA QTY DISTRIBUATION'!$AC$156*'MARATHA QTY DISTRIBUATION'!F157)</f>
        <v>0</v>
      </c>
      <c r="K60" s="19">
        <f>('MASTER SHEET -MARATHA SITE'!$F$21/'MARATHA QTY DISTRIBUATION'!$AC$156*'MARATHA QTY DISTRIBUATION'!G157)</f>
        <v>0</v>
      </c>
      <c r="L60" s="19">
        <f>('MASTER SHEET -MARATHA SITE'!$F$21/'MARATHA QTY DISTRIBUATION'!$AC$156*'MARATHA QTY DISTRIBUATION'!H157)</f>
        <v>0</v>
      </c>
      <c r="M60" s="19">
        <f>('MASTER SHEET -MARATHA SITE'!$F$21/'MARATHA QTY DISTRIBUATION'!$AC$156*'MARATHA QTY DISTRIBUATION'!I157)</f>
        <v>0</v>
      </c>
      <c r="N60" s="19">
        <f>('MASTER SHEET -MARATHA SITE'!$F$21/'MARATHA QTY DISTRIBUATION'!$AC$156*'MARATHA QTY DISTRIBUATION'!J157)</f>
        <v>0</v>
      </c>
      <c r="O60" s="19">
        <f>('MASTER SHEET -MARATHA SITE'!$F$21/'MARATHA QTY DISTRIBUATION'!$AC$156*'MARATHA QTY DISTRIBUATION'!K157)</f>
        <v>0</v>
      </c>
      <c r="P60" s="19">
        <f>('MASTER SHEET -MARATHA SITE'!$F$21/'MARATHA QTY DISTRIBUATION'!$AC$156*'MARATHA QTY DISTRIBUATION'!L157)</f>
        <v>0</v>
      </c>
      <c r="Q60" s="19">
        <f>('MASTER SHEET -MARATHA SITE'!$F$21/'MARATHA QTY DISTRIBUATION'!$AC$156*'MARATHA QTY DISTRIBUATION'!M157)</f>
        <v>0</v>
      </c>
      <c r="R60" s="19">
        <f>('MASTER SHEET -MARATHA SITE'!$F$21/'MARATHA QTY DISTRIBUATION'!$AC$156*'MARATHA QTY DISTRIBUATION'!N157)</f>
        <v>3.7074074074074071E-4</v>
      </c>
      <c r="S60" s="19">
        <f>('MASTER SHEET -MARATHA SITE'!$F$21/'MARATHA QTY DISTRIBUATION'!$AC$156*'MARATHA QTY DISTRIBUATION'!O157)</f>
        <v>0</v>
      </c>
      <c r="T60" s="19">
        <f>('MASTER SHEET -MARATHA SITE'!$F$21/'MARATHA QTY DISTRIBUATION'!$AC$156*'MARATHA QTY DISTRIBUATION'!P157)</f>
        <v>5.5611111111111106E-4</v>
      </c>
      <c r="U60" s="19">
        <f>('MASTER SHEET -MARATHA SITE'!$F$21/'MARATHA QTY DISTRIBUATION'!$AC$156*'MARATHA QTY DISTRIBUATION'!Q157)</f>
        <v>0</v>
      </c>
      <c r="V60" s="19">
        <f>('MASTER SHEET -MARATHA SITE'!$F$21/'MARATHA QTY DISTRIBUATION'!$AC$156*'MARATHA QTY DISTRIBUATION'!R157)</f>
        <v>0</v>
      </c>
      <c r="W60" s="19">
        <f>('MASTER SHEET -MARATHA SITE'!$F$21/'MARATHA QTY DISTRIBUATION'!$AC$156*'MARATHA QTY DISTRIBUATION'!S157)</f>
        <v>1.1122222222222221E-3</v>
      </c>
      <c r="X60" s="19">
        <f>('MASTER SHEET -MARATHA SITE'!$F$21/'MARATHA QTY DISTRIBUATION'!$AC$156*'MARATHA QTY DISTRIBUATION'!T157)</f>
        <v>0</v>
      </c>
      <c r="Y60" s="19">
        <f>('MASTER SHEET -MARATHA SITE'!$F$21/'MARATHA QTY DISTRIBUATION'!$AC$156*'MARATHA QTY DISTRIBUATION'!U157)</f>
        <v>3.7074074074074071E-4</v>
      </c>
      <c r="Z60" s="654">
        <f>('MASTER SHEET -MARATHA SITE'!$F$21/'MARATHA QTY DISTRIBUATION'!$AC$156*'MARATHA QTY DISTRIBUATION'!V157)</f>
        <v>0</v>
      </c>
      <c r="AA60" s="19">
        <f>('MASTER SHEET -MARATHA SITE'!$F$21/'MARATHA QTY DISTRIBUATION'!$AC$156*'MARATHA QTY DISTRIBUATION'!W157)</f>
        <v>0</v>
      </c>
      <c r="AB60" s="19">
        <f>('MASTER SHEET -MARATHA SITE'!$F$21/'MARATHA QTY DISTRIBUATION'!$AC$156*'MARATHA QTY DISTRIBUATION'!X157)</f>
        <v>0</v>
      </c>
      <c r="AC60" s="19">
        <f>('MASTER SHEET -MARATHA SITE'!$F$21/'MARATHA QTY DISTRIBUATION'!$AC$156*'MARATHA QTY DISTRIBUATION'!Y157)</f>
        <v>0</v>
      </c>
      <c r="AD60" s="19">
        <f>('MASTER SHEET -MARATHA SITE'!$F$21/'MARATHA QTY DISTRIBUATION'!$AC$156*'MARATHA QTY DISTRIBUATION'!Z157)</f>
        <v>0</v>
      </c>
      <c r="AE60" s="19">
        <f>('MASTER SHEET -MARATHA SITE'!$F$21/'MARATHA QTY DISTRIBUATION'!$AC$156*'MARATHA QTY DISTRIBUATION'!AA157)</f>
        <v>0</v>
      </c>
      <c r="AF60" s="71">
        <f>('MASTER SHEET -MARATHA SITE'!$F$21/'MARATHA QTY DISTRIBUATION'!$AC$156*'MARATHA QTY DISTRIBUATION'!AB157)</f>
        <v>0</v>
      </c>
      <c r="AG60" s="560">
        <f t="shared" si="1"/>
        <v>7.6001851851851855E-3</v>
      </c>
      <c r="AH60" s="575"/>
    </row>
    <row r="61" spans="1:34">
      <c r="A61" s="77" t="s">
        <v>2</v>
      </c>
      <c r="B61" s="16" t="s">
        <v>17</v>
      </c>
      <c r="C61" s="1133"/>
      <c r="D61" s="118">
        <f t="shared" si="13"/>
        <v>1.4807407407407406E-3</v>
      </c>
      <c r="E61" s="1133"/>
      <c r="F61" s="166">
        <f t="shared" si="11"/>
        <v>1.9989999999999997E-2</v>
      </c>
      <c r="G61" s="1132"/>
      <c r="H61" s="118">
        <f t="shared" si="12"/>
        <v>-1.8509259259259257E-2</v>
      </c>
      <c r="I61" s="629" t="s">
        <v>81</v>
      </c>
      <c r="J61" s="70">
        <f>('MASTER SHEET -MARATHA SITE'!$F$22/'MARATHA QTY DISTRIBUATION'!$AC$136*'MARATHA QTY DISTRIBUATION'!F137)</f>
        <v>0</v>
      </c>
      <c r="K61" s="19">
        <f>('MASTER SHEET -MARATHA SITE'!$F$22/'MARATHA QTY DISTRIBUATION'!$AC$136*'MARATHA QTY DISTRIBUATION'!G137)</f>
        <v>0</v>
      </c>
      <c r="L61" s="19">
        <f>('MASTER SHEET -MARATHA SITE'!$F$22/'MARATHA QTY DISTRIBUATION'!$AC$136*'MARATHA QTY DISTRIBUATION'!H137)</f>
        <v>0</v>
      </c>
      <c r="M61" s="19">
        <f>('MASTER SHEET -MARATHA SITE'!$F$22/'MARATHA QTY DISTRIBUATION'!$AC$136*'MARATHA QTY DISTRIBUATION'!I137)</f>
        <v>0</v>
      </c>
      <c r="N61" s="19">
        <f>('MASTER SHEET -MARATHA SITE'!$F$22/'MARATHA QTY DISTRIBUATION'!$AC$136*'MARATHA QTY DISTRIBUATION'!J137)</f>
        <v>0</v>
      </c>
      <c r="O61" s="19">
        <f>('MASTER SHEET -MARATHA SITE'!$F$22/'MARATHA QTY DISTRIBUATION'!$AC$136*'MARATHA QTY DISTRIBUATION'!K137)</f>
        <v>0</v>
      </c>
      <c r="P61" s="19">
        <f>('MASTER SHEET -MARATHA SITE'!$F$22/'MARATHA QTY DISTRIBUATION'!$AC$136*'MARATHA QTY DISTRIBUATION'!L137)</f>
        <v>0</v>
      </c>
      <c r="Q61" s="19">
        <f>('MASTER SHEET -MARATHA SITE'!$F$22/'MARATHA QTY DISTRIBUATION'!$AC$136*'MARATHA QTY DISTRIBUATION'!M137)</f>
        <v>0</v>
      </c>
      <c r="R61" s="19">
        <f>('MASTER SHEET -MARATHA SITE'!$F$22/'MARATHA QTY DISTRIBUATION'!$AC$136*'MARATHA QTY DISTRIBUATION'!N137)</f>
        <v>0</v>
      </c>
      <c r="S61" s="19">
        <f>('MASTER SHEET -MARATHA SITE'!$F$22/'MARATHA QTY DISTRIBUATION'!$AC$136*'MARATHA QTY DISTRIBUATION'!O137)</f>
        <v>3.7018518518518515E-4</v>
      </c>
      <c r="T61" s="19">
        <f>('MASTER SHEET -MARATHA SITE'!$F$22/'MARATHA QTY DISTRIBUATION'!$AC$136*'MARATHA QTY DISTRIBUATION'!P137)</f>
        <v>3.7018518518518515E-4</v>
      </c>
      <c r="U61" s="19">
        <f>('MASTER SHEET -MARATHA SITE'!$F$22/'MARATHA QTY DISTRIBUATION'!$AC$136*'MARATHA QTY DISTRIBUATION'!Q137)</f>
        <v>0</v>
      </c>
      <c r="V61" s="19">
        <f>('MASTER SHEET -MARATHA SITE'!$F$22/'MARATHA QTY DISTRIBUATION'!$AC$136*'MARATHA QTY DISTRIBUATION'!R137)</f>
        <v>0</v>
      </c>
      <c r="W61" s="19">
        <f>('MASTER SHEET -MARATHA SITE'!$F$22/'MARATHA QTY DISTRIBUATION'!$AC$136*'MARATHA QTY DISTRIBUATION'!S137)</f>
        <v>0</v>
      </c>
      <c r="X61" s="19">
        <f>('MASTER SHEET -MARATHA SITE'!$F$22/'MARATHA QTY DISTRIBUATION'!$AC$136*'MARATHA QTY DISTRIBUATION'!T137)</f>
        <v>3.7018518518518515E-4</v>
      </c>
      <c r="Y61" s="19">
        <f>('MASTER SHEET -MARATHA SITE'!$F$22/'MARATHA QTY DISTRIBUATION'!$AC$136*'MARATHA QTY DISTRIBUATION'!U137)</f>
        <v>3.7018518518518515E-4</v>
      </c>
      <c r="Z61" s="654">
        <f>('MASTER SHEET -MARATHA SITE'!$F$22/'MARATHA QTY DISTRIBUATION'!$AC$136*'MARATHA QTY DISTRIBUATION'!V137)</f>
        <v>0</v>
      </c>
      <c r="AA61" s="19">
        <f>('MASTER SHEET -MARATHA SITE'!$F$22/'MARATHA QTY DISTRIBUATION'!$AC$136*'MARATHA QTY DISTRIBUATION'!W137)</f>
        <v>0</v>
      </c>
      <c r="AB61" s="19">
        <f>('MASTER SHEET -MARATHA SITE'!$F$22/'MARATHA QTY DISTRIBUATION'!$AC$136*'MARATHA QTY DISTRIBUATION'!X137)</f>
        <v>0</v>
      </c>
      <c r="AC61" s="19">
        <f>('MASTER SHEET -MARATHA SITE'!$F$22/'MARATHA QTY DISTRIBUATION'!$AC$136*'MARATHA QTY DISTRIBUATION'!Y137)</f>
        <v>0</v>
      </c>
      <c r="AD61" s="19">
        <f>('MASTER SHEET -MARATHA SITE'!$F$22/'MARATHA QTY DISTRIBUATION'!$AC$136*'MARATHA QTY DISTRIBUATION'!Z137)</f>
        <v>0</v>
      </c>
      <c r="AE61" s="19">
        <f>('MASTER SHEET -MARATHA SITE'!$F$22/'MARATHA QTY DISTRIBUATION'!$AC$136*'MARATHA QTY DISTRIBUATION'!AA137)</f>
        <v>0</v>
      </c>
      <c r="AF61" s="71">
        <f>('MASTER SHEET -MARATHA SITE'!$F$22/'MARATHA QTY DISTRIBUATION'!$AC$136*'MARATHA QTY DISTRIBUATION'!AB137)</f>
        <v>0</v>
      </c>
      <c r="AG61" s="560">
        <f t="shared" si="1"/>
        <v>1.8509259259259257E-2</v>
      </c>
      <c r="AH61" s="575"/>
    </row>
    <row r="62" spans="1:34">
      <c r="A62" s="77" t="s">
        <v>2</v>
      </c>
      <c r="B62" s="16" t="s">
        <v>17</v>
      </c>
      <c r="C62" s="1133"/>
      <c r="D62" s="118">
        <f t="shared" si="13"/>
        <v>6.4045940721649498E-3</v>
      </c>
      <c r="E62" s="1133"/>
      <c r="F62" s="166">
        <f t="shared" si="11"/>
        <v>1.0010000000000002E-2</v>
      </c>
      <c r="G62" s="1132"/>
      <c r="H62" s="118">
        <f t="shared" si="12"/>
        <v>-3.6054059278350517E-3</v>
      </c>
      <c r="I62" s="640" t="s">
        <v>18</v>
      </c>
      <c r="J62" s="70">
        <f>('MASTER SHEET -MARATHA SITE'!$F$23/'MARATHA QTY DISTRIBUATION'!$AC$121*'MARATHA QTY DISTRIBUATION'!F122)</f>
        <v>0</v>
      </c>
      <c r="K62" s="19">
        <f>('MASTER SHEET -MARATHA SITE'!$F$23/'MARATHA QTY DISTRIBUATION'!$AC$121*'MARATHA QTY DISTRIBUATION'!G122)</f>
        <v>0</v>
      </c>
      <c r="L62" s="19">
        <f>('MASTER SHEET -MARATHA SITE'!$F$23/'MARATHA QTY DISTRIBUATION'!$AC$121*'MARATHA QTY DISTRIBUATION'!H122)</f>
        <v>0</v>
      </c>
      <c r="M62" s="19">
        <f>('MASTER SHEET -MARATHA SITE'!$F$23/'MARATHA QTY DISTRIBUATION'!$AC$121*'MARATHA QTY DISTRIBUATION'!I122)</f>
        <v>3.9871134020618562E-5</v>
      </c>
      <c r="N62" s="19">
        <f>('MASTER SHEET -MARATHA SITE'!$F$23/'MARATHA QTY DISTRIBUATION'!$AC$121*'MARATHA QTY DISTRIBUATION'!J122)</f>
        <v>1.3720360824742269E-4</v>
      </c>
      <c r="O62" s="19">
        <f>('MASTER SHEET -MARATHA SITE'!$F$23/'MARATHA QTY DISTRIBUATION'!$AC$121*'MARATHA QTY DISTRIBUATION'!K122)</f>
        <v>1.2313144329896908E-4</v>
      </c>
      <c r="P62" s="19">
        <f>('MASTER SHEET -MARATHA SITE'!$F$23/'MARATHA QTY DISTRIBUATION'!$AC$121*'MARATHA QTY DISTRIBUATION'!L122)</f>
        <v>6.1800257731958773E-4</v>
      </c>
      <c r="Q62" s="19">
        <f>('MASTER SHEET -MARATHA SITE'!$F$23/'MARATHA QTY DISTRIBUATION'!$AC$121*'MARATHA QTY DISTRIBUATION'!M122)</f>
        <v>3.5942654639175263E-4</v>
      </c>
      <c r="R62" s="19">
        <f>('MASTER SHEET -MARATHA SITE'!$F$23/'MARATHA QTY DISTRIBUATION'!$AC$121*'MARATHA QTY DISTRIBUATION'!N122)</f>
        <v>2.1870489690721653E-4</v>
      </c>
      <c r="S62" s="19">
        <f>('MASTER SHEET -MARATHA SITE'!$F$23/'MARATHA QTY DISTRIBUATION'!$AC$121*'MARATHA QTY DISTRIBUATION'!O122)</f>
        <v>7.4699742268041248E-4</v>
      </c>
      <c r="T62" s="19">
        <f>('MASTER SHEET -MARATHA SITE'!$F$23/'MARATHA QTY DISTRIBUATION'!$AC$121*'MARATHA QTY DISTRIBUATION'!P122)</f>
        <v>7.1123067010309289E-4</v>
      </c>
      <c r="U62" s="19">
        <f>('MASTER SHEET -MARATHA SITE'!$F$23/'MARATHA QTY DISTRIBUATION'!$AC$121*'MARATHA QTY DISTRIBUATION'!Q122)</f>
        <v>2.421585051546392E-4</v>
      </c>
      <c r="V62" s="19">
        <f>('MASTER SHEET -MARATHA SITE'!$F$23/'MARATHA QTY DISTRIBUATION'!$AC$121*'MARATHA QTY DISTRIBUATION'!R122)</f>
        <v>5.153930412371135E-4</v>
      </c>
      <c r="W62" s="19">
        <f>('MASTER SHEET -MARATHA SITE'!$F$23/'MARATHA QTY DISTRIBUATION'!$AC$121*'MARATHA QTY DISTRIBUATION'!S122)</f>
        <v>7.6224226804123721E-4</v>
      </c>
      <c r="X62" s="19">
        <f>('MASTER SHEET -MARATHA SITE'!$F$23/'MARATHA QTY DISTRIBUATION'!$AC$121*'MARATHA QTY DISTRIBUATION'!T122)</f>
        <v>1.664619845360825E-3</v>
      </c>
      <c r="Y62" s="19">
        <f>('MASTER SHEET -MARATHA SITE'!$F$23/'MARATHA QTY DISTRIBUATION'!$AC$121*'MARATHA QTY DISTRIBUATION'!U122)</f>
        <v>2.6561211340206186E-4</v>
      </c>
      <c r="Z62" s="654">
        <f>('MASTER SHEET -MARATHA SITE'!$F$23/'MARATHA QTY DISTRIBUATION'!$AC$121*'MARATHA QTY DISTRIBUATION'!V122)</f>
        <v>0</v>
      </c>
      <c r="AA62" s="19">
        <f>('MASTER SHEET -MARATHA SITE'!$F$23/'MARATHA QTY DISTRIBUATION'!$AC$121*'MARATHA QTY DISTRIBUATION'!W122)</f>
        <v>0</v>
      </c>
      <c r="AB62" s="19">
        <f>('MASTER SHEET -MARATHA SITE'!$F$23/'MARATHA QTY DISTRIBUATION'!$AC$121*'MARATHA QTY DISTRIBUATION'!X122)</f>
        <v>0</v>
      </c>
      <c r="AC62" s="19">
        <f>('MASTER SHEET -MARATHA SITE'!$F$23/'MARATHA QTY DISTRIBUATION'!$AC$121*'MARATHA QTY DISTRIBUATION'!Y122)</f>
        <v>0</v>
      </c>
      <c r="AD62" s="19">
        <f>('MASTER SHEET -MARATHA SITE'!$F$23/'MARATHA QTY DISTRIBUATION'!$AC$121*'MARATHA QTY DISTRIBUATION'!Z122)</f>
        <v>0</v>
      </c>
      <c r="AE62" s="19">
        <f>('MASTER SHEET -MARATHA SITE'!$F$23/'MARATHA QTY DISTRIBUATION'!$AC$121*'MARATHA QTY DISTRIBUATION'!AA122)</f>
        <v>0</v>
      </c>
      <c r="AF62" s="71">
        <f>('MASTER SHEET -MARATHA SITE'!$F$23/'MARATHA QTY DISTRIBUATION'!$AC$121*'MARATHA QTY DISTRIBUATION'!AB122)</f>
        <v>0</v>
      </c>
      <c r="AG62" s="560">
        <f t="shared" si="1"/>
        <v>3.6054059278350517E-3</v>
      </c>
      <c r="AH62" s="575"/>
    </row>
    <row r="63" spans="1:34" ht="15" thickBot="1">
      <c r="A63" s="236" t="s">
        <v>2</v>
      </c>
      <c r="B63" s="237" t="s">
        <v>17</v>
      </c>
      <c r="C63" s="1134"/>
      <c r="D63" s="192">
        <f t="shared" si="13"/>
        <v>0</v>
      </c>
      <c r="E63" s="1134"/>
      <c r="F63" s="225">
        <f t="shared" si="11"/>
        <v>5.0000000000000001E-3</v>
      </c>
      <c r="G63" s="1147"/>
      <c r="H63" s="192">
        <f t="shared" si="12"/>
        <v>-5.0000000000000001E-3</v>
      </c>
      <c r="I63" s="647" t="s">
        <v>9</v>
      </c>
      <c r="J63" s="201">
        <f>('MASTER SHEET -MARATHA SITE'!$F$14/'MARATHA QTY DISTRIBUATION'!$AC$121*'MARATHA QTY DISTRIBUATION'!F177)</f>
        <v>0</v>
      </c>
      <c r="K63" s="238">
        <f>('MASTER SHEET -MARATHA SITE'!$F$14/'MARATHA QTY DISTRIBUATION'!$AC$121*'MARATHA QTY DISTRIBUATION'!G177)</f>
        <v>0</v>
      </c>
      <c r="L63" s="238">
        <f>('MASTER SHEET -MARATHA SITE'!$F$14/'MARATHA QTY DISTRIBUATION'!$AC$121*'MARATHA QTY DISTRIBUATION'!H177)</f>
        <v>0</v>
      </c>
      <c r="M63" s="238">
        <f>('MASTER SHEET -MARATHA SITE'!$F$14/'MARATHA QTY DISTRIBUATION'!$AC$121*'MARATHA QTY DISTRIBUATION'!I177)</f>
        <v>0</v>
      </c>
      <c r="N63" s="238">
        <f>('MASTER SHEET -MARATHA SITE'!$F$14/'MARATHA QTY DISTRIBUATION'!$AC$121*'MARATHA QTY DISTRIBUATION'!J177)</f>
        <v>0</v>
      </c>
      <c r="O63" s="238">
        <f>('MASTER SHEET -MARATHA SITE'!$F$14/'MARATHA QTY DISTRIBUATION'!$AC$121*'MARATHA QTY DISTRIBUATION'!K177)</f>
        <v>0</v>
      </c>
      <c r="P63" s="238">
        <f>('MASTER SHEET -MARATHA SITE'!$F$14/'MARATHA QTY DISTRIBUATION'!$AC$121*'MARATHA QTY DISTRIBUATION'!L177)</f>
        <v>0</v>
      </c>
      <c r="Q63" s="238">
        <f>('MASTER SHEET -MARATHA SITE'!$F$14/'MARATHA QTY DISTRIBUATION'!$AC$121*'MARATHA QTY DISTRIBUATION'!M177)</f>
        <v>0</v>
      </c>
      <c r="R63" s="238">
        <f>('MASTER SHEET -MARATHA SITE'!$F$14/'MARATHA QTY DISTRIBUATION'!$AC$121*'MARATHA QTY DISTRIBUATION'!N177)</f>
        <v>0</v>
      </c>
      <c r="S63" s="238">
        <f>('MASTER SHEET -MARATHA SITE'!$F$14/'MARATHA QTY DISTRIBUATION'!$AC$121*'MARATHA QTY DISTRIBUATION'!O177)</f>
        <v>0</v>
      </c>
      <c r="T63" s="238">
        <f>('MASTER SHEET -MARATHA SITE'!$F$14/'MARATHA QTY DISTRIBUATION'!$AC$121*'MARATHA QTY DISTRIBUATION'!P177)</f>
        <v>0</v>
      </c>
      <c r="U63" s="238">
        <f>('MASTER SHEET -MARATHA SITE'!$F$14/'MARATHA QTY DISTRIBUATION'!$AC$121*'MARATHA QTY DISTRIBUATION'!Q177)</f>
        <v>0</v>
      </c>
      <c r="V63" s="238">
        <f>('MASTER SHEET -MARATHA SITE'!$F$14/'MARATHA QTY DISTRIBUATION'!$AC$121*'MARATHA QTY DISTRIBUATION'!R177)</f>
        <v>0</v>
      </c>
      <c r="W63" s="238">
        <f>('MASTER SHEET -MARATHA SITE'!$F$14/'MARATHA QTY DISTRIBUATION'!$AC$121*'MARATHA QTY DISTRIBUATION'!S177)</f>
        <v>0</v>
      </c>
      <c r="X63" s="238">
        <f>('MASTER SHEET -MARATHA SITE'!$F$14/'MARATHA QTY DISTRIBUATION'!$AC$121*'MARATHA QTY DISTRIBUATION'!T177)</f>
        <v>0</v>
      </c>
      <c r="Y63" s="238">
        <f>('MASTER SHEET -MARATHA SITE'!$F$14/'MARATHA QTY DISTRIBUATION'!$AC$121*'MARATHA QTY DISTRIBUATION'!U177)</f>
        <v>0</v>
      </c>
      <c r="Z63" s="703">
        <f>('MASTER SHEET -MARATHA SITE'!$F$14/'MARATHA QTY DISTRIBUATION'!$AC$121*'MARATHA QTY DISTRIBUATION'!V177)</f>
        <v>0</v>
      </c>
      <c r="AA63" s="238">
        <f>('MASTER SHEET -MARATHA SITE'!$F$14/'MARATHA QTY DISTRIBUATION'!$AC$121*'MARATHA QTY DISTRIBUATION'!W177)</f>
        <v>0</v>
      </c>
      <c r="AB63" s="238">
        <f>('MASTER SHEET -MARATHA SITE'!$F$14/'MARATHA QTY DISTRIBUATION'!$AC$121*'MARATHA QTY DISTRIBUATION'!X177)</f>
        <v>0</v>
      </c>
      <c r="AC63" s="238">
        <f>('MASTER SHEET -MARATHA SITE'!$F$14/'MARATHA QTY DISTRIBUATION'!$AC$121*'MARATHA QTY DISTRIBUATION'!Y177)</f>
        <v>0</v>
      </c>
      <c r="AD63" s="238">
        <f>('MASTER SHEET -MARATHA SITE'!$F$14/'MARATHA QTY DISTRIBUATION'!$AC$121*'MARATHA QTY DISTRIBUATION'!Z177)</f>
        <v>0</v>
      </c>
      <c r="AE63" s="238">
        <f>('MASTER SHEET -MARATHA SITE'!$F$14/'MARATHA QTY DISTRIBUATION'!$AC$121*'MARATHA QTY DISTRIBUATION'!AA177)</f>
        <v>0</v>
      </c>
      <c r="AF63" s="239">
        <f>('MASTER SHEET -MARATHA SITE'!$F$14/'MARATHA QTY DISTRIBUATION'!$AC$121*'MARATHA QTY DISTRIBUATION'!AB177)</f>
        <v>0</v>
      </c>
      <c r="AG63" s="560">
        <f t="shared" si="1"/>
        <v>5.0000000000000001E-3</v>
      </c>
      <c r="AH63" s="575"/>
    </row>
    <row r="64" spans="1:34">
      <c r="A64" s="226" t="s">
        <v>2</v>
      </c>
      <c r="B64" s="227" t="s">
        <v>19</v>
      </c>
      <c r="C64" s="1125">
        <f>SUM(D64:D73)</f>
        <v>9.8315274479892079E-2</v>
      </c>
      <c r="D64" s="180">
        <f t="shared" ref="D64:D77" si="14">SUM(L64:AD64)</f>
        <v>2.0000031177463684E-2</v>
      </c>
      <c r="E64" s="1125">
        <f>SUM(F64:F73)</f>
        <v>0.43002999999999997</v>
      </c>
      <c r="F64" s="222">
        <f t="shared" si="11"/>
        <v>0.02</v>
      </c>
      <c r="G64" s="1125">
        <f>C64-E64</f>
        <v>-0.33171472552010789</v>
      </c>
      <c r="H64" s="180">
        <f>D64-F64</f>
        <v>3.1177463683668138E-8</v>
      </c>
      <c r="I64" s="642" t="s">
        <v>83</v>
      </c>
      <c r="J64" s="203">
        <f>('MASTER SHEET -MARATHA SITE'!$F$25/'MARATHA QTY DISTRIBUATION'!$AC$34*'MARATHA QTY DISTRIBUATION'!F35)</f>
        <v>0</v>
      </c>
      <c r="K64" s="268">
        <f>('MASTER SHEET -MARATHA SITE'!$F$25/'MARATHA QTY DISTRIBUATION'!$AC$34*'MARATHA QTY DISTRIBUATION'!G35)</f>
        <v>0</v>
      </c>
      <c r="L64" s="268">
        <f>('MASTER SHEET -MARATHA SITE'!$F$25/'MARATHA QTY DISTRIBUATION'!$AC$34*'MARATHA QTY DISTRIBUATION'!H35)</f>
        <v>1.580697408685106E-3</v>
      </c>
      <c r="M64" s="268">
        <f>('MASTER SHEET -MARATHA SITE'!$F$25/'MARATHA QTY DISTRIBUATION'!$AC$34*'MARATHA QTY DISTRIBUATION'!I35)</f>
        <v>3.8700585668655267E-3</v>
      </c>
      <c r="N64" s="268">
        <f>('MASTER SHEET -MARATHA SITE'!$F$25/'MARATHA QTY DISTRIBUATION'!$AC$34*'MARATHA QTY DISTRIBUATION'!J35)</f>
        <v>2.6732596609866524E-3</v>
      </c>
      <c r="O64" s="268">
        <f>('MASTER SHEET -MARATHA SITE'!$F$25/'MARATHA QTY DISTRIBUATION'!$AC$34*'MARATHA QTY DISTRIBUATION'!K35)</f>
        <v>8.0531388690998598E-4</v>
      </c>
      <c r="P64" s="268">
        <f>('MASTER SHEET -MARATHA SITE'!$F$25/'MARATHA QTY DISTRIBUATION'!$AC$34*'MARATHA QTY DISTRIBUATION'!L35)</f>
        <v>2.0390061248127403E-4</v>
      </c>
      <c r="Q64" s="268">
        <f>('MASTER SHEET -MARATHA SITE'!$F$25/'MARATHA QTY DISTRIBUATION'!$AC$34*'MARATHA QTY DISTRIBUATION'!M35)</f>
        <v>7.6800485537034403E-5</v>
      </c>
      <c r="R64" s="268">
        <f>('MASTER SHEET -MARATHA SITE'!$F$25/'MARATHA QTY DISTRIBUATION'!$AC$34*'MARATHA QTY DISTRIBUATION'!N35)</f>
        <v>3.5022684202950735E-4</v>
      </c>
      <c r="S64" s="268">
        <f>('MASTER SHEET -MARATHA SITE'!$F$25/'MARATHA QTY DISTRIBUATION'!$AC$34*'MARATHA QTY DISTRIBUATION'!O35)</f>
        <v>6.5098544168333355E-4</v>
      </c>
      <c r="T64" s="268">
        <f>('MASTER SHEET -MARATHA SITE'!$F$25/'MARATHA QTY DISTRIBUATION'!$AC$34*'MARATHA QTY DISTRIBUATION'!P35)</f>
        <v>1.7798174767351166E-3</v>
      </c>
      <c r="U64" s="268">
        <f>('MASTER SHEET -MARATHA SITE'!$F$25/'MARATHA QTY DISTRIBUATION'!$AC$34*'MARATHA QTY DISTRIBUATION'!Q35)</f>
        <v>1.9588800431496098E-3</v>
      </c>
      <c r="V64" s="268">
        <f>('MASTER SHEET -MARATHA SITE'!$F$25/'MARATHA QTY DISTRIBUATION'!$AC$34*'MARATHA QTY DISTRIBUATION'!R35)</f>
        <v>3.4591395955347634E-3</v>
      </c>
      <c r="W64" s="268">
        <f>('MASTER SHEET -MARATHA SITE'!$F$25/'MARATHA QTY DISTRIBUATION'!$AC$34*'MARATHA QTY DISTRIBUATION'!S35)</f>
        <v>1.344580083732275E-3</v>
      </c>
      <c r="X64" s="268">
        <f>('MASTER SHEET -MARATHA SITE'!$F$25/'MARATHA QTY DISTRIBUATION'!$AC$34*'MARATHA QTY DISTRIBUATION'!T35)</f>
        <v>1.246371073133496E-3</v>
      </c>
      <c r="Y64" s="268"/>
      <c r="Z64" s="696"/>
      <c r="AA64" s="268"/>
      <c r="AB64" s="268"/>
      <c r="AC64" s="268"/>
      <c r="AD64" s="268"/>
      <c r="AE64" s="268"/>
      <c r="AF64" s="269"/>
      <c r="AG64" s="560">
        <f t="shared" si="1"/>
        <v>-3.1177463683668138E-8</v>
      </c>
      <c r="AH64" s="575"/>
    </row>
    <row r="65" spans="1:33">
      <c r="A65" s="75" t="s">
        <v>2</v>
      </c>
      <c r="B65" s="17" t="s">
        <v>19</v>
      </c>
      <c r="C65" s="1126"/>
      <c r="D65" s="117">
        <f t="shared" si="14"/>
        <v>6.0622296096440861E-2</v>
      </c>
      <c r="E65" s="1126"/>
      <c r="F65" s="166">
        <f t="shared" si="11"/>
        <v>0.15000999999999998</v>
      </c>
      <c r="G65" s="1138"/>
      <c r="H65" s="117">
        <f t="shared" ref="H65:H73" si="15">D65-F65</f>
        <v>-8.9387703903559115E-2</v>
      </c>
      <c r="I65" s="629" t="s">
        <v>84</v>
      </c>
      <c r="J65" s="68">
        <f>('MASTER SHEET -MARATHA SITE'!$F$26/'MARATHA QTY DISTRIBUATION'!$AC$39*'MARATHA QTY DISTRIBUATION'!F40)</f>
        <v>0</v>
      </c>
      <c r="K65" s="15">
        <f>('MASTER SHEET -MARATHA SITE'!$F$26/'MARATHA QTY DISTRIBUATION'!$AC$39*'MARATHA QTY DISTRIBUATION'!G40)</f>
        <v>0</v>
      </c>
      <c r="L65" s="15">
        <f>('MASTER SHEET -MARATHA SITE'!$F$26/'MARATHA QTY DISTRIBUATION'!$AC$39*'MARATHA QTY DISTRIBUATION'!H40)</f>
        <v>0</v>
      </c>
      <c r="M65" s="15">
        <f>('MASTER SHEET -MARATHA SITE'!$F$26/'MARATHA QTY DISTRIBUATION'!$AC$39*'MARATHA QTY DISTRIBUATION'!I40)</f>
        <v>0</v>
      </c>
      <c r="N65" s="15">
        <f>('MASTER SHEET -MARATHA SITE'!$F$26/'MARATHA QTY DISTRIBUATION'!$AC$39*'MARATHA QTY DISTRIBUATION'!J40)</f>
        <v>5.5112743972445455E-4</v>
      </c>
      <c r="O65" s="15">
        <f>('MASTER SHEET -MARATHA SITE'!$F$26/'MARATHA QTY DISTRIBUATION'!$AC$39*'MARATHA QTY DISTRIBUATION'!K40)</f>
        <v>1.2417590126291617E-3</v>
      </c>
      <c r="P65" s="15">
        <f>('MASTER SHEET -MARATHA SITE'!$F$26/'MARATHA QTY DISTRIBUATION'!$AC$39*'MARATHA QTY DISTRIBUATION'!L40)</f>
        <v>5.401048909299655E-3</v>
      </c>
      <c r="Q65" s="15">
        <f>('MASTER SHEET -MARATHA SITE'!$F$26/'MARATHA QTY DISTRIBUATION'!$AC$39*'MARATHA QTY DISTRIBUATION'!M40)</f>
        <v>6.384466934557978E-3</v>
      </c>
      <c r="R65" s="15">
        <f>('MASTER SHEET -MARATHA SITE'!$F$26/'MARATHA QTY DISTRIBUATION'!$AC$39*'MARATHA QTY DISTRIBUATION'!N40)</f>
        <v>6.1123477611940286E-3</v>
      </c>
      <c r="S65" s="15">
        <f>('MASTER SHEET -MARATHA SITE'!$F$26/'MARATHA QTY DISTRIBUATION'!$AC$39*'MARATHA QTY DISTRIBUATION'!O40)</f>
        <v>6.7254770378874845E-3</v>
      </c>
      <c r="T65" s="15">
        <f>('MASTER SHEET -MARATHA SITE'!$F$26/'MARATHA QTY DISTRIBUATION'!$AC$39*'MARATHA QTY DISTRIBUATION'!P40)</f>
        <v>5.4923293915040174E-3</v>
      </c>
      <c r="U65" s="15">
        <f>('MASTER SHEET -MARATHA SITE'!$F$26/'MARATHA QTY DISTRIBUATION'!$AC$39*'MARATHA QTY DISTRIBUATION'!Q40)</f>
        <v>5.5784430539609631E-3</v>
      </c>
      <c r="V65" s="15">
        <f>('MASTER SHEET -MARATHA SITE'!$F$26/'MARATHA QTY DISTRIBUATION'!$AC$39*'MARATHA QTY DISTRIBUATION'!R40)</f>
        <v>7.3265504018369676E-3</v>
      </c>
      <c r="W65" s="15">
        <f>('MASTER SHEET -MARATHA SITE'!$F$26/'MARATHA QTY DISTRIBUATION'!$AC$39*'MARATHA QTY DISTRIBUATION'!S40)</f>
        <v>5.6731680826636044E-3</v>
      </c>
      <c r="X65" s="15">
        <f>('MASTER SHEET -MARATHA SITE'!$F$26/'MARATHA QTY DISTRIBUATION'!$AC$39*'MARATHA QTY DISTRIBUATION'!T40)</f>
        <v>5.0135374282433975E-3</v>
      </c>
      <c r="Y65" s="15">
        <f>('MASTER SHEET -MARATHA SITE'!$F$26/'MARATHA QTY DISTRIBUATION'!$AC$39*'MARATHA QTY DISTRIBUATION'!U40)</f>
        <v>4.734529161882892E-3</v>
      </c>
      <c r="Z65" s="697">
        <f>('MASTER SHEET -MARATHA SITE'!$F$26/'MARATHA QTY DISTRIBUATION'!$AC$39*'MARATHA QTY DISTRIBUATION'!V40)</f>
        <v>3.8751148105625711E-4</v>
      </c>
      <c r="AA65" s="15">
        <f>('MASTER SHEET -MARATHA SITE'!$F$26/'MARATHA QTY DISTRIBUATION'!$AC$39*'MARATHA QTY DISTRIBUATION'!W40)</f>
        <v>0</v>
      </c>
      <c r="AB65" s="15">
        <f>('MASTER SHEET -MARATHA SITE'!$F$26/'MARATHA QTY DISTRIBUATION'!$AC$39*'MARATHA QTY DISTRIBUATION'!X40)</f>
        <v>0</v>
      </c>
      <c r="AC65" s="15">
        <f>('MASTER SHEET -MARATHA SITE'!$F$26/'MARATHA QTY DISTRIBUATION'!$AC$39*'MARATHA QTY DISTRIBUATION'!Y40)</f>
        <v>0</v>
      </c>
      <c r="AD65" s="15">
        <f>('MASTER SHEET -MARATHA SITE'!$F$26/'MARATHA QTY DISTRIBUATION'!$AC$39*'MARATHA QTY DISTRIBUATION'!Z40)</f>
        <v>0</v>
      </c>
      <c r="AE65" s="15">
        <f>('MASTER SHEET -MARATHA SITE'!$F$26/'MARATHA QTY DISTRIBUATION'!$AC$39*'MARATHA QTY DISTRIBUATION'!AA40)</f>
        <v>0</v>
      </c>
      <c r="AF65" s="69">
        <f>('MASTER SHEET -MARATHA SITE'!$F$26/'MARATHA QTY DISTRIBUATION'!$AC$39*'MARATHA QTY DISTRIBUATION'!AB40)</f>
        <v>0</v>
      </c>
      <c r="AG65" s="560">
        <f t="shared" si="1"/>
        <v>8.9387703903559115E-2</v>
      </c>
    </row>
    <row r="66" spans="1:33">
      <c r="A66" s="75" t="s">
        <v>2</v>
      </c>
      <c r="B66" s="17" t="s">
        <v>19</v>
      </c>
      <c r="C66" s="1126"/>
      <c r="D66" s="117">
        <f t="shared" si="14"/>
        <v>6.9851781772311576E-3</v>
      </c>
      <c r="E66" s="1126"/>
      <c r="F66" s="166">
        <f t="shared" si="11"/>
        <v>0.04</v>
      </c>
      <c r="G66" s="1138"/>
      <c r="H66" s="117">
        <f t="shared" si="15"/>
        <v>-3.3014821822768846E-2</v>
      </c>
      <c r="I66" s="629" t="s">
        <v>85</v>
      </c>
      <c r="J66" s="68">
        <f>('MASTER SHEET -MARATHA SITE'!$F$27/'MARATHA QTY DISTRIBUATION'!$AC$44*'MARATHA QTY DISTRIBUATION'!F45)</f>
        <v>0</v>
      </c>
      <c r="K66" s="15">
        <f>('MASTER SHEET -MARATHA SITE'!$F$27/'MARATHA QTY DISTRIBUATION'!$AC$44*'MARATHA QTY DISTRIBUATION'!G45)</f>
        <v>0</v>
      </c>
      <c r="L66" s="15">
        <f>('MASTER SHEET -MARATHA SITE'!$F$27/'MARATHA QTY DISTRIBUATION'!$AC$44*'MARATHA QTY DISTRIBUATION'!H45)</f>
        <v>0</v>
      </c>
      <c r="M66" s="15">
        <f>('MASTER SHEET -MARATHA SITE'!$F$27/'MARATHA QTY DISTRIBUATION'!$AC$44*'MARATHA QTY DISTRIBUATION'!I45)</f>
        <v>0</v>
      </c>
      <c r="N66" s="15">
        <f>('MASTER SHEET -MARATHA SITE'!$F$27/'MARATHA QTY DISTRIBUATION'!$AC$44*'MARATHA QTY DISTRIBUATION'!J45)</f>
        <v>0</v>
      </c>
      <c r="O66" s="15">
        <f>('MASTER SHEET -MARATHA SITE'!$F$27/'MARATHA QTY DISTRIBUATION'!$AC$44*'MARATHA QTY DISTRIBUATION'!K45)</f>
        <v>0</v>
      </c>
      <c r="P66" s="15">
        <f>('MASTER SHEET -MARATHA SITE'!$F$27/'MARATHA QTY DISTRIBUATION'!$AC$44*'MARATHA QTY DISTRIBUATION'!L45)</f>
        <v>0</v>
      </c>
      <c r="Q66" s="15">
        <f>('MASTER SHEET -MARATHA SITE'!$F$27/'MARATHA QTY DISTRIBUATION'!$AC$44*'MARATHA QTY DISTRIBUATION'!M45)</f>
        <v>0</v>
      </c>
      <c r="R66" s="15">
        <f>('MASTER SHEET -MARATHA SITE'!$F$27/'MARATHA QTY DISTRIBUATION'!$AC$44*'MARATHA QTY DISTRIBUATION'!N45)</f>
        <v>0</v>
      </c>
      <c r="S66" s="15">
        <f>('MASTER SHEET -MARATHA SITE'!$F$27/'MARATHA QTY DISTRIBUATION'!$AC$44*'MARATHA QTY DISTRIBUATION'!O45)</f>
        <v>2.7593818984547461E-4</v>
      </c>
      <c r="T66" s="15">
        <f>('MASTER SHEET -MARATHA SITE'!$F$27/'MARATHA QTY DISTRIBUATION'!$AC$44*'MARATHA QTY DISTRIBUATION'!P45)</f>
        <v>4.3361715547146011E-4</v>
      </c>
      <c r="U66" s="15">
        <f>('MASTER SHEET -MARATHA SITE'!$F$27/'MARATHA QTY DISTRIBUATION'!$AC$44*'MARATHA QTY DISTRIBUATION'!Q45)</f>
        <v>5.912961210974456E-4</v>
      </c>
      <c r="V66" s="15">
        <f>('MASTER SHEET -MARATHA SITE'!$F$27/'MARATHA QTY DISTRIBUATION'!$AC$44*'MARATHA QTY DISTRIBUATION'!R45)</f>
        <v>1.5058341217281616E-3</v>
      </c>
      <c r="W66" s="15">
        <f>('MASTER SHEET -MARATHA SITE'!$F$27/'MARATHA QTY DISTRIBUATION'!$AC$44*'MARATHA QTY DISTRIBUATION'!S45)</f>
        <v>1.8606117943866288E-3</v>
      </c>
      <c r="X66" s="15">
        <f>('MASTER SHEET -MARATHA SITE'!$F$27/'MARATHA QTY DISTRIBUATION'!$AC$44*'MARATHA QTY DISTRIBUATION'!T45)</f>
        <v>8.7511825922421949E-4</v>
      </c>
      <c r="Y66" s="15">
        <f>('MASTER SHEET -MARATHA SITE'!$F$27/'MARATHA QTY DISTRIBUATION'!$AC$44*'MARATHA QTY DISTRIBUATION'!U45)</f>
        <v>1.4427625354777674E-3</v>
      </c>
      <c r="Z66" s="697">
        <f>('MASTER SHEET -MARATHA SITE'!$F$27/'MARATHA QTY DISTRIBUATION'!$AC$44*'MARATHA QTY DISTRIBUATION'!V45)</f>
        <v>0</v>
      </c>
      <c r="AA66" s="15">
        <f>('MASTER SHEET -MARATHA SITE'!$F$27/'MARATHA QTY DISTRIBUATION'!$AC$44*'MARATHA QTY DISTRIBUATION'!W45)</f>
        <v>0</v>
      </c>
      <c r="AB66" s="15">
        <f>('MASTER SHEET -MARATHA SITE'!$F$27/'MARATHA QTY DISTRIBUATION'!$AC$44*'MARATHA QTY DISTRIBUATION'!X45)</f>
        <v>0</v>
      </c>
      <c r="AC66" s="15">
        <f>('MASTER SHEET -MARATHA SITE'!$F$27/'MARATHA QTY DISTRIBUATION'!$AC$44*'MARATHA QTY DISTRIBUATION'!Y45)</f>
        <v>0</v>
      </c>
      <c r="AD66" s="15">
        <f>('MASTER SHEET -MARATHA SITE'!$F$27/'MARATHA QTY DISTRIBUATION'!$AC$44*'MARATHA QTY DISTRIBUATION'!Z45)</f>
        <v>0</v>
      </c>
      <c r="AE66" s="15">
        <f>('MASTER SHEET -MARATHA SITE'!$F$27/'MARATHA QTY DISTRIBUATION'!$AC$44*'MARATHA QTY DISTRIBUATION'!AA45)</f>
        <v>0</v>
      </c>
      <c r="AF66" s="69">
        <f>('MASTER SHEET -MARATHA SITE'!$F$27/'MARATHA QTY DISTRIBUATION'!$AC$44*'MARATHA QTY DISTRIBUATION'!AB45)</f>
        <v>0</v>
      </c>
      <c r="AG66" s="560">
        <f t="shared" si="1"/>
        <v>3.3014821822768846E-2</v>
      </c>
    </row>
    <row r="67" spans="1:33">
      <c r="A67" s="75" t="s">
        <v>2</v>
      </c>
      <c r="B67" s="17" t="s">
        <v>19</v>
      </c>
      <c r="C67" s="1126"/>
      <c r="D67" s="117">
        <f t="shared" si="14"/>
        <v>2.0763549390098064E-3</v>
      </c>
      <c r="E67" s="1126"/>
      <c r="F67" s="166">
        <f t="shared" si="11"/>
        <v>7.0010000000000003E-2</v>
      </c>
      <c r="G67" s="1138"/>
      <c r="H67" s="117">
        <f t="shared" si="15"/>
        <v>-6.79336450609902E-2</v>
      </c>
      <c r="I67" s="629" t="s">
        <v>86</v>
      </c>
      <c r="J67" s="68">
        <f>('MASTER SHEET -MARATHA SITE'!$F$28/'MARATHA QTY DISTRIBUATION'!$AC$49*'MARATHA QTY DISTRIBUATION'!F50)</f>
        <v>0</v>
      </c>
      <c r="K67" s="15">
        <f>('MASTER SHEET -MARATHA SITE'!$F$28/'MARATHA QTY DISTRIBUATION'!$AC$49*'MARATHA QTY DISTRIBUATION'!G50)</f>
        <v>0</v>
      </c>
      <c r="L67" s="15">
        <f>('MASTER SHEET -MARATHA SITE'!$F$28/'MARATHA QTY DISTRIBUATION'!$AC$49*'MARATHA QTY DISTRIBUATION'!H50)</f>
        <v>0</v>
      </c>
      <c r="M67" s="15">
        <f>('MASTER SHEET -MARATHA SITE'!$F$28/'MARATHA QTY DISTRIBUATION'!$AC$49*'MARATHA QTY DISTRIBUATION'!I50)</f>
        <v>0</v>
      </c>
      <c r="N67" s="15">
        <f>('MASTER SHEET -MARATHA SITE'!$F$28/'MARATHA QTY DISTRIBUATION'!$AC$49*'MARATHA QTY DISTRIBUATION'!J50)</f>
        <v>0</v>
      </c>
      <c r="O67" s="15">
        <f>('MASTER SHEET -MARATHA SITE'!$F$28/'MARATHA QTY DISTRIBUATION'!$AC$49*'MARATHA QTY DISTRIBUATION'!K50)</f>
        <v>0</v>
      </c>
      <c r="P67" s="15">
        <f>('MASTER SHEET -MARATHA SITE'!$F$28/'MARATHA QTY DISTRIBUATION'!$AC$49*'MARATHA QTY DISTRIBUATION'!L50)</f>
        <v>0</v>
      </c>
      <c r="Q67" s="15">
        <f>('MASTER SHEET -MARATHA SITE'!$F$28/'MARATHA QTY DISTRIBUATION'!$AC$49*'MARATHA QTY DISTRIBUATION'!M50)</f>
        <v>0</v>
      </c>
      <c r="R67" s="15">
        <f>('MASTER SHEET -MARATHA SITE'!$F$28/'MARATHA QTY DISTRIBUATION'!$AC$49*'MARATHA QTY DISTRIBUATION'!N50)</f>
        <v>0</v>
      </c>
      <c r="S67" s="15">
        <f>('MASTER SHEET -MARATHA SITE'!$F$28/'MARATHA QTY DISTRIBUATION'!$AC$49*'MARATHA QTY DISTRIBUATION'!O50)</f>
        <v>0</v>
      </c>
      <c r="T67" s="15">
        <f>('MASTER SHEET -MARATHA SITE'!$F$28/'MARATHA QTY DISTRIBUATION'!$AC$49*'MARATHA QTY DISTRIBUATION'!P50)</f>
        <v>0</v>
      </c>
      <c r="U67" s="15">
        <f>('MASTER SHEET -MARATHA SITE'!$F$28/'MARATHA QTY DISTRIBUATION'!$AC$49*'MARATHA QTY DISTRIBUATION'!Q50)</f>
        <v>1.0046878737144224E-5</v>
      </c>
      <c r="V67" s="15">
        <f>('MASTER SHEET -MARATHA SITE'!$F$28/'MARATHA QTY DISTRIBUATION'!$AC$49*'MARATHA QTY DISTRIBUATION'!R50)</f>
        <v>0</v>
      </c>
      <c r="W67" s="15">
        <f>('MASTER SHEET -MARATHA SITE'!$F$28/'MARATHA QTY DISTRIBUATION'!$AC$49*'MARATHA QTY DISTRIBUATION'!S50)</f>
        <v>1.16543793350873E-3</v>
      </c>
      <c r="X67" s="15">
        <f>('MASTER SHEET -MARATHA SITE'!$F$28/'MARATHA QTY DISTRIBUATION'!$AC$49*'MARATHA QTY DISTRIBUATION'!T50)</f>
        <v>6.1955752212389378E-4</v>
      </c>
      <c r="Y67" s="15">
        <f>('MASTER SHEET -MARATHA SITE'!$F$28/'MARATHA QTY DISTRIBUATION'!$AC$49*'MARATHA QTY DISTRIBUATION'!U50)</f>
        <v>2.8131260464003827E-4</v>
      </c>
      <c r="Z67" s="697">
        <f>('MASTER SHEET -MARATHA SITE'!$F$28/'MARATHA QTY DISTRIBUATION'!$AC$49*'MARATHA QTY DISTRIBUATION'!V50)</f>
        <v>0</v>
      </c>
      <c r="AA67" s="15">
        <f>('MASTER SHEET -MARATHA SITE'!$F$28/'MARATHA QTY DISTRIBUATION'!$AC$49*'MARATHA QTY DISTRIBUATION'!W50)</f>
        <v>0</v>
      </c>
      <c r="AB67" s="15">
        <f>('MASTER SHEET -MARATHA SITE'!$F$28/'MARATHA QTY DISTRIBUATION'!$AC$49*'MARATHA QTY DISTRIBUATION'!X50)</f>
        <v>0</v>
      </c>
      <c r="AC67" s="15">
        <f>('MASTER SHEET -MARATHA SITE'!$F$28/'MARATHA QTY DISTRIBUATION'!$AC$49*'MARATHA QTY DISTRIBUATION'!Y50)</f>
        <v>0</v>
      </c>
      <c r="AD67" s="15">
        <f>('MASTER SHEET -MARATHA SITE'!$F$28/'MARATHA QTY DISTRIBUATION'!$AC$49*'MARATHA QTY DISTRIBUATION'!Z50)</f>
        <v>0</v>
      </c>
      <c r="AE67" s="15">
        <f>('MASTER SHEET -MARATHA SITE'!$F$28/'MARATHA QTY DISTRIBUATION'!$AC$49*'MARATHA QTY DISTRIBUATION'!AA50)</f>
        <v>0</v>
      </c>
      <c r="AF67" s="69">
        <f>('MASTER SHEET -MARATHA SITE'!$F$28/'MARATHA QTY DISTRIBUATION'!$AC$49*'MARATHA QTY DISTRIBUATION'!AB50)</f>
        <v>0</v>
      </c>
      <c r="AG67" s="560">
        <f t="shared" si="1"/>
        <v>6.79336450609902E-2</v>
      </c>
    </row>
    <row r="68" spans="1:33">
      <c r="A68" s="75" t="s">
        <v>2</v>
      </c>
      <c r="B68" s="17" t="s">
        <v>19</v>
      </c>
      <c r="C68" s="1126"/>
      <c r="D68" s="117">
        <f t="shared" si="14"/>
        <v>8.6314140897465683E-3</v>
      </c>
      <c r="E68" s="1126"/>
      <c r="F68" s="166">
        <f t="shared" si="11"/>
        <v>0.10000999999999999</v>
      </c>
      <c r="G68" s="1138"/>
      <c r="H68" s="117">
        <f t="shared" si="15"/>
        <v>-9.1378585910253413E-2</v>
      </c>
      <c r="I68" s="629" t="s">
        <v>87</v>
      </c>
      <c r="J68" s="68">
        <f>('MASTER SHEET -MARATHA SITE'!$F$29/'MARATHA QTY DISTRIBUATION'!$AC$54*'MARATHA QTY DISTRIBUATION'!F55)</f>
        <v>0</v>
      </c>
      <c r="K68" s="15">
        <f>('MASTER SHEET -MARATHA SITE'!$F$29/'MARATHA QTY DISTRIBUATION'!$AC$54*'MARATHA QTY DISTRIBUATION'!G55)</f>
        <v>0</v>
      </c>
      <c r="L68" s="15">
        <f>('MASTER SHEET -MARATHA SITE'!$F$29/'MARATHA QTY DISTRIBUATION'!$AC$54*'MARATHA QTY DISTRIBUATION'!H55)</f>
        <v>0</v>
      </c>
      <c r="M68" s="15">
        <f>('MASTER SHEET -MARATHA SITE'!$F$29/'MARATHA QTY DISTRIBUATION'!$AC$54*'MARATHA QTY DISTRIBUATION'!I55)</f>
        <v>0</v>
      </c>
      <c r="N68" s="15">
        <f>('MASTER SHEET -MARATHA SITE'!$F$29/'MARATHA QTY DISTRIBUATION'!$AC$54*'MARATHA QTY DISTRIBUATION'!J55)</f>
        <v>0</v>
      </c>
      <c r="O68" s="15">
        <f>('MASTER SHEET -MARATHA SITE'!$F$29/'MARATHA QTY DISTRIBUATION'!$AC$54*'MARATHA QTY DISTRIBUATION'!K55)</f>
        <v>0</v>
      </c>
      <c r="P68" s="15">
        <f>('MASTER SHEET -MARATHA SITE'!$F$29/'MARATHA QTY DISTRIBUATION'!$AC$54*'MARATHA QTY DISTRIBUATION'!L55)</f>
        <v>0</v>
      </c>
      <c r="Q68" s="15">
        <f>('MASTER SHEET -MARATHA SITE'!$F$29/'MARATHA QTY DISTRIBUATION'!$AC$54*'MARATHA QTY DISTRIBUATION'!M55)</f>
        <v>0</v>
      </c>
      <c r="R68" s="15">
        <f>('MASTER SHEET -MARATHA SITE'!$F$29/'MARATHA QTY DISTRIBUATION'!$AC$54*'MARATHA QTY DISTRIBUATION'!N55)</f>
        <v>0</v>
      </c>
      <c r="S68" s="15">
        <f>('MASTER SHEET -MARATHA SITE'!$F$29/'MARATHA QTY DISTRIBUATION'!$AC$54*'MARATHA QTY DISTRIBUATION'!O55)</f>
        <v>0</v>
      </c>
      <c r="T68" s="15">
        <f>('MASTER SHEET -MARATHA SITE'!$F$29/'MARATHA QTY DISTRIBUATION'!$AC$54*'MARATHA QTY DISTRIBUATION'!P55)</f>
        <v>0</v>
      </c>
      <c r="U68" s="15">
        <f>('MASTER SHEET -MARATHA SITE'!$F$29/'MARATHA QTY DISTRIBUATION'!$AC$54*'MARATHA QTY DISTRIBUATION'!Q55)</f>
        <v>1.2649486166007903E-3</v>
      </c>
      <c r="V68" s="15">
        <f>('MASTER SHEET -MARATHA SITE'!$F$29/'MARATHA QTY DISTRIBUATION'!$AC$54*'MARATHA QTY DISTRIBUATION'!R55)</f>
        <v>2.534547779586142E-3</v>
      </c>
      <c r="W68" s="15">
        <f>('MASTER SHEET -MARATHA SITE'!$F$29/'MARATHA QTY DISTRIBUATION'!$AC$54*'MARATHA QTY DISTRIBUATION'!S55)</f>
        <v>2.1159986049755866E-3</v>
      </c>
      <c r="X68" s="15">
        <f>('MASTER SHEET -MARATHA SITE'!$F$29/'MARATHA QTY DISTRIBUATION'!$AC$54*'MARATHA QTY DISTRIBUATION'!T55)</f>
        <v>2.9763496861195065E-4</v>
      </c>
      <c r="Y68" s="15">
        <f>('MASTER SHEET -MARATHA SITE'!$F$29/'MARATHA QTY DISTRIBUATION'!$AC$54*'MARATHA QTY DISTRIBUATION'!U55)</f>
        <v>2.4182841199720988E-3</v>
      </c>
      <c r="Z68" s="697">
        <f>('MASTER SHEET -MARATHA SITE'!$F$29/'MARATHA QTY DISTRIBUATION'!$AC$54*'MARATHA QTY DISTRIBUATION'!V55)</f>
        <v>0</v>
      </c>
      <c r="AA68" s="15">
        <f>('MASTER SHEET -MARATHA SITE'!$F$29/'MARATHA QTY DISTRIBUATION'!$AC$54*'MARATHA QTY DISTRIBUATION'!W55)</f>
        <v>0</v>
      </c>
      <c r="AB68" s="15">
        <f>('MASTER SHEET -MARATHA SITE'!$F$29/'MARATHA QTY DISTRIBUATION'!$AC$54*'MARATHA QTY DISTRIBUATION'!X55)</f>
        <v>0</v>
      </c>
      <c r="AC68" s="15">
        <f>('MASTER SHEET -MARATHA SITE'!$F$29/'MARATHA QTY DISTRIBUATION'!$AC$54*'MARATHA QTY DISTRIBUATION'!Y55)</f>
        <v>0</v>
      </c>
      <c r="AD68" s="15">
        <f>('MASTER SHEET -MARATHA SITE'!$F$29/'MARATHA QTY DISTRIBUATION'!$AC$54*'MARATHA QTY DISTRIBUATION'!Z55)</f>
        <v>0</v>
      </c>
      <c r="AE68" s="15">
        <f>('MASTER SHEET -MARATHA SITE'!$F$29/'MARATHA QTY DISTRIBUATION'!$AC$54*'MARATHA QTY DISTRIBUATION'!AA55)</f>
        <v>0</v>
      </c>
      <c r="AF68" s="69">
        <f>('MASTER SHEET -MARATHA SITE'!$F$29/'MARATHA QTY DISTRIBUATION'!$AC$54*'MARATHA QTY DISTRIBUATION'!AB55)</f>
        <v>0</v>
      </c>
      <c r="AG68" s="560">
        <f t="shared" si="1"/>
        <v>9.1378585910253413E-2</v>
      </c>
    </row>
    <row r="69" spans="1:33">
      <c r="A69" s="75" t="s">
        <v>2</v>
      </c>
      <c r="B69" s="17" t="s">
        <v>19</v>
      </c>
      <c r="C69" s="1126"/>
      <c r="D69" s="117">
        <f t="shared" si="14"/>
        <v>0</v>
      </c>
      <c r="E69" s="1126"/>
      <c r="F69" s="166">
        <f t="shared" si="11"/>
        <v>0.04</v>
      </c>
      <c r="G69" s="1138"/>
      <c r="H69" s="117">
        <f t="shared" si="15"/>
        <v>-0.04</v>
      </c>
      <c r="I69" s="629" t="s">
        <v>88</v>
      </c>
      <c r="J69" s="68">
        <f>('MASTER SHEET -MARATHA SITE'!$F$30/'MARATHA QTY DISTRIBUATION'!$AC$59*'MARATHA QTY DISTRIBUATION'!F60)</f>
        <v>0</v>
      </c>
      <c r="K69" s="15">
        <f>('MASTER SHEET -MARATHA SITE'!$F$30/'MARATHA QTY DISTRIBUATION'!$AC$59*'MARATHA QTY DISTRIBUATION'!G60)</f>
        <v>0</v>
      </c>
      <c r="L69" s="15">
        <f>('MASTER SHEET -MARATHA SITE'!$F$30/'MARATHA QTY DISTRIBUATION'!$AC$84*'MARATHA QTY DISTRIBUATION'!H85)</f>
        <v>0</v>
      </c>
      <c r="M69" s="15">
        <f>('MASTER SHEET -MARATHA SITE'!$F$30/'MARATHA QTY DISTRIBUATION'!$AC$84*'MARATHA QTY DISTRIBUATION'!I85)</f>
        <v>0</v>
      </c>
      <c r="N69" s="15">
        <f>('MASTER SHEET -MARATHA SITE'!$F$30/'MARATHA QTY DISTRIBUATION'!$AC$84*'MARATHA QTY DISTRIBUATION'!J85)</f>
        <v>0</v>
      </c>
      <c r="O69" s="15">
        <f>('MASTER SHEET -MARATHA SITE'!$F$30/'MARATHA QTY DISTRIBUATION'!$AC$84*'MARATHA QTY DISTRIBUATION'!K85)</f>
        <v>0</v>
      </c>
      <c r="P69" s="15">
        <f>('MASTER SHEET -MARATHA SITE'!$F$30/'MARATHA QTY DISTRIBUATION'!$AC$84*'MARATHA QTY DISTRIBUATION'!L85)</f>
        <v>0</v>
      </c>
      <c r="Q69" s="15">
        <f>('MASTER SHEET -MARATHA SITE'!$F$30/'MARATHA QTY DISTRIBUATION'!$AC$84*'MARATHA QTY DISTRIBUATION'!M85)</f>
        <v>0</v>
      </c>
      <c r="R69" s="15">
        <f>('MASTER SHEET -MARATHA SITE'!$F$30/'MARATHA QTY DISTRIBUATION'!$AC$84*'MARATHA QTY DISTRIBUATION'!N85)</f>
        <v>0</v>
      </c>
      <c r="S69" s="15">
        <f>('MASTER SHEET -MARATHA SITE'!$F$30/'MARATHA QTY DISTRIBUATION'!$AC$84*'MARATHA QTY DISTRIBUATION'!O85)</f>
        <v>0</v>
      </c>
      <c r="T69" s="15">
        <f>('MASTER SHEET -MARATHA SITE'!$F$30/'MARATHA QTY DISTRIBUATION'!$AC$84*'MARATHA QTY DISTRIBUATION'!P85)</f>
        <v>0</v>
      </c>
      <c r="U69" s="15">
        <f>('MASTER SHEET -MARATHA SITE'!$F$30/'MARATHA QTY DISTRIBUATION'!$AC$84*'MARATHA QTY DISTRIBUATION'!Q85)</f>
        <v>0</v>
      </c>
      <c r="V69" s="15">
        <f>('MASTER SHEET -MARATHA SITE'!$F$30/'MARATHA QTY DISTRIBUATION'!$AC$84*'MARATHA QTY DISTRIBUATION'!R85)</f>
        <v>0</v>
      </c>
      <c r="W69" s="15">
        <f>('MASTER SHEET -MARATHA SITE'!$F$30/'MARATHA QTY DISTRIBUATION'!$AC$84*'MARATHA QTY DISTRIBUATION'!S85)</f>
        <v>0</v>
      </c>
      <c r="X69" s="15">
        <f>('MASTER SHEET -MARATHA SITE'!$F$30/'MARATHA QTY DISTRIBUATION'!$AC$84*'MARATHA QTY DISTRIBUATION'!T85)</f>
        <v>0</v>
      </c>
      <c r="Y69" s="15">
        <f>('MASTER SHEET -MARATHA SITE'!$F$30/'MARATHA QTY DISTRIBUATION'!$AC$84*'MARATHA QTY DISTRIBUATION'!U85)</f>
        <v>0</v>
      </c>
      <c r="Z69" s="697">
        <f>('MASTER SHEET -MARATHA SITE'!$F$30/'MARATHA QTY DISTRIBUATION'!$AC$84*'MARATHA QTY DISTRIBUATION'!V85)</f>
        <v>0</v>
      </c>
      <c r="AA69" s="15">
        <f>('MASTER SHEET -MARATHA SITE'!$F$30/'MARATHA QTY DISTRIBUATION'!$AC$84*'MARATHA QTY DISTRIBUATION'!W85)</f>
        <v>0</v>
      </c>
      <c r="AB69" s="15">
        <f>('MASTER SHEET -MARATHA SITE'!$F$30/'MARATHA QTY DISTRIBUATION'!$AC$84*'MARATHA QTY DISTRIBUATION'!X85)</f>
        <v>0</v>
      </c>
      <c r="AC69" s="15">
        <f>('MASTER SHEET -MARATHA SITE'!$F$30/'MARATHA QTY DISTRIBUATION'!$AC$84*'MARATHA QTY DISTRIBUATION'!Y85)</f>
        <v>0</v>
      </c>
      <c r="AD69" s="15">
        <f>('MASTER SHEET -MARATHA SITE'!$F$30/'MARATHA QTY DISTRIBUATION'!$AC$84*'MARATHA QTY DISTRIBUATION'!Z85)</f>
        <v>0</v>
      </c>
      <c r="AE69" s="15">
        <f>('MASTER SHEET -MARATHA SITE'!$F$30/'MARATHA QTY DISTRIBUATION'!$AC$84*'MARATHA QTY DISTRIBUATION'!AA85)</f>
        <v>0</v>
      </c>
      <c r="AF69" s="69">
        <f>('MASTER SHEET -MARATHA SITE'!$F$30/'MARATHA QTY DISTRIBUATION'!$AC$84*'MARATHA QTY DISTRIBUATION'!AB85)</f>
        <v>0</v>
      </c>
      <c r="AG69" s="560">
        <f>F69-SUM(J69:AF69)</f>
        <v>0.04</v>
      </c>
    </row>
    <row r="70" spans="1:33">
      <c r="A70" s="75" t="s">
        <v>2</v>
      </c>
      <c r="B70" s="17" t="s">
        <v>19</v>
      </c>
      <c r="C70" s="1126"/>
      <c r="D70" s="117">
        <f t="shared" si="14"/>
        <v>0</v>
      </c>
      <c r="E70" s="1126"/>
      <c r="F70" s="166">
        <f t="shared" si="11"/>
        <v>0.01</v>
      </c>
      <c r="G70" s="1138"/>
      <c r="H70" s="117">
        <f t="shared" si="15"/>
        <v>-0.01</v>
      </c>
      <c r="I70" s="629" t="s">
        <v>89</v>
      </c>
      <c r="J70" s="68">
        <f>('MASTER SHEET -MARATHA SITE'!$F$31/'MARATHA QTY DISTRIBUATION'!$AC$89*'MARATHA QTY DISTRIBUATION'!F90)</f>
        <v>0</v>
      </c>
      <c r="K70" s="15">
        <f>('MASTER SHEET -MARATHA SITE'!$F$31/'MARATHA QTY DISTRIBUATION'!$AC$89*'MARATHA QTY DISTRIBUATION'!G90)</f>
        <v>0</v>
      </c>
      <c r="L70" s="15">
        <f>('MASTER SHEET -MARATHA SITE'!$F$31/'MARATHA QTY DISTRIBUATION'!$AC$59*'MARATHA QTY DISTRIBUATION'!H60)</f>
        <v>0</v>
      </c>
      <c r="M70" s="15">
        <f>('MASTER SHEET -MARATHA SITE'!$F$31/'MARATHA QTY DISTRIBUATION'!$AC$59*'MARATHA QTY DISTRIBUATION'!I60)</f>
        <v>0</v>
      </c>
      <c r="N70" s="15">
        <f>('MASTER SHEET -MARATHA SITE'!$F$31/'MARATHA QTY DISTRIBUATION'!$AC$59*'MARATHA QTY DISTRIBUATION'!J60)</f>
        <v>0</v>
      </c>
      <c r="O70" s="15">
        <f>('MASTER SHEET -MARATHA SITE'!$F$31/'MARATHA QTY DISTRIBUATION'!$AC$59*'MARATHA QTY DISTRIBUATION'!K60)</f>
        <v>0</v>
      </c>
      <c r="P70" s="15">
        <f>('MASTER SHEET -MARATHA SITE'!$F$31/'MARATHA QTY DISTRIBUATION'!$AC$59*'MARATHA QTY DISTRIBUATION'!L60)</f>
        <v>0</v>
      </c>
      <c r="Q70" s="15">
        <f>('MASTER SHEET -MARATHA SITE'!$F$31/'MARATHA QTY DISTRIBUATION'!$AC$59*'MARATHA QTY DISTRIBUATION'!M60)</f>
        <v>0</v>
      </c>
      <c r="R70" s="15">
        <f>('MASTER SHEET -MARATHA SITE'!$F$31/'MARATHA QTY DISTRIBUATION'!$AC$59*'MARATHA QTY DISTRIBUATION'!N60)</f>
        <v>0</v>
      </c>
      <c r="S70" s="15">
        <f>('MASTER SHEET -MARATHA SITE'!$F$31/'MARATHA QTY DISTRIBUATION'!$AC$59*'MARATHA QTY DISTRIBUATION'!O60)</f>
        <v>0</v>
      </c>
      <c r="T70" s="15">
        <f>('MASTER SHEET -MARATHA SITE'!$F$31/'MARATHA QTY DISTRIBUATION'!$AC$59*'MARATHA QTY DISTRIBUATION'!P60)</f>
        <v>0</v>
      </c>
      <c r="U70" s="15">
        <f>('MASTER SHEET -MARATHA SITE'!$F$31/'MARATHA QTY DISTRIBUATION'!$AC$59*'MARATHA QTY DISTRIBUATION'!Q60)</f>
        <v>0</v>
      </c>
      <c r="V70" s="15">
        <f>('MASTER SHEET -MARATHA SITE'!$F$31/'MARATHA QTY DISTRIBUATION'!$AC$59*'MARATHA QTY DISTRIBUATION'!R60)</f>
        <v>0</v>
      </c>
      <c r="W70" s="15">
        <f>('MASTER SHEET -MARATHA SITE'!$F$31/'MARATHA QTY DISTRIBUATION'!$AC$59*'MARATHA QTY DISTRIBUATION'!S60)</f>
        <v>0</v>
      </c>
      <c r="X70" s="15">
        <f>('MASTER SHEET -MARATHA SITE'!$F$31/'MARATHA QTY DISTRIBUATION'!$AC$59*'MARATHA QTY DISTRIBUATION'!T60)</f>
        <v>0</v>
      </c>
      <c r="Y70" s="15">
        <f>('MASTER SHEET -MARATHA SITE'!$F$31/'MARATHA QTY DISTRIBUATION'!$AC$59*'MARATHA QTY DISTRIBUATION'!U60)</f>
        <v>0</v>
      </c>
      <c r="Z70" s="697">
        <f>('MASTER SHEET -MARATHA SITE'!$F$31/'MARATHA QTY DISTRIBUATION'!$AC$59*'MARATHA QTY DISTRIBUATION'!V60)</f>
        <v>0</v>
      </c>
      <c r="AA70" s="15">
        <f>('MASTER SHEET -MARATHA SITE'!$F$31/'MARATHA QTY DISTRIBUATION'!$AC$59*'MARATHA QTY DISTRIBUATION'!W60)</f>
        <v>0</v>
      </c>
      <c r="AB70" s="15">
        <f>('MASTER SHEET -MARATHA SITE'!$F$31/'MARATHA QTY DISTRIBUATION'!$AC$59*'MARATHA QTY DISTRIBUATION'!X60)</f>
        <v>0</v>
      </c>
      <c r="AC70" s="15">
        <f>('MASTER SHEET -MARATHA SITE'!$F$31/'MARATHA QTY DISTRIBUATION'!$AC$59*'MARATHA QTY DISTRIBUATION'!Y60)</f>
        <v>0</v>
      </c>
      <c r="AD70" s="15">
        <f>('MASTER SHEET -MARATHA SITE'!$F$31/'MARATHA QTY DISTRIBUATION'!$AC$59*'MARATHA QTY DISTRIBUATION'!Z60)</f>
        <v>0</v>
      </c>
      <c r="AE70" s="15">
        <f>('MASTER SHEET -MARATHA SITE'!$F$31/'MARATHA QTY DISTRIBUATION'!$AC$59*'MARATHA QTY DISTRIBUATION'!AA60)</f>
        <v>0</v>
      </c>
      <c r="AF70" s="69">
        <f>('MASTER SHEET -MARATHA SITE'!$F$31/'MARATHA QTY DISTRIBUATION'!$AC$59*'MARATHA QTY DISTRIBUATION'!AB60)</f>
        <v>0</v>
      </c>
      <c r="AG70" s="560">
        <f>F70-SUM(J70:AF70)</f>
        <v>0.01</v>
      </c>
    </row>
    <row r="71" spans="1:33">
      <c r="A71" s="78" t="s">
        <v>2</v>
      </c>
      <c r="B71" s="20" t="s">
        <v>19</v>
      </c>
      <c r="C71" s="1126"/>
      <c r="D71" s="117">
        <f t="shared" si="14"/>
        <v>0</v>
      </c>
      <c r="E71" s="1126"/>
      <c r="F71" s="166">
        <f t="shared" si="11"/>
        <v>0</v>
      </c>
      <c r="G71" s="1138"/>
      <c r="H71" s="119">
        <f t="shared" si="15"/>
        <v>0</v>
      </c>
      <c r="I71" s="643" t="s">
        <v>23</v>
      </c>
      <c r="J71" s="270"/>
      <c r="K71" s="271"/>
      <c r="L71" s="271"/>
      <c r="M71" s="271"/>
      <c r="N71" s="271"/>
      <c r="O71" s="271"/>
      <c r="P71" s="271"/>
      <c r="Q71" s="271"/>
      <c r="R71" s="271"/>
      <c r="S71" s="271"/>
      <c r="T71" s="271"/>
      <c r="U71" s="271"/>
      <c r="V71" s="271"/>
      <c r="W71" s="271"/>
      <c r="X71" s="271"/>
      <c r="Y71" s="271"/>
      <c r="Z71" s="807"/>
      <c r="AA71" s="271"/>
      <c r="AB71" s="271"/>
      <c r="AC71" s="271"/>
      <c r="AD71" s="271"/>
      <c r="AE71" s="271"/>
      <c r="AF71" s="272"/>
    </row>
    <row r="72" spans="1:33">
      <c r="A72" s="78" t="s">
        <v>2</v>
      </c>
      <c r="B72" s="20" t="s">
        <v>19</v>
      </c>
      <c r="C72" s="1126"/>
      <c r="D72" s="117">
        <f t="shared" si="14"/>
        <v>0</v>
      </c>
      <c r="E72" s="1126"/>
      <c r="F72" s="166">
        <f t="shared" si="11"/>
        <v>0</v>
      </c>
      <c r="G72" s="1138"/>
      <c r="H72" s="119">
        <f t="shared" si="15"/>
        <v>0</v>
      </c>
      <c r="I72" s="643" t="s">
        <v>23</v>
      </c>
      <c r="J72" s="270"/>
      <c r="K72" s="271"/>
      <c r="L72" s="271"/>
      <c r="M72" s="271"/>
      <c r="N72" s="271"/>
      <c r="O72" s="271"/>
      <c r="P72" s="271"/>
      <c r="Q72" s="271"/>
      <c r="R72" s="271"/>
      <c r="S72" s="271"/>
      <c r="T72" s="271"/>
      <c r="U72" s="271"/>
      <c r="V72" s="271"/>
      <c r="W72" s="271"/>
      <c r="X72" s="271"/>
      <c r="Y72" s="271"/>
      <c r="Z72" s="807"/>
      <c r="AA72" s="271"/>
      <c r="AB72" s="271"/>
      <c r="AC72" s="271"/>
      <c r="AD72" s="271"/>
      <c r="AE72" s="271"/>
      <c r="AF72" s="272"/>
    </row>
    <row r="73" spans="1:33" ht="15" thickBot="1">
      <c r="A73" s="240" t="s">
        <v>2</v>
      </c>
      <c r="B73" s="241" t="s">
        <v>19</v>
      </c>
      <c r="C73" s="1127"/>
      <c r="D73" s="184">
        <f t="shared" si="14"/>
        <v>0</v>
      </c>
      <c r="E73" s="1127"/>
      <c r="F73" s="225">
        <f t="shared" si="11"/>
        <v>0</v>
      </c>
      <c r="G73" s="1139"/>
      <c r="H73" s="206">
        <f t="shared" si="15"/>
        <v>0</v>
      </c>
      <c r="I73" s="641" t="s">
        <v>24</v>
      </c>
      <c r="J73" s="273"/>
      <c r="K73" s="274"/>
      <c r="L73" s="274"/>
      <c r="M73" s="274"/>
      <c r="N73" s="274"/>
      <c r="O73" s="274"/>
      <c r="P73" s="274"/>
      <c r="Q73" s="274"/>
      <c r="R73" s="274"/>
      <c r="S73" s="274"/>
      <c r="T73" s="274"/>
      <c r="U73" s="274"/>
      <c r="V73" s="274"/>
      <c r="W73" s="274"/>
      <c r="X73" s="274"/>
      <c r="Y73" s="274"/>
      <c r="Z73" s="808"/>
      <c r="AA73" s="274"/>
      <c r="AB73" s="274"/>
      <c r="AC73" s="274"/>
      <c r="AD73" s="274"/>
      <c r="AE73" s="274"/>
      <c r="AF73" s="275"/>
    </row>
    <row r="74" spans="1:33">
      <c r="A74" s="220" t="s">
        <v>2</v>
      </c>
      <c r="B74" s="221" t="s">
        <v>25</v>
      </c>
      <c r="C74" s="1135">
        <f>SUM(D74:D77)</f>
        <v>0</v>
      </c>
      <c r="D74" s="179">
        <f t="shared" si="14"/>
        <v>0</v>
      </c>
      <c r="E74" s="1135">
        <f>SUM(F74:F77)</f>
        <v>0.05</v>
      </c>
      <c r="F74" s="222">
        <f t="shared" si="11"/>
        <v>0.02</v>
      </c>
      <c r="G74" s="1135">
        <f>C74-E74</f>
        <v>-0.05</v>
      </c>
      <c r="H74" s="179">
        <f>C74-E74</f>
        <v>-0.05</v>
      </c>
      <c r="I74" s="639" t="s">
        <v>26</v>
      </c>
      <c r="J74" s="276"/>
      <c r="K74" s="277"/>
      <c r="L74" s="277"/>
      <c r="M74" s="277"/>
      <c r="N74" s="277"/>
      <c r="O74" s="277"/>
      <c r="P74" s="277"/>
      <c r="Q74" s="277"/>
      <c r="R74" s="277"/>
      <c r="S74" s="277"/>
      <c r="T74" s="277"/>
      <c r="U74" s="277"/>
      <c r="V74" s="277"/>
      <c r="W74" s="277"/>
      <c r="X74" s="277"/>
      <c r="Y74" s="277"/>
      <c r="Z74" s="809"/>
      <c r="AA74" s="277"/>
      <c r="AB74" s="277"/>
      <c r="AC74" s="209"/>
      <c r="AD74" s="209"/>
      <c r="AE74" s="209"/>
      <c r="AF74" s="210"/>
    </row>
    <row r="75" spans="1:33">
      <c r="A75" s="74" t="s">
        <v>2</v>
      </c>
      <c r="B75" s="18" t="s">
        <v>25</v>
      </c>
      <c r="C75" s="1136"/>
      <c r="D75" s="115">
        <f t="shared" si="14"/>
        <v>0</v>
      </c>
      <c r="E75" s="1136"/>
      <c r="F75" s="166">
        <f t="shared" si="11"/>
        <v>0.01</v>
      </c>
      <c r="G75" s="1145"/>
      <c r="H75" s="115">
        <f>C75-E75</f>
        <v>0</v>
      </c>
      <c r="I75" s="640" t="s">
        <v>27</v>
      </c>
      <c r="J75" s="278"/>
      <c r="K75" s="279"/>
      <c r="L75" s="279"/>
      <c r="M75" s="279"/>
      <c r="N75" s="279"/>
      <c r="O75" s="279"/>
      <c r="P75" s="279"/>
      <c r="Q75" s="279"/>
      <c r="R75" s="279"/>
      <c r="S75" s="279"/>
      <c r="T75" s="279"/>
      <c r="U75" s="279"/>
      <c r="V75" s="279"/>
      <c r="W75" s="279"/>
      <c r="X75" s="279"/>
      <c r="Y75" s="279"/>
      <c r="Z75" s="810"/>
      <c r="AA75" s="279"/>
      <c r="AB75" s="279"/>
      <c r="AC75" s="84"/>
      <c r="AD75" s="84"/>
      <c r="AE75" s="84"/>
      <c r="AF75" s="89"/>
    </row>
    <row r="76" spans="1:33">
      <c r="A76" s="74" t="s">
        <v>2</v>
      </c>
      <c r="B76" s="18" t="s">
        <v>25</v>
      </c>
      <c r="C76" s="1136"/>
      <c r="D76" s="115">
        <f t="shared" si="14"/>
        <v>0</v>
      </c>
      <c r="E76" s="1136"/>
      <c r="F76" s="166">
        <f t="shared" si="11"/>
        <v>0.01</v>
      </c>
      <c r="G76" s="1145"/>
      <c r="H76" s="115">
        <f>C76-E76</f>
        <v>0</v>
      </c>
      <c r="I76" s="640" t="s">
        <v>28</v>
      </c>
      <c r="J76" s="278"/>
      <c r="K76" s="279"/>
      <c r="L76" s="279"/>
      <c r="M76" s="279"/>
      <c r="N76" s="279"/>
      <c r="O76" s="279"/>
      <c r="P76" s="279"/>
      <c r="Q76" s="279"/>
      <c r="R76" s="279"/>
      <c r="S76" s="279"/>
      <c r="T76" s="279"/>
      <c r="U76" s="279"/>
      <c r="V76" s="279"/>
      <c r="W76" s="279"/>
      <c r="X76" s="279"/>
      <c r="Y76" s="279"/>
      <c r="Z76" s="810"/>
      <c r="AA76" s="279"/>
      <c r="AB76" s="279"/>
      <c r="AC76" s="84"/>
      <c r="AD76" s="84"/>
      <c r="AE76" s="84"/>
      <c r="AF76" s="89"/>
    </row>
    <row r="77" spans="1:33" ht="15" thickBot="1">
      <c r="A77" s="223" t="s">
        <v>2</v>
      </c>
      <c r="B77" s="224" t="s">
        <v>25</v>
      </c>
      <c r="C77" s="1137"/>
      <c r="D77" s="183">
        <f t="shared" si="14"/>
        <v>0</v>
      </c>
      <c r="E77" s="1137"/>
      <c r="F77" s="225">
        <f t="shared" si="11"/>
        <v>0.01</v>
      </c>
      <c r="G77" s="1146"/>
      <c r="H77" s="183">
        <f>C77-E77</f>
        <v>0</v>
      </c>
      <c r="I77" s="644" t="s">
        <v>29</v>
      </c>
      <c r="J77" s="280"/>
      <c r="K77" s="281"/>
      <c r="L77" s="281"/>
      <c r="M77" s="281"/>
      <c r="N77" s="281"/>
      <c r="O77" s="281"/>
      <c r="P77" s="281"/>
      <c r="Q77" s="281"/>
      <c r="R77" s="281"/>
      <c r="S77" s="281"/>
      <c r="T77" s="281"/>
      <c r="U77" s="281"/>
      <c r="V77" s="281"/>
      <c r="W77" s="281"/>
      <c r="X77" s="281"/>
      <c r="Y77" s="281"/>
      <c r="Z77" s="811"/>
      <c r="AA77" s="281"/>
      <c r="AB77" s="281"/>
      <c r="AC77" s="213"/>
      <c r="AD77" s="213"/>
      <c r="AE77" s="213"/>
      <c r="AF77" s="214"/>
    </row>
    <row r="78" spans="1:33">
      <c r="A78" s="242">
        <v>3</v>
      </c>
      <c r="B78" s="243" t="s">
        <v>32</v>
      </c>
      <c r="C78" s="216"/>
      <c r="D78" s="170"/>
      <c r="E78" s="216"/>
      <c r="F78" s="170"/>
      <c r="G78" s="170"/>
      <c r="H78" s="170"/>
      <c r="I78" s="648"/>
      <c r="J78" s="282">
        <f>SUM(J41:J77)</f>
        <v>0</v>
      </c>
      <c r="K78" s="282">
        <f t="shared" ref="K78:AF78" si="16">SUM(K41:K77)</f>
        <v>0</v>
      </c>
      <c r="L78" s="282">
        <f t="shared" si="16"/>
        <v>2.5040883804600796E-2</v>
      </c>
      <c r="M78" s="282">
        <f t="shared" si="16"/>
        <v>2.4701452741700217E-2</v>
      </c>
      <c r="N78" s="282">
        <f t="shared" si="16"/>
        <v>1.7367473381768753E-2</v>
      </c>
      <c r="O78" s="282">
        <f t="shared" si="16"/>
        <v>1.908463596551202E-2</v>
      </c>
      <c r="P78" s="282">
        <f t="shared" si="16"/>
        <v>3.8917411928854576E-2</v>
      </c>
      <c r="Q78" s="282">
        <f t="shared" si="16"/>
        <v>2.1079768688354702E-2</v>
      </c>
      <c r="R78" s="282">
        <f t="shared" si="16"/>
        <v>5.1206881598986009E-2</v>
      </c>
      <c r="S78" s="282">
        <f t="shared" si="16"/>
        <v>3.111328240220922E-2</v>
      </c>
      <c r="T78" s="282">
        <f t="shared" si="16"/>
        <v>3.911336552157086E-2</v>
      </c>
      <c r="U78" s="401">
        <f t="shared" si="16"/>
        <v>3.4873576820781974E-2</v>
      </c>
      <c r="V78" s="401">
        <f t="shared" si="16"/>
        <v>3.6847837002963256E-2</v>
      </c>
      <c r="W78" s="687">
        <f t="shared" si="16"/>
        <v>4.7516456029609633E-2</v>
      </c>
      <c r="X78" s="687">
        <f t="shared" si="16"/>
        <v>2.1843205655812891E-2</v>
      </c>
      <c r="Y78" s="687">
        <f t="shared" si="16"/>
        <v>3.5143756877885096E-2</v>
      </c>
      <c r="Z78" s="656">
        <f t="shared" si="16"/>
        <v>3.8751148105625711E-4</v>
      </c>
      <c r="AA78" s="282">
        <f t="shared" si="16"/>
        <v>0</v>
      </c>
      <c r="AB78" s="282">
        <f t="shared" si="16"/>
        <v>0</v>
      </c>
      <c r="AC78" s="282">
        <f t="shared" si="16"/>
        <v>0</v>
      </c>
      <c r="AD78" s="282">
        <f t="shared" si="16"/>
        <v>0</v>
      </c>
      <c r="AE78" s="282">
        <f t="shared" si="16"/>
        <v>0</v>
      </c>
      <c r="AF78" s="656">
        <f t="shared" si="16"/>
        <v>0</v>
      </c>
    </row>
    <row r="79" spans="1:33" ht="15" thickBot="1">
      <c r="A79" s="244">
        <v>4</v>
      </c>
      <c r="B79" s="245" t="s">
        <v>33</v>
      </c>
      <c r="C79" s="218"/>
      <c r="D79" s="172"/>
      <c r="E79" s="218"/>
      <c r="F79" s="172"/>
      <c r="G79" s="172"/>
      <c r="H79" s="172"/>
      <c r="I79" s="649"/>
      <c r="J79" s="289">
        <f>J78</f>
        <v>0</v>
      </c>
      <c r="K79" s="290">
        <f>K78+J79</f>
        <v>0</v>
      </c>
      <c r="L79" s="290">
        <f t="shared" ref="L79:AF79" si="17">L78+K79</f>
        <v>2.5040883804600796E-2</v>
      </c>
      <c r="M79" s="290">
        <f t="shared" si="17"/>
        <v>4.9742336546301016E-2</v>
      </c>
      <c r="N79" s="290">
        <f t="shared" si="17"/>
        <v>6.7109809928069766E-2</v>
      </c>
      <c r="O79" s="290">
        <f t="shared" si="17"/>
        <v>8.6194445893581786E-2</v>
      </c>
      <c r="P79" s="290">
        <f t="shared" si="17"/>
        <v>0.12511185782243636</v>
      </c>
      <c r="Q79" s="290">
        <f t="shared" si="17"/>
        <v>0.14619162651079107</v>
      </c>
      <c r="R79" s="290">
        <f t="shared" si="17"/>
        <v>0.19739850810977708</v>
      </c>
      <c r="S79" s="290">
        <f t="shared" si="17"/>
        <v>0.22851179051198631</v>
      </c>
      <c r="T79" s="290">
        <f t="shared" si="17"/>
        <v>0.26762515603355719</v>
      </c>
      <c r="U79" s="403">
        <f t="shared" si="17"/>
        <v>0.30249873285433915</v>
      </c>
      <c r="V79" s="403">
        <f t="shared" si="17"/>
        <v>0.33934656985730238</v>
      </c>
      <c r="W79" s="690">
        <f t="shared" si="17"/>
        <v>0.38686302588691202</v>
      </c>
      <c r="X79" s="690">
        <f t="shared" si="17"/>
        <v>0.4087062315427249</v>
      </c>
      <c r="Y79" s="690">
        <f t="shared" si="17"/>
        <v>0.44384998842060996</v>
      </c>
      <c r="Z79" s="704">
        <f t="shared" si="17"/>
        <v>0.44423749990166622</v>
      </c>
      <c r="AA79" s="290">
        <f t="shared" si="17"/>
        <v>0.44423749990166622</v>
      </c>
      <c r="AB79" s="290">
        <f t="shared" si="17"/>
        <v>0.44423749990166622</v>
      </c>
      <c r="AC79" s="290">
        <f t="shared" si="17"/>
        <v>0.44423749990166622</v>
      </c>
      <c r="AD79" s="290">
        <f t="shared" si="17"/>
        <v>0.44423749990166622</v>
      </c>
      <c r="AE79" s="290">
        <f t="shared" si="17"/>
        <v>0.44423749990166622</v>
      </c>
      <c r="AF79" s="658">
        <f t="shared" si="17"/>
        <v>0.44423749990166622</v>
      </c>
    </row>
    <row r="80" spans="1:33">
      <c r="A80" s="246">
        <v>5</v>
      </c>
      <c r="B80" s="247" t="s">
        <v>34</v>
      </c>
      <c r="C80" s="248"/>
      <c r="D80" s="249"/>
      <c r="E80" s="248"/>
      <c r="F80" s="249"/>
      <c r="G80" s="249"/>
      <c r="H80" s="249"/>
      <c r="I80" s="650"/>
      <c r="J80" s="291"/>
      <c r="K80" s="292"/>
      <c r="L80" s="293"/>
      <c r="M80" s="293"/>
      <c r="N80" s="293"/>
      <c r="O80" s="293"/>
      <c r="P80" s="293"/>
      <c r="Q80" s="293"/>
      <c r="R80" s="293"/>
      <c r="S80" s="293"/>
      <c r="T80" s="293"/>
      <c r="U80" s="294"/>
      <c r="V80" s="294"/>
      <c r="W80" s="295"/>
      <c r="X80" s="295"/>
      <c r="Y80" s="295">
        <f t="shared" ref="Y80:AF80" si="18">Y87</f>
        <v>0</v>
      </c>
      <c r="Z80" s="812">
        <f t="shared" si="18"/>
        <v>0</v>
      </c>
      <c r="AA80" s="293">
        <f t="shared" si="18"/>
        <v>0</v>
      </c>
      <c r="AB80" s="293">
        <f t="shared" si="18"/>
        <v>0</v>
      </c>
      <c r="AC80" s="294">
        <f t="shared" si="18"/>
        <v>0</v>
      </c>
      <c r="AD80" s="295">
        <f t="shared" si="18"/>
        <v>0</v>
      </c>
      <c r="AE80" s="295">
        <f t="shared" si="18"/>
        <v>0</v>
      </c>
      <c r="AF80" s="296">
        <f t="shared" si="18"/>
        <v>0</v>
      </c>
    </row>
    <row r="81" spans="1:37">
      <c r="A81" s="80">
        <v>6</v>
      </c>
      <c r="B81" s="3" t="s">
        <v>35</v>
      </c>
      <c r="C81" s="4"/>
      <c r="D81" s="1"/>
      <c r="E81" s="4"/>
      <c r="F81" s="1"/>
      <c r="G81" s="1"/>
      <c r="H81" s="1"/>
      <c r="I81" s="651"/>
      <c r="J81" s="297"/>
      <c r="K81" s="298"/>
      <c r="L81" s="577"/>
      <c r="M81" s="577"/>
      <c r="N81" s="577"/>
      <c r="O81" s="577"/>
      <c r="P81" s="577"/>
      <c r="Q81" s="577"/>
      <c r="R81" s="577"/>
      <c r="S81" s="577"/>
      <c r="T81" s="577"/>
      <c r="U81" s="299"/>
      <c r="V81" s="299"/>
      <c r="W81" s="691"/>
      <c r="X81" s="691"/>
      <c r="Y81" s="691">
        <f>Y80+X81</f>
        <v>0</v>
      </c>
      <c r="Z81" s="813">
        <f t="shared" ref="Z81:AD81" si="19">Z80+Y81</f>
        <v>0</v>
      </c>
      <c r="AA81" s="577">
        <f t="shared" si="19"/>
        <v>0</v>
      </c>
      <c r="AB81" s="577">
        <f t="shared" si="19"/>
        <v>0</v>
      </c>
      <c r="AC81" s="299">
        <f t="shared" si="19"/>
        <v>0</v>
      </c>
      <c r="AD81" s="300">
        <f t="shared" si="19"/>
        <v>0</v>
      </c>
      <c r="AE81" s="300">
        <f>AE80+AD81</f>
        <v>0</v>
      </c>
      <c r="AF81" s="301">
        <f>AF80+AE81</f>
        <v>0</v>
      </c>
    </row>
    <row r="82" spans="1:37" ht="15" thickBot="1">
      <c r="A82" s="81"/>
      <c r="B82" s="82" t="s">
        <v>36</v>
      </c>
      <c r="C82" s="82"/>
      <c r="D82" s="83"/>
      <c r="E82" s="82"/>
      <c r="F82" s="83"/>
      <c r="G82" s="83"/>
      <c r="H82" s="83"/>
      <c r="I82" s="652"/>
      <c r="J82" s="302"/>
      <c r="K82" s="303"/>
      <c r="L82" s="304"/>
      <c r="M82" s="304"/>
      <c r="N82" s="304"/>
      <c r="O82" s="304"/>
      <c r="P82" s="304"/>
      <c r="Q82" s="304"/>
      <c r="R82" s="304"/>
      <c r="S82" s="304"/>
      <c r="T82" s="304"/>
      <c r="U82" s="305"/>
      <c r="V82" s="305"/>
      <c r="W82" s="306"/>
      <c r="X82" s="306"/>
      <c r="Y82" s="306"/>
      <c r="Z82" s="814"/>
      <c r="AA82" s="304"/>
      <c r="AB82" s="304"/>
      <c r="AC82" s="305"/>
      <c r="AD82" s="306"/>
      <c r="AE82" s="307"/>
      <c r="AF82" s="308"/>
    </row>
    <row r="83" spans="1:37">
      <c r="E83" s="10"/>
      <c r="J83" s="34"/>
      <c r="K83" s="139"/>
      <c r="L83" s="659"/>
      <c r="M83" s="659"/>
      <c r="N83" s="659"/>
      <c r="O83" s="659"/>
      <c r="P83" s="659"/>
      <c r="Q83" s="659"/>
      <c r="R83" s="659"/>
      <c r="S83" s="659"/>
      <c r="T83" s="659"/>
      <c r="U83" s="659"/>
      <c r="V83" s="659"/>
      <c r="W83" s="858"/>
      <c r="X83" s="858"/>
      <c r="Y83" s="858">
        <f t="shared" ref="Y83:AF83" si="20">100/21*Y84</f>
        <v>66.666666666666671</v>
      </c>
      <c r="Z83" s="705">
        <f t="shared" si="20"/>
        <v>71.428571428571431</v>
      </c>
      <c r="AA83" s="659">
        <f t="shared" si="20"/>
        <v>76.19047619047619</v>
      </c>
      <c r="AB83" s="659">
        <f t="shared" si="20"/>
        <v>80.952380952380949</v>
      </c>
      <c r="AC83" s="659">
        <f t="shared" si="20"/>
        <v>85.714285714285708</v>
      </c>
      <c r="AD83" s="659">
        <f t="shared" si="20"/>
        <v>90.476190476190482</v>
      </c>
      <c r="AE83" s="659">
        <f t="shared" si="20"/>
        <v>95.238095238095241</v>
      </c>
      <c r="AF83" s="660">
        <f t="shared" si="20"/>
        <v>100</v>
      </c>
    </row>
    <row r="84" spans="1:37">
      <c r="E84" s="10"/>
      <c r="J84" s="34"/>
      <c r="K84" s="139"/>
      <c r="L84" s="661"/>
      <c r="M84" s="661"/>
      <c r="N84" s="661"/>
      <c r="O84" s="661"/>
      <c r="P84" s="661"/>
      <c r="Q84" s="661"/>
      <c r="R84" s="661"/>
      <c r="S84" s="661"/>
      <c r="T84" s="661"/>
      <c r="U84" s="661"/>
      <c r="V84" s="661"/>
      <c r="W84" s="859"/>
      <c r="X84" s="859"/>
      <c r="Y84" s="859">
        <v>14</v>
      </c>
      <c r="Z84" s="706">
        <v>15</v>
      </c>
      <c r="AA84" s="661">
        <v>16</v>
      </c>
      <c r="AB84" s="661">
        <v>17</v>
      </c>
      <c r="AC84" s="661">
        <v>18</v>
      </c>
      <c r="AD84" s="661">
        <v>19</v>
      </c>
      <c r="AE84" s="661">
        <v>20</v>
      </c>
      <c r="AF84" s="155">
        <v>21</v>
      </c>
    </row>
    <row r="85" spans="1:37">
      <c r="E85" s="10"/>
      <c r="J85" s="34"/>
      <c r="K85" s="139"/>
      <c r="L85" s="603"/>
      <c r="M85" s="603"/>
      <c r="N85" s="603"/>
      <c r="O85" s="603"/>
      <c r="P85" s="603"/>
      <c r="Q85" s="603"/>
      <c r="R85" s="603"/>
      <c r="S85" s="603"/>
      <c r="T85" s="603"/>
      <c r="U85" s="603"/>
      <c r="V85" s="603"/>
      <c r="W85" s="860"/>
      <c r="X85" s="860"/>
      <c r="Y85" s="860"/>
      <c r="Z85" s="815"/>
      <c r="AA85" s="603"/>
      <c r="AB85" s="603"/>
      <c r="AC85" s="603"/>
      <c r="AD85" s="603"/>
      <c r="AE85" s="603"/>
      <c r="AF85" s="662"/>
    </row>
    <row r="86" spans="1:37">
      <c r="E86" s="10"/>
      <c r="J86" s="34"/>
      <c r="K86" s="139"/>
      <c r="L86" s="603"/>
      <c r="M86" s="603"/>
      <c r="N86" s="603"/>
      <c r="O86" s="603"/>
      <c r="P86" s="603"/>
      <c r="Q86" s="603"/>
      <c r="R86" s="603"/>
      <c r="S86" s="603"/>
      <c r="T86" s="603"/>
      <c r="U86" s="603"/>
      <c r="V86" s="603"/>
      <c r="W86" s="603"/>
      <c r="X86" s="603"/>
      <c r="Y86" s="603"/>
      <c r="Z86" s="815"/>
      <c r="AA86" s="603"/>
      <c r="AB86" s="603"/>
      <c r="AC86" s="603"/>
      <c r="AD86" s="603"/>
      <c r="AE86" s="603"/>
      <c r="AF86" s="662"/>
    </row>
    <row r="87" spans="1:37">
      <c r="E87" s="10"/>
      <c r="J87" s="34"/>
      <c r="K87" s="139"/>
      <c r="L87" s="663"/>
      <c r="M87" s="663"/>
      <c r="N87" s="663"/>
      <c r="O87" s="663"/>
      <c r="P87" s="663"/>
      <c r="Q87" s="663"/>
      <c r="R87" s="663"/>
      <c r="S87" s="663"/>
      <c r="T87" s="663"/>
      <c r="U87" s="663"/>
      <c r="V87" s="663"/>
      <c r="W87" s="663"/>
      <c r="X87" s="663"/>
      <c r="Y87" s="663"/>
      <c r="Z87" s="816"/>
      <c r="AA87" s="603"/>
      <c r="AB87" s="603"/>
      <c r="AC87" s="603"/>
      <c r="AD87" s="603"/>
      <c r="AE87" s="603"/>
      <c r="AF87" s="662"/>
    </row>
    <row r="88" spans="1:37" ht="15" thickBot="1">
      <c r="E88" s="11"/>
      <c r="J88" s="34"/>
      <c r="K88" s="139"/>
      <c r="L88" s="37"/>
      <c r="M88" s="37"/>
      <c r="N88" s="37"/>
      <c r="O88" s="37"/>
      <c r="P88" s="37"/>
      <c r="Q88" s="37"/>
      <c r="R88" s="37"/>
      <c r="S88" s="37"/>
      <c r="T88" s="37"/>
      <c r="U88" s="37"/>
      <c r="V88" s="37"/>
      <c r="W88" s="37"/>
      <c r="X88" s="37"/>
      <c r="Y88" s="37"/>
      <c r="Z88" s="817"/>
      <c r="AA88" s="139"/>
      <c r="AB88" s="139"/>
      <c r="AC88" s="139"/>
      <c r="AD88" s="139"/>
      <c r="AE88" s="139"/>
      <c r="AF88" s="35"/>
    </row>
    <row r="89" spans="1:37" ht="15.5">
      <c r="I89" s="72" t="str">
        <f>B1</f>
        <v>Description</v>
      </c>
      <c r="J89" s="250">
        <f t="shared" ref="J89:AE89" si="21">J1</f>
        <v>45292</v>
      </c>
      <c r="K89" s="250">
        <f t="shared" si="21"/>
        <v>45323</v>
      </c>
      <c r="L89" s="250">
        <f t="shared" si="21"/>
        <v>45352</v>
      </c>
      <c r="M89" s="250">
        <f t="shared" si="21"/>
        <v>45383</v>
      </c>
      <c r="N89" s="250">
        <f t="shared" si="21"/>
        <v>45413</v>
      </c>
      <c r="O89" s="250">
        <f t="shared" si="21"/>
        <v>45444</v>
      </c>
      <c r="P89" s="250">
        <f t="shared" si="21"/>
        <v>45474</v>
      </c>
      <c r="Q89" s="251">
        <f t="shared" si="21"/>
        <v>45505</v>
      </c>
      <c r="R89" s="250">
        <f t="shared" si="21"/>
        <v>45536</v>
      </c>
      <c r="S89" s="250">
        <f t="shared" si="21"/>
        <v>45566</v>
      </c>
      <c r="T89" s="250">
        <f t="shared" si="21"/>
        <v>45597</v>
      </c>
      <c r="U89" s="250">
        <f t="shared" si="21"/>
        <v>45627</v>
      </c>
      <c r="V89" s="250">
        <f t="shared" si="21"/>
        <v>45658</v>
      </c>
      <c r="W89" s="250">
        <f t="shared" si="21"/>
        <v>45689</v>
      </c>
      <c r="X89" s="250">
        <f t="shared" si="21"/>
        <v>45717</v>
      </c>
      <c r="Y89" s="250">
        <f t="shared" si="21"/>
        <v>45748</v>
      </c>
      <c r="Z89" s="864">
        <f t="shared" si="21"/>
        <v>45778</v>
      </c>
      <c r="AA89" s="250">
        <f t="shared" si="21"/>
        <v>45809</v>
      </c>
      <c r="AB89" s="250">
        <f t="shared" si="21"/>
        <v>45839</v>
      </c>
      <c r="AC89" s="250">
        <f t="shared" si="21"/>
        <v>45870</v>
      </c>
      <c r="AD89" s="250">
        <f t="shared" si="21"/>
        <v>45901</v>
      </c>
      <c r="AE89" s="250">
        <f t="shared" si="21"/>
        <v>45931</v>
      </c>
      <c r="AF89" s="250">
        <f>AF1</f>
        <v>45962</v>
      </c>
      <c r="AG89" s="250">
        <f>AG1</f>
        <v>45992</v>
      </c>
      <c r="AH89" s="252">
        <f>AH1</f>
        <v>46023</v>
      </c>
      <c r="AI89" s="252">
        <f>AI1</f>
        <v>46054</v>
      </c>
      <c r="AJ89" s="252">
        <f t="shared" ref="AJ89:AK89" si="22">AJ1</f>
        <v>46082</v>
      </c>
      <c r="AK89" s="252">
        <f t="shared" si="22"/>
        <v>46113</v>
      </c>
    </row>
    <row r="90" spans="1:37" ht="15.5">
      <c r="I90" s="865" t="str">
        <f>B39</f>
        <v>Month Plan</v>
      </c>
      <c r="J90" s="24">
        <f t="shared" ref="J90:AF90" si="23">J39</f>
        <v>0</v>
      </c>
      <c r="K90" s="24">
        <f t="shared" si="23"/>
        <v>7.5233644859813091E-4</v>
      </c>
      <c r="L90" s="24">
        <f t="shared" si="23"/>
        <v>2.8316129770114214E-2</v>
      </c>
      <c r="M90" s="24">
        <f t="shared" si="23"/>
        <v>1.3561287990969723E-2</v>
      </c>
      <c r="N90" s="24">
        <f t="shared" si="23"/>
        <v>2.7325889219935146E-2</v>
      </c>
      <c r="O90" s="24">
        <f t="shared" si="23"/>
        <v>2.3325917394949089E-2</v>
      </c>
      <c r="P90" s="24">
        <f t="shared" si="23"/>
        <v>3.331991700573525E-2</v>
      </c>
      <c r="Q90" s="25">
        <f t="shared" si="23"/>
        <v>4.7286836063491988E-2</v>
      </c>
      <c r="R90" s="24">
        <f t="shared" si="23"/>
        <v>5.3664965087778987E-2</v>
      </c>
      <c r="S90" s="24">
        <f t="shared" si="23"/>
        <v>6.6193294731147434E-2</v>
      </c>
      <c r="T90" s="24">
        <f t="shared" si="23"/>
        <v>6.7593124905489729E-2</v>
      </c>
      <c r="U90" s="24">
        <f>U39</f>
        <v>6.8700766637432797E-2</v>
      </c>
      <c r="V90" s="24">
        <f>V39</f>
        <v>6.5986185434593392E-2</v>
      </c>
      <c r="W90" s="24">
        <f>W39</f>
        <v>6.6695888934766662E-2</v>
      </c>
      <c r="X90" s="24">
        <f t="shared" si="23"/>
        <v>5.7004412499636108E-2</v>
      </c>
      <c r="Y90" s="24">
        <f t="shared" si="23"/>
        <v>5.8729046772132143E-2</v>
      </c>
      <c r="Z90" s="861">
        <f t="shared" si="23"/>
        <v>6.2687650139381962E-2</v>
      </c>
      <c r="AA90" s="24">
        <f t="shared" si="23"/>
        <v>6.0364230580941758E-2</v>
      </c>
      <c r="AB90" s="24">
        <f t="shared" si="23"/>
        <v>5.9137194945863489E-2</v>
      </c>
      <c r="AC90" s="24">
        <f t="shared" si="23"/>
        <v>4.3513061510811142E-2</v>
      </c>
      <c r="AD90" s="24">
        <f t="shared" si="23"/>
        <v>2.8320671523711947E-2</v>
      </c>
      <c r="AE90" s="24">
        <f t="shared" si="23"/>
        <v>3.4803386699659392E-2</v>
      </c>
      <c r="AF90" s="24">
        <f t="shared" si="23"/>
        <v>3.3520142151457627E-2</v>
      </c>
      <c r="AG90" s="24"/>
      <c r="AH90" s="253"/>
      <c r="AI90" s="253"/>
      <c r="AJ90" s="253"/>
      <c r="AK90" s="253"/>
    </row>
    <row r="91" spans="1:37" ht="15.5">
      <c r="I91" s="865" t="str">
        <f>B40</f>
        <v>Cumulative Plan</v>
      </c>
      <c r="J91" s="24">
        <f>J90</f>
        <v>0</v>
      </c>
      <c r="K91" s="24">
        <f>J91+K90</f>
        <v>7.5233644859813091E-4</v>
      </c>
      <c r="L91" s="24">
        <f t="shared" ref="L91:AF91" si="24">K91+L90</f>
        <v>2.9068466218712345E-2</v>
      </c>
      <c r="M91" s="24">
        <f t="shared" si="24"/>
        <v>4.2629754209682069E-2</v>
      </c>
      <c r="N91" s="24">
        <f t="shared" si="24"/>
        <v>6.9955643429617215E-2</v>
      </c>
      <c r="O91" s="24">
        <f t="shared" si="24"/>
        <v>9.3281560824566304E-2</v>
      </c>
      <c r="P91" s="24">
        <f t="shared" si="24"/>
        <v>0.12660147783030157</v>
      </c>
      <c r="Q91" s="24">
        <f t="shared" si="24"/>
        <v>0.17388831389379356</v>
      </c>
      <c r="R91" s="24">
        <f t="shared" si="24"/>
        <v>0.22755327898157254</v>
      </c>
      <c r="S91" s="24">
        <f t="shared" si="24"/>
        <v>0.29374657371271995</v>
      </c>
      <c r="T91" s="24">
        <f t="shared" si="24"/>
        <v>0.36133969861820969</v>
      </c>
      <c r="U91" s="24">
        <f>T91+U90</f>
        <v>0.43004046525564249</v>
      </c>
      <c r="V91" s="24">
        <f t="shared" si="24"/>
        <v>0.49602665069023588</v>
      </c>
      <c r="W91" s="24">
        <f t="shared" si="24"/>
        <v>0.56272253962500252</v>
      </c>
      <c r="X91" s="24">
        <f t="shared" si="24"/>
        <v>0.61972695212463857</v>
      </c>
      <c r="Y91" s="24">
        <f t="shared" si="24"/>
        <v>0.67845599889677066</v>
      </c>
      <c r="Z91" s="861">
        <f t="shared" si="24"/>
        <v>0.7411436490361526</v>
      </c>
      <c r="AA91" s="24">
        <f t="shared" si="24"/>
        <v>0.80150787961709435</v>
      </c>
      <c r="AB91" s="24">
        <f t="shared" si="24"/>
        <v>0.8606450745629578</v>
      </c>
      <c r="AC91" s="24">
        <f t="shared" si="24"/>
        <v>0.90415813607376894</v>
      </c>
      <c r="AD91" s="24">
        <f t="shared" si="24"/>
        <v>0.93247880759748092</v>
      </c>
      <c r="AE91" s="24">
        <f t="shared" si="24"/>
        <v>0.96728219429714035</v>
      </c>
      <c r="AF91" s="24">
        <f t="shared" si="24"/>
        <v>1.0008023364485981</v>
      </c>
      <c r="AG91" s="24"/>
      <c r="AH91" s="253"/>
      <c r="AI91" s="253"/>
      <c r="AJ91" s="253"/>
      <c r="AK91" s="253"/>
    </row>
    <row r="92" spans="1:37" ht="15.5">
      <c r="I92" s="865" t="str">
        <f>B78</f>
        <v>Month Actual</v>
      </c>
      <c r="J92" s="24">
        <f t="shared" ref="J92:U92" si="25">J78</f>
        <v>0</v>
      </c>
      <c r="K92" s="24">
        <f t="shared" si="25"/>
        <v>0</v>
      </c>
      <c r="L92" s="24">
        <f t="shared" si="25"/>
        <v>2.5040883804600796E-2</v>
      </c>
      <c r="M92" s="24">
        <f t="shared" si="25"/>
        <v>2.4701452741700217E-2</v>
      </c>
      <c r="N92" s="24">
        <f t="shared" si="25"/>
        <v>1.7367473381768753E-2</v>
      </c>
      <c r="O92" s="24">
        <f t="shared" si="25"/>
        <v>1.908463596551202E-2</v>
      </c>
      <c r="P92" s="24">
        <f t="shared" si="25"/>
        <v>3.8917411928854576E-2</v>
      </c>
      <c r="Q92" s="25">
        <f t="shared" si="25"/>
        <v>2.1079768688354702E-2</v>
      </c>
      <c r="R92" s="24">
        <f t="shared" si="25"/>
        <v>5.1206881598986009E-2</v>
      </c>
      <c r="S92" s="24">
        <f t="shared" si="25"/>
        <v>3.111328240220922E-2</v>
      </c>
      <c r="T92" s="24">
        <f t="shared" si="25"/>
        <v>3.911336552157086E-2</v>
      </c>
      <c r="U92" s="24">
        <f t="shared" si="25"/>
        <v>3.4873576820781974E-2</v>
      </c>
      <c r="V92" s="24">
        <f t="shared" ref="V92:X93" si="26">V78</f>
        <v>3.6847837002963256E-2</v>
      </c>
      <c r="W92" s="862">
        <f t="shared" si="26"/>
        <v>4.7516456029609633E-2</v>
      </c>
      <c r="X92" s="862">
        <f t="shared" si="26"/>
        <v>2.1843205655812891E-2</v>
      </c>
      <c r="Y92" s="862">
        <f t="shared" ref="Y92:Z92" si="27">Y78</f>
        <v>3.5143756877885096E-2</v>
      </c>
      <c r="Z92" s="862">
        <f t="shared" si="27"/>
        <v>3.8751148105625711E-4</v>
      </c>
      <c r="AA92" s="24"/>
      <c r="AB92" s="24"/>
      <c r="AC92" s="24"/>
      <c r="AD92" s="24"/>
      <c r="AE92" s="24"/>
      <c r="AF92" s="24"/>
      <c r="AG92" s="24"/>
      <c r="AH92" s="253"/>
      <c r="AI92" s="253"/>
      <c r="AJ92" s="253"/>
      <c r="AK92" s="253"/>
    </row>
    <row r="93" spans="1:37" ht="15.5">
      <c r="I93" s="865" t="str">
        <f>B79</f>
        <v>Cumulative Actual</v>
      </c>
      <c r="J93" s="24">
        <f t="shared" ref="J93:U93" si="28">J79</f>
        <v>0</v>
      </c>
      <c r="K93" s="24">
        <f t="shared" si="28"/>
        <v>0</v>
      </c>
      <c r="L93" s="24">
        <f t="shared" si="28"/>
        <v>2.5040883804600796E-2</v>
      </c>
      <c r="M93" s="24">
        <f t="shared" si="28"/>
        <v>4.9742336546301016E-2</v>
      </c>
      <c r="N93" s="24">
        <f t="shared" si="28"/>
        <v>6.7109809928069766E-2</v>
      </c>
      <c r="O93" s="24">
        <f t="shared" si="28"/>
        <v>8.6194445893581786E-2</v>
      </c>
      <c r="P93" s="24">
        <f t="shared" si="28"/>
        <v>0.12511185782243636</v>
      </c>
      <c r="Q93" s="24">
        <f t="shared" si="28"/>
        <v>0.14619162651079107</v>
      </c>
      <c r="R93" s="24">
        <f t="shared" si="28"/>
        <v>0.19739850810977708</v>
      </c>
      <c r="S93" s="24">
        <f t="shared" si="28"/>
        <v>0.22851179051198631</v>
      </c>
      <c r="T93" s="24">
        <f t="shared" si="28"/>
        <v>0.26762515603355719</v>
      </c>
      <c r="U93" s="24">
        <f t="shared" si="28"/>
        <v>0.30249873285433915</v>
      </c>
      <c r="V93" s="24">
        <f t="shared" si="26"/>
        <v>0.33934656985730238</v>
      </c>
      <c r="W93" s="862">
        <f t="shared" si="26"/>
        <v>0.38686302588691202</v>
      </c>
      <c r="X93" s="862">
        <f t="shared" si="26"/>
        <v>0.4087062315427249</v>
      </c>
      <c r="Y93" s="862">
        <f t="shared" ref="Y93:Z93" si="29">Y79</f>
        <v>0.44384998842060996</v>
      </c>
      <c r="Z93" s="862">
        <f t="shared" si="29"/>
        <v>0.44423749990166622</v>
      </c>
      <c r="AA93" s="24"/>
      <c r="AB93" s="24"/>
      <c r="AC93" s="24"/>
      <c r="AD93" s="24"/>
      <c r="AE93" s="24"/>
      <c r="AF93" s="24"/>
      <c r="AG93" s="24"/>
      <c r="AH93" s="253"/>
      <c r="AI93" s="253"/>
      <c r="AJ93" s="253"/>
      <c r="AK93" s="253"/>
    </row>
    <row r="94" spans="1:37" ht="15.5">
      <c r="I94" s="866" t="str">
        <f>B80</f>
        <v>Month Forecast</v>
      </c>
      <c r="J94" s="94"/>
      <c r="K94" s="94"/>
      <c r="L94" s="94"/>
      <c r="M94" s="94"/>
      <c r="N94" s="94"/>
      <c r="O94" s="94"/>
      <c r="P94" s="94"/>
      <c r="Q94" s="94"/>
      <c r="R94" s="94"/>
      <c r="S94" s="94"/>
      <c r="T94" s="94"/>
      <c r="U94" s="94"/>
      <c r="V94" s="94"/>
      <c r="W94" s="94"/>
      <c r="X94" s="94"/>
      <c r="Y94" s="94"/>
      <c r="Z94" s="861">
        <f t="shared" ref="Z94:AD94" si="30">Z90+Z96</f>
        <v>7.698300000000001E-2</v>
      </c>
      <c r="AA94" s="94">
        <f t="shared" si="30"/>
        <v>7.9617000000000021E-2</v>
      </c>
      <c r="AB94" s="94">
        <f t="shared" si="30"/>
        <v>7.1460499999999996E-2</v>
      </c>
      <c r="AC94" s="94">
        <f t="shared" si="30"/>
        <v>5.2789499999999996E-2</v>
      </c>
      <c r="AD94" s="94">
        <f t="shared" si="30"/>
        <v>5.8915999999999996E-2</v>
      </c>
      <c r="AE94" s="94">
        <f>AE90+AE96</f>
        <v>5.5257500000000008E-2</v>
      </c>
      <c r="AF94" s="94">
        <f>AF90+AF96</f>
        <v>6.0108000000000009E-2</v>
      </c>
      <c r="AG94" s="94">
        <f>AG90+AG96</f>
        <v>3.0260000000000002E-2</v>
      </c>
      <c r="AH94" s="254">
        <f>AH90+AH96</f>
        <v>2.5397000000000003E-2</v>
      </c>
      <c r="AI94" s="254">
        <f>AI90+AI96</f>
        <v>1.5266E-2</v>
      </c>
      <c r="AJ94" s="254">
        <f t="shared" ref="AJ94:AK94" si="31">AJ90+AJ96</f>
        <v>2.2099999999999998E-2</v>
      </c>
      <c r="AK94" s="254">
        <f t="shared" si="31"/>
        <v>1.2499999999999999E-2</v>
      </c>
    </row>
    <row r="95" spans="1:37" ht="15.5">
      <c r="I95" s="866" t="str">
        <f>B81</f>
        <v>Cumulative Forecast</v>
      </c>
      <c r="J95" s="94"/>
      <c r="K95" s="94"/>
      <c r="L95" s="94"/>
      <c r="M95" s="94"/>
      <c r="N95" s="94"/>
      <c r="O95" s="94"/>
      <c r="P95" s="94"/>
      <c r="Q95" s="94"/>
      <c r="R95" s="94"/>
      <c r="S95" s="94"/>
      <c r="T95" s="94"/>
      <c r="U95" s="94"/>
      <c r="V95" s="94"/>
      <c r="W95" s="94"/>
      <c r="X95" s="94"/>
      <c r="Y95" s="94">
        <f>Y93</f>
        <v>0.44384998842060996</v>
      </c>
      <c r="Z95" s="861">
        <f t="shared" ref="Z95:AC95" si="32">Z94+Y95</f>
        <v>0.52083298842060999</v>
      </c>
      <c r="AA95" s="94">
        <f t="shared" si="32"/>
        <v>0.60044998842061004</v>
      </c>
      <c r="AB95" s="94">
        <f t="shared" si="32"/>
        <v>0.67191048842061007</v>
      </c>
      <c r="AC95" s="94">
        <f t="shared" si="32"/>
        <v>0.72469998842061012</v>
      </c>
      <c r="AD95" s="94">
        <f t="shared" ref="AD95:AI95" si="33">AD94+AC95</f>
        <v>0.78361598842061009</v>
      </c>
      <c r="AE95" s="94">
        <f t="shared" si="33"/>
        <v>0.83887348842061005</v>
      </c>
      <c r="AF95" s="863">
        <f t="shared" si="33"/>
        <v>0.8989814884206101</v>
      </c>
      <c r="AG95" s="863">
        <f t="shared" si="33"/>
        <v>0.92924148842061005</v>
      </c>
      <c r="AH95" s="309">
        <f t="shared" si="33"/>
        <v>0.95463848842061005</v>
      </c>
      <c r="AI95" s="309">
        <f t="shared" si="33"/>
        <v>0.96990448842061006</v>
      </c>
      <c r="AJ95" s="309">
        <f>AJ94+AI95</f>
        <v>0.99200448842061006</v>
      </c>
      <c r="AK95" s="309">
        <f t="shared" ref="AK95" si="34">AK94+AJ95</f>
        <v>1.00450448842061</v>
      </c>
    </row>
    <row r="96" spans="1:37" ht="16" thickBot="1">
      <c r="I96" s="867" t="s">
        <v>82</v>
      </c>
      <c r="J96" s="868">
        <f t="shared" ref="J96:K96" si="35">J82</f>
        <v>0</v>
      </c>
      <c r="K96" s="868">
        <f t="shared" si="35"/>
        <v>0</v>
      </c>
      <c r="L96" s="868"/>
      <c r="M96" s="868"/>
      <c r="N96" s="868"/>
      <c r="O96" s="868"/>
      <c r="P96" s="868"/>
      <c r="Q96" s="869"/>
      <c r="R96" s="869"/>
      <c r="S96" s="869"/>
      <c r="T96" s="869"/>
      <c r="U96" s="869"/>
      <c r="V96" s="869"/>
      <c r="W96" s="869"/>
      <c r="X96" s="869"/>
      <c r="Y96" s="869"/>
      <c r="Z96" s="869">
        <f t="shared" ref="Z96:AC96" si="36">Z97-Z90</f>
        <v>1.4295349860618048E-2</v>
      </c>
      <c r="AA96" s="869">
        <f t="shared" si="36"/>
        <v>1.9252769419058263E-2</v>
      </c>
      <c r="AB96" s="869">
        <f>AB97-AB90</f>
        <v>1.2323305054136507E-2</v>
      </c>
      <c r="AC96" s="869">
        <f t="shared" si="36"/>
        <v>9.2764384891888541E-3</v>
      </c>
      <c r="AD96" s="869">
        <f>AD97-AD90</f>
        <v>3.0595328476288049E-2</v>
      </c>
      <c r="AE96" s="869">
        <f t="shared" ref="AE96" si="37">AE97-AE90</f>
        <v>2.0454113300340616E-2</v>
      </c>
      <c r="AF96" s="869">
        <f>AF97-AF90+2%</f>
        <v>2.6587857848542378E-2</v>
      </c>
      <c r="AG96" s="869">
        <f>AG97-AG90</f>
        <v>3.0260000000000002E-2</v>
      </c>
      <c r="AH96" s="870">
        <f>AH97-AH90</f>
        <v>2.5397000000000003E-2</v>
      </c>
      <c r="AI96" s="870">
        <f>AI97-AI90</f>
        <v>1.5266E-2</v>
      </c>
      <c r="AJ96" s="870">
        <f t="shared" ref="AJ96:AK96" si="38">AJ97-AJ90</f>
        <v>2.2099999999999998E-2</v>
      </c>
      <c r="AK96" s="870">
        <f t="shared" si="38"/>
        <v>1.2499999999999999E-2</v>
      </c>
    </row>
    <row r="97" spans="3:49" ht="15" thickBot="1">
      <c r="C97" s="26"/>
      <c r="D97" s="26"/>
      <c r="E97" s="26"/>
      <c r="F97" s="26"/>
      <c r="G97" s="26"/>
      <c r="H97" s="26"/>
      <c r="I97" s="26"/>
      <c r="J97" s="26"/>
      <c r="K97" s="26"/>
      <c r="L97" s="383"/>
      <c r="M97" s="383"/>
      <c r="N97" s="383"/>
      <c r="O97" s="383"/>
      <c r="P97" s="383"/>
      <c r="Q97" s="383"/>
      <c r="R97" s="383"/>
      <c r="S97" s="383"/>
      <c r="T97" s="383"/>
      <c r="U97" s="383"/>
      <c r="V97" s="383"/>
      <c r="W97" s="383"/>
      <c r="X97" s="383"/>
      <c r="Y97" s="383"/>
      <c r="Z97" s="818">
        <f>SUMMARY!T113-1%</f>
        <v>7.698300000000001E-2</v>
      </c>
      <c r="AA97" s="818">
        <f>SUMMARY!U113</f>
        <v>7.9617000000000021E-2</v>
      </c>
      <c r="AB97" s="818">
        <f>SUMMARY!V113-2%</f>
        <v>7.1460499999999996E-2</v>
      </c>
      <c r="AC97" s="818">
        <f>SUMMARY!W113-1%</f>
        <v>5.2789499999999996E-2</v>
      </c>
      <c r="AD97" s="818">
        <f>SUMMARY!X113</f>
        <v>5.8915999999999996E-2</v>
      </c>
      <c r="AE97" s="818">
        <f>SUMMARY!Y113</f>
        <v>5.5257500000000008E-2</v>
      </c>
      <c r="AF97" s="818">
        <f>SUMMARY!Z113</f>
        <v>4.0108000000000005E-2</v>
      </c>
      <c r="AG97" s="818">
        <f>SUMMARY!AA113</f>
        <v>3.0260000000000002E-2</v>
      </c>
      <c r="AH97" s="818">
        <f>SUMMARY!AB113-1%</f>
        <v>2.5397000000000003E-2</v>
      </c>
      <c r="AI97" s="818">
        <f>SUMMARY!AC113-1%</f>
        <v>1.5266E-2</v>
      </c>
      <c r="AJ97" s="818">
        <f>SUMMARY!AD113</f>
        <v>2.2099999999999998E-2</v>
      </c>
      <c r="AK97" s="818">
        <f>SUMMARY!AE113-1%</f>
        <v>1.2499999999999999E-2</v>
      </c>
    </row>
    <row r="98" spans="3:49">
      <c r="C98" s="26"/>
      <c r="D98" s="26"/>
      <c r="E98" s="26"/>
      <c r="F98" s="26"/>
      <c r="G98" s="26"/>
      <c r="H98" s="26"/>
      <c r="I98" s="26"/>
      <c r="J98" s="26"/>
      <c r="K98" s="26"/>
      <c r="L98" s="383"/>
      <c r="M98" s="383"/>
      <c r="N98" s="383"/>
      <c r="O98" s="383"/>
      <c r="P98" s="383"/>
      <c r="Q98" s="383"/>
      <c r="R98" s="383"/>
      <c r="W98" s="502"/>
      <c r="X98" s="502" t="s">
        <v>273</v>
      </c>
      <c r="Y98" s="502"/>
      <c r="Z98" s="503">
        <f>Y91+(Z90/4)*SUMMARY!C12</f>
        <v>0.7411436490361526</v>
      </c>
      <c r="AA98" s="504"/>
      <c r="AB98" s="384"/>
      <c r="AC98" s="384"/>
      <c r="AD98" s="384"/>
      <c r="AE98" s="384"/>
      <c r="AF98" s="384"/>
    </row>
    <row r="99" spans="3:49" ht="15" thickBot="1">
      <c r="C99" s="26"/>
      <c r="D99" s="26"/>
      <c r="E99" s="26"/>
      <c r="F99" s="26"/>
      <c r="G99" s="26"/>
      <c r="H99" s="26"/>
      <c r="I99" s="26"/>
      <c r="J99" s="26"/>
      <c r="K99" s="26"/>
      <c r="L99" s="383"/>
      <c r="M99" s="383"/>
      <c r="N99" s="383"/>
      <c r="O99" s="383"/>
      <c r="P99" s="383"/>
      <c r="Q99" s="383"/>
      <c r="R99" s="383"/>
      <c r="W99" s="505"/>
      <c r="X99" s="505" t="s">
        <v>274</v>
      </c>
      <c r="Y99" s="505"/>
      <c r="Z99" s="1098">
        <f>Z93</f>
        <v>0.44423749990166622</v>
      </c>
      <c r="AA99" s="506"/>
      <c r="AB99" s="384"/>
      <c r="AC99" s="384"/>
      <c r="AD99" s="384"/>
      <c r="AE99" s="384"/>
      <c r="AF99" s="384"/>
    </row>
    <row r="100" spans="3:49">
      <c r="L100" s="384"/>
      <c r="M100" s="384"/>
      <c r="N100" s="384"/>
      <c r="O100" s="384"/>
      <c r="P100" s="384"/>
      <c r="Q100" s="384"/>
      <c r="R100" s="384"/>
      <c r="S100" s="384"/>
      <c r="T100" s="384"/>
      <c r="U100" s="384"/>
      <c r="W100" s="384"/>
      <c r="X100" s="384"/>
      <c r="Y100" s="384"/>
      <c r="Z100" s="384"/>
      <c r="AA100" s="384"/>
      <c r="AB100" s="384"/>
      <c r="AC100" s="384"/>
      <c r="AD100" s="384"/>
      <c r="AE100" s="384"/>
      <c r="AF100" s="384"/>
    </row>
    <row r="101" spans="3:49" ht="15" thickBot="1">
      <c r="L101" s="384"/>
      <c r="M101" s="384"/>
      <c r="N101" s="384"/>
      <c r="O101" s="384"/>
      <c r="P101" s="384"/>
      <c r="Q101" s="384"/>
      <c r="R101" s="384"/>
      <c r="S101" s="384"/>
      <c r="T101" s="384"/>
      <c r="U101" s="384"/>
      <c r="W101" s="384"/>
      <c r="Z101" s="820"/>
      <c r="AA101" s="384"/>
      <c r="AB101" s="384"/>
      <c r="AC101" s="384"/>
      <c r="AD101" s="384"/>
      <c r="AE101" s="384"/>
      <c r="AF101" s="384"/>
    </row>
    <row r="102" spans="3:49" ht="16.5" thickTop="1" thickBot="1">
      <c r="L102" s="384"/>
      <c r="M102" s="384"/>
      <c r="N102" s="384"/>
      <c r="O102" s="384"/>
      <c r="P102" s="384"/>
      <c r="Q102" s="384"/>
      <c r="R102" s="384"/>
      <c r="S102" s="384"/>
      <c r="T102" s="384"/>
      <c r="U102" s="384"/>
      <c r="W102" s="384"/>
      <c r="Z102" s="821">
        <f>Z98-Z99</f>
        <v>0.29690614913448637</v>
      </c>
      <c r="AA102" s="384"/>
      <c r="AB102" s="384"/>
      <c r="AC102" s="384"/>
      <c r="AD102" s="384"/>
      <c r="AE102" s="384"/>
      <c r="AF102" s="384"/>
      <c r="AH102" s="371" t="s">
        <v>219</v>
      </c>
      <c r="AI102" s="372" t="s">
        <v>220</v>
      </c>
      <c r="AJ102" s="372" t="s">
        <v>221</v>
      </c>
      <c r="AK102" s="372" t="s">
        <v>222</v>
      </c>
      <c r="AL102" s="372" t="s">
        <v>223</v>
      </c>
      <c r="AN102" s="671" t="s">
        <v>286</v>
      </c>
      <c r="AO102" s="672" t="s">
        <v>287</v>
      </c>
      <c r="AP102" s="673" t="s">
        <v>44</v>
      </c>
      <c r="AR102" s="671" t="s">
        <v>286</v>
      </c>
      <c r="AS102" s="672" t="s">
        <v>287</v>
      </c>
      <c r="AT102" s="673" t="s">
        <v>44</v>
      </c>
    </row>
    <row r="103" spans="3:49" ht="18" thickBot="1">
      <c r="L103" s="384"/>
      <c r="M103" s="384"/>
      <c r="N103" s="384"/>
      <c r="O103" s="384"/>
      <c r="P103" s="384"/>
      <c r="Q103" s="384"/>
      <c r="R103" s="384"/>
      <c r="S103" s="384"/>
      <c r="T103" s="384"/>
      <c r="U103" s="384"/>
      <c r="V103" s="384"/>
      <c r="W103" s="384"/>
      <c r="X103" s="384"/>
      <c r="Y103" s="384"/>
      <c r="Z103" s="819"/>
      <c r="AA103" s="384"/>
      <c r="AB103" s="384"/>
      <c r="AC103" s="384"/>
      <c r="AD103" s="384"/>
      <c r="AE103" s="384"/>
      <c r="AF103" s="384"/>
      <c r="AH103" s="373" t="s">
        <v>10</v>
      </c>
      <c r="AI103" s="374">
        <f>SUM(E8)</f>
        <v>0.15003</v>
      </c>
      <c r="AJ103" s="374">
        <f>SUMMARY!C32</f>
        <v>1.0002</v>
      </c>
      <c r="AK103" s="374">
        <f>SUMMARY!C33</f>
        <v>0.93879168136853708</v>
      </c>
      <c r="AL103" s="374">
        <f t="shared" ref="AL103:AL109" si="39">AJ103-AK103</f>
        <v>6.1408318631462899E-2</v>
      </c>
      <c r="AN103" s="674" t="s">
        <v>224</v>
      </c>
      <c r="AO103" s="675">
        <f>AJ104</f>
        <v>0.99990000000000001</v>
      </c>
      <c r="AP103" s="675">
        <f>AK104</f>
        <v>0.75704613899613893</v>
      </c>
      <c r="AR103" s="674" t="s">
        <v>224</v>
      </c>
      <c r="AS103" s="675">
        <v>1</v>
      </c>
      <c r="AT103" s="675">
        <v>0.86</v>
      </c>
      <c r="AV103" s="670">
        <f>AO103-AS103</f>
        <v>-9.9999999999988987E-5</v>
      </c>
      <c r="AW103" s="670">
        <f>AP103-AT103</f>
        <v>-0.10295386100386106</v>
      </c>
    </row>
    <row r="104" spans="3:49" ht="20.149999999999999" customHeight="1" thickBot="1">
      <c r="L104" s="384"/>
      <c r="M104" s="384"/>
      <c r="N104" s="384"/>
      <c r="O104" s="384"/>
      <c r="P104" s="384"/>
      <c r="Q104" s="384"/>
      <c r="R104" s="384"/>
      <c r="S104" s="384"/>
      <c r="T104" s="384"/>
      <c r="U104" s="384"/>
      <c r="V104" s="384"/>
      <c r="W104" s="384"/>
      <c r="X104" s="384"/>
      <c r="Y104" s="384"/>
      <c r="Z104" s="819"/>
      <c r="AA104" s="384"/>
      <c r="AB104" s="384"/>
      <c r="AC104" s="384"/>
      <c r="AD104" s="384"/>
      <c r="AE104" s="384"/>
      <c r="AF104" s="384"/>
      <c r="AH104" s="373" t="s">
        <v>224</v>
      </c>
      <c r="AI104" s="374">
        <f>E4</f>
        <v>9.9990000000000009E-2</v>
      </c>
      <c r="AJ104" s="374">
        <f>SUMMARY!C13</f>
        <v>0.99990000000000001</v>
      </c>
      <c r="AK104" s="374">
        <f>SUMMARY!C14</f>
        <v>0.75704613899613893</v>
      </c>
      <c r="AL104" s="872">
        <f t="shared" si="39"/>
        <v>0.24285386100386108</v>
      </c>
      <c r="AN104" s="1152" t="s">
        <v>10</v>
      </c>
      <c r="AO104" s="1150">
        <f>AJ103</f>
        <v>1.0002</v>
      </c>
      <c r="AP104" s="1150">
        <f>AK103</f>
        <v>0.93879168136853708</v>
      </c>
      <c r="AR104" s="1152" t="s">
        <v>10</v>
      </c>
      <c r="AS104" s="1150">
        <v>1</v>
      </c>
      <c r="AT104" s="1150">
        <v>0.73</v>
      </c>
      <c r="AV104" s="670">
        <f t="shared" ref="AV104:AV113" si="40">AO104-AS104</f>
        <v>1.9999999999997797E-4</v>
      </c>
      <c r="AW104" s="670">
        <f t="shared" ref="AW104:AW113" si="41">AP104-AT104</f>
        <v>0.2087916813685371</v>
      </c>
    </row>
    <row r="105" spans="3:49" ht="15" customHeight="1" thickBot="1">
      <c r="W105" s="384"/>
      <c r="X105" s="384"/>
      <c r="Y105" s="384"/>
      <c r="AH105" s="373" t="s">
        <v>225</v>
      </c>
      <c r="AI105" s="374">
        <f>E14</f>
        <v>0.25001000000000001</v>
      </c>
      <c r="AJ105" s="787">
        <f>SUMMARY!C88</f>
        <v>0.86936030421102606</v>
      </c>
      <c r="AK105" s="788">
        <f>SUMMARY!C89</f>
        <v>0.45479543726751898</v>
      </c>
      <c r="AL105" s="871">
        <f t="shared" si="39"/>
        <v>0.41456486694350708</v>
      </c>
      <c r="AN105" s="1153"/>
      <c r="AO105" s="1151"/>
      <c r="AP105" s="1151"/>
      <c r="AR105" s="1153"/>
      <c r="AS105" s="1151"/>
      <c r="AT105" s="1151"/>
      <c r="AV105" s="670">
        <f t="shared" si="40"/>
        <v>0</v>
      </c>
      <c r="AW105" s="670">
        <f t="shared" si="41"/>
        <v>0</v>
      </c>
    </row>
    <row r="106" spans="3:49" ht="20.149999999999999" customHeight="1" thickBot="1">
      <c r="W106" s="384"/>
      <c r="X106" s="384"/>
      <c r="Y106" s="384"/>
      <c r="AH106" s="373" t="s">
        <v>19</v>
      </c>
      <c r="AI106" s="374">
        <f>E25</f>
        <v>0.43002999999999997</v>
      </c>
      <c r="AJ106" s="374">
        <f>SUMMARY!C59</f>
        <v>0.4476595032451538</v>
      </c>
      <c r="AK106" s="374">
        <f>SUMMARY!C60</f>
        <v>0.22864017320905133</v>
      </c>
      <c r="AL106" s="872">
        <f t="shared" si="39"/>
        <v>0.21901933003610247</v>
      </c>
      <c r="AN106" s="1152" t="s">
        <v>17</v>
      </c>
      <c r="AO106" s="1150">
        <f>AJ105</f>
        <v>0.86936030421102606</v>
      </c>
      <c r="AP106" s="1150">
        <f>AK105</f>
        <v>0.45479543726751898</v>
      </c>
      <c r="AR106" s="1152" t="s">
        <v>17</v>
      </c>
      <c r="AS106" s="1150">
        <v>0.77</v>
      </c>
      <c r="AT106" s="1150">
        <v>0.36</v>
      </c>
      <c r="AV106" s="670">
        <f t="shared" si="40"/>
        <v>9.936030421102604E-2</v>
      </c>
      <c r="AW106" s="670">
        <f t="shared" si="41"/>
        <v>9.4795437267518989E-2</v>
      </c>
    </row>
    <row r="107" spans="3:49" ht="15" customHeight="1" thickBot="1">
      <c r="W107" s="384"/>
      <c r="X107" s="384"/>
      <c r="Y107" s="384"/>
      <c r="AH107" s="373" t="s">
        <v>25</v>
      </c>
      <c r="AI107" s="374">
        <f>E35</f>
        <v>0.05</v>
      </c>
      <c r="AJ107" s="374">
        <v>0</v>
      </c>
      <c r="AK107" s="374">
        <v>0</v>
      </c>
      <c r="AL107" s="374">
        <f t="shared" si="39"/>
        <v>0</v>
      </c>
      <c r="AN107" s="1153"/>
      <c r="AO107" s="1151"/>
      <c r="AP107" s="1151"/>
      <c r="AR107" s="1153"/>
      <c r="AS107" s="1151"/>
      <c r="AT107" s="1151"/>
      <c r="AV107" s="670">
        <f t="shared" si="40"/>
        <v>0</v>
      </c>
      <c r="AW107" s="670">
        <f t="shared" si="41"/>
        <v>0</v>
      </c>
    </row>
    <row r="108" spans="3:49" ht="18" thickBot="1">
      <c r="W108" s="384"/>
      <c r="X108" s="384"/>
      <c r="Y108" s="384"/>
      <c r="AH108" s="373" t="s">
        <v>226</v>
      </c>
      <c r="AI108" s="374">
        <f>E2+E3</f>
        <v>1.9990000000000001E-2</v>
      </c>
      <c r="AJ108" s="374">
        <v>0.9</v>
      </c>
      <c r="AK108" s="374">
        <v>0.75</v>
      </c>
      <c r="AL108" s="374">
        <f t="shared" si="39"/>
        <v>0.15000000000000002</v>
      </c>
      <c r="AN108" s="674" t="s">
        <v>19</v>
      </c>
      <c r="AO108" s="675">
        <f>AJ106</f>
        <v>0.4476595032451538</v>
      </c>
      <c r="AP108" s="675">
        <f>AK106</f>
        <v>0.22864017320905133</v>
      </c>
      <c r="AR108" s="674" t="s">
        <v>19</v>
      </c>
      <c r="AS108" s="675">
        <v>0.34</v>
      </c>
      <c r="AT108" s="675">
        <v>0.2</v>
      </c>
      <c r="AV108" s="670">
        <f t="shared" si="40"/>
        <v>0.10765950324515378</v>
      </c>
      <c r="AW108" s="670">
        <f t="shared" si="41"/>
        <v>2.8640173209051323E-2</v>
      </c>
    </row>
    <row r="109" spans="3:49" ht="18" thickBot="1">
      <c r="W109" s="384"/>
      <c r="X109" s="384"/>
      <c r="Y109" s="384"/>
      <c r="AH109" s="371" t="s">
        <v>132</v>
      </c>
      <c r="AI109" s="375">
        <f>SUM(AI103:AI108)</f>
        <v>1.0000499999999999</v>
      </c>
      <c r="AJ109" s="375">
        <f>Y98</f>
        <v>0</v>
      </c>
      <c r="AK109" s="375">
        <f>W93</f>
        <v>0.38686302588691202</v>
      </c>
      <c r="AL109" s="375">
        <f t="shared" si="39"/>
        <v>-0.38686302588691202</v>
      </c>
      <c r="AN109" s="676" t="s">
        <v>288</v>
      </c>
      <c r="AO109" s="675">
        <f>'MARATHA QTY DISTRIBUATION'!AE38</f>
        <v>0.58366245694603902</v>
      </c>
      <c r="AP109" s="675">
        <f>'MARATHA QTY DISTRIBUATION'!AE39</f>
        <v>0.40412169919632607</v>
      </c>
      <c r="AR109" s="715" t="s">
        <v>288</v>
      </c>
      <c r="AS109" s="675">
        <v>0.56000000000000005</v>
      </c>
      <c r="AT109" s="675">
        <v>0.35</v>
      </c>
      <c r="AV109" s="670">
        <f t="shared" si="40"/>
        <v>2.3662456946038968E-2</v>
      </c>
      <c r="AW109" s="670">
        <f t="shared" si="41"/>
        <v>5.412169919632609E-2</v>
      </c>
    </row>
    <row r="110" spans="3:49" ht="24" customHeight="1">
      <c r="W110" s="384"/>
      <c r="X110" s="384"/>
      <c r="Y110" s="384"/>
      <c r="AN110" s="1148" t="s">
        <v>289</v>
      </c>
      <c r="AO110" s="1150">
        <f>'MARATHA QTY DISTRIBUATION'!AE43</f>
        <v>0.62357675023651837</v>
      </c>
      <c r="AP110" s="1150">
        <f>'MARATHA QTY DISTRIBUATION'!AE44</f>
        <v>0.17975402081362346</v>
      </c>
      <c r="AR110" s="1154" t="s">
        <v>289</v>
      </c>
      <c r="AS110" s="1150">
        <v>0.59</v>
      </c>
      <c r="AT110" s="1150">
        <v>0.14000000000000001</v>
      </c>
      <c r="AV110" s="670">
        <f t="shared" si="40"/>
        <v>3.3576750236518405E-2</v>
      </c>
      <c r="AW110" s="670">
        <f t="shared" si="41"/>
        <v>3.9754020813623447E-2</v>
      </c>
    </row>
    <row r="111" spans="3:49" ht="15" customHeight="1" thickBot="1">
      <c r="W111" s="384"/>
      <c r="X111" s="384"/>
      <c r="Y111" s="384"/>
      <c r="AN111" s="1149"/>
      <c r="AO111" s="1151"/>
      <c r="AP111" s="1151"/>
      <c r="AR111" s="1155"/>
      <c r="AS111" s="1151"/>
      <c r="AT111" s="1151"/>
      <c r="AV111" s="670">
        <f t="shared" si="40"/>
        <v>0</v>
      </c>
      <c r="AW111" s="670">
        <f t="shared" si="41"/>
        <v>0</v>
      </c>
    </row>
    <row r="112" spans="3:49" ht="18" thickBot="1">
      <c r="W112" s="384"/>
      <c r="X112" s="384"/>
      <c r="Y112" s="384"/>
      <c r="AN112" s="676" t="s">
        <v>22</v>
      </c>
      <c r="AO112" s="675">
        <f>'MARATHA QTY DISTRIBUATION'!AE88</f>
        <v>0.1225890120254657</v>
      </c>
      <c r="AP112" s="675">
        <f>'MARATHA QTY DISTRIBUATION'!AE89</f>
        <v>5.8382456967696297E-2</v>
      </c>
      <c r="AR112" s="715" t="s">
        <v>22</v>
      </c>
      <c r="AS112" s="675">
        <v>0.11</v>
      </c>
      <c r="AT112" s="675">
        <v>0.04</v>
      </c>
      <c r="AV112" s="670">
        <f t="shared" si="40"/>
        <v>1.2589012025465696E-2</v>
      </c>
      <c r="AW112" s="670">
        <f t="shared" si="41"/>
        <v>1.8382456967696297E-2</v>
      </c>
    </row>
    <row r="113" spans="23:49" ht="18" thickBot="1">
      <c r="W113" s="384"/>
      <c r="X113" s="384"/>
      <c r="Y113" s="384"/>
      <c r="AN113" s="678" t="s">
        <v>290</v>
      </c>
      <c r="AO113" s="675">
        <v>0</v>
      </c>
      <c r="AP113" s="677">
        <v>0</v>
      </c>
      <c r="AR113" s="678" t="s">
        <v>290</v>
      </c>
      <c r="AS113" s="675">
        <v>0</v>
      </c>
      <c r="AT113" s="677">
        <v>0</v>
      </c>
      <c r="AV113" s="670">
        <f t="shared" si="40"/>
        <v>0</v>
      </c>
      <c r="AW113" s="670">
        <f t="shared" si="41"/>
        <v>0</v>
      </c>
    </row>
    <row r="114" spans="23:49">
      <c r="W114" s="384"/>
      <c r="X114" s="384"/>
      <c r="Y114" s="384"/>
      <c r="AJ114">
        <f>2</f>
        <v>2</v>
      </c>
      <c r="AK114">
        <v>100</v>
      </c>
    </row>
    <row r="115" spans="23:49">
      <c r="W115" s="384"/>
      <c r="X115" s="384"/>
      <c r="Y115" s="384"/>
      <c r="AJ115">
        <v>1.5</v>
      </c>
      <c r="AK115">
        <f>AK114/AJ114*AJ115</f>
        <v>75</v>
      </c>
    </row>
    <row r="116" spans="23:49" ht="15" thickBot="1">
      <c r="W116" s="384"/>
      <c r="X116" s="384"/>
      <c r="Y116" s="384"/>
    </row>
    <row r="117" spans="23:49" ht="15" thickBot="1">
      <c r="W117" s="384"/>
      <c r="X117" s="384"/>
      <c r="Y117" s="384"/>
      <c r="AH117" s="376" t="s">
        <v>219</v>
      </c>
      <c r="AI117" s="377" t="s">
        <v>223</v>
      </c>
      <c r="AJ117" s="377" t="s">
        <v>227</v>
      </c>
      <c r="AK117" s="377" t="s">
        <v>228</v>
      </c>
    </row>
    <row r="118" spans="23:49" ht="23" thickBot="1">
      <c r="W118" s="384"/>
      <c r="X118" s="384"/>
      <c r="Y118" s="384"/>
      <c r="AH118" s="378" t="str">
        <f t="shared" ref="AH118:AH123" si="42">AH103</f>
        <v>Engineering</v>
      </c>
      <c r="AI118" s="379">
        <f>AL103</f>
        <v>6.1408318631462899E-2</v>
      </c>
      <c r="AJ118" s="380"/>
      <c r="AK118" s="380"/>
    </row>
    <row r="119" spans="23:49" ht="23" thickBot="1">
      <c r="W119" s="384"/>
      <c r="X119" s="384"/>
      <c r="Y119" s="384"/>
      <c r="AH119" s="378" t="str">
        <f t="shared" si="42"/>
        <v>Ordering</v>
      </c>
      <c r="AI119" s="379">
        <f t="shared" ref="AI119:AI124" si="43">AL104</f>
        <v>0.24285386100386108</v>
      </c>
      <c r="AJ119" s="380"/>
      <c r="AK119" s="380"/>
    </row>
    <row r="120" spans="23:49" ht="23" thickBot="1">
      <c r="W120" s="384"/>
      <c r="X120" s="384"/>
      <c r="Y120" s="384"/>
      <c r="AH120" s="378" t="str">
        <f t="shared" si="42"/>
        <v>Deliveries</v>
      </c>
      <c r="AI120" s="379">
        <f t="shared" si="43"/>
        <v>0.41456486694350708</v>
      </c>
      <c r="AJ120" s="380"/>
      <c r="AK120" s="380"/>
    </row>
    <row r="121" spans="23:49" ht="23" thickBot="1">
      <c r="W121" s="384"/>
      <c r="X121" s="384"/>
      <c r="Y121" s="384"/>
      <c r="AH121" s="378" t="str">
        <f t="shared" si="42"/>
        <v>Construction</v>
      </c>
      <c r="AI121" s="379">
        <f t="shared" si="43"/>
        <v>0.21901933003610247</v>
      </c>
      <c r="AJ121" s="380"/>
      <c r="AK121" s="380"/>
    </row>
    <row r="122" spans="23:49" ht="23" thickBot="1">
      <c r="W122" s="384"/>
      <c r="X122" s="384"/>
      <c r="Y122" s="384"/>
      <c r="AH122" s="378" t="str">
        <f t="shared" si="42"/>
        <v>Commissioning</v>
      </c>
      <c r="AI122" s="379">
        <f t="shared" si="43"/>
        <v>0</v>
      </c>
      <c r="AJ122" s="380"/>
      <c r="AK122" s="380"/>
    </row>
    <row r="123" spans="23:49" ht="25.5" thickBot="1">
      <c r="W123" s="384"/>
      <c r="X123" s="384"/>
      <c r="Y123" s="384"/>
      <c r="AH123" s="378" t="str">
        <f t="shared" si="42"/>
        <v>Statutory Approval</v>
      </c>
      <c r="AI123" s="385">
        <f t="shared" si="43"/>
        <v>0.15000000000000002</v>
      </c>
      <c r="AJ123" s="380"/>
      <c r="AK123" s="380"/>
    </row>
    <row r="124" spans="23:49" ht="23" thickBot="1">
      <c r="W124" s="384"/>
      <c r="X124" s="384"/>
      <c r="Y124" s="384"/>
      <c r="AH124" s="381" t="s">
        <v>132</v>
      </c>
      <c r="AI124" s="679">
        <f t="shared" si="43"/>
        <v>-0.38686302588691202</v>
      </c>
      <c r="AJ124" s="382"/>
      <c r="AK124" s="382"/>
    </row>
    <row r="125" spans="23:49">
      <c r="W125" s="384"/>
      <c r="X125" s="384"/>
      <c r="Y125" s="384"/>
    </row>
    <row r="126" spans="23:49">
      <c r="W126" s="384"/>
      <c r="X126" s="384"/>
      <c r="Y126" s="384"/>
    </row>
    <row r="127" spans="23:49">
      <c r="W127" s="384"/>
      <c r="X127" s="384"/>
      <c r="Y127" s="384"/>
    </row>
    <row r="128" spans="23:49">
      <c r="W128" s="384"/>
      <c r="X128" s="384"/>
      <c r="Y128" s="384"/>
    </row>
    <row r="129" spans="23:25">
      <c r="W129" s="384"/>
      <c r="X129" s="384"/>
      <c r="Y129" s="384"/>
    </row>
    <row r="130" spans="23:25">
      <c r="W130" s="384"/>
      <c r="X130" s="384"/>
      <c r="Y130" s="384"/>
    </row>
    <row r="131" spans="23:25">
      <c r="W131" s="384"/>
      <c r="X131" s="384"/>
      <c r="Y131" s="384"/>
    </row>
    <row r="132" spans="23:25">
      <c r="W132" s="384"/>
      <c r="X132" s="384"/>
      <c r="Y132" s="384"/>
    </row>
    <row r="133" spans="23:25">
      <c r="W133" s="384"/>
      <c r="X133" s="384"/>
      <c r="Y133" s="384"/>
    </row>
    <row r="134" spans="23:25">
      <c r="W134" s="384"/>
      <c r="X134" s="384"/>
      <c r="Y134" s="384"/>
    </row>
    <row r="135" spans="23:25">
      <c r="W135" s="384"/>
      <c r="X135" s="384"/>
      <c r="Y135" s="384"/>
    </row>
    <row r="136" spans="23:25">
      <c r="W136" s="384"/>
      <c r="X136" s="384"/>
      <c r="Y136" s="384"/>
    </row>
    <row r="137" spans="23:25">
      <c r="W137" s="384"/>
      <c r="X137" s="384"/>
      <c r="Y137" s="384"/>
    </row>
    <row r="138" spans="23:25">
      <c r="W138" s="384"/>
      <c r="X138" s="384"/>
      <c r="Y138" s="384"/>
    </row>
    <row r="139" spans="23:25">
      <c r="W139" s="384"/>
      <c r="X139" s="384"/>
      <c r="Y139" s="384"/>
    </row>
  </sheetData>
  <mergeCells count="48">
    <mergeCell ref="AR110:AR111"/>
    <mergeCell ref="AS110:AS111"/>
    <mergeCell ref="AT110:AT111"/>
    <mergeCell ref="AR104:AR105"/>
    <mergeCell ref="AS104:AS105"/>
    <mergeCell ref="AT104:AT105"/>
    <mergeCell ref="AR106:AR107"/>
    <mergeCell ref="AS106:AS107"/>
    <mergeCell ref="AT106:AT107"/>
    <mergeCell ref="AN110:AN111"/>
    <mergeCell ref="AO110:AO111"/>
    <mergeCell ref="AP110:AP111"/>
    <mergeCell ref="AN104:AN105"/>
    <mergeCell ref="AO104:AO105"/>
    <mergeCell ref="AP104:AP105"/>
    <mergeCell ref="AN106:AN107"/>
    <mergeCell ref="AO106:AO107"/>
    <mergeCell ref="AP106:AP107"/>
    <mergeCell ref="C74:C77"/>
    <mergeCell ref="E74:E77"/>
    <mergeCell ref="G74:G77"/>
    <mergeCell ref="G47:G52"/>
    <mergeCell ref="G43:G46"/>
    <mergeCell ref="C53:C63"/>
    <mergeCell ref="E53:E63"/>
    <mergeCell ref="G53:G63"/>
    <mergeCell ref="C64:C73"/>
    <mergeCell ref="E64:E73"/>
    <mergeCell ref="E47:E52"/>
    <mergeCell ref="C47:C52"/>
    <mergeCell ref="E43:E46"/>
    <mergeCell ref="C43:C46"/>
    <mergeCell ref="G64:G73"/>
    <mergeCell ref="G4:G7"/>
    <mergeCell ref="G8:G13"/>
    <mergeCell ref="G14:G24"/>
    <mergeCell ref="G25:G34"/>
    <mergeCell ref="G35:G38"/>
    <mergeCell ref="E4:E7"/>
    <mergeCell ref="E8:E13"/>
    <mergeCell ref="E14:E24"/>
    <mergeCell ref="E25:E34"/>
    <mergeCell ref="E35:E38"/>
    <mergeCell ref="C4:C7"/>
    <mergeCell ref="C8:C13"/>
    <mergeCell ref="C14:C24"/>
    <mergeCell ref="C25:C34"/>
    <mergeCell ref="C35:C3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62"/>
  <sheetViews>
    <sheetView topLeftCell="T1" zoomScale="50" zoomScaleNormal="50" workbookViewId="0">
      <pane ySplit="1" topLeftCell="A53" activePane="bottomLeft" state="frozen"/>
      <selection pane="bottomLeft" activeCell="AD68" sqref="AD68"/>
    </sheetView>
  </sheetViews>
  <sheetFormatPr defaultRowHeight="14.5"/>
  <cols>
    <col min="1" max="1" width="7.54296875" bestFit="1" customWidth="1"/>
    <col min="2" max="2" width="23" customWidth="1"/>
    <col min="3" max="3" width="19.81640625" customWidth="1"/>
    <col min="4" max="4" width="12.453125" customWidth="1"/>
    <col min="5" max="5" width="16.1796875" customWidth="1"/>
    <col min="6" max="16" width="10.7265625" customWidth="1"/>
    <col min="17" max="17" width="10.7265625" style="332" customWidth="1"/>
    <col min="18" max="21" width="10.7265625" style="564" customWidth="1"/>
    <col min="22" max="22" width="10.7265625" style="358" customWidth="1"/>
    <col min="23" max="28" width="10.7265625" customWidth="1"/>
    <col min="29" max="29" width="11.7265625" customWidth="1"/>
    <col min="30" max="30" width="9.1796875" style="5" customWidth="1"/>
    <col min="31" max="31" width="10.81640625" bestFit="1" customWidth="1"/>
    <col min="32" max="32" width="14.54296875" customWidth="1"/>
    <col min="33" max="33" width="17.7265625" customWidth="1"/>
    <col min="35" max="35" width="12.81640625" customWidth="1"/>
    <col min="37" max="37" width="24.81640625" customWidth="1"/>
    <col min="38" max="38" width="60.54296875" customWidth="1"/>
    <col min="39" max="39" width="14.26953125" customWidth="1"/>
    <col min="40" max="40" width="15.1796875" customWidth="1"/>
    <col min="41" max="41" width="16.453125" customWidth="1"/>
    <col min="42" max="42" width="21.1796875" customWidth="1"/>
  </cols>
  <sheetData>
    <row r="1" spans="1:31" ht="16" thickBot="1">
      <c r="A1" s="27" t="s">
        <v>37</v>
      </c>
      <c r="B1" s="27"/>
      <c r="C1" s="27" t="s">
        <v>38</v>
      </c>
      <c r="D1" s="27" t="s">
        <v>39</v>
      </c>
      <c r="E1" s="316" t="s">
        <v>1</v>
      </c>
      <c r="F1" s="317">
        <v>45292</v>
      </c>
      <c r="G1" s="317">
        <v>45323</v>
      </c>
      <c r="H1" s="317">
        <v>45352</v>
      </c>
      <c r="I1" s="317">
        <v>45383</v>
      </c>
      <c r="J1" s="317">
        <v>45413</v>
      </c>
      <c r="K1" s="317">
        <v>45444</v>
      </c>
      <c r="L1" s="317">
        <v>45474</v>
      </c>
      <c r="M1" s="317">
        <v>45505</v>
      </c>
      <c r="N1" s="317">
        <v>45536</v>
      </c>
      <c r="O1" s="317">
        <v>45566</v>
      </c>
      <c r="P1" s="317">
        <v>45597</v>
      </c>
      <c r="Q1" s="386">
        <v>45627</v>
      </c>
      <c r="R1" s="386">
        <v>45658</v>
      </c>
      <c r="S1" s="386">
        <v>45689</v>
      </c>
      <c r="T1" s="386">
        <v>45717</v>
      </c>
      <c r="U1" s="386">
        <v>45748</v>
      </c>
      <c r="V1" s="405">
        <v>45778</v>
      </c>
      <c r="W1" s="317">
        <v>45809</v>
      </c>
      <c r="X1" s="317">
        <v>45839</v>
      </c>
      <c r="Y1" s="317">
        <v>45870</v>
      </c>
      <c r="Z1" s="317">
        <v>45901</v>
      </c>
      <c r="AA1" s="317">
        <v>45931</v>
      </c>
      <c r="AB1" s="317">
        <v>45962</v>
      </c>
      <c r="AC1" s="1156" t="s">
        <v>198</v>
      </c>
      <c r="AD1" s="1157"/>
      <c r="AE1" s="1158"/>
    </row>
    <row r="2" spans="1:31" ht="15" thickTop="1">
      <c r="A2" s="28" t="s">
        <v>40</v>
      </c>
      <c r="B2" s="29" t="s">
        <v>11</v>
      </c>
      <c r="C2" s="30" t="s">
        <v>41</v>
      </c>
      <c r="D2" s="31"/>
      <c r="E2" s="33" t="s">
        <v>30</v>
      </c>
      <c r="F2" s="33"/>
      <c r="G2" s="33">
        <v>23</v>
      </c>
      <c r="H2" s="33">
        <v>205</v>
      </c>
      <c r="I2" s="33">
        <v>76</v>
      </c>
      <c r="J2" s="33">
        <v>211</v>
      </c>
      <c r="K2" s="33">
        <v>107</v>
      </c>
      <c r="L2" s="33">
        <v>6</v>
      </c>
      <c r="M2" s="33">
        <v>31</v>
      </c>
      <c r="N2" s="33">
        <v>2</v>
      </c>
      <c r="O2" s="33">
        <v>303</v>
      </c>
      <c r="P2" s="33">
        <v>90</v>
      </c>
      <c r="Q2" s="33">
        <v>16</v>
      </c>
      <c r="R2" s="33"/>
      <c r="S2" s="33"/>
      <c r="T2" s="33"/>
      <c r="U2" s="33"/>
      <c r="V2" s="822"/>
      <c r="W2" s="32"/>
      <c r="X2" s="32"/>
      <c r="Y2" s="32"/>
      <c r="Z2" s="32"/>
      <c r="AA2" s="32"/>
      <c r="AB2" s="520"/>
      <c r="AC2" s="516"/>
      <c r="AD2" s="311" t="s">
        <v>42</v>
      </c>
      <c r="AE2" s="711">
        <f>AC3/AC3</f>
        <v>1</v>
      </c>
    </row>
    <row r="3" spans="1:31">
      <c r="A3" s="34" t="s">
        <v>40</v>
      </c>
      <c r="B3" s="139"/>
      <c r="C3" s="521" t="s">
        <v>41</v>
      </c>
      <c r="D3" s="522"/>
      <c r="E3" s="510" t="s">
        <v>43</v>
      </c>
      <c r="F3" s="510"/>
      <c r="G3" s="510">
        <v>23</v>
      </c>
      <c r="H3" s="510">
        <v>228</v>
      </c>
      <c r="I3" s="510">
        <v>304</v>
      </c>
      <c r="J3" s="510">
        <v>515</v>
      </c>
      <c r="K3" s="510">
        <v>622</v>
      </c>
      <c r="L3" s="510">
        <v>628</v>
      </c>
      <c r="M3" s="510">
        <v>659</v>
      </c>
      <c r="N3" s="510">
        <v>661</v>
      </c>
      <c r="O3" s="510">
        <v>964</v>
      </c>
      <c r="P3" s="510">
        <v>1054</v>
      </c>
      <c r="Q3" s="523">
        <v>1070</v>
      </c>
      <c r="R3" s="523"/>
      <c r="S3" s="523"/>
      <c r="T3" s="523"/>
      <c r="U3" s="523"/>
      <c r="V3" s="823"/>
      <c r="W3" s="139"/>
      <c r="X3" s="139"/>
      <c r="Y3" s="139"/>
      <c r="Z3" s="139"/>
      <c r="AA3" s="139"/>
      <c r="AB3" s="35"/>
      <c r="AC3" s="517">
        <f>MAX(F3:Z3)</f>
        <v>1070</v>
      </c>
      <c r="AD3" s="312" t="s">
        <v>44</v>
      </c>
      <c r="AE3" s="712">
        <f>AC5/AC3</f>
        <v>0.96635514018691593</v>
      </c>
    </row>
    <row r="4" spans="1:31">
      <c r="A4" s="34" t="s">
        <v>40</v>
      </c>
      <c r="B4" s="139"/>
      <c r="C4" s="521" t="s">
        <v>41</v>
      </c>
      <c r="D4" s="522"/>
      <c r="E4" s="139" t="s">
        <v>32</v>
      </c>
      <c r="F4" s="139"/>
      <c r="G4" s="139"/>
      <c r="H4" s="139">
        <v>203</v>
      </c>
      <c r="I4" s="139">
        <v>88</v>
      </c>
      <c r="J4" s="139">
        <v>65</v>
      </c>
      <c r="K4" s="139">
        <v>107</v>
      </c>
      <c r="L4" s="139">
        <v>73</v>
      </c>
      <c r="M4" s="139">
        <v>98</v>
      </c>
      <c r="N4" s="139">
        <v>75</v>
      </c>
      <c r="O4" s="139">
        <v>75</v>
      </c>
      <c r="P4" s="139">
        <v>115</v>
      </c>
      <c r="Q4" s="139">
        <v>32</v>
      </c>
      <c r="R4" s="139">
        <v>64</v>
      </c>
      <c r="S4" s="139">
        <v>21</v>
      </c>
      <c r="T4" s="139">
        <v>11</v>
      </c>
      <c r="U4" s="310">
        <v>7</v>
      </c>
      <c r="V4" s="823"/>
      <c r="W4" s="139"/>
      <c r="X4" s="139"/>
      <c r="Y4" s="139"/>
      <c r="Z4" s="139"/>
      <c r="AA4" s="139"/>
      <c r="AB4" s="35"/>
      <c r="AC4" s="517"/>
      <c r="AD4" s="313"/>
      <c r="AE4" s="515"/>
    </row>
    <row r="5" spans="1:31">
      <c r="A5" s="34" t="s">
        <v>40</v>
      </c>
      <c r="B5" s="139"/>
      <c r="C5" s="521" t="s">
        <v>41</v>
      </c>
      <c r="D5" s="522"/>
      <c r="E5" s="139" t="s">
        <v>45</v>
      </c>
      <c r="F5" s="139"/>
      <c r="G5" s="139"/>
      <c r="H5" s="139">
        <v>203</v>
      </c>
      <c r="I5" s="139">
        <v>291</v>
      </c>
      <c r="J5" s="139">
        <v>356</v>
      </c>
      <c r="K5" s="139">
        <v>463</v>
      </c>
      <c r="L5" s="139">
        <v>536</v>
      </c>
      <c r="M5" s="139">
        <v>634</v>
      </c>
      <c r="N5" s="139">
        <v>709</v>
      </c>
      <c r="O5" s="139">
        <v>784</v>
      </c>
      <c r="P5" s="139">
        <v>899</v>
      </c>
      <c r="Q5" s="139">
        <v>931</v>
      </c>
      <c r="R5" s="139">
        <v>995</v>
      </c>
      <c r="S5" s="139">
        <f>R5+S4</f>
        <v>1016</v>
      </c>
      <c r="T5" s="139">
        <f>S5+T4</f>
        <v>1027</v>
      </c>
      <c r="U5" s="139">
        <f>T5+U4</f>
        <v>1034</v>
      </c>
      <c r="V5" s="824">
        <f>U5+V4</f>
        <v>1034</v>
      </c>
      <c r="W5" s="139"/>
      <c r="X5" s="139"/>
      <c r="Y5" s="139"/>
      <c r="Z5" s="139"/>
      <c r="AA5" s="139"/>
      <c r="AB5" s="35"/>
      <c r="AC5" s="517">
        <f>MAX(F5:Z5)</f>
        <v>1034</v>
      </c>
      <c r="AD5" s="313"/>
      <c r="AE5" s="515"/>
    </row>
    <row r="6" spans="1:31" ht="15" thickBot="1">
      <c r="A6" s="34"/>
      <c r="B6" s="139"/>
      <c r="C6" s="139"/>
      <c r="D6" s="139"/>
      <c r="E6" s="139"/>
      <c r="F6" s="139"/>
      <c r="G6" s="139"/>
      <c r="H6" s="139"/>
      <c r="I6" s="139"/>
      <c r="J6" s="139"/>
      <c r="K6" s="139"/>
      <c r="L6" s="139"/>
      <c r="M6" s="139"/>
      <c r="N6" s="139"/>
      <c r="O6" s="139"/>
      <c r="P6" s="139"/>
      <c r="Q6" s="139"/>
      <c r="R6" s="139"/>
      <c r="S6" s="139"/>
      <c r="T6" s="139"/>
      <c r="U6" s="139"/>
      <c r="V6" s="823"/>
      <c r="W6" s="139"/>
      <c r="X6" s="139"/>
      <c r="Y6" s="139"/>
      <c r="Z6" s="139"/>
      <c r="AA6" s="139"/>
      <c r="AB6" s="35"/>
      <c r="AC6" s="518"/>
      <c r="AD6" s="313"/>
      <c r="AE6" s="515"/>
    </row>
    <row r="7" spans="1:31">
      <c r="A7" s="34" t="s">
        <v>40</v>
      </c>
      <c r="B7" s="6" t="s">
        <v>16</v>
      </c>
      <c r="C7" s="521" t="s">
        <v>46</v>
      </c>
      <c r="D7" s="522"/>
      <c r="E7" s="510" t="s">
        <v>30</v>
      </c>
      <c r="F7" s="510"/>
      <c r="G7" s="510"/>
      <c r="H7" s="510"/>
      <c r="I7" s="510"/>
      <c r="J7" s="510">
        <v>2</v>
      </c>
      <c r="K7" s="510">
        <v>18</v>
      </c>
      <c r="L7" s="510">
        <v>35</v>
      </c>
      <c r="M7" s="510">
        <v>35</v>
      </c>
      <c r="N7" s="510">
        <v>65</v>
      </c>
      <c r="O7" s="510">
        <v>65</v>
      </c>
      <c r="P7" s="510">
        <v>65</v>
      </c>
      <c r="Q7" s="510">
        <v>60</v>
      </c>
      <c r="R7" s="510">
        <v>44</v>
      </c>
      <c r="S7" s="510">
        <v>20</v>
      </c>
      <c r="T7" s="510"/>
      <c r="U7" s="510"/>
      <c r="V7" s="825"/>
      <c r="W7" s="139"/>
      <c r="X7" s="139"/>
      <c r="Y7" s="139"/>
      <c r="Z7" s="139"/>
      <c r="AA7" s="139"/>
      <c r="AB7" s="35"/>
      <c r="AC7" s="518"/>
      <c r="AD7" s="314" t="s">
        <v>42</v>
      </c>
      <c r="AE7" s="711">
        <f>AC8/AC8</f>
        <v>1</v>
      </c>
    </row>
    <row r="8" spans="1:31">
      <c r="A8" s="34" t="s">
        <v>40</v>
      </c>
      <c r="B8" s="139"/>
      <c r="C8" s="521" t="s">
        <v>46</v>
      </c>
      <c r="D8" s="522"/>
      <c r="E8" s="510" t="s">
        <v>43</v>
      </c>
      <c r="F8" s="510"/>
      <c r="G8" s="510"/>
      <c r="H8" s="510"/>
      <c r="I8" s="510"/>
      <c r="J8" s="510">
        <v>2</v>
      </c>
      <c r="K8" s="510">
        <v>20</v>
      </c>
      <c r="L8" s="510">
        <v>55</v>
      </c>
      <c r="M8" s="510">
        <v>90</v>
      </c>
      <c r="N8" s="510">
        <v>155</v>
      </c>
      <c r="O8" s="510">
        <v>220</v>
      </c>
      <c r="P8" s="510">
        <v>285</v>
      </c>
      <c r="Q8" s="510">
        <v>345</v>
      </c>
      <c r="R8" s="510">
        <v>389</v>
      </c>
      <c r="S8" s="510">
        <v>409</v>
      </c>
      <c r="T8" s="510"/>
      <c r="U8" s="510"/>
      <c r="V8" s="825"/>
      <c r="W8" s="139"/>
      <c r="X8" s="370">
        <f>U8-Q10</f>
        <v>-237</v>
      </c>
      <c r="Y8" s="139"/>
      <c r="Z8" s="139"/>
      <c r="AA8" s="139"/>
      <c r="AB8" s="35"/>
      <c r="AC8" s="517">
        <f>MAX(F8:Z8)</f>
        <v>409</v>
      </c>
      <c r="AD8" s="312" t="s">
        <v>44</v>
      </c>
      <c r="AE8" s="712">
        <f>AC10/AC8</f>
        <v>0.84352078239608796</v>
      </c>
    </row>
    <row r="9" spans="1:31">
      <c r="A9" s="34" t="s">
        <v>40</v>
      </c>
      <c r="B9" s="139"/>
      <c r="C9" s="521" t="s">
        <v>46</v>
      </c>
      <c r="D9" s="522"/>
      <c r="E9" s="139" t="s">
        <v>32</v>
      </c>
      <c r="F9" s="139"/>
      <c r="G9" s="139"/>
      <c r="H9" s="139"/>
      <c r="I9" s="139"/>
      <c r="J9" s="139">
        <v>2</v>
      </c>
      <c r="K9" s="139">
        <v>26</v>
      </c>
      <c r="L9" s="139">
        <v>0</v>
      </c>
      <c r="M9" s="139">
        <v>5</v>
      </c>
      <c r="N9" s="139">
        <v>20</v>
      </c>
      <c r="O9" s="139">
        <v>20</v>
      </c>
      <c r="P9" s="139">
        <v>10</v>
      </c>
      <c r="Q9" s="139">
        <v>154</v>
      </c>
      <c r="R9" s="139">
        <v>1</v>
      </c>
      <c r="S9" s="139">
        <v>10</v>
      </c>
      <c r="T9" s="139"/>
      <c r="U9" s="310">
        <v>97</v>
      </c>
      <c r="V9" s="823"/>
      <c r="W9" s="139"/>
      <c r="X9" s="139"/>
      <c r="Y9" s="139"/>
      <c r="Z9" s="139"/>
      <c r="AA9" s="139"/>
      <c r="AB9" s="35"/>
      <c r="AC9" s="517"/>
      <c r="AD9" s="313"/>
      <c r="AE9" s="515"/>
    </row>
    <row r="10" spans="1:31">
      <c r="A10" s="34" t="s">
        <v>40</v>
      </c>
      <c r="B10" s="139"/>
      <c r="C10" s="521" t="s">
        <v>46</v>
      </c>
      <c r="D10" s="522"/>
      <c r="E10" s="139" t="s">
        <v>45</v>
      </c>
      <c r="F10" s="139"/>
      <c r="G10" s="139"/>
      <c r="H10" s="139"/>
      <c r="I10" s="139"/>
      <c r="J10" s="139">
        <v>2</v>
      </c>
      <c r="K10" s="139">
        <v>28</v>
      </c>
      <c r="L10" s="139">
        <v>28</v>
      </c>
      <c r="M10" s="139">
        <v>33</v>
      </c>
      <c r="N10" s="139">
        <v>53</v>
      </c>
      <c r="O10" s="139">
        <v>73</v>
      </c>
      <c r="P10" s="139">
        <v>83</v>
      </c>
      <c r="Q10" s="139">
        <v>237</v>
      </c>
      <c r="R10" s="139">
        <v>238</v>
      </c>
      <c r="S10" s="139">
        <f>R10+S9</f>
        <v>248</v>
      </c>
      <c r="T10" s="139">
        <f>S10+T9</f>
        <v>248</v>
      </c>
      <c r="U10" s="139">
        <f>T10+U9</f>
        <v>345</v>
      </c>
      <c r="V10" s="824">
        <f>U10+V9</f>
        <v>345</v>
      </c>
      <c r="W10" s="139"/>
      <c r="X10" s="139"/>
      <c r="Y10" s="139"/>
      <c r="Z10" s="139"/>
      <c r="AA10" s="139"/>
      <c r="AB10" s="35"/>
      <c r="AC10" s="517">
        <f>MAX(F10:Z10)</f>
        <v>345</v>
      </c>
      <c r="AD10" s="313"/>
      <c r="AE10" s="515"/>
    </row>
    <row r="11" spans="1:31" ht="15" thickBot="1">
      <c r="A11" s="34"/>
      <c r="B11" s="139"/>
      <c r="C11" s="139"/>
      <c r="D11" s="139"/>
      <c r="E11" s="139"/>
      <c r="F11" s="139"/>
      <c r="G11" s="139"/>
      <c r="H11" s="139"/>
      <c r="I11" s="139"/>
      <c r="J11" s="139"/>
      <c r="K11" s="139"/>
      <c r="L11" s="139"/>
      <c r="M11" s="139"/>
      <c r="N11" s="139"/>
      <c r="O11" s="139"/>
      <c r="P11" s="139"/>
      <c r="Q11" s="139"/>
      <c r="R11" s="139"/>
      <c r="S11" s="139"/>
      <c r="T11" s="139"/>
      <c r="U11" s="139"/>
      <c r="V11" s="823"/>
      <c r="W11" s="139"/>
      <c r="X11" s="139"/>
      <c r="Y11" s="139"/>
      <c r="Z11" s="139"/>
      <c r="AA11" s="139"/>
      <c r="AB11" s="35"/>
      <c r="AC11" s="518"/>
      <c r="AD11" s="313"/>
      <c r="AE11" s="515"/>
    </row>
    <row r="12" spans="1:31">
      <c r="A12" s="36" t="s">
        <v>40</v>
      </c>
      <c r="B12" s="522"/>
      <c r="C12" s="139" t="s">
        <v>47</v>
      </c>
      <c r="D12" s="522" t="s">
        <v>21</v>
      </c>
      <c r="E12" s="510" t="s">
        <v>30</v>
      </c>
      <c r="F12" s="511"/>
      <c r="G12" s="511"/>
      <c r="H12" s="511"/>
      <c r="I12" s="511"/>
      <c r="J12" s="511">
        <v>12484</v>
      </c>
      <c r="K12" s="511">
        <v>12618</v>
      </c>
      <c r="L12" s="511">
        <v>8162</v>
      </c>
      <c r="M12" s="511">
        <v>3039</v>
      </c>
      <c r="N12" s="511">
        <v>11053</v>
      </c>
      <c r="O12" s="511">
        <v>11998</v>
      </c>
      <c r="P12" s="511">
        <v>11937</v>
      </c>
      <c r="Q12" s="511">
        <v>7627</v>
      </c>
      <c r="R12" s="511">
        <v>4421</v>
      </c>
      <c r="S12" s="511">
        <v>3761</v>
      </c>
      <c r="T12" s="511"/>
      <c r="U12" s="511"/>
      <c r="V12" s="826"/>
      <c r="W12" s="139"/>
      <c r="X12" s="139"/>
      <c r="Y12" s="139"/>
      <c r="Z12" s="139"/>
      <c r="AA12" s="139"/>
      <c r="AB12" s="35"/>
      <c r="AC12" s="518"/>
      <c r="AD12" s="314" t="s">
        <v>42</v>
      </c>
      <c r="AE12" s="711">
        <f>AC13/AC13</f>
        <v>1</v>
      </c>
    </row>
    <row r="13" spans="1:31">
      <c r="A13" s="36" t="s">
        <v>40</v>
      </c>
      <c r="B13" s="522"/>
      <c r="C13" s="139" t="s">
        <v>47</v>
      </c>
      <c r="D13" s="522" t="s">
        <v>21</v>
      </c>
      <c r="E13" s="510" t="s">
        <v>43</v>
      </c>
      <c r="F13" s="511"/>
      <c r="G13" s="511"/>
      <c r="H13" s="511"/>
      <c r="I13" s="511"/>
      <c r="J13" s="511">
        <v>12484</v>
      </c>
      <c r="K13" s="511">
        <v>25102</v>
      </c>
      <c r="L13" s="511">
        <v>33264</v>
      </c>
      <c r="M13" s="511">
        <v>36303</v>
      </c>
      <c r="N13" s="511">
        <v>47356</v>
      </c>
      <c r="O13" s="511">
        <v>59354</v>
      </c>
      <c r="P13" s="511">
        <v>71291</v>
      </c>
      <c r="Q13" s="511">
        <v>78918</v>
      </c>
      <c r="R13" s="511">
        <v>83339</v>
      </c>
      <c r="S13" s="511">
        <v>87100</v>
      </c>
      <c r="T13" s="511"/>
      <c r="U13" s="511"/>
      <c r="V13" s="826"/>
      <c r="W13" s="139"/>
      <c r="X13" s="139"/>
      <c r="Y13" s="139"/>
      <c r="Z13" s="139"/>
      <c r="AA13" s="139"/>
      <c r="AB13" s="35"/>
      <c r="AC13" s="517">
        <f>MAX(F13:Z13)</f>
        <v>87100</v>
      </c>
      <c r="AD13" s="312" t="s">
        <v>44</v>
      </c>
      <c r="AE13" s="712">
        <f>AC15/AC13</f>
        <v>0.99885189437428246</v>
      </c>
    </row>
    <row r="14" spans="1:31">
      <c r="A14" s="36" t="s">
        <v>40</v>
      </c>
      <c r="B14" s="522"/>
      <c r="C14" s="139" t="s">
        <v>47</v>
      </c>
      <c r="D14" s="522" t="s">
        <v>21</v>
      </c>
      <c r="E14" s="139" t="s">
        <v>32</v>
      </c>
      <c r="F14" s="370"/>
      <c r="G14" s="370"/>
      <c r="H14" s="370">
        <v>6453</v>
      </c>
      <c r="I14" s="370">
        <v>4234</v>
      </c>
      <c r="J14" s="370">
        <v>7016</v>
      </c>
      <c r="K14" s="370">
        <v>7119</v>
      </c>
      <c r="L14" s="370">
        <v>6541</v>
      </c>
      <c r="M14" s="370">
        <v>3785</v>
      </c>
      <c r="N14" s="370">
        <v>20760</v>
      </c>
      <c r="O14" s="370">
        <v>6423</v>
      </c>
      <c r="P14" s="370">
        <v>6740</v>
      </c>
      <c r="Q14" s="370">
        <v>9763</v>
      </c>
      <c r="R14" s="370">
        <v>7060</v>
      </c>
      <c r="S14" s="370">
        <v>500</v>
      </c>
      <c r="T14" s="370"/>
      <c r="U14" s="370">
        <v>606</v>
      </c>
      <c r="V14" s="827"/>
      <c r="W14" s="139"/>
      <c r="X14" s="139"/>
      <c r="Y14" s="139"/>
      <c r="Z14" s="139"/>
      <c r="AA14" s="139"/>
      <c r="AB14" s="35"/>
      <c r="AC14" s="517"/>
      <c r="AD14" s="313"/>
      <c r="AE14" s="515"/>
    </row>
    <row r="15" spans="1:31">
      <c r="A15" s="36" t="s">
        <v>40</v>
      </c>
      <c r="B15" s="522"/>
      <c r="C15" s="139" t="s">
        <v>47</v>
      </c>
      <c r="D15" s="522" t="s">
        <v>21</v>
      </c>
      <c r="E15" s="139" t="s">
        <v>45</v>
      </c>
      <c r="F15" s="370"/>
      <c r="G15" s="370"/>
      <c r="H15" s="370">
        <v>6453</v>
      </c>
      <c r="I15" s="370">
        <v>10687</v>
      </c>
      <c r="J15" s="370">
        <v>17703</v>
      </c>
      <c r="K15" s="370">
        <v>24822</v>
      </c>
      <c r="L15" s="370">
        <v>31363</v>
      </c>
      <c r="M15" s="370">
        <v>35148</v>
      </c>
      <c r="N15" s="370">
        <v>55908</v>
      </c>
      <c r="O15" s="370">
        <v>62331</v>
      </c>
      <c r="P15" s="370">
        <v>69071</v>
      </c>
      <c r="Q15" s="370">
        <v>78834</v>
      </c>
      <c r="R15" s="370">
        <v>85894</v>
      </c>
      <c r="S15" s="370">
        <f>R15+S14</f>
        <v>86394</v>
      </c>
      <c r="T15" s="370">
        <f>S15+T14</f>
        <v>86394</v>
      </c>
      <c r="U15" s="370">
        <f>T15+U14</f>
        <v>87000</v>
      </c>
      <c r="V15" s="824">
        <f>U15+V14</f>
        <v>87000</v>
      </c>
      <c r="W15" s="139"/>
      <c r="X15" s="139"/>
      <c r="Y15" s="139"/>
      <c r="Z15" s="139"/>
      <c r="AA15" s="139"/>
      <c r="AB15" s="35"/>
      <c r="AC15" s="517">
        <f>MAX(F15:Z15)</f>
        <v>87000</v>
      </c>
      <c r="AD15" s="313"/>
      <c r="AE15" s="515"/>
    </row>
    <row r="16" spans="1:31" ht="15" thickBot="1">
      <c r="A16" s="36"/>
      <c r="B16" s="522"/>
      <c r="C16" s="139"/>
      <c r="D16" s="139"/>
      <c r="E16" s="139"/>
      <c r="F16" s="370"/>
      <c r="G16" s="370"/>
      <c r="H16" s="370"/>
      <c r="I16" s="370"/>
      <c r="J16" s="370"/>
      <c r="K16" s="370"/>
      <c r="L16" s="370"/>
      <c r="M16" s="370"/>
      <c r="N16" s="370"/>
      <c r="O16" s="370"/>
      <c r="P16" s="370"/>
      <c r="Q16" s="370"/>
      <c r="R16" s="370"/>
      <c r="S16" s="370"/>
      <c r="T16" s="370"/>
      <c r="U16" s="370"/>
      <c r="V16" s="827"/>
      <c r="W16" s="139"/>
      <c r="X16" s="139"/>
      <c r="Y16" s="139"/>
      <c r="Z16" s="139"/>
      <c r="AA16" s="139"/>
      <c r="AB16" s="35"/>
      <c r="AC16" s="518"/>
      <c r="AD16" s="313"/>
      <c r="AE16" s="515"/>
    </row>
    <row r="17" spans="1:34">
      <c r="A17" s="36" t="s">
        <v>40</v>
      </c>
      <c r="B17" s="522"/>
      <c r="C17" s="139" t="s">
        <v>48</v>
      </c>
      <c r="D17" s="522" t="s">
        <v>49</v>
      </c>
      <c r="E17" s="510" t="s">
        <v>30</v>
      </c>
      <c r="F17" s="510"/>
      <c r="G17" s="510"/>
      <c r="H17" s="510"/>
      <c r="I17" s="510"/>
      <c r="J17" s="510"/>
      <c r="K17" s="510"/>
      <c r="L17" s="511">
        <v>540.6</v>
      </c>
      <c r="M17" s="511">
        <v>1341.7099999999998</v>
      </c>
      <c r="N17" s="511">
        <v>2846.09</v>
      </c>
      <c r="O17" s="511">
        <v>158.26000000000002</v>
      </c>
      <c r="P17" s="511">
        <v>71.56</v>
      </c>
      <c r="Q17" s="511">
        <v>68.48</v>
      </c>
      <c r="R17" s="511">
        <v>46.9</v>
      </c>
      <c r="S17" s="511"/>
      <c r="T17" s="511"/>
      <c r="U17" s="511"/>
      <c r="V17" s="826"/>
      <c r="W17" s="139"/>
      <c r="X17" s="139"/>
      <c r="Y17" s="139"/>
      <c r="Z17" s="139"/>
      <c r="AA17" s="139"/>
      <c r="AB17" s="35"/>
      <c r="AC17" s="518"/>
      <c r="AD17" s="314" t="s">
        <v>42</v>
      </c>
      <c r="AE17" s="711">
        <f>AC18/AC18</f>
        <v>1</v>
      </c>
    </row>
    <row r="18" spans="1:34">
      <c r="A18" s="36" t="s">
        <v>40</v>
      </c>
      <c r="B18" s="522"/>
      <c r="C18" s="139" t="s">
        <v>48</v>
      </c>
      <c r="D18" s="522" t="s">
        <v>49</v>
      </c>
      <c r="E18" s="510" t="s">
        <v>43</v>
      </c>
      <c r="F18" s="510"/>
      <c r="G18" s="510"/>
      <c r="H18" s="510"/>
      <c r="I18" s="510"/>
      <c r="J18" s="510"/>
      <c r="K18" s="510"/>
      <c r="L18" s="511">
        <v>540.6</v>
      </c>
      <c r="M18" s="511">
        <v>1882.31</v>
      </c>
      <c r="N18" s="511">
        <v>4728.3999999999996</v>
      </c>
      <c r="O18" s="511">
        <v>4886.66</v>
      </c>
      <c r="P18" s="511">
        <v>4958.22</v>
      </c>
      <c r="Q18" s="511">
        <v>5026.7</v>
      </c>
      <c r="R18" s="511">
        <v>5073.5999999999995</v>
      </c>
      <c r="S18" s="511"/>
      <c r="T18" s="511"/>
      <c r="U18" s="511"/>
      <c r="V18" s="828"/>
      <c r="W18" s="139"/>
      <c r="X18" s="139"/>
      <c r="Y18" s="139"/>
      <c r="Z18" s="139"/>
      <c r="AA18" s="139"/>
      <c r="AB18" s="35"/>
      <c r="AC18" s="517">
        <f>MAX(F18:Z18)</f>
        <v>5073.5999999999995</v>
      </c>
      <c r="AD18" s="312" t="s">
        <v>44</v>
      </c>
      <c r="AE18" s="712">
        <f>AC20/AC18</f>
        <v>0.88438189845474624</v>
      </c>
    </row>
    <row r="19" spans="1:34">
      <c r="A19" s="36" t="s">
        <v>40</v>
      </c>
      <c r="B19" s="522"/>
      <c r="C19" s="139" t="s">
        <v>48</v>
      </c>
      <c r="D19" s="522" t="s">
        <v>49</v>
      </c>
      <c r="E19" s="139" t="s">
        <v>32</v>
      </c>
      <c r="F19" s="139"/>
      <c r="G19" s="139"/>
      <c r="H19" s="139"/>
      <c r="I19" s="139"/>
      <c r="J19" s="139"/>
      <c r="K19" s="139"/>
      <c r="L19" s="139">
        <v>1969</v>
      </c>
      <c r="M19" s="139"/>
      <c r="N19" s="370">
        <v>345</v>
      </c>
      <c r="O19" s="370"/>
      <c r="P19" s="370">
        <v>1186</v>
      </c>
      <c r="Q19" s="370">
        <v>862</v>
      </c>
      <c r="R19" s="370">
        <v>85</v>
      </c>
      <c r="S19" s="370"/>
      <c r="T19" s="370"/>
      <c r="U19" s="370">
        <v>40</v>
      </c>
      <c r="V19" s="823"/>
      <c r="W19" s="139"/>
      <c r="X19" s="139"/>
      <c r="Y19" s="139"/>
      <c r="Z19" s="139"/>
      <c r="AA19" s="139"/>
      <c r="AB19" s="35"/>
      <c r="AC19" s="517"/>
      <c r="AD19" s="313"/>
      <c r="AE19" s="515"/>
    </row>
    <row r="20" spans="1:34">
      <c r="A20" s="36" t="s">
        <v>40</v>
      </c>
      <c r="B20" s="522"/>
      <c r="C20" s="139" t="s">
        <v>48</v>
      </c>
      <c r="D20" s="522" t="s">
        <v>49</v>
      </c>
      <c r="E20" s="139" t="s">
        <v>45</v>
      </c>
      <c r="F20" s="139"/>
      <c r="G20" s="139"/>
      <c r="H20" s="139"/>
      <c r="I20" s="139"/>
      <c r="J20" s="139"/>
      <c r="K20" s="139"/>
      <c r="L20" s="139">
        <v>1969</v>
      </c>
      <c r="M20" s="139">
        <v>1969</v>
      </c>
      <c r="N20" s="139">
        <v>2314</v>
      </c>
      <c r="O20" s="139">
        <v>2314</v>
      </c>
      <c r="P20" s="139">
        <v>3500</v>
      </c>
      <c r="Q20" s="139">
        <v>4362</v>
      </c>
      <c r="R20" s="139">
        <v>4447</v>
      </c>
      <c r="S20" s="139">
        <f>R20+S19</f>
        <v>4447</v>
      </c>
      <c r="T20" s="139">
        <f>S20+T19</f>
        <v>4447</v>
      </c>
      <c r="U20" s="139">
        <f>T20+U19</f>
        <v>4487</v>
      </c>
      <c r="V20" s="824">
        <f>U20+V19</f>
        <v>4487</v>
      </c>
      <c r="W20" s="139"/>
      <c r="X20" s="139"/>
      <c r="Y20" s="139"/>
      <c r="Z20" s="139"/>
      <c r="AA20" s="139"/>
      <c r="AB20" s="35"/>
      <c r="AC20" s="517">
        <f>MAX(F20:Z20)</f>
        <v>4487</v>
      </c>
      <c r="AD20" s="313"/>
      <c r="AE20" s="515"/>
      <c r="AF20" s="8"/>
    </row>
    <row r="21" spans="1:34" ht="15" thickBot="1">
      <c r="A21" s="36"/>
      <c r="B21" s="522"/>
      <c r="C21" s="139"/>
      <c r="D21" s="139"/>
      <c r="E21" s="139"/>
      <c r="F21" s="139"/>
      <c r="G21" s="139"/>
      <c r="H21" s="139"/>
      <c r="I21" s="139"/>
      <c r="J21" s="37"/>
      <c r="K21" s="37"/>
      <c r="L21" s="37"/>
      <c r="M21" s="37"/>
      <c r="N21" s="37"/>
      <c r="O21" s="37"/>
      <c r="P21" s="37"/>
      <c r="Q21" s="37"/>
      <c r="R21" s="37"/>
      <c r="S21" s="37"/>
      <c r="T21" s="37"/>
      <c r="U21" s="37"/>
      <c r="V21" s="817"/>
      <c r="W21" s="139"/>
      <c r="X21" s="139"/>
      <c r="Y21" s="139"/>
      <c r="Z21" s="139"/>
      <c r="AA21" s="139"/>
      <c r="AB21" s="35"/>
      <c r="AC21" s="518"/>
      <c r="AD21" s="313"/>
      <c r="AE21" s="515"/>
    </row>
    <row r="22" spans="1:34">
      <c r="A22" s="36" t="s">
        <v>40</v>
      </c>
      <c r="B22" s="522"/>
      <c r="C22" s="139" t="s">
        <v>48</v>
      </c>
      <c r="D22" s="522" t="s">
        <v>50</v>
      </c>
      <c r="E22" s="510" t="s">
        <v>30</v>
      </c>
      <c r="F22" s="510"/>
      <c r="G22" s="510"/>
      <c r="H22" s="510"/>
      <c r="I22" s="510"/>
      <c r="J22" s="511"/>
      <c r="K22" s="511">
        <v>154</v>
      </c>
      <c r="L22" s="511">
        <v>2473</v>
      </c>
      <c r="M22" s="511">
        <v>3911</v>
      </c>
      <c r="N22" s="511">
        <v>1753</v>
      </c>
      <c r="O22" s="511">
        <v>4439</v>
      </c>
      <c r="P22" s="511">
        <v>4456</v>
      </c>
      <c r="Q22" s="511">
        <v>3719</v>
      </c>
      <c r="R22" s="511"/>
      <c r="S22" s="511"/>
      <c r="T22" s="511"/>
      <c r="U22" s="511"/>
      <c r="V22" s="823"/>
      <c r="W22" s="139"/>
      <c r="X22" s="139"/>
      <c r="Y22" s="139"/>
      <c r="Z22" s="139"/>
      <c r="AA22" s="139"/>
      <c r="AB22" s="35"/>
      <c r="AC22" s="518"/>
      <c r="AD22" s="314" t="s">
        <v>42</v>
      </c>
      <c r="AE22" s="711">
        <f>AC23/AC23</f>
        <v>1</v>
      </c>
    </row>
    <row r="23" spans="1:34">
      <c r="A23" s="36" t="s">
        <v>40</v>
      </c>
      <c r="B23" s="522"/>
      <c r="C23" s="139" t="s">
        <v>48</v>
      </c>
      <c r="D23" s="522" t="s">
        <v>50</v>
      </c>
      <c r="E23" s="510" t="s">
        <v>43</v>
      </c>
      <c r="F23" s="510"/>
      <c r="G23" s="510"/>
      <c r="H23" s="510"/>
      <c r="I23" s="510"/>
      <c r="J23" s="511"/>
      <c r="K23" s="511">
        <v>154</v>
      </c>
      <c r="L23" s="511">
        <v>2627</v>
      </c>
      <c r="M23" s="511">
        <v>6538</v>
      </c>
      <c r="N23" s="511">
        <v>8291</v>
      </c>
      <c r="O23" s="511">
        <v>12730</v>
      </c>
      <c r="P23" s="511">
        <v>17186</v>
      </c>
      <c r="Q23" s="512">
        <v>20905</v>
      </c>
      <c r="R23" s="512"/>
      <c r="S23" s="512"/>
      <c r="T23" s="512"/>
      <c r="U23" s="512"/>
      <c r="V23" s="823"/>
      <c r="W23" s="38"/>
      <c r="X23" s="139"/>
      <c r="Y23" s="139"/>
      <c r="Z23" s="139"/>
      <c r="AA23" s="139"/>
      <c r="AB23" s="35"/>
      <c r="AC23" s="517">
        <f>MAX(F23:Z23)</f>
        <v>20905</v>
      </c>
      <c r="AD23" s="312" t="s">
        <v>44</v>
      </c>
      <c r="AE23" s="712">
        <f>AC25/AC23</f>
        <v>0.98440564458263569</v>
      </c>
    </row>
    <row r="24" spans="1:34">
      <c r="A24" s="36" t="s">
        <v>40</v>
      </c>
      <c r="B24" s="522"/>
      <c r="C24" s="139" t="s">
        <v>48</v>
      </c>
      <c r="D24" s="522" t="s">
        <v>50</v>
      </c>
      <c r="E24" s="139" t="s">
        <v>32</v>
      </c>
      <c r="F24" s="139"/>
      <c r="G24" s="139"/>
      <c r="H24" s="139"/>
      <c r="I24" s="139"/>
      <c r="J24" s="139"/>
      <c r="K24" s="139"/>
      <c r="L24" s="139">
        <v>6566</v>
      </c>
      <c r="M24" s="139">
        <v>1090</v>
      </c>
      <c r="N24" s="139">
        <v>1350</v>
      </c>
      <c r="O24" s="139">
        <v>1200</v>
      </c>
      <c r="P24" s="370">
        <v>1140</v>
      </c>
      <c r="Q24" s="370">
        <v>970</v>
      </c>
      <c r="R24" s="370">
        <v>3970</v>
      </c>
      <c r="S24" s="370">
        <v>4293</v>
      </c>
      <c r="T24" s="370"/>
      <c r="U24" s="370"/>
      <c r="V24" s="823"/>
      <c r="W24" s="139"/>
      <c r="X24" s="139"/>
      <c r="Y24" s="139"/>
      <c r="Z24" s="139"/>
      <c r="AA24" s="139"/>
      <c r="AB24" s="35"/>
      <c r="AC24" s="517"/>
      <c r="AD24" s="313"/>
      <c r="AE24" s="515"/>
    </row>
    <row r="25" spans="1:34">
      <c r="A25" s="36" t="s">
        <v>40</v>
      </c>
      <c r="B25" s="522"/>
      <c r="C25" s="139" t="s">
        <v>48</v>
      </c>
      <c r="D25" s="522" t="s">
        <v>50</v>
      </c>
      <c r="E25" s="139" t="s">
        <v>45</v>
      </c>
      <c r="F25" s="139"/>
      <c r="G25" s="139"/>
      <c r="H25" s="139"/>
      <c r="I25" s="139"/>
      <c r="J25" s="139"/>
      <c r="K25" s="139"/>
      <c r="L25" s="139">
        <v>6566</v>
      </c>
      <c r="M25" s="139">
        <v>7656</v>
      </c>
      <c r="N25" s="139">
        <v>9006</v>
      </c>
      <c r="O25" s="139">
        <v>10206</v>
      </c>
      <c r="P25" s="139">
        <v>11346</v>
      </c>
      <c r="Q25" s="139">
        <v>12316</v>
      </c>
      <c r="R25" s="139">
        <v>16286</v>
      </c>
      <c r="S25" s="139">
        <f>R25+S24</f>
        <v>20579</v>
      </c>
      <c r="T25" s="139">
        <f>S25+T24</f>
        <v>20579</v>
      </c>
      <c r="U25" s="139">
        <f>T25+U24</f>
        <v>20579</v>
      </c>
      <c r="V25" s="824">
        <f>U25+V24</f>
        <v>20579</v>
      </c>
      <c r="W25" s="139"/>
      <c r="X25" s="139"/>
      <c r="Y25" s="139"/>
      <c r="Z25" s="139"/>
      <c r="AA25" s="139"/>
      <c r="AB25" s="35"/>
      <c r="AC25" s="517">
        <f>MAX(F25:Z25)</f>
        <v>20579</v>
      </c>
      <c r="AD25" s="313"/>
      <c r="AE25" s="515"/>
      <c r="AG25" t="s">
        <v>152</v>
      </c>
      <c r="AH25">
        <v>196956</v>
      </c>
    </row>
    <row r="26" spans="1:34" ht="15" thickBot="1">
      <c r="A26" s="36"/>
      <c r="B26" s="522"/>
      <c r="C26" s="139"/>
      <c r="D26" s="139"/>
      <c r="E26" s="139"/>
      <c r="F26" s="139"/>
      <c r="G26" s="139"/>
      <c r="H26" s="139"/>
      <c r="I26" s="139"/>
      <c r="J26" s="139"/>
      <c r="K26" s="139"/>
      <c r="L26" s="139"/>
      <c r="M26" s="139"/>
      <c r="N26" s="139"/>
      <c r="O26" s="139"/>
      <c r="P26" s="139"/>
      <c r="Q26" s="139"/>
      <c r="R26" s="139"/>
      <c r="S26" s="139"/>
      <c r="T26" s="139"/>
      <c r="U26" s="139"/>
      <c r="V26" s="823"/>
      <c r="W26" s="139"/>
      <c r="X26" s="139"/>
      <c r="Y26" s="139"/>
      <c r="Z26" s="139"/>
      <c r="AA26" s="139"/>
      <c r="AB26" s="35"/>
      <c r="AC26" s="518"/>
      <c r="AD26" s="313"/>
      <c r="AE26" s="515"/>
    </row>
    <row r="27" spans="1:34">
      <c r="A27" s="36" t="s">
        <v>40</v>
      </c>
      <c r="B27" s="522"/>
      <c r="C27" s="139" t="s">
        <v>48</v>
      </c>
      <c r="D27" s="522" t="s">
        <v>51</v>
      </c>
      <c r="E27" s="510" t="s">
        <v>30</v>
      </c>
      <c r="F27" s="510"/>
      <c r="G27" s="510"/>
      <c r="H27" s="510"/>
      <c r="I27" s="510"/>
      <c r="J27" s="511"/>
      <c r="K27" s="511">
        <v>124</v>
      </c>
      <c r="L27" s="511">
        <v>816</v>
      </c>
      <c r="M27" s="511">
        <v>4355</v>
      </c>
      <c r="N27" s="511">
        <v>84</v>
      </c>
      <c r="O27" s="511">
        <v>566</v>
      </c>
      <c r="P27" s="511">
        <v>6407</v>
      </c>
      <c r="Q27" s="511">
        <v>3598</v>
      </c>
      <c r="R27" s="511"/>
      <c r="S27" s="511"/>
      <c r="T27" s="511"/>
      <c r="U27" s="511"/>
      <c r="V27" s="823"/>
      <c r="W27" s="139"/>
      <c r="X27" s="139"/>
      <c r="Y27" s="139"/>
      <c r="Z27" s="139"/>
      <c r="AA27" s="139"/>
      <c r="AB27" s="35"/>
      <c r="AC27" s="518"/>
      <c r="AD27" s="314" t="s">
        <v>42</v>
      </c>
      <c r="AE27" s="711">
        <f>AC28/AC28</f>
        <v>1</v>
      </c>
    </row>
    <row r="28" spans="1:34">
      <c r="A28" s="36" t="s">
        <v>40</v>
      </c>
      <c r="B28" s="522"/>
      <c r="C28" s="139" t="s">
        <v>48</v>
      </c>
      <c r="D28" s="522" t="s">
        <v>51</v>
      </c>
      <c r="E28" s="510" t="s">
        <v>43</v>
      </c>
      <c r="F28" s="510"/>
      <c r="G28" s="510"/>
      <c r="H28" s="510"/>
      <c r="I28" s="510"/>
      <c r="J28" s="511"/>
      <c r="K28" s="511">
        <v>124</v>
      </c>
      <c r="L28" s="511">
        <v>940</v>
      </c>
      <c r="M28" s="511">
        <v>5295</v>
      </c>
      <c r="N28" s="511">
        <v>5379</v>
      </c>
      <c r="O28" s="511">
        <v>5945</v>
      </c>
      <c r="P28" s="511">
        <v>12352</v>
      </c>
      <c r="Q28" s="512">
        <v>15950</v>
      </c>
      <c r="R28" s="512"/>
      <c r="S28" s="512"/>
      <c r="T28" s="512"/>
      <c r="U28" s="512"/>
      <c r="V28" s="823"/>
      <c r="W28" s="139"/>
      <c r="X28" s="139"/>
      <c r="Y28" s="680"/>
      <c r="Z28" s="139"/>
      <c r="AA28" s="139"/>
      <c r="AB28" s="35"/>
      <c r="AC28" s="517">
        <f>MAX(F28:Z28)</f>
        <v>15950</v>
      </c>
      <c r="AD28" s="312" t="s">
        <v>44</v>
      </c>
      <c r="AE28" s="712">
        <f>AC30/AC28</f>
        <v>0.88815047021943572</v>
      </c>
    </row>
    <row r="29" spans="1:34">
      <c r="A29" s="36" t="s">
        <v>40</v>
      </c>
      <c r="B29" s="522"/>
      <c r="C29" s="139" t="s">
        <v>48</v>
      </c>
      <c r="D29" s="522" t="s">
        <v>51</v>
      </c>
      <c r="E29" s="139" t="s">
        <v>32</v>
      </c>
      <c r="F29" s="139"/>
      <c r="G29" s="139"/>
      <c r="H29" s="139"/>
      <c r="I29" s="139"/>
      <c r="J29" s="139"/>
      <c r="K29" s="139"/>
      <c r="L29" s="139"/>
      <c r="M29" s="139">
        <v>1090</v>
      </c>
      <c r="N29" s="139">
        <v>1023</v>
      </c>
      <c r="O29" s="139">
        <v>1200</v>
      </c>
      <c r="P29" s="139">
        <v>1140</v>
      </c>
      <c r="Q29" s="370">
        <v>997</v>
      </c>
      <c r="R29" s="370">
        <v>1475</v>
      </c>
      <c r="S29" s="370">
        <v>2612</v>
      </c>
      <c r="T29" s="370">
        <v>4629</v>
      </c>
      <c r="U29" s="370"/>
      <c r="V29" s="823"/>
      <c r="W29" s="139"/>
      <c r="X29" s="139"/>
      <c r="Y29" s="139"/>
      <c r="Z29" s="139"/>
      <c r="AA29" s="139"/>
      <c r="AB29" s="35"/>
      <c r="AC29" s="517"/>
      <c r="AD29" s="313"/>
      <c r="AE29" s="515"/>
    </row>
    <row r="30" spans="1:34" ht="15" thickBot="1">
      <c r="A30" s="39" t="s">
        <v>40</v>
      </c>
      <c r="B30" s="40"/>
      <c r="C30" s="41" t="s">
        <v>48</v>
      </c>
      <c r="D30" s="40" t="s">
        <v>51</v>
      </c>
      <c r="E30" s="41" t="s">
        <v>45</v>
      </c>
      <c r="F30" s="41"/>
      <c r="G30" s="41"/>
      <c r="H30" s="41"/>
      <c r="I30" s="41"/>
      <c r="J30" s="41"/>
      <c r="K30" s="41"/>
      <c r="L30" s="41"/>
      <c r="M30" s="41">
        <v>1090</v>
      </c>
      <c r="N30" s="41">
        <v>2113</v>
      </c>
      <c r="O30" s="41">
        <v>3313</v>
      </c>
      <c r="P30" s="41">
        <v>4453</v>
      </c>
      <c r="Q30" s="41">
        <v>5450</v>
      </c>
      <c r="R30" s="41">
        <v>6925</v>
      </c>
      <c r="S30" s="41">
        <f>R30+S29</f>
        <v>9537</v>
      </c>
      <c r="T30" s="41">
        <f>S30+T29</f>
        <v>14166</v>
      </c>
      <c r="U30" s="41">
        <f>T30+U29</f>
        <v>14166</v>
      </c>
      <c r="V30" s="824">
        <f>U30+V29</f>
        <v>14166</v>
      </c>
      <c r="W30" s="41"/>
      <c r="X30" s="41"/>
      <c r="Y30" s="41"/>
      <c r="Z30" s="41"/>
      <c r="AA30" s="41"/>
      <c r="AB30" s="43"/>
      <c r="AC30" s="517">
        <f>MAX(F30:Z30)</f>
        <v>14166</v>
      </c>
      <c r="AD30" s="313"/>
      <c r="AE30" s="515"/>
    </row>
    <row r="31" spans="1:34">
      <c r="A31" s="34"/>
      <c r="B31" s="139"/>
      <c r="C31" s="139"/>
      <c r="D31" s="139"/>
      <c r="E31" s="139"/>
      <c r="F31" s="139"/>
      <c r="G31" s="139"/>
      <c r="H31" s="139"/>
      <c r="I31" s="139"/>
      <c r="J31" s="139"/>
      <c r="K31" s="139"/>
      <c r="L31" s="139"/>
      <c r="M31" s="139"/>
      <c r="N31" s="139"/>
      <c r="O31" s="139"/>
      <c r="P31" s="139"/>
      <c r="Q31" s="139"/>
      <c r="R31" s="139"/>
      <c r="S31" s="139"/>
      <c r="T31" s="139"/>
      <c r="U31" s="139"/>
      <c r="V31" s="823"/>
      <c r="W31" s="139"/>
      <c r="X31" s="139"/>
      <c r="Y31" s="139"/>
      <c r="Z31" s="139"/>
      <c r="AA31" s="139"/>
      <c r="AB31" s="35"/>
      <c r="AC31" s="518"/>
      <c r="AD31" s="313"/>
      <c r="AE31" s="515"/>
    </row>
    <row r="32" spans="1:34" ht="15" thickBot="1">
      <c r="A32" s="527"/>
      <c r="B32" s="528"/>
      <c r="C32" s="528"/>
      <c r="D32" s="528"/>
      <c r="E32" s="528"/>
      <c r="F32" s="528"/>
      <c r="G32" s="528"/>
      <c r="H32" s="528"/>
      <c r="I32" s="528"/>
      <c r="J32" s="528"/>
      <c r="K32" s="528"/>
      <c r="L32" s="528"/>
      <c r="M32" s="528"/>
      <c r="N32" s="528"/>
      <c r="O32" s="528"/>
      <c r="P32" s="528"/>
      <c r="Q32" s="528"/>
      <c r="R32" s="528"/>
      <c r="S32" s="528"/>
      <c r="T32" s="528"/>
      <c r="U32" s="528"/>
      <c r="V32" s="829"/>
      <c r="W32" s="528"/>
      <c r="X32" s="528"/>
      <c r="Y32" s="528"/>
      <c r="Z32" s="528"/>
      <c r="AA32" s="528"/>
      <c r="AB32" s="529"/>
      <c r="AC32" s="519"/>
      <c r="AD32" s="313"/>
      <c r="AE32" s="515"/>
    </row>
    <row r="33" spans="1:42">
      <c r="A33" s="44" t="s">
        <v>52</v>
      </c>
      <c r="B33" s="32"/>
      <c r="C33" s="31" t="s">
        <v>47</v>
      </c>
      <c r="D33" s="31" t="s">
        <v>20</v>
      </c>
      <c r="E33" s="33" t="s">
        <v>30</v>
      </c>
      <c r="F33" s="33"/>
      <c r="G33" s="33"/>
      <c r="H33" s="391">
        <f>Exc!S43</f>
        <v>12460.000000000002</v>
      </c>
      <c r="I33" s="391">
        <f>Exc!T43</f>
        <v>18513.5</v>
      </c>
      <c r="J33" s="391">
        <f>Exc!U43</f>
        <v>6844.3</v>
      </c>
      <c r="K33" s="391">
        <f>Exc!V43</f>
        <v>2534.1000000000004</v>
      </c>
      <c r="L33" s="391">
        <f>Exc!W43</f>
        <v>1976.7</v>
      </c>
      <c r="M33" s="391">
        <f>Exc!X43</f>
        <v>6229.3999999999978</v>
      </c>
      <c r="N33" s="391">
        <f>Exc!Y43</f>
        <v>12686.448571428571</v>
      </c>
      <c r="O33" s="391">
        <f>Exc!Z43</f>
        <v>10217.32857142857</v>
      </c>
      <c r="P33" s="391">
        <f>Exc!AA43</f>
        <v>21068.758571428567</v>
      </c>
      <c r="Q33" s="391">
        <f>Exc!AB43</f>
        <v>12683.148571428572</v>
      </c>
      <c r="R33" s="391">
        <f>Exc!AC43</f>
        <v>28234.775238095237</v>
      </c>
      <c r="S33" s="391">
        <f>Exc!AD43</f>
        <v>44878.855238095239</v>
      </c>
      <c r="T33" s="391">
        <f>Exc!AE43</f>
        <v>14119.385238095238</v>
      </c>
      <c r="U33" s="391"/>
      <c r="V33" s="830"/>
      <c r="W33" s="32"/>
      <c r="X33" s="32"/>
      <c r="Y33" s="32"/>
      <c r="Z33" s="32"/>
      <c r="AA33" s="32"/>
      <c r="AB33" s="520"/>
      <c r="AC33" s="518"/>
      <c r="AD33" s="314" t="s">
        <v>42</v>
      </c>
      <c r="AE33" s="711">
        <f>AC34/AC34</f>
        <v>1</v>
      </c>
      <c r="AG33" s="8"/>
      <c r="AJ33" s="334">
        <f>T34-Q36</f>
        <v>58215.700000000012</v>
      </c>
      <c r="AK33">
        <f ca="1">AJ33/AJ34</f>
        <v>-776.20933333333346</v>
      </c>
    </row>
    <row r="34" spans="1:42">
      <c r="A34" s="36" t="s">
        <v>52</v>
      </c>
      <c r="B34" s="139"/>
      <c r="C34" s="522" t="s">
        <v>47</v>
      </c>
      <c r="D34" s="139" t="s">
        <v>20</v>
      </c>
      <c r="E34" s="510" t="s">
        <v>43</v>
      </c>
      <c r="F34" s="510"/>
      <c r="G34" s="510"/>
      <c r="H34" s="510">
        <f>H33+G34</f>
        <v>12460.000000000002</v>
      </c>
      <c r="I34" s="510">
        <f t="shared" ref="I34:P34" si="0">I33+H34</f>
        <v>30973.5</v>
      </c>
      <c r="J34" s="510">
        <f t="shared" si="0"/>
        <v>37817.800000000003</v>
      </c>
      <c r="K34" s="510">
        <f t="shared" si="0"/>
        <v>40351.9</v>
      </c>
      <c r="L34" s="510">
        <f t="shared" si="0"/>
        <v>42328.6</v>
      </c>
      <c r="M34" s="510">
        <f t="shared" si="0"/>
        <v>48558</v>
      </c>
      <c r="N34" s="510">
        <f t="shared" si="0"/>
        <v>61244.448571428569</v>
      </c>
      <c r="O34" s="510">
        <f t="shared" si="0"/>
        <v>71461.777142857143</v>
      </c>
      <c r="P34" s="510">
        <f t="shared" si="0"/>
        <v>92530.53571428571</v>
      </c>
      <c r="Q34" s="510">
        <f>Q33+P34</f>
        <v>105213.68428571428</v>
      </c>
      <c r="R34" s="510">
        <f>R33+Q34</f>
        <v>133448.45952380952</v>
      </c>
      <c r="S34" s="510">
        <f>S33+R34</f>
        <v>178327.31476190477</v>
      </c>
      <c r="T34" s="510">
        <f>T33+S34</f>
        <v>192446.7</v>
      </c>
      <c r="U34" s="510"/>
      <c r="V34" s="825"/>
      <c r="W34" s="139"/>
      <c r="X34" s="139"/>
      <c r="Y34" s="139"/>
      <c r="Z34" s="139"/>
      <c r="AA34" s="139"/>
      <c r="AB34" s="35"/>
      <c r="AC34" s="517">
        <f>MAX(F34:Z34)</f>
        <v>192446.7</v>
      </c>
      <c r="AD34" s="312" t="s">
        <v>44</v>
      </c>
      <c r="AE34" s="712">
        <f>AC36/AC34</f>
        <v>1.0734764482841221</v>
      </c>
      <c r="AG34" s="8"/>
      <c r="AJ34">
        <f ca="1">AI39-AG36</f>
        <v>-75</v>
      </c>
    </row>
    <row r="35" spans="1:42">
      <c r="A35" s="36" t="s">
        <v>52</v>
      </c>
      <c r="B35" s="139"/>
      <c r="C35" s="522" t="s">
        <v>47</v>
      </c>
      <c r="D35" s="139" t="s">
        <v>20</v>
      </c>
      <c r="E35" s="139" t="s">
        <v>32</v>
      </c>
      <c r="F35" s="139"/>
      <c r="G35" s="139"/>
      <c r="H35" s="139">
        <v>15210</v>
      </c>
      <c r="I35" s="370">
        <v>37239</v>
      </c>
      <c r="J35" s="139">
        <v>25723</v>
      </c>
      <c r="K35" s="370">
        <v>7749</v>
      </c>
      <c r="L35" s="139">
        <v>1962</v>
      </c>
      <c r="M35" s="139">
        <v>739</v>
      </c>
      <c r="N35" s="139">
        <v>3370</v>
      </c>
      <c r="O35" s="370">
        <v>6264</v>
      </c>
      <c r="P35" s="370">
        <v>17126</v>
      </c>
      <c r="Q35" s="370">
        <f>5935+8259+2432+698+1525</f>
        <v>18849</v>
      </c>
      <c r="R35" s="370">
        <v>33285</v>
      </c>
      <c r="S35" s="370">
        <f>7178+5760</f>
        <v>12938</v>
      </c>
      <c r="T35" s="370">
        <f>11993</f>
        <v>11993</v>
      </c>
      <c r="U35" s="370">
        <v>14140</v>
      </c>
      <c r="V35" s="827"/>
      <c r="W35" s="370"/>
      <c r="X35" s="139"/>
      <c r="Y35" s="139"/>
      <c r="Z35" s="139"/>
      <c r="AA35" s="139"/>
      <c r="AB35" s="35"/>
      <c r="AC35" s="517"/>
      <c r="AD35" s="313"/>
      <c r="AE35" s="515"/>
      <c r="AF35" s="332" t="s">
        <v>206</v>
      </c>
      <c r="AG35" s="360">
        <v>45353</v>
      </c>
      <c r="AH35" s="334"/>
      <c r="AI35" s="334"/>
      <c r="AJ35" s="334"/>
      <c r="AK35" s="332"/>
      <c r="AL35" s="332"/>
      <c r="AM35" s="332"/>
      <c r="AN35" s="332"/>
      <c r="AO35" s="332"/>
      <c r="AP35" s="332"/>
    </row>
    <row r="36" spans="1:42">
      <c r="A36" s="36" t="s">
        <v>52</v>
      </c>
      <c r="B36" s="139"/>
      <c r="C36" s="522" t="s">
        <v>47</v>
      </c>
      <c r="D36" s="139" t="s">
        <v>20</v>
      </c>
      <c r="E36" s="139" t="s">
        <v>45</v>
      </c>
      <c r="F36" s="370"/>
      <c r="G36" s="370"/>
      <c r="H36" s="370">
        <f>H35</f>
        <v>15210</v>
      </c>
      <c r="I36" s="370">
        <f t="shared" ref="I36:O36" si="1">I35+H36</f>
        <v>52449</v>
      </c>
      <c r="J36" s="370">
        <f t="shared" si="1"/>
        <v>78172</v>
      </c>
      <c r="K36" s="370">
        <f t="shared" si="1"/>
        <v>85921</v>
      </c>
      <c r="L36" s="370">
        <f t="shared" si="1"/>
        <v>87883</v>
      </c>
      <c r="M36" s="370">
        <f t="shared" si="1"/>
        <v>88622</v>
      </c>
      <c r="N36" s="370">
        <f t="shared" si="1"/>
        <v>91992</v>
      </c>
      <c r="O36" s="370">
        <f t="shared" si="1"/>
        <v>98256</v>
      </c>
      <c r="P36" s="370">
        <f>P35+O36</f>
        <v>115382</v>
      </c>
      <c r="Q36" s="370">
        <f>Q35+P36</f>
        <v>134231</v>
      </c>
      <c r="R36" s="370">
        <f>R35+Q36</f>
        <v>167516</v>
      </c>
      <c r="S36" s="370">
        <f>S35+R36</f>
        <v>180454</v>
      </c>
      <c r="T36" s="370">
        <f>S36+T35</f>
        <v>192447</v>
      </c>
      <c r="U36" s="370">
        <f>T36+U35</f>
        <v>206587</v>
      </c>
      <c r="V36" s="824">
        <f>U36+V35</f>
        <v>206587</v>
      </c>
      <c r="W36" s="139"/>
      <c r="X36" s="139"/>
      <c r="Y36" s="139"/>
      <c r="Z36" s="139"/>
      <c r="AA36" s="139"/>
      <c r="AB36" s="35"/>
      <c r="AC36" s="517">
        <f>MAX(F36:Z36)</f>
        <v>206587</v>
      </c>
      <c r="AD36" s="313"/>
      <c r="AE36" s="515"/>
      <c r="AF36" s="332" t="s">
        <v>207</v>
      </c>
      <c r="AG36" s="360">
        <f ca="1">TODAY()</f>
        <v>45821</v>
      </c>
      <c r="AH36" s="334"/>
      <c r="AI36" s="334"/>
      <c r="AJ36" s="334"/>
      <c r="AK36" s="332"/>
      <c r="AL36" s="332"/>
      <c r="AM36" s="332"/>
      <c r="AN36" s="332"/>
      <c r="AO36" s="332"/>
      <c r="AP36" s="332"/>
    </row>
    <row r="37" spans="1:42" ht="15" thickBot="1">
      <c r="A37" s="34"/>
      <c r="B37" s="139"/>
      <c r="C37" s="139"/>
      <c r="D37" s="139"/>
      <c r="E37" s="139"/>
      <c r="F37" s="139"/>
      <c r="G37" s="139"/>
      <c r="H37" s="139"/>
      <c r="I37" s="139"/>
      <c r="J37" s="139"/>
      <c r="K37" s="139"/>
      <c r="L37" s="139"/>
      <c r="M37" s="139"/>
      <c r="N37" s="139"/>
      <c r="O37" s="139"/>
      <c r="P37" s="139"/>
      <c r="Q37" s="139">
        <f>Q38/4*SUMMARY!C12</f>
        <v>4627</v>
      </c>
      <c r="R37" s="139">
        <f>R38/4*SUMMARY!C12</f>
        <v>8631</v>
      </c>
      <c r="S37" s="139">
        <f>R36-159402</f>
        <v>8114</v>
      </c>
      <c r="T37" s="139">
        <f>S36-180454</f>
        <v>0</v>
      </c>
      <c r="U37" s="139"/>
      <c r="V37" s="827">
        <f>U36-204214</f>
        <v>2373</v>
      </c>
      <c r="W37" s="139"/>
      <c r="X37" s="526"/>
      <c r="Y37" s="526"/>
      <c r="Z37" s="525"/>
      <c r="AA37" s="525"/>
      <c r="AB37" s="530"/>
      <c r="AC37" s="518"/>
      <c r="AD37" s="313"/>
      <c r="AE37" s="515"/>
      <c r="AF37" s="332"/>
      <c r="AG37" s="334"/>
      <c r="AH37" s="334"/>
      <c r="AI37" s="334"/>
      <c r="AJ37" s="334"/>
      <c r="AK37" s="332"/>
      <c r="AL37" s="332"/>
      <c r="AM37" s="332"/>
      <c r="AN37" s="332"/>
      <c r="AO37" s="332"/>
      <c r="AP37" s="332"/>
    </row>
    <row r="38" spans="1:42" ht="33.5" thickBot="1">
      <c r="A38" s="36" t="s">
        <v>52</v>
      </c>
      <c r="B38" s="139"/>
      <c r="C38" s="522" t="s">
        <v>47</v>
      </c>
      <c r="D38" s="522" t="s">
        <v>21</v>
      </c>
      <c r="E38" s="510" t="s">
        <v>30</v>
      </c>
      <c r="F38" s="510"/>
      <c r="G38" s="510"/>
      <c r="H38" s="510"/>
      <c r="I38" s="510"/>
      <c r="J38" s="510"/>
      <c r="K38" s="511">
        <f>RCC!V41</f>
        <v>716</v>
      </c>
      <c r="L38" s="511">
        <f>RCC!W41</f>
        <v>3336</v>
      </c>
      <c r="M38" s="511">
        <f>RCC!X41</f>
        <v>3730</v>
      </c>
      <c r="N38" s="511">
        <f>RCC!Y41</f>
        <v>3823</v>
      </c>
      <c r="O38" s="511">
        <f>RCC!Z41</f>
        <v>3638</v>
      </c>
      <c r="P38" s="511">
        <f>RCC!AA41</f>
        <v>4172</v>
      </c>
      <c r="Q38" s="511">
        <f>RCC!AB41</f>
        <v>4627</v>
      </c>
      <c r="R38" s="511">
        <f>RCC!AC41</f>
        <v>8631</v>
      </c>
      <c r="S38" s="511">
        <f>RCC!AD41</f>
        <v>8648</v>
      </c>
      <c r="T38" s="511">
        <f>RCC!AE41</f>
        <v>9516</v>
      </c>
      <c r="U38" s="511">
        <f>RCC!AF41</f>
        <v>9162</v>
      </c>
      <c r="V38" s="826">
        <f>RCC!AG41</f>
        <v>8103</v>
      </c>
      <c r="W38" s="511">
        <f>RCC!AH41</f>
        <v>7693</v>
      </c>
      <c r="X38" s="511">
        <f>RCC!AI41</f>
        <v>5381</v>
      </c>
      <c r="Y38" s="511">
        <f>RCC!AJ41</f>
        <v>2821</v>
      </c>
      <c r="Z38" s="511">
        <f>RCC!AK41</f>
        <v>1801</v>
      </c>
      <c r="AA38" s="511">
        <f>RCC!AL41</f>
        <v>1302</v>
      </c>
      <c r="AB38" s="531"/>
      <c r="AC38" s="518"/>
      <c r="AD38" s="314" t="s">
        <v>42</v>
      </c>
      <c r="AE38" s="713">
        <f>(S39+(T38/4)*SUMMARY!$C$12)/AC39</f>
        <v>0.58366245694603902</v>
      </c>
      <c r="AF38" s="332"/>
      <c r="AG38" s="334"/>
      <c r="AH38" s="334"/>
      <c r="AI38" s="334"/>
      <c r="AJ38" s="334"/>
      <c r="AK38" s="361" t="s">
        <v>208</v>
      </c>
      <c r="AL38" s="361" t="s">
        <v>209</v>
      </c>
      <c r="AM38" s="361" t="s">
        <v>210</v>
      </c>
      <c r="AN38" s="361" t="s">
        <v>211</v>
      </c>
      <c r="AO38" s="361" t="s">
        <v>212</v>
      </c>
      <c r="AP38" s="361" t="s">
        <v>213</v>
      </c>
    </row>
    <row r="39" spans="1:42" ht="33.5" thickBot="1">
      <c r="A39" s="36" t="s">
        <v>52</v>
      </c>
      <c r="B39" s="139"/>
      <c r="C39" s="522" t="s">
        <v>47</v>
      </c>
      <c r="D39" s="139" t="s">
        <v>21</v>
      </c>
      <c r="E39" s="510" t="s">
        <v>43</v>
      </c>
      <c r="F39" s="510"/>
      <c r="G39" s="510"/>
      <c r="H39" s="510"/>
      <c r="I39" s="510"/>
      <c r="J39" s="510"/>
      <c r="K39" s="511">
        <f>K38+J39</f>
        <v>716</v>
      </c>
      <c r="L39" s="511">
        <f>L38+K39</f>
        <v>4052</v>
      </c>
      <c r="M39" s="511">
        <f t="shared" ref="M39:AA39" si="2">M38+L39</f>
        <v>7782</v>
      </c>
      <c r="N39" s="511">
        <f t="shared" si="2"/>
        <v>11605</v>
      </c>
      <c r="O39" s="511">
        <f t="shared" si="2"/>
        <v>15243</v>
      </c>
      <c r="P39" s="511">
        <f t="shared" si="2"/>
        <v>19415</v>
      </c>
      <c r="Q39" s="511">
        <f t="shared" si="2"/>
        <v>24042</v>
      </c>
      <c r="R39" s="511">
        <f t="shared" si="2"/>
        <v>32673</v>
      </c>
      <c r="S39" s="511">
        <f t="shared" si="2"/>
        <v>41321</v>
      </c>
      <c r="T39" s="511">
        <f t="shared" si="2"/>
        <v>50837</v>
      </c>
      <c r="U39" s="511">
        <f t="shared" si="2"/>
        <v>59999</v>
      </c>
      <c r="V39" s="826">
        <f t="shared" si="2"/>
        <v>68102</v>
      </c>
      <c r="W39" s="511">
        <f t="shared" si="2"/>
        <v>75795</v>
      </c>
      <c r="X39" s="511">
        <f t="shared" si="2"/>
        <v>81176</v>
      </c>
      <c r="Y39" s="511">
        <f t="shared" si="2"/>
        <v>83997</v>
      </c>
      <c r="Z39" s="511">
        <f t="shared" si="2"/>
        <v>85798</v>
      </c>
      <c r="AA39" s="511">
        <f t="shared" si="2"/>
        <v>87100</v>
      </c>
      <c r="AB39" s="531"/>
      <c r="AC39" s="517">
        <f>MAX(F39:AB39)</f>
        <v>87100</v>
      </c>
      <c r="AD39" s="312" t="s">
        <v>44</v>
      </c>
      <c r="AE39" s="785">
        <f>AC41/AC39</f>
        <v>0.40412169919632607</v>
      </c>
      <c r="AF39" s="332" t="s">
        <v>214</v>
      </c>
      <c r="AG39" s="360">
        <v>45353</v>
      </c>
      <c r="AH39" s="334" t="s">
        <v>215</v>
      </c>
      <c r="AI39" s="360">
        <v>45746</v>
      </c>
      <c r="AJ39" s="334"/>
      <c r="AK39" s="362">
        <v>1</v>
      </c>
      <c r="AL39" s="363" t="s">
        <v>355</v>
      </c>
      <c r="AM39" s="1159" t="s">
        <v>354</v>
      </c>
      <c r="AN39" s="1160"/>
      <c r="AO39" s="1161"/>
      <c r="AP39" s="365"/>
    </row>
    <row r="40" spans="1:42" ht="17" thickBot="1">
      <c r="A40" s="36" t="s">
        <v>52</v>
      </c>
      <c r="B40" s="139"/>
      <c r="C40" s="522" t="s">
        <v>47</v>
      </c>
      <c r="D40" s="139" t="s">
        <v>21</v>
      </c>
      <c r="E40" s="139" t="s">
        <v>32</v>
      </c>
      <c r="F40" s="139"/>
      <c r="G40" s="139"/>
      <c r="H40" s="139"/>
      <c r="I40" s="370"/>
      <c r="J40" s="370">
        <v>320</v>
      </c>
      <c r="K40" s="370">
        <v>721</v>
      </c>
      <c r="L40" s="370">
        <v>3136</v>
      </c>
      <c r="M40" s="370">
        <v>3707</v>
      </c>
      <c r="N40" s="370">
        <v>3549</v>
      </c>
      <c r="O40" s="370">
        <v>3905</v>
      </c>
      <c r="P40" s="370">
        <f>3189</f>
        <v>3189</v>
      </c>
      <c r="Q40" s="370">
        <f>2545+655+39</f>
        <v>3239</v>
      </c>
      <c r="R40" s="370">
        <v>4254</v>
      </c>
      <c r="S40" s="370">
        <v>3294</v>
      </c>
      <c r="T40" s="370">
        <f>3136-225</f>
        <v>2911</v>
      </c>
      <c r="U40" s="370">
        <v>2749</v>
      </c>
      <c r="V40" s="827">
        <f>35199-34974</f>
        <v>225</v>
      </c>
      <c r="W40" s="139"/>
      <c r="X40" s="139"/>
      <c r="Y40" s="139"/>
      <c r="Z40" s="139"/>
      <c r="AA40" s="139"/>
      <c r="AB40" s="35"/>
      <c r="AC40" s="517"/>
      <c r="AD40" s="313"/>
      <c r="AE40" s="515"/>
      <c r="AF40" s="332"/>
      <c r="AG40" s="360">
        <v>45444</v>
      </c>
      <c r="AH40" s="334"/>
      <c r="AI40" s="360">
        <v>45960</v>
      </c>
      <c r="AJ40" s="334"/>
      <c r="AK40" s="362">
        <v>2</v>
      </c>
      <c r="AL40" s="363" t="s">
        <v>356</v>
      </c>
      <c r="AM40" s="364">
        <f ca="1">MAX(I40:AC40)/(AG36-AG40)</f>
        <v>11.283819628647215</v>
      </c>
      <c r="AN40" s="364">
        <f>U39-U41</f>
        <v>25025</v>
      </c>
      <c r="AO40" s="364">
        <f ca="1">(-MAX(F41:AB41)+AC39)/(AI40-AG36)</f>
        <v>373.38848920863308</v>
      </c>
      <c r="AP40" s="362" t="s">
        <v>216</v>
      </c>
    </row>
    <row r="41" spans="1:42" ht="17" thickBot="1">
      <c r="A41" s="36" t="s">
        <v>52</v>
      </c>
      <c r="B41" s="139"/>
      <c r="C41" s="522" t="s">
        <v>47</v>
      </c>
      <c r="D41" s="139" t="s">
        <v>21</v>
      </c>
      <c r="E41" s="139" t="s">
        <v>45</v>
      </c>
      <c r="F41" s="139"/>
      <c r="G41" s="139"/>
      <c r="H41" s="139"/>
      <c r="I41" s="370"/>
      <c r="J41" s="370">
        <f>J40</f>
        <v>320</v>
      </c>
      <c r="K41" s="370">
        <f t="shared" ref="K41:Q41" si="3">K40+J41</f>
        <v>1041</v>
      </c>
      <c r="L41" s="370">
        <f t="shared" si="3"/>
        <v>4177</v>
      </c>
      <c r="M41" s="370">
        <f t="shared" si="3"/>
        <v>7884</v>
      </c>
      <c r="N41" s="370">
        <f t="shared" si="3"/>
        <v>11433</v>
      </c>
      <c r="O41" s="370">
        <f t="shared" si="3"/>
        <v>15338</v>
      </c>
      <c r="P41" s="370">
        <f t="shared" si="3"/>
        <v>18527</v>
      </c>
      <c r="Q41" s="370">
        <f t="shared" si="3"/>
        <v>21766</v>
      </c>
      <c r="R41" s="370">
        <f>R40+Q41</f>
        <v>26020</v>
      </c>
      <c r="S41" s="370">
        <f>S40+R41</f>
        <v>29314</v>
      </c>
      <c r="T41" s="370">
        <f>S41+T40</f>
        <v>32225</v>
      </c>
      <c r="U41" s="370">
        <f>T41+U40</f>
        <v>34974</v>
      </c>
      <c r="V41" s="824">
        <f>U41+V40</f>
        <v>35199</v>
      </c>
      <c r="W41" s="139"/>
      <c r="X41" s="139"/>
      <c r="Y41" s="139"/>
      <c r="Z41" s="139"/>
      <c r="AA41" s="139"/>
      <c r="AB41" s="532"/>
      <c r="AC41" s="517">
        <f>MAX(F41:Z41)</f>
        <v>35199</v>
      </c>
      <c r="AD41" s="313"/>
      <c r="AE41" s="515"/>
      <c r="AF41" s="332"/>
      <c r="AG41" s="360">
        <v>45566</v>
      </c>
      <c r="AH41" s="334"/>
      <c r="AI41" s="360">
        <v>45868</v>
      </c>
      <c r="AJ41" s="332"/>
      <c r="AK41" s="362">
        <v>3</v>
      </c>
      <c r="AL41" s="363" t="s">
        <v>357</v>
      </c>
      <c r="AM41" s="366">
        <f ca="1">MAX(I45:AC45)/(AG36-AG41)</f>
        <v>0.92549019607843142</v>
      </c>
      <c r="AN41" s="364">
        <f>U44-U46</f>
        <v>2936.94</v>
      </c>
      <c r="AO41" s="364">
        <f ca="1">(-MAX(F46:AB46)+AC44)/(AI41-AG36)</f>
        <v>88.544680851063831</v>
      </c>
      <c r="AP41" s="362" t="s">
        <v>217</v>
      </c>
    </row>
    <row r="42" spans="1:42" ht="17" thickBot="1">
      <c r="A42" s="34"/>
      <c r="B42" s="139"/>
      <c r="C42" s="139"/>
      <c r="D42" s="139"/>
      <c r="E42" s="139"/>
      <c r="F42" s="139"/>
      <c r="G42" s="139"/>
      <c r="H42" s="139"/>
      <c r="I42" s="139"/>
      <c r="J42" s="139"/>
      <c r="K42" s="139"/>
      <c r="L42" s="139"/>
      <c r="M42" s="139"/>
      <c r="N42" s="139"/>
      <c r="O42" s="139"/>
      <c r="P42" s="139"/>
      <c r="Q42" s="139"/>
      <c r="R42" s="139">
        <f>R43/4*SUMMARY!C12</f>
        <v>715.66800000000001</v>
      </c>
      <c r="S42" s="139">
        <f>R41-(23519+55)</f>
        <v>2446</v>
      </c>
      <c r="T42" s="370">
        <f>T39-T41</f>
        <v>18612</v>
      </c>
      <c r="U42" s="370">
        <f>T41-31368</f>
        <v>857</v>
      </c>
      <c r="V42" s="823">
        <f>U41-34213</f>
        <v>761</v>
      </c>
      <c r="W42" s="525"/>
      <c r="X42" s="525"/>
      <c r="Y42" s="139"/>
      <c r="Z42" s="139"/>
      <c r="AA42" s="139"/>
      <c r="AB42" s="35"/>
      <c r="AC42" s="518"/>
      <c r="AD42" s="313"/>
      <c r="AE42" s="515"/>
      <c r="AF42" s="332"/>
      <c r="AG42" s="360">
        <v>45597</v>
      </c>
      <c r="AH42" s="332"/>
      <c r="AI42" s="360">
        <v>45960</v>
      </c>
      <c r="AJ42" s="332"/>
      <c r="AK42" s="362">
        <v>5</v>
      </c>
      <c r="AL42" s="363" t="s">
        <v>358</v>
      </c>
      <c r="AM42" s="366">
        <f ca="1">MAX(I56:AC56)/(AG36-AG43)</f>
        <v>9.5670103092783503</v>
      </c>
      <c r="AN42" s="364">
        <f>U89-U91</f>
        <v>7142</v>
      </c>
      <c r="AO42" s="364">
        <f ca="1">(-MAX(F91:AA91)+AC89)/(AI42-AG36)</f>
        <v>287.29496402877697</v>
      </c>
      <c r="AP42" s="362" t="s">
        <v>218</v>
      </c>
    </row>
    <row r="43" spans="1:42">
      <c r="A43" s="36" t="s">
        <v>52</v>
      </c>
      <c r="B43" s="139"/>
      <c r="C43" s="522" t="s">
        <v>48</v>
      </c>
      <c r="D43" s="522" t="s">
        <v>49</v>
      </c>
      <c r="E43" s="510" t="s">
        <v>30</v>
      </c>
      <c r="F43" s="510"/>
      <c r="G43" s="510"/>
      <c r="H43" s="510"/>
      <c r="I43" s="510"/>
      <c r="J43" s="510"/>
      <c r="K43" s="510"/>
      <c r="L43" s="510"/>
      <c r="M43" s="511">
        <f>'PLATE FAB'!S2</f>
        <v>0</v>
      </c>
      <c r="N43" s="511">
        <f>'PLATE FAB'!T2</f>
        <v>0</v>
      </c>
      <c r="O43" s="511">
        <f>'PLATE FAB'!U2</f>
        <v>195.24</v>
      </c>
      <c r="P43" s="511">
        <f>'PLATE FAB'!V2</f>
        <v>244.05</v>
      </c>
      <c r="Q43" s="511">
        <f>'PLATE FAB'!W2</f>
        <v>504.64499999999998</v>
      </c>
      <c r="R43" s="511">
        <f>'PLATE FAB'!X2</f>
        <v>715.66800000000001</v>
      </c>
      <c r="S43" s="511">
        <f>'PLATE FAB'!Y2</f>
        <v>798.99599999999998</v>
      </c>
      <c r="T43" s="511">
        <f>'PLATE FAB'!Z2</f>
        <v>705.18</v>
      </c>
      <c r="U43" s="511">
        <f>'PLATE FAB'!AA2</f>
        <v>685.16100000000006</v>
      </c>
      <c r="V43" s="826">
        <f>'PLATE FAB'!AB2</f>
        <v>594.27099999999984</v>
      </c>
      <c r="W43" s="511">
        <f>'PLATE FAB'!AC2</f>
        <v>326.02199999999999</v>
      </c>
      <c r="X43" s="511">
        <f>'PLATE FAB'!AD2</f>
        <v>304.36700000000008</v>
      </c>
      <c r="Y43" s="511"/>
      <c r="Z43" s="511"/>
      <c r="AA43" s="511"/>
      <c r="AB43" s="531"/>
      <c r="AC43" s="518"/>
      <c r="AD43" s="314" t="s">
        <v>42</v>
      </c>
      <c r="AE43" s="786">
        <f>(S44+(T43/4)*SUMMARY!$C$12)/AC44</f>
        <v>0.62357675023651837</v>
      </c>
      <c r="AF43" s="332"/>
      <c r="AG43" s="360">
        <v>45627</v>
      </c>
      <c r="AH43" s="332"/>
      <c r="AI43" s="360">
        <v>45960</v>
      </c>
      <c r="AJ43" s="332"/>
      <c r="AK43" s="332"/>
      <c r="AL43" s="332"/>
      <c r="AM43" s="332"/>
      <c r="AN43" s="332"/>
      <c r="AO43" s="332"/>
      <c r="AP43" s="332"/>
    </row>
    <row r="44" spans="1:42">
      <c r="A44" s="36" t="s">
        <v>52</v>
      </c>
      <c r="B44" s="139"/>
      <c r="C44" s="522" t="s">
        <v>48</v>
      </c>
      <c r="D44" s="139" t="s">
        <v>49</v>
      </c>
      <c r="E44" s="510" t="s">
        <v>43</v>
      </c>
      <c r="F44" s="510"/>
      <c r="G44" s="510"/>
      <c r="H44" s="510"/>
      <c r="I44" s="510"/>
      <c r="J44" s="510"/>
      <c r="K44" s="510"/>
      <c r="L44" s="510"/>
      <c r="M44" s="511">
        <f t="shared" ref="M44:T44" si="4">M43+L44</f>
        <v>0</v>
      </c>
      <c r="N44" s="511">
        <f t="shared" si="4"/>
        <v>0</v>
      </c>
      <c r="O44" s="511">
        <f t="shared" si="4"/>
        <v>195.24</v>
      </c>
      <c r="P44" s="511">
        <f t="shared" si="4"/>
        <v>439.29</v>
      </c>
      <c r="Q44" s="511">
        <f t="shared" si="4"/>
        <v>943.93499999999995</v>
      </c>
      <c r="R44" s="511">
        <f t="shared" si="4"/>
        <v>1659.6030000000001</v>
      </c>
      <c r="S44" s="511">
        <f t="shared" si="4"/>
        <v>2458.5990000000002</v>
      </c>
      <c r="T44" s="511">
        <f t="shared" si="4"/>
        <v>3163.779</v>
      </c>
      <c r="U44" s="511">
        <f t="shared" ref="U44:X44" si="5">U43+T44</f>
        <v>3848.94</v>
      </c>
      <c r="V44" s="826">
        <f t="shared" si="5"/>
        <v>4443.2110000000002</v>
      </c>
      <c r="W44" s="512">
        <f t="shared" si="5"/>
        <v>4769.2330000000002</v>
      </c>
      <c r="X44" s="512">
        <f t="shared" si="5"/>
        <v>5073.6000000000004</v>
      </c>
      <c r="Y44" s="512"/>
      <c r="Z44" s="512"/>
      <c r="AA44" s="512"/>
      <c r="AB44" s="533"/>
      <c r="AC44" s="517">
        <f>MAX(F44:AB44)</f>
        <v>5073.6000000000004</v>
      </c>
      <c r="AD44" s="312" t="s">
        <v>44</v>
      </c>
      <c r="AE44" s="785">
        <f>AC46/AC44</f>
        <v>0.17975402081362346</v>
      </c>
    </row>
    <row r="45" spans="1:42">
      <c r="A45" s="36" t="s">
        <v>52</v>
      </c>
      <c r="B45" s="139"/>
      <c r="C45" s="522" t="s">
        <v>48</v>
      </c>
      <c r="D45" s="139" t="s">
        <v>49</v>
      </c>
      <c r="E45" s="139" t="s">
        <v>32</v>
      </c>
      <c r="F45" s="139"/>
      <c r="G45" s="139"/>
      <c r="H45" s="139"/>
      <c r="I45" s="139"/>
      <c r="J45" s="139"/>
      <c r="K45" s="139"/>
      <c r="L45" s="139"/>
      <c r="M45" s="139"/>
      <c r="N45" s="139"/>
      <c r="O45" s="370">
        <v>35</v>
      </c>
      <c r="P45" s="370">
        <v>55</v>
      </c>
      <c r="Q45" s="370">
        <f>114-39</f>
        <v>75</v>
      </c>
      <c r="R45" s="370">
        <v>191</v>
      </c>
      <c r="S45" s="370">
        <v>236</v>
      </c>
      <c r="T45" s="370">
        <v>111</v>
      </c>
      <c r="U45" s="370">
        <v>183</v>
      </c>
      <c r="V45" s="827"/>
      <c r="W45" s="139"/>
      <c r="X45" s="139"/>
      <c r="Y45" s="139"/>
      <c r="Z45" s="139"/>
      <c r="AA45" s="139"/>
      <c r="AB45" s="35"/>
      <c r="AC45" s="517"/>
      <c r="AD45" s="313"/>
      <c r="AE45" s="515"/>
    </row>
    <row r="46" spans="1:42">
      <c r="A46" s="36" t="s">
        <v>52</v>
      </c>
      <c r="B46" s="139"/>
      <c r="C46" s="522" t="s">
        <v>48</v>
      </c>
      <c r="D46" s="139" t="s">
        <v>49</v>
      </c>
      <c r="E46" s="139" t="s">
        <v>45</v>
      </c>
      <c r="F46" s="139"/>
      <c r="G46" s="139"/>
      <c r="H46" s="139"/>
      <c r="I46" s="139"/>
      <c r="J46" s="139"/>
      <c r="K46" s="139"/>
      <c r="L46" s="139"/>
      <c r="M46" s="139"/>
      <c r="N46" s="139"/>
      <c r="O46" s="370">
        <f>O45+N46</f>
        <v>35</v>
      </c>
      <c r="P46" s="370">
        <f>P45+O46</f>
        <v>90</v>
      </c>
      <c r="Q46" s="370">
        <f>Q45+P46</f>
        <v>165</v>
      </c>
      <c r="R46" s="370">
        <f>R45+Q46+26</f>
        <v>382</v>
      </c>
      <c r="S46" s="370">
        <f>S45+R46</f>
        <v>618</v>
      </c>
      <c r="T46" s="370">
        <f>S46+T45</f>
        <v>729</v>
      </c>
      <c r="U46" s="370">
        <f>T46+U45</f>
        <v>912</v>
      </c>
      <c r="V46" s="824">
        <f>U46+V45</f>
        <v>912</v>
      </c>
      <c r="W46" s="139"/>
      <c r="X46" s="139"/>
      <c r="Y46" s="139"/>
      <c r="Z46" s="139"/>
      <c r="AA46" s="139"/>
      <c r="AB46" s="35"/>
      <c r="AC46" s="517">
        <f>MAX(F46:Z46)</f>
        <v>912</v>
      </c>
      <c r="AD46" s="313"/>
      <c r="AE46" s="515"/>
      <c r="AG46" s="8"/>
    </row>
    <row r="47" spans="1:42">
      <c r="A47" s="34"/>
      <c r="B47" s="139"/>
      <c r="C47" s="139"/>
      <c r="D47" s="139"/>
      <c r="E47" s="139"/>
      <c r="F47" s="139"/>
      <c r="G47" s="139"/>
      <c r="H47" s="139"/>
      <c r="I47" s="139"/>
      <c r="J47" s="139"/>
      <c r="K47" s="139"/>
      <c r="L47" s="37"/>
      <c r="M47" s="37"/>
      <c r="N47" s="37"/>
      <c r="O47" s="37"/>
      <c r="P47" s="37"/>
      <c r="Q47" s="37"/>
      <c r="R47" s="37">
        <f>Q46-196.82</f>
        <v>-31.819999999999993</v>
      </c>
      <c r="S47" s="37">
        <f>459+240-R46</f>
        <v>317</v>
      </c>
      <c r="T47" s="370">
        <f>T44-T46</f>
        <v>2434.779</v>
      </c>
      <c r="U47" s="370">
        <f>T46-717</f>
        <v>12</v>
      </c>
      <c r="V47" s="817">
        <f>U46-828</f>
        <v>84</v>
      </c>
      <c r="W47" s="139"/>
      <c r="X47" s="525"/>
      <c r="Y47" s="525"/>
      <c r="Z47" s="525"/>
      <c r="AA47" s="525"/>
      <c r="AB47" s="35"/>
      <c r="AC47" s="518"/>
      <c r="AD47" s="313"/>
      <c r="AE47" s="515"/>
      <c r="AG47" s="8"/>
    </row>
    <row r="48" spans="1:42">
      <c r="A48" s="36" t="s">
        <v>52</v>
      </c>
      <c r="B48" s="139"/>
      <c r="C48" s="522" t="s">
        <v>48</v>
      </c>
      <c r="D48" s="522" t="s">
        <v>53</v>
      </c>
      <c r="E48" s="510" t="s">
        <v>30</v>
      </c>
      <c r="F48" s="510"/>
      <c r="G48" s="510"/>
      <c r="H48" s="510"/>
      <c r="I48" s="510"/>
      <c r="J48" s="510"/>
      <c r="K48" s="510"/>
      <c r="L48" s="511"/>
      <c r="M48" s="511"/>
      <c r="N48" s="511">
        <f>'STRUCTURE ERECTION'!S3</f>
        <v>0</v>
      </c>
      <c r="O48" s="511">
        <f>'STRUCTURE ERECTION'!T3</f>
        <v>0</v>
      </c>
      <c r="P48" s="511">
        <f>'STRUCTURE ERECTION'!U3</f>
        <v>0</v>
      </c>
      <c r="Q48" s="511">
        <f>'STRUCTURE ERECTION'!V3</f>
        <v>0</v>
      </c>
      <c r="R48" s="511">
        <f>'STRUCTURE ERECTION'!W3</f>
        <v>363</v>
      </c>
      <c r="S48" s="511">
        <f>'STRUCTURE ERECTION'!X3</f>
        <v>999</v>
      </c>
      <c r="T48" s="511">
        <f>'STRUCTURE ERECTION'!Y3</f>
        <v>1067</v>
      </c>
      <c r="U48" s="511">
        <f>'STRUCTURE ERECTION'!Z3</f>
        <v>2541</v>
      </c>
      <c r="V48" s="826">
        <f>'STRUCTURE ERECTION'!AA3</f>
        <v>3353</v>
      </c>
      <c r="W48" s="511">
        <f>'STRUCTURE ERECTION'!AB3</f>
        <v>3495</v>
      </c>
      <c r="X48" s="511">
        <f>'STRUCTURE ERECTION'!AC3</f>
        <v>3946</v>
      </c>
      <c r="Y48" s="511">
        <f>'STRUCTURE ERECTION'!AD3</f>
        <v>2983</v>
      </c>
      <c r="Z48" s="511">
        <f>'STRUCTURE ERECTION'!AE3</f>
        <v>1339</v>
      </c>
      <c r="AA48" s="511">
        <f>'STRUCTURE ERECTION'!AF3</f>
        <v>819</v>
      </c>
      <c r="AB48" s="531">
        <f>'STRUCTURE ERECTION'!AG3</f>
        <v>0</v>
      </c>
      <c r="AC48" s="518"/>
      <c r="AD48" s="314" t="s">
        <v>42</v>
      </c>
      <c r="AE48" s="713">
        <f>(S49+(T48/4)*SUMMARY!$C$12)/AC49</f>
        <v>0.11619229849318345</v>
      </c>
    </row>
    <row r="49" spans="1:35">
      <c r="A49" s="36" t="s">
        <v>52</v>
      </c>
      <c r="B49" s="139"/>
      <c r="C49" s="522" t="s">
        <v>48</v>
      </c>
      <c r="D49" s="139" t="s">
        <v>53</v>
      </c>
      <c r="E49" s="510" t="s">
        <v>43</v>
      </c>
      <c r="F49" s="510"/>
      <c r="G49" s="510"/>
      <c r="H49" s="510"/>
      <c r="I49" s="510"/>
      <c r="J49" s="510"/>
      <c r="K49" s="510"/>
      <c r="L49" s="511"/>
      <c r="M49" s="511"/>
      <c r="N49" s="511">
        <f t="shared" ref="N49:AB49" si="6">N48+M49</f>
        <v>0</v>
      </c>
      <c r="O49" s="511">
        <f t="shared" si="6"/>
        <v>0</v>
      </c>
      <c r="P49" s="511">
        <f t="shared" si="6"/>
        <v>0</v>
      </c>
      <c r="Q49" s="511">
        <f t="shared" si="6"/>
        <v>0</v>
      </c>
      <c r="R49" s="511">
        <f t="shared" si="6"/>
        <v>363</v>
      </c>
      <c r="S49" s="511">
        <f t="shared" si="6"/>
        <v>1362</v>
      </c>
      <c r="T49" s="511">
        <f t="shared" si="6"/>
        <v>2429</v>
      </c>
      <c r="U49" s="511">
        <f t="shared" si="6"/>
        <v>4970</v>
      </c>
      <c r="V49" s="826">
        <f t="shared" si="6"/>
        <v>8323</v>
      </c>
      <c r="W49" s="511">
        <f t="shared" si="6"/>
        <v>11818</v>
      </c>
      <c r="X49" s="511">
        <f t="shared" si="6"/>
        <v>15764</v>
      </c>
      <c r="Y49" s="511">
        <f t="shared" si="6"/>
        <v>18747</v>
      </c>
      <c r="Z49" s="511">
        <f t="shared" si="6"/>
        <v>20086</v>
      </c>
      <c r="AA49" s="511">
        <f t="shared" si="6"/>
        <v>20905</v>
      </c>
      <c r="AB49" s="531">
        <f t="shared" si="6"/>
        <v>20905</v>
      </c>
      <c r="AC49" s="517">
        <f>MAX(F49:AB49)</f>
        <v>20905</v>
      </c>
      <c r="AD49" s="312" t="s">
        <v>44</v>
      </c>
      <c r="AE49" s="712">
        <f>AC51/AC49</f>
        <v>2.9657976560631429E-2</v>
      </c>
    </row>
    <row r="50" spans="1:35">
      <c r="A50" s="36" t="s">
        <v>52</v>
      </c>
      <c r="B50" s="139"/>
      <c r="C50" s="522" t="s">
        <v>48</v>
      </c>
      <c r="D50" s="139" t="s">
        <v>53</v>
      </c>
      <c r="E50" s="139" t="s">
        <v>32</v>
      </c>
      <c r="F50" s="139"/>
      <c r="G50" s="139"/>
      <c r="H50" s="139"/>
      <c r="I50" s="139"/>
      <c r="J50" s="139"/>
      <c r="K50" s="139"/>
      <c r="L50" s="139"/>
      <c r="M50" s="370"/>
      <c r="N50" s="370"/>
      <c r="O50" s="370">
        <v>0</v>
      </c>
      <c r="P50" s="370">
        <v>0</v>
      </c>
      <c r="Q50" s="370">
        <v>3</v>
      </c>
      <c r="R50" s="370"/>
      <c r="S50" s="370">
        <v>348</v>
      </c>
      <c r="T50" s="370">
        <v>185</v>
      </c>
      <c r="U50" s="370">
        <v>84</v>
      </c>
      <c r="V50" s="827"/>
      <c r="W50" s="139"/>
      <c r="X50" s="139"/>
      <c r="Y50" s="139"/>
      <c r="Z50" s="139"/>
      <c r="AA50" s="139"/>
      <c r="AB50" s="35"/>
      <c r="AC50" s="517"/>
      <c r="AD50" s="313"/>
      <c r="AE50" s="515"/>
      <c r="AI50" s="569">
        <f>AA39-T41</f>
        <v>54875</v>
      </c>
    </row>
    <row r="51" spans="1:35">
      <c r="A51" s="36" t="s">
        <v>52</v>
      </c>
      <c r="B51" s="139"/>
      <c r="C51" s="522" t="s">
        <v>48</v>
      </c>
      <c r="D51" s="139" t="s">
        <v>53</v>
      </c>
      <c r="E51" s="139" t="s">
        <v>45</v>
      </c>
      <c r="F51" s="139"/>
      <c r="G51" s="139"/>
      <c r="H51" s="139"/>
      <c r="I51" s="139"/>
      <c r="J51" s="139"/>
      <c r="K51" s="139"/>
      <c r="L51" s="139"/>
      <c r="M51" s="139"/>
      <c r="N51" s="139"/>
      <c r="O51" s="370">
        <f>O50+N51</f>
        <v>0</v>
      </c>
      <c r="P51" s="370">
        <f>P50+O51</f>
        <v>0</v>
      </c>
      <c r="Q51" s="370">
        <f>Q50+P51</f>
        <v>3</v>
      </c>
      <c r="R51" s="370">
        <f>R50+Q51</f>
        <v>3</v>
      </c>
      <c r="S51" s="370">
        <f>R51+S50</f>
        <v>351</v>
      </c>
      <c r="T51" s="370">
        <f>S51+T50</f>
        <v>536</v>
      </c>
      <c r="U51" s="370">
        <f>T51+U50</f>
        <v>620</v>
      </c>
      <c r="V51" s="824">
        <f>U51+V50</f>
        <v>620</v>
      </c>
      <c r="W51" s="139"/>
      <c r="X51" s="139"/>
      <c r="Y51" s="139"/>
      <c r="Z51" s="139"/>
      <c r="AA51" s="139"/>
      <c r="AB51" s="35"/>
      <c r="AC51" s="517">
        <f>MAX(F51:Z51)</f>
        <v>620</v>
      </c>
      <c r="AD51" s="313"/>
      <c r="AE51" s="515"/>
      <c r="AF51" s="8"/>
    </row>
    <row r="52" spans="1:35">
      <c r="A52" s="34"/>
      <c r="B52" s="139"/>
      <c r="C52" s="139"/>
      <c r="D52" s="139"/>
      <c r="E52" s="139"/>
      <c r="F52" s="139"/>
      <c r="G52" s="139"/>
      <c r="H52" s="139"/>
      <c r="I52" s="139"/>
      <c r="J52" s="139"/>
      <c r="K52" s="139"/>
      <c r="L52" s="37"/>
      <c r="M52" s="37"/>
      <c r="N52" s="37"/>
      <c r="O52" s="37"/>
      <c r="P52" s="37"/>
      <c r="Q52" s="37"/>
      <c r="R52" s="37"/>
      <c r="S52" s="37"/>
      <c r="T52" s="370">
        <f>T49-T51</f>
        <v>1893</v>
      </c>
      <c r="U52" s="370"/>
      <c r="V52" s="817"/>
      <c r="W52" s="139"/>
      <c r="X52" s="139"/>
      <c r="Y52" s="139"/>
      <c r="Z52" s="525"/>
      <c r="AA52" s="525"/>
      <c r="AB52" s="35"/>
      <c r="AC52" s="518"/>
      <c r="AD52" s="313"/>
      <c r="AE52" s="515"/>
    </row>
    <row r="53" spans="1:35">
      <c r="A53" s="36" t="s">
        <v>52</v>
      </c>
      <c r="B53" s="139"/>
      <c r="C53" s="522" t="s">
        <v>48</v>
      </c>
      <c r="D53" s="522" t="s">
        <v>54</v>
      </c>
      <c r="E53" s="510" t="s">
        <v>30</v>
      </c>
      <c r="F53" s="510"/>
      <c r="G53" s="510"/>
      <c r="H53" s="510"/>
      <c r="I53" s="510"/>
      <c r="J53" s="510"/>
      <c r="K53" s="510"/>
      <c r="L53" s="511"/>
      <c r="M53" s="511"/>
      <c r="N53" s="511"/>
      <c r="O53" s="511"/>
      <c r="P53" s="511"/>
      <c r="Q53" s="511">
        <f>'P&amp;E'!Y3</f>
        <v>67</v>
      </c>
      <c r="R53" s="511">
        <f>'P&amp;E'!Z3</f>
        <v>378</v>
      </c>
      <c r="S53" s="511">
        <f>'P&amp;E'!AA3</f>
        <v>906</v>
      </c>
      <c r="T53" s="511">
        <f>'P&amp;E'!AB3</f>
        <v>1419</v>
      </c>
      <c r="U53" s="511">
        <f>'P&amp;E'!AC3</f>
        <v>1878</v>
      </c>
      <c r="V53" s="826">
        <f>'P&amp;E'!AD3</f>
        <v>2257</v>
      </c>
      <c r="W53" s="511">
        <f>'P&amp;E'!AE3</f>
        <v>3295</v>
      </c>
      <c r="X53" s="511">
        <f>'P&amp;E'!AF3</f>
        <v>3778</v>
      </c>
      <c r="Y53" s="511">
        <f>'P&amp;E'!AG3</f>
        <v>3419</v>
      </c>
      <c r="Z53" s="511">
        <f>'P&amp;E'!AH3</f>
        <v>2442</v>
      </c>
      <c r="AA53" s="511">
        <f>'P&amp;E'!AI3</f>
        <v>1555</v>
      </c>
      <c r="AB53" s="531">
        <f>'P&amp;E'!AJ3</f>
        <v>111</v>
      </c>
      <c r="AC53" s="518"/>
      <c r="AD53" s="314" t="s">
        <v>42</v>
      </c>
      <c r="AE53" s="713">
        <f>(S54+(T53/4)*SUMMARY!$C$12)/AC54</f>
        <v>0.12880725412694721</v>
      </c>
    </row>
    <row r="54" spans="1:35">
      <c r="A54" s="36" t="s">
        <v>52</v>
      </c>
      <c r="B54" s="139"/>
      <c r="C54" s="522" t="s">
        <v>48</v>
      </c>
      <c r="D54" s="139" t="s">
        <v>54</v>
      </c>
      <c r="E54" s="510" t="s">
        <v>43</v>
      </c>
      <c r="F54" s="510"/>
      <c r="G54" s="510"/>
      <c r="H54" s="510"/>
      <c r="I54" s="510"/>
      <c r="J54" s="510"/>
      <c r="K54" s="510"/>
      <c r="L54" s="511"/>
      <c r="M54" s="511">
        <f t="shared" ref="M54:X54" si="7">M53+L54</f>
        <v>0</v>
      </c>
      <c r="N54" s="511">
        <f t="shared" si="7"/>
        <v>0</v>
      </c>
      <c r="O54" s="511">
        <f t="shared" si="7"/>
        <v>0</v>
      </c>
      <c r="P54" s="511">
        <f t="shared" si="7"/>
        <v>0</v>
      </c>
      <c r="Q54" s="511">
        <f t="shared" si="7"/>
        <v>67</v>
      </c>
      <c r="R54" s="511">
        <f t="shared" si="7"/>
        <v>445</v>
      </c>
      <c r="S54" s="511">
        <f t="shared" si="7"/>
        <v>1351</v>
      </c>
      <c r="T54" s="511">
        <f t="shared" si="7"/>
        <v>2770</v>
      </c>
      <c r="U54" s="511">
        <f t="shared" si="7"/>
        <v>4648</v>
      </c>
      <c r="V54" s="826">
        <f t="shared" si="7"/>
        <v>6905</v>
      </c>
      <c r="W54" s="511">
        <f t="shared" si="7"/>
        <v>10200</v>
      </c>
      <c r="X54" s="511">
        <f t="shared" si="7"/>
        <v>13978</v>
      </c>
      <c r="Y54" s="511">
        <f>Y53+X54</f>
        <v>17397</v>
      </c>
      <c r="Z54" s="511">
        <f>Z53+Y54</f>
        <v>19839</v>
      </c>
      <c r="AA54" s="511">
        <f>AA53+Z54</f>
        <v>21394</v>
      </c>
      <c r="AB54" s="531">
        <f>AB53+AA54</f>
        <v>21505</v>
      </c>
      <c r="AC54" s="517">
        <f>MAX(F54:AB54)</f>
        <v>21505</v>
      </c>
      <c r="AD54" s="312" t="s">
        <v>44</v>
      </c>
      <c r="AE54" s="712">
        <f>AC56/AC54</f>
        <v>8.6305510346431066E-2</v>
      </c>
    </row>
    <row r="55" spans="1:35">
      <c r="A55" s="36" t="s">
        <v>52</v>
      </c>
      <c r="B55" s="139"/>
      <c r="C55" s="522" t="s">
        <v>48</v>
      </c>
      <c r="D55" s="139" t="s">
        <v>54</v>
      </c>
      <c r="E55" s="139" t="s">
        <v>32</v>
      </c>
      <c r="F55" s="139"/>
      <c r="G55" s="139"/>
      <c r="H55" s="139"/>
      <c r="I55" s="139"/>
      <c r="J55" s="139"/>
      <c r="K55" s="139"/>
      <c r="L55" s="370"/>
      <c r="M55" s="139"/>
      <c r="N55" s="139"/>
      <c r="O55" s="139">
        <v>0</v>
      </c>
      <c r="P55" s="139">
        <v>0</v>
      </c>
      <c r="Q55" s="139">
        <f>32+240</f>
        <v>272</v>
      </c>
      <c r="R55" s="139">
        <f>82+105+240+57+48+13</f>
        <v>545</v>
      </c>
      <c r="S55" s="139">
        <v>455</v>
      </c>
      <c r="T55" s="139">
        <f>48+16</f>
        <v>64</v>
      </c>
      <c r="U55" s="139">
        <v>520</v>
      </c>
      <c r="V55" s="827"/>
      <c r="W55" s="139"/>
      <c r="X55" s="139"/>
      <c r="Y55" s="139"/>
      <c r="Z55" s="139"/>
      <c r="AA55" s="139"/>
      <c r="AB55" s="35"/>
      <c r="AC55" s="517"/>
      <c r="AD55" s="313"/>
      <c r="AE55" s="515"/>
    </row>
    <row r="56" spans="1:35">
      <c r="A56" s="36" t="s">
        <v>52</v>
      </c>
      <c r="B56" s="139"/>
      <c r="C56" s="522" t="s">
        <v>48</v>
      </c>
      <c r="D56" s="139" t="s">
        <v>54</v>
      </c>
      <c r="E56" s="139" t="s">
        <v>45</v>
      </c>
      <c r="F56" s="139"/>
      <c r="G56" s="139"/>
      <c r="H56" s="139"/>
      <c r="I56" s="139"/>
      <c r="J56" s="139"/>
      <c r="K56" s="139"/>
      <c r="L56" s="139"/>
      <c r="M56" s="139"/>
      <c r="N56" s="139"/>
      <c r="O56" s="370">
        <f t="shared" ref="O56:T56" si="8">O55+N56</f>
        <v>0</v>
      </c>
      <c r="P56" s="370">
        <f t="shared" si="8"/>
        <v>0</v>
      </c>
      <c r="Q56" s="370">
        <f t="shared" si="8"/>
        <v>272</v>
      </c>
      <c r="R56" s="370">
        <f t="shared" si="8"/>
        <v>817</v>
      </c>
      <c r="S56" s="370">
        <f t="shared" si="8"/>
        <v>1272</v>
      </c>
      <c r="T56" s="370">
        <f t="shared" si="8"/>
        <v>1336</v>
      </c>
      <c r="U56" s="370">
        <f>T56+U55</f>
        <v>1856</v>
      </c>
      <c r="V56" s="824">
        <f>U56+V55</f>
        <v>1856</v>
      </c>
      <c r="W56" s="139"/>
      <c r="X56" s="139"/>
      <c r="Y56" s="139"/>
      <c r="Z56" s="139"/>
      <c r="AA56" s="139"/>
      <c r="AB56" s="35"/>
      <c r="AC56" s="517">
        <f>MAX(F56:Z56)</f>
        <v>1856</v>
      </c>
      <c r="AD56" s="313"/>
      <c r="AE56" s="515"/>
      <c r="AF56" s="8"/>
    </row>
    <row r="57" spans="1:35">
      <c r="A57" s="34"/>
      <c r="B57" s="139"/>
      <c r="C57" s="139"/>
      <c r="D57" s="139"/>
      <c r="E57" s="139"/>
      <c r="F57" s="139"/>
      <c r="G57" s="139"/>
      <c r="H57" s="139"/>
      <c r="I57" s="139"/>
      <c r="J57" s="139"/>
      <c r="K57" s="139"/>
      <c r="L57" s="139"/>
      <c r="M57" s="139"/>
      <c r="N57" s="139"/>
      <c r="O57" s="139"/>
      <c r="P57" s="139"/>
      <c r="Q57" s="139"/>
      <c r="R57" s="139"/>
      <c r="S57" s="139">
        <f>756-R56</f>
        <v>-61</v>
      </c>
      <c r="T57" s="139">
        <f>T56-1295</f>
        <v>41</v>
      </c>
      <c r="U57" s="139"/>
      <c r="V57" s="827">
        <f>U56-1688</f>
        <v>168</v>
      </c>
      <c r="W57" s="139"/>
      <c r="X57" s="139"/>
      <c r="Y57" s="139"/>
      <c r="Z57" s="525"/>
      <c r="AA57" s="525"/>
      <c r="AB57" s="35"/>
      <c r="AC57" s="518"/>
      <c r="AD57" s="313"/>
      <c r="AE57" s="515"/>
      <c r="AF57" s="569">
        <f>AC54-X44</f>
        <v>16431.400000000001</v>
      </c>
    </row>
    <row r="58" spans="1:35">
      <c r="A58" s="36" t="s">
        <v>52</v>
      </c>
      <c r="B58" s="139"/>
      <c r="C58" s="522" t="s">
        <v>55</v>
      </c>
      <c r="D58" s="522" t="s">
        <v>24</v>
      </c>
      <c r="E58" s="510" t="s">
        <v>30</v>
      </c>
      <c r="F58" s="510"/>
      <c r="G58" s="510"/>
      <c r="H58" s="510"/>
      <c r="I58" s="510"/>
      <c r="J58" s="510"/>
      <c r="K58" s="510"/>
      <c r="L58" s="510"/>
      <c r="M58" s="510"/>
      <c r="N58" s="510"/>
      <c r="O58" s="510"/>
      <c r="P58" s="510"/>
      <c r="Q58" s="510"/>
      <c r="R58" s="510"/>
      <c r="S58" s="510"/>
      <c r="T58" s="510"/>
      <c r="U58" s="510">
        <f>'Ref and E&amp;I'!K9</f>
        <v>495</v>
      </c>
      <c r="V58" s="825">
        <f>'Ref and E&amp;I'!L9</f>
        <v>920</v>
      </c>
      <c r="W58" s="511">
        <f>'Ref and E&amp;I'!M9</f>
        <v>1274</v>
      </c>
      <c r="X58" s="511">
        <f>'Ref and E&amp;I'!N9</f>
        <v>1557</v>
      </c>
      <c r="Y58" s="511">
        <f>'Ref and E&amp;I'!O9</f>
        <v>1362</v>
      </c>
      <c r="Z58" s="511">
        <f>'Ref and E&amp;I'!P9</f>
        <v>1741</v>
      </c>
      <c r="AA58" s="511">
        <f>'Ref and E&amp;I'!Q9</f>
        <v>1441</v>
      </c>
      <c r="AB58" s="531">
        <f>'Ref and E&amp;I'!R9</f>
        <v>145</v>
      </c>
      <c r="AC58" s="518"/>
      <c r="AD58" s="314" t="s">
        <v>42</v>
      </c>
      <c r="AE58" s="713">
        <f>(S59+(T58/4)*SUMMARY!$C$12)/AC59</f>
        <v>0</v>
      </c>
    </row>
    <row r="59" spans="1:35">
      <c r="A59" s="36" t="s">
        <v>52</v>
      </c>
      <c r="B59" s="139"/>
      <c r="C59" s="522" t="s">
        <v>55</v>
      </c>
      <c r="D59" s="139" t="s">
        <v>24</v>
      </c>
      <c r="E59" s="510" t="s">
        <v>43</v>
      </c>
      <c r="F59" s="510"/>
      <c r="G59" s="510"/>
      <c r="H59" s="510"/>
      <c r="I59" s="510"/>
      <c r="J59" s="510"/>
      <c r="K59" s="510"/>
      <c r="L59" s="510"/>
      <c r="M59" s="510"/>
      <c r="N59" s="510"/>
      <c r="O59" s="510"/>
      <c r="P59" s="510"/>
      <c r="Q59" s="510"/>
      <c r="R59" s="510">
        <f t="shared" ref="R59:Y59" si="9">R58+Q59</f>
        <v>0</v>
      </c>
      <c r="S59" s="510">
        <f t="shared" si="9"/>
        <v>0</v>
      </c>
      <c r="T59" s="510">
        <f t="shared" si="9"/>
        <v>0</v>
      </c>
      <c r="U59" s="510">
        <f t="shared" si="9"/>
        <v>495</v>
      </c>
      <c r="V59" s="825">
        <f t="shared" si="9"/>
        <v>1415</v>
      </c>
      <c r="W59" s="510">
        <f t="shared" si="9"/>
        <v>2689</v>
      </c>
      <c r="X59" s="510">
        <f t="shared" si="9"/>
        <v>4246</v>
      </c>
      <c r="Y59" s="523">
        <f t="shared" si="9"/>
        <v>5608</v>
      </c>
      <c r="Z59" s="523">
        <f>Z58+Y59</f>
        <v>7349</v>
      </c>
      <c r="AA59" s="523">
        <f>AA58+Z59</f>
        <v>8790</v>
      </c>
      <c r="AB59" s="534">
        <f>AB58+AA59</f>
        <v>8935</v>
      </c>
      <c r="AC59" s="517">
        <f>MAX(F59:AB59)</f>
        <v>8935</v>
      </c>
      <c r="AD59" s="312" t="s">
        <v>44</v>
      </c>
      <c r="AE59" s="712">
        <f>AC61/AC59</f>
        <v>0</v>
      </c>
    </row>
    <row r="60" spans="1:35">
      <c r="A60" s="36" t="s">
        <v>52</v>
      </c>
      <c r="B60" s="139"/>
      <c r="C60" s="522" t="s">
        <v>55</v>
      </c>
      <c r="D60" s="139" t="s">
        <v>24</v>
      </c>
      <c r="E60" s="139" t="s">
        <v>32</v>
      </c>
      <c r="F60" s="139"/>
      <c r="G60" s="139"/>
      <c r="H60" s="139"/>
      <c r="I60" s="139"/>
      <c r="J60" s="139"/>
      <c r="K60" s="139"/>
      <c r="L60" s="139"/>
      <c r="M60" s="139"/>
      <c r="N60" s="139"/>
      <c r="O60" s="139">
        <v>0</v>
      </c>
      <c r="P60" s="139">
        <v>0</v>
      </c>
      <c r="Q60" s="139">
        <v>0</v>
      </c>
      <c r="R60" s="139"/>
      <c r="S60" s="139"/>
      <c r="T60" s="139"/>
      <c r="U60" s="139"/>
      <c r="V60" s="823"/>
      <c r="W60" s="139"/>
      <c r="X60" s="139"/>
      <c r="Y60" s="139"/>
      <c r="Z60" s="139"/>
      <c r="AA60" s="139"/>
      <c r="AB60" s="35"/>
      <c r="AC60" s="517"/>
      <c r="AD60" s="313"/>
      <c r="AE60" s="515"/>
    </row>
    <row r="61" spans="1:35">
      <c r="A61" s="36" t="s">
        <v>52</v>
      </c>
      <c r="B61" s="139"/>
      <c r="C61" s="522" t="s">
        <v>55</v>
      </c>
      <c r="D61" s="139" t="s">
        <v>24</v>
      </c>
      <c r="E61" s="139" t="s">
        <v>45</v>
      </c>
      <c r="F61" s="139"/>
      <c r="G61" s="139"/>
      <c r="H61" s="139"/>
      <c r="I61" s="139"/>
      <c r="J61" s="139"/>
      <c r="K61" s="139"/>
      <c r="L61" s="139"/>
      <c r="M61" s="139"/>
      <c r="N61" s="139"/>
      <c r="O61" s="370">
        <f>O60+N61</f>
        <v>0</v>
      </c>
      <c r="P61" s="370">
        <f>P60+O61</f>
        <v>0</v>
      </c>
      <c r="Q61" s="370">
        <f>Q60+P61</f>
        <v>0</v>
      </c>
      <c r="R61" s="370"/>
      <c r="S61" s="370"/>
      <c r="T61" s="370"/>
      <c r="U61" s="370">
        <f>T61+U60</f>
        <v>0</v>
      </c>
      <c r="V61" s="824">
        <f>U61+V60</f>
        <v>0</v>
      </c>
      <c r="W61" s="139"/>
      <c r="X61" s="139"/>
      <c r="Y61" s="139"/>
      <c r="Z61" s="139"/>
      <c r="AA61" s="139"/>
      <c r="AB61" s="35"/>
      <c r="AC61" s="517">
        <f>MAX(F61:Z61)</f>
        <v>0</v>
      </c>
      <c r="AD61" s="313"/>
      <c r="AE61" s="515"/>
    </row>
    <row r="62" spans="1:35">
      <c r="A62" s="34"/>
      <c r="B62" s="139"/>
      <c r="C62" s="139"/>
      <c r="D62" s="139"/>
      <c r="E62" s="139"/>
      <c r="F62" s="139"/>
      <c r="G62" s="139"/>
      <c r="H62" s="139"/>
      <c r="I62" s="139"/>
      <c r="J62" s="139"/>
      <c r="K62" s="139"/>
      <c r="L62" s="139"/>
      <c r="M62" s="139"/>
      <c r="N62" s="139"/>
      <c r="O62" s="139"/>
      <c r="P62" s="139"/>
      <c r="Q62" s="139">
        <f>Q88/4*SUMMARY!C31</f>
        <v>67</v>
      </c>
      <c r="R62" s="139"/>
      <c r="S62" s="139"/>
      <c r="T62" s="139"/>
      <c r="U62" s="139"/>
      <c r="V62" s="823"/>
      <c r="W62" s="139"/>
      <c r="X62" s="139"/>
      <c r="Y62" s="139"/>
      <c r="Z62" s="525"/>
      <c r="AA62" s="525"/>
      <c r="AB62" s="35"/>
      <c r="AC62" s="518"/>
      <c r="AD62" s="313"/>
      <c r="AE62" s="515"/>
    </row>
    <row r="63" spans="1:35" s="545" customFormat="1">
      <c r="A63" s="36" t="s">
        <v>52</v>
      </c>
      <c r="B63" s="139"/>
      <c r="C63" s="548" t="s">
        <v>46</v>
      </c>
      <c r="D63" s="555" t="s">
        <v>276</v>
      </c>
      <c r="E63" s="510" t="s">
        <v>30</v>
      </c>
      <c r="F63" s="510"/>
      <c r="G63" s="510"/>
      <c r="H63" s="553"/>
      <c r="I63" s="553"/>
      <c r="J63" s="553"/>
      <c r="K63" s="553"/>
      <c r="L63" s="551"/>
      <c r="M63" s="553"/>
      <c r="N63" s="553"/>
      <c r="O63" s="553"/>
      <c r="P63" s="553"/>
      <c r="Q63" s="553"/>
      <c r="R63" s="571"/>
      <c r="S63" s="571"/>
      <c r="T63" s="571"/>
      <c r="U63" s="571"/>
      <c r="V63" s="825">
        <v>33</v>
      </c>
      <c r="W63" s="551">
        <v>98</v>
      </c>
      <c r="X63" s="551">
        <v>130</v>
      </c>
      <c r="Y63" s="551">
        <v>163</v>
      </c>
      <c r="Z63" s="551">
        <v>117</v>
      </c>
      <c r="AA63" s="551">
        <v>85</v>
      </c>
      <c r="AB63" s="531">
        <v>26.08</v>
      </c>
      <c r="AC63" s="518"/>
      <c r="AD63" s="314" t="s">
        <v>42</v>
      </c>
      <c r="AE63" s="713">
        <f>(S64+(T63/4)*SUMMARY!$C$12)/AC64</f>
        <v>0</v>
      </c>
    </row>
    <row r="64" spans="1:35" s="545" customFormat="1">
      <c r="A64" s="36" t="s">
        <v>52</v>
      </c>
      <c r="B64" s="139"/>
      <c r="C64" s="548" t="s">
        <v>46</v>
      </c>
      <c r="D64" s="555" t="s">
        <v>276</v>
      </c>
      <c r="E64" s="510" t="s">
        <v>43</v>
      </c>
      <c r="F64" s="510"/>
      <c r="G64" s="510"/>
      <c r="H64" s="553"/>
      <c r="I64" s="553"/>
      <c r="J64" s="553"/>
      <c r="K64" s="553"/>
      <c r="L64" s="553"/>
      <c r="M64" s="551"/>
      <c r="N64" s="551"/>
      <c r="O64" s="551"/>
      <c r="P64" s="551"/>
      <c r="Q64" s="551"/>
      <c r="R64" s="570"/>
      <c r="S64" s="570"/>
      <c r="T64" s="570"/>
      <c r="U64" s="570"/>
      <c r="V64" s="825">
        <v>33</v>
      </c>
      <c r="W64" s="551">
        <v>131</v>
      </c>
      <c r="X64" s="551">
        <v>261</v>
      </c>
      <c r="Y64" s="551">
        <v>424</v>
      </c>
      <c r="Z64" s="551">
        <v>541</v>
      </c>
      <c r="AA64" s="551">
        <v>626</v>
      </c>
      <c r="AB64" s="534">
        <v>652.08000000000004</v>
      </c>
      <c r="AC64" s="517">
        <f>MAX(F64:AB64)</f>
        <v>652.08000000000004</v>
      </c>
      <c r="AD64" s="312" t="s">
        <v>44</v>
      </c>
      <c r="AE64" s="712">
        <f>AC66/AC64</f>
        <v>0</v>
      </c>
    </row>
    <row r="65" spans="1:31" s="545" customFormat="1">
      <c r="A65" s="36" t="s">
        <v>52</v>
      </c>
      <c r="B65" s="139"/>
      <c r="C65" s="548" t="s">
        <v>46</v>
      </c>
      <c r="D65" s="555" t="s">
        <v>276</v>
      </c>
      <c r="E65" s="139" t="s">
        <v>32</v>
      </c>
      <c r="F65" s="139"/>
      <c r="G65" s="139"/>
      <c r="H65" s="549"/>
      <c r="I65" s="549"/>
      <c r="J65" s="549"/>
      <c r="K65" s="549"/>
      <c r="L65" s="550"/>
      <c r="M65" s="550"/>
      <c r="N65" s="550"/>
      <c r="O65" s="550"/>
      <c r="P65" s="550"/>
      <c r="Q65" s="550"/>
      <c r="R65" s="569"/>
      <c r="S65" s="569"/>
      <c r="T65" s="569"/>
      <c r="U65" s="569"/>
      <c r="V65" s="823"/>
      <c r="W65" s="549"/>
      <c r="X65" s="549"/>
      <c r="Y65" s="549"/>
      <c r="Z65" s="549"/>
      <c r="AA65" s="549"/>
      <c r="AB65" s="35"/>
      <c r="AC65" s="517"/>
      <c r="AD65" s="313"/>
      <c r="AE65" s="515"/>
    </row>
    <row r="66" spans="1:31" s="545" customFormat="1">
      <c r="A66" s="36" t="s">
        <v>52</v>
      </c>
      <c r="B66" s="139"/>
      <c r="C66" s="548" t="s">
        <v>46</v>
      </c>
      <c r="D66" s="555" t="s">
        <v>276</v>
      </c>
      <c r="E66" s="139" t="s">
        <v>45</v>
      </c>
      <c r="F66" s="139"/>
      <c r="G66" s="139"/>
      <c r="H66" s="549"/>
      <c r="I66" s="549"/>
      <c r="J66" s="549"/>
      <c r="K66" s="549"/>
      <c r="L66" s="550"/>
      <c r="M66" s="549"/>
      <c r="N66" s="549"/>
      <c r="O66" s="549"/>
      <c r="P66" s="550"/>
      <c r="Q66" s="550">
        <v>0</v>
      </c>
      <c r="R66" s="569">
        <v>0</v>
      </c>
      <c r="S66" s="569"/>
      <c r="T66" s="569"/>
      <c r="U66" s="569">
        <f>T66+U65</f>
        <v>0</v>
      </c>
      <c r="V66" s="824">
        <f>U66+V65</f>
        <v>0</v>
      </c>
      <c r="W66" s="549"/>
      <c r="X66" s="549"/>
      <c r="Y66" s="549"/>
      <c r="Z66" s="549"/>
      <c r="AA66" s="549"/>
      <c r="AB66" s="35"/>
      <c r="AC66" s="517">
        <f>MAX(F66:Z66)</f>
        <v>0</v>
      </c>
      <c r="AD66" s="313"/>
      <c r="AE66" s="515"/>
    </row>
    <row r="67" spans="1:31" s="545" customFormat="1">
      <c r="A67" s="34"/>
      <c r="B67" s="139"/>
      <c r="C67" s="548"/>
      <c r="D67" s="555"/>
      <c r="E67" s="139"/>
      <c r="F67" s="139"/>
      <c r="G67" s="139"/>
      <c r="H67" s="549"/>
      <c r="I67" s="549"/>
      <c r="J67" s="549"/>
      <c r="K67" s="549"/>
      <c r="L67" s="549"/>
      <c r="M67" s="549"/>
      <c r="N67" s="550"/>
      <c r="O67" s="550"/>
      <c r="P67" s="550"/>
      <c r="Q67" s="550"/>
      <c r="R67" s="569"/>
      <c r="S67" s="569"/>
      <c r="T67" s="569"/>
      <c r="U67" s="569"/>
      <c r="V67" s="823"/>
      <c r="W67" s="549"/>
      <c r="X67" s="549"/>
      <c r="Y67" s="549"/>
      <c r="Z67" s="549"/>
      <c r="AA67" s="549"/>
      <c r="AB67" s="35"/>
      <c r="AC67" s="518"/>
      <c r="AD67" s="313"/>
      <c r="AE67" s="515"/>
    </row>
    <row r="68" spans="1:31" s="545" customFormat="1">
      <c r="A68" s="36" t="s">
        <v>52</v>
      </c>
      <c r="B68" s="139"/>
      <c r="C68" s="548" t="s">
        <v>46</v>
      </c>
      <c r="D68" s="555" t="s">
        <v>277</v>
      </c>
      <c r="E68" s="510" t="s">
        <v>30</v>
      </c>
      <c r="F68" s="510"/>
      <c r="G68" s="510"/>
      <c r="H68" s="553"/>
      <c r="I68" s="553"/>
      <c r="J68" s="553"/>
      <c r="K68" s="553"/>
      <c r="L68" s="551"/>
      <c r="M68" s="553"/>
      <c r="N68" s="553"/>
      <c r="O68" s="553"/>
      <c r="P68" s="553"/>
      <c r="Q68" s="553"/>
      <c r="R68" s="571"/>
      <c r="S68" s="571"/>
      <c r="T68" s="571"/>
      <c r="U68" s="571"/>
      <c r="V68" s="825">
        <v>75</v>
      </c>
      <c r="W68" s="551">
        <v>95</v>
      </c>
      <c r="X68" s="551">
        <v>125</v>
      </c>
      <c r="Y68" s="551">
        <v>115</v>
      </c>
      <c r="Z68" s="551">
        <v>90</v>
      </c>
      <c r="AA68" s="549"/>
      <c r="AB68" s="531"/>
      <c r="AC68" s="518"/>
      <c r="AD68" s="314" t="s">
        <v>42</v>
      </c>
      <c r="AE68" s="713">
        <f>(S69+(T68/4)*SUMMARY!$C$12)/AC69</f>
        <v>0</v>
      </c>
    </row>
    <row r="69" spans="1:31" s="545" customFormat="1">
      <c r="A69" s="36" t="s">
        <v>52</v>
      </c>
      <c r="B69" s="139"/>
      <c r="C69" s="548" t="s">
        <v>46</v>
      </c>
      <c r="D69" s="555" t="s">
        <v>277</v>
      </c>
      <c r="E69" s="510" t="s">
        <v>43</v>
      </c>
      <c r="F69" s="510"/>
      <c r="G69" s="510"/>
      <c r="H69" s="553"/>
      <c r="I69" s="553"/>
      <c r="J69" s="553"/>
      <c r="K69" s="553"/>
      <c r="L69" s="553"/>
      <c r="M69" s="551"/>
      <c r="N69" s="551"/>
      <c r="O69" s="551"/>
      <c r="P69" s="551"/>
      <c r="Q69" s="551"/>
      <c r="R69" s="570"/>
      <c r="S69" s="570"/>
      <c r="T69" s="570"/>
      <c r="U69" s="570"/>
      <c r="V69" s="825">
        <v>75</v>
      </c>
      <c r="W69" s="551">
        <v>170</v>
      </c>
      <c r="X69" s="551">
        <v>295</v>
      </c>
      <c r="Y69" s="551">
        <v>410</v>
      </c>
      <c r="Z69" s="552">
        <v>500</v>
      </c>
      <c r="AA69" s="549"/>
      <c r="AB69" s="534"/>
      <c r="AC69" s="517">
        <f>MAX(F69:AB69)</f>
        <v>500</v>
      </c>
      <c r="AD69" s="312" t="s">
        <v>44</v>
      </c>
      <c r="AE69" s="712">
        <f>AC71/AC69</f>
        <v>0</v>
      </c>
    </row>
    <row r="70" spans="1:31" s="545" customFormat="1">
      <c r="A70" s="36" t="s">
        <v>52</v>
      </c>
      <c r="B70" s="139"/>
      <c r="C70" s="548" t="s">
        <v>46</v>
      </c>
      <c r="D70" s="555" t="s">
        <v>277</v>
      </c>
      <c r="E70" s="139" t="s">
        <v>32</v>
      </c>
      <c r="F70" s="139"/>
      <c r="G70" s="139"/>
      <c r="H70" s="549"/>
      <c r="I70" s="549"/>
      <c r="J70" s="549"/>
      <c r="K70" s="549"/>
      <c r="L70" s="550"/>
      <c r="M70" s="550"/>
      <c r="N70" s="550"/>
      <c r="O70" s="550"/>
      <c r="P70" s="550"/>
      <c r="Q70" s="550"/>
      <c r="R70" s="569"/>
      <c r="S70" s="569"/>
      <c r="T70" s="569"/>
      <c r="U70" s="569"/>
      <c r="V70" s="823"/>
      <c r="W70" s="549"/>
      <c r="X70" s="549"/>
      <c r="Y70" s="549"/>
      <c r="Z70" s="549"/>
      <c r="AA70" s="549"/>
      <c r="AB70" s="35"/>
      <c r="AC70" s="517"/>
      <c r="AD70" s="313"/>
      <c r="AE70" s="515"/>
    </row>
    <row r="71" spans="1:31" s="545" customFormat="1">
      <c r="A71" s="36" t="s">
        <v>52</v>
      </c>
      <c r="B71" s="139"/>
      <c r="C71" s="548" t="s">
        <v>46</v>
      </c>
      <c r="D71" s="555" t="s">
        <v>277</v>
      </c>
      <c r="E71" s="139" t="s">
        <v>45</v>
      </c>
      <c r="F71" s="139"/>
      <c r="G71" s="139"/>
      <c r="H71" s="549"/>
      <c r="I71" s="549"/>
      <c r="J71" s="549"/>
      <c r="K71" s="549"/>
      <c r="L71" s="550"/>
      <c r="M71" s="549"/>
      <c r="N71" s="549"/>
      <c r="O71" s="549"/>
      <c r="P71" s="550"/>
      <c r="Q71" s="550">
        <v>0</v>
      </c>
      <c r="R71" s="569">
        <v>0</v>
      </c>
      <c r="S71" s="569"/>
      <c r="T71" s="569"/>
      <c r="U71" s="569">
        <f>T71+U70</f>
        <v>0</v>
      </c>
      <c r="V71" s="824">
        <f>U71+V70</f>
        <v>0</v>
      </c>
      <c r="W71" s="549"/>
      <c r="X71" s="549"/>
      <c r="Y71" s="549"/>
      <c r="Z71" s="549"/>
      <c r="AA71" s="549"/>
      <c r="AB71" s="35"/>
      <c r="AC71" s="517">
        <f>MAX(F71:Z71)</f>
        <v>0</v>
      </c>
      <c r="AD71" s="313"/>
      <c r="AE71" s="515"/>
    </row>
    <row r="72" spans="1:31" s="545" customFormat="1">
      <c r="A72" s="34"/>
      <c r="B72" s="139"/>
      <c r="C72" s="548"/>
      <c r="D72" s="555"/>
      <c r="E72" s="139"/>
      <c r="F72" s="139"/>
      <c r="G72" s="139"/>
      <c r="H72" s="549"/>
      <c r="I72" s="549"/>
      <c r="J72" s="549"/>
      <c r="K72" s="549"/>
      <c r="L72" s="549"/>
      <c r="M72" s="549"/>
      <c r="N72" s="550"/>
      <c r="O72" s="550"/>
      <c r="P72" s="550"/>
      <c r="Q72" s="550"/>
      <c r="R72" s="569"/>
      <c r="S72" s="569"/>
      <c r="T72" s="569"/>
      <c r="U72" s="569"/>
      <c r="V72" s="823"/>
      <c r="W72" s="549"/>
      <c r="X72" s="549"/>
      <c r="Y72" s="549"/>
      <c r="Z72" s="549"/>
      <c r="AA72" s="549"/>
      <c r="AB72" s="35"/>
      <c r="AC72" s="518"/>
      <c r="AD72" s="313"/>
      <c r="AE72" s="515"/>
    </row>
    <row r="73" spans="1:31" s="545" customFormat="1">
      <c r="A73" s="36" t="s">
        <v>52</v>
      </c>
      <c r="B73" s="139"/>
      <c r="C73" s="548" t="s">
        <v>46</v>
      </c>
      <c r="D73" s="555" t="s">
        <v>278</v>
      </c>
      <c r="E73" s="510" t="s">
        <v>30</v>
      </c>
      <c r="F73" s="510"/>
      <c r="G73" s="510"/>
      <c r="H73" s="553"/>
      <c r="I73" s="553"/>
      <c r="J73" s="553"/>
      <c r="K73" s="553"/>
      <c r="L73" s="551"/>
      <c r="M73" s="553"/>
      <c r="N73" s="553"/>
      <c r="O73" s="553"/>
      <c r="P73" s="553"/>
      <c r="Q73" s="553"/>
      <c r="R73" s="571"/>
      <c r="S73" s="571">
        <v>0.01</v>
      </c>
      <c r="T73" s="571">
        <v>0.02</v>
      </c>
      <c r="U73" s="571">
        <v>0.03</v>
      </c>
      <c r="V73" s="825">
        <v>7.0000000000000007E-2</v>
      </c>
      <c r="W73" s="554">
        <v>0.11</v>
      </c>
      <c r="X73" s="554">
        <v>0.17</v>
      </c>
      <c r="Y73" s="554">
        <v>0.17</v>
      </c>
      <c r="Z73" s="554">
        <v>0.19</v>
      </c>
      <c r="AA73" s="554">
        <v>0.16</v>
      </c>
      <c r="AB73" s="561">
        <v>7.0000000000000007E-2</v>
      </c>
      <c r="AC73" s="518"/>
      <c r="AD73" s="314" t="s">
        <v>42</v>
      </c>
      <c r="AE73" s="713">
        <f>(S74+(T73/4)*SUMMARY!$C$12)/AC74</f>
        <v>0.03</v>
      </c>
    </row>
    <row r="74" spans="1:31" s="545" customFormat="1">
      <c r="A74" s="36" t="s">
        <v>52</v>
      </c>
      <c r="B74" s="139"/>
      <c r="C74" s="548" t="s">
        <v>46</v>
      </c>
      <c r="D74" s="555" t="s">
        <v>278</v>
      </c>
      <c r="E74" s="510" t="s">
        <v>43</v>
      </c>
      <c r="F74" s="510"/>
      <c r="G74" s="510"/>
      <c r="H74" s="553"/>
      <c r="I74" s="553"/>
      <c r="J74" s="553"/>
      <c r="K74" s="553"/>
      <c r="L74" s="553"/>
      <c r="M74" s="551"/>
      <c r="N74" s="551"/>
      <c r="O74" s="551"/>
      <c r="P74" s="551"/>
      <c r="Q74" s="551"/>
      <c r="R74" s="570"/>
      <c r="S74" s="570">
        <v>0.01</v>
      </c>
      <c r="T74" s="570">
        <v>0.03</v>
      </c>
      <c r="U74" s="570">
        <v>0.06</v>
      </c>
      <c r="V74" s="825">
        <v>0.13</v>
      </c>
      <c r="W74" s="554">
        <v>0.24</v>
      </c>
      <c r="X74" s="554">
        <v>0.41000000000000003</v>
      </c>
      <c r="Y74" s="554">
        <v>0.58000000000000007</v>
      </c>
      <c r="Z74" s="554">
        <v>0.77</v>
      </c>
      <c r="AA74" s="554">
        <v>0.93</v>
      </c>
      <c r="AB74" s="561">
        <f>AA74+AB73</f>
        <v>1</v>
      </c>
      <c r="AC74" s="517">
        <f>MAX(F74:AB74)</f>
        <v>1</v>
      </c>
      <c r="AD74" s="312" t="s">
        <v>44</v>
      </c>
      <c r="AE74" s="712">
        <f>AC76/AC74</f>
        <v>0</v>
      </c>
    </row>
    <row r="75" spans="1:31" s="545" customFormat="1">
      <c r="A75" s="36" t="s">
        <v>52</v>
      </c>
      <c r="B75" s="139"/>
      <c r="C75" s="548" t="s">
        <v>46</v>
      </c>
      <c r="D75" s="555" t="s">
        <v>278</v>
      </c>
      <c r="E75" s="139" t="s">
        <v>32</v>
      </c>
      <c r="F75" s="139"/>
      <c r="G75" s="139"/>
      <c r="H75" s="549"/>
      <c r="I75" s="549"/>
      <c r="J75" s="549"/>
      <c r="K75" s="549"/>
      <c r="L75" s="550"/>
      <c r="M75" s="550"/>
      <c r="N75" s="550"/>
      <c r="O75" s="550"/>
      <c r="P75" s="550"/>
      <c r="Q75" s="550"/>
      <c r="R75" s="569"/>
      <c r="S75" s="569"/>
      <c r="T75" s="569"/>
      <c r="U75" s="569"/>
      <c r="V75" s="823"/>
      <c r="W75" s="549"/>
      <c r="X75" s="549"/>
      <c r="Y75" s="549"/>
      <c r="Z75" s="549"/>
      <c r="AA75" s="549"/>
      <c r="AB75" s="35"/>
      <c r="AC75" s="517"/>
      <c r="AD75" s="313"/>
      <c r="AE75" s="515"/>
    </row>
    <row r="76" spans="1:31" s="545" customFormat="1">
      <c r="A76" s="36" t="s">
        <v>52</v>
      </c>
      <c r="B76" s="139"/>
      <c r="C76" s="548" t="s">
        <v>46</v>
      </c>
      <c r="D76" s="555" t="s">
        <v>278</v>
      </c>
      <c r="E76" s="139" t="s">
        <v>45</v>
      </c>
      <c r="F76" s="139"/>
      <c r="G76" s="139"/>
      <c r="H76" s="549"/>
      <c r="I76" s="549"/>
      <c r="J76" s="549"/>
      <c r="K76" s="549"/>
      <c r="L76" s="550"/>
      <c r="M76" s="549"/>
      <c r="N76" s="549"/>
      <c r="O76" s="549"/>
      <c r="P76" s="550"/>
      <c r="Q76" s="550">
        <v>0</v>
      </c>
      <c r="R76" s="569">
        <v>0</v>
      </c>
      <c r="S76" s="569"/>
      <c r="T76" s="569"/>
      <c r="U76" s="569">
        <f>T76+U75</f>
        <v>0</v>
      </c>
      <c r="V76" s="824">
        <f>U76+V75</f>
        <v>0</v>
      </c>
      <c r="W76" s="549"/>
      <c r="X76" s="549"/>
      <c r="Y76" s="549"/>
      <c r="Z76" s="549"/>
      <c r="AA76" s="549"/>
      <c r="AB76" s="35"/>
      <c r="AC76" s="517">
        <f>MAX(F76:Z76)</f>
        <v>0</v>
      </c>
      <c r="AD76" s="313"/>
      <c r="AE76" s="515"/>
    </row>
    <row r="77" spans="1:31" s="545" customFormat="1">
      <c r="A77" s="34"/>
      <c r="B77" s="139"/>
      <c r="C77" s="139"/>
      <c r="D77" s="139"/>
      <c r="E77" s="139"/>
      <c r="F77" s="139"/>
      <c r="G77" s="139"/>
      <c r="H77" s="139"/>
      <c r="I77" s="139"/>
      <c r="J77" s="139"/>
      <c r="K77" s="139"/>
      <c r="L77" s="139"/>
      <c r="M77" s="139"/>
      <c r="N77" s="139"/>
      <c r="O77" s="139"/>
      <c r="P77" s="139"/>
      <c r="Q77" s="139">
        <f>Q103/4*SUMMARY!C46</f>
        <v>0</v>
      </c>
      <c r="R77" s="139"/>
      <c r="S77" s="139"/>
      <c r="T77" s="139"/>
      <c r="U77" s="139"/>
      <c r="V77" s="823"/>
      <c r="W77" s="139"/>
      <c r="X77" s="139"/>
      <c r="Y77" s="139"/>
      <c r="Z77" s="525"/>
      <c r="AA77" s="525"/>
      <c r="AB77" s="35"/>
      <c r="AC77" s="518"/>
      <c r="AD77" s="313"/>
      <c r="AE77" s="515"/>
    </row>
    <row r="78" spans="1:31" s="564" customFormat="1">
      <c r="A78" s="36" t="s">
        <v>52</v>
      </c>
      <c r="B78" s="139"/>
      <c r="C78" s="564" t="s">
        <v>46</v>
      </c>
      <c r="D78" s="564" t="s">
        <v>283</v>
      </c>
      <c r="E78" s="510" t="s">
        <v>30</v>
      </c>
      <c r="F78" s="510"/>
      <c r="G78" s="510"/>
      <c r="H78" s="571"/>
      <c r="I78" s="571"/>
      <c r="J78" s="571"/>
      <c r="K78" s="571"/>
      <c r="L78" s="570"/>
      <c r="M78" s="571"/>
      <c r="N78" s="571"/>
      <c r="O78" s="571"/>
      <c r="P78" s="571"/>
      <c r="Q78" s="571"/>
      <c r="R78" s="571"/>
      <c r="S78" s="571">
        <f>(S63+S68)*S73</f>
        <v>0</v>
      </c>
      <c r="T78" s="571">
        <f t="shared" ref="T78:AB78" si="10">(T63+T68)*T73</f>
        <v>0</v>
      </c>
      <c r="U78" s="571">
        <f t="shared" si="10"/>
        <v>0</v>
      </c>
      <c r="V78" s="825">
        <f t="shared" si="10"/>
        <v>7.5600000000000005</v>
      </c>
      <c r="W78" s="628">
        <f t="shared" si="10"/>
        <v>21.23</v>
      </c>
      <c r="X78" s="628">
        <f t="shared" si="10"/>
        <v>43.35</v>
      </c>
      <c r="Y78" s="628">
        <f t="shared" si="10"/>
        <v>47.260000000000005</v>
      </c>
      <c r="Z78" s="628">
        <f t="shared" si="10"/>
        <v>39.33</v>
      </c>
      <c r="AA78" s="628">
        <f t="shared" si="10"/>
        <v>13.6</v>
      </c>
      <c r="AB78" s="628">
        <f t="shared" si="10"/>
        <v>1.8256000000000001</v>
      </c>
      <c r="AC78" s="518"/>
      <c r="AD78" s="314" t="s">
        <v>42</v>
      </c>
      <c r="AE78" s="713">
        <f>(S79+(T78/4)*SUMMARY!$C$12)/AC79</f>
        <v>0</v>
      </c>
    </row>
    <row r="79" spans="1:31" s="564" customFormat="1">
      <c r="A79" s="36" t="s">
        <v>52</v>
      </c>
      <c r="B79" s="139"/>
      <c r="C79" s="564" t="s">
        <v>46</v>
      </c>
      <c r="D79" s="564" t="s">
        <v>283</v>
      </c>
      <c r="E79" s="510" t="s">
        <v>43</v>
      </c>
      <c r="F79" s="510"/>
      <c r="G79" s="510"/>
      <c r="H79" s="571"/>
      <c r="I79" s="571"/>
      <c r="J79" s="571"/>
      <c r="K79" s="571"/>
      <c r="L79" s="571"/>
      <c r="M79" s="570"/>
      <c r="N79" s="570"/>
      <c r="O79" s="570"/>
      <c r="P79" s="570"/>
      <c r="Q79" s="570"/>
      <c r="R79" s="570"/>
      <c r="S79" s="570">
        <f>S78</f>
        <v>0</v>
      </c>
      <c r="T79" s="570">
        <f>T78+S79</f>
        <v>0</v>
      </c>
      <c r="U79" s="570">
        <f t="shared" ref="U79:AA79" si="11">U78+T79</f>
        <v>0</v>
      </c>
      <c r="V79" s="825">
        <f t="shared" si="11"/>
        <v>7.5600000000000005</v>
      </c>
      <c r="W79" s="628">
        <f t="shared" si="11"/>
        <v>28.79</v>
      </c>
      <c r="X79" s="628">
        <f t="shared" si="11"/>
        <v>72.14</v>
      </c>
      <c r="Y79" s="628">
        <f t="shared" si="11"/>
        <v>119.4</v>
      </c>
      <c r="Z79" s="628">
        <f t="shared" si="11"/>
        <v>158.73000000000002</v>
      </c>
      <c r="AA79" s="628">
        <f t="shared" si="11"/>
        <v>172.33</v>
      </c>
      <c r="AB79" s="628">
        <f>AB78+AA79</f>
        <v>174.15560000000002</v>
      </c>
      <c r="AC79" s="517">
        <f>MAX(F79:AB79)</f>
        <v>174.15560000000002</v>
      </c>
      <c r="AD79" s="312" t="s">
        <v>44</v>
      </c>
      <c r="AE79" s="712">
        <f>AC81/AC79</f>
        <v>0</v>
      </c>
    </row>
    <row r="80" spans="1:31" s="564" customFormat="1">
      <c r="A80" s="36" t="s">
        <v>52</v>
      </c>
      <c r="B80" s="139"/>
      <c r="C80" s="564" t="s">
        <v>46</v>
      </c>
      <c r="D80" s="564" t="s">
        <v>283</v>
      </c>
      <c r="E80" s="139" t="s">
        <v>32</v>
      </c>
      <c r="F80" s="139"/>
      <c r="G80" s="139"/>
      <c r="L80" s="569"/>
      <c r="M80" s="569"/>
      <c r="N80" s="569"/>
      <c r="O80" s="569"/>
      <c r="P80" s="569"/>
      <c r="Q80" s="569"/>
      <c r="R80" s="569"/>
      <c r="S80" s="569"/>
      <c r="T80" s="569"/>
      <c r="U80" s="569"/>
      <c r="V80" s="823"/>
      <c r="W80" s="341"/>
      <c r="X80" s="341"/>
      <c r="Y80" s="341"/>
      <c r="Z80" s="341"/>
      <c r="AA80" s="341"/>
      <c r="AB80" s="155"/>
      <c r="AC80" s="517"/>
      <c r="AD80" s="313"/>
      <c r="AE80" s="515"/>
    </row>
    <row r="81" spans="1:31" s="564" customFormat="1">
      <c r="A81" s="36" t="s">
        <v>52</v>
      </c>
      <c r="B81" s="139"/>
      <c r="C81" s="564" t="s">
        <v>46</v>
      </c>
      <c r="D81" s="564" t="s">
        <v>283</v>
      </c>
      <c r="E81" s="139" t="s">
        <v>45</v>
      </c>
      <c r="F81" s="139"/>
      <c r="G81" s="139"/>
      <c r="L81" s="569"/>
      <c r="P81" s="569"/>
      <c r="Q81" s="569">
        <v>0</v>
      </c>
      <c r="R81" s="569">
        <v>0</v>
      </c>
      <c r="S81" s="569"/>
      <c r="T81" s="569"/>
      <c r="U81" s="569">
        <f>T81+U80</f>
        <v>0</v>
      </c>
      <c r="V81" s="824">
        <f>U81+V80</f>
        <v>0</v>
      </c>
      <c r="W81" s="341"/>
      <c r="X81" s="341"/>
      <c r="Y81" s="341"/>
      <c r="Z81" s="341"/>
      <c r="AA81" s="341"/>
      <c r="AB81" s="155"/>
      <c r="AC81" s="517">
        <f>MAX(F81:Z81)</f>
        <v>0</v>
      </c>
      <c r="AD81" s="313"/>
      <c r="AE81" s="515"/>
    </row>
    <row r="82" spans="1:31" s="564" customFormat="1">
      <c r="A82" s="34"/>
      <c r="B82" s="139"/>
      <c r="C82" s="139"/>
      <c r="D82" s="139"/>
      <c r="E82" s="139"/>
      <c r="F82" s="139"/>
      <c r="G82" s="139"/>
      <c r="H82" s="139"/>
      <c r="I82" s="139"/>
      <c r="J82" s="139"/>
      <c r="K82" s="139"/>
      <c r="L82" s="139"/>
      <c r="M82" s="139"/>
      <c r="N82" s="139"/>
      <c r="O82" s="139"/>
      <c r="P82" s="139"/>
      <c r="Q82" s="139">
        <f>Q103/4*SUMMARY!C46</f>
        <v>0</v>
      </c>
      <c r="R82" s="139"/>
      <c r="S82" s="139"/>
      <c r="T82" s="139"/>
      <c r="U82" s="139"/>
      <c r="V82" s="823"/>
      <c r="W82" s="139"/>
      <c r="X82" s="139"/>
      <c r="Y82" s="139"/>
      <c r="Z82" s="525"/>
      <c r="AA82" s="525"/>
      <c r="AB82" s="35"/>
      <c r="AC82" s="518"/>
      <c r="AD82" s="313"/>
      <c r="AE82" s="515"/>
    </row>
    <row r="83" spans="1:31" s="564" customFormat="1">
      <c r="A83" s="36" t="s">
        <v>52</v>
      </c>
      <c r="B83" s="139"/>
      <c r="C83" s="564" t="s">
        <v>46</v>
      </c>
      <c r="D83" s="564" t="s">
        <v>61</v>
      </c>
      <c r="E83" s="510" t="s">
        <v>30</v>
      </c>
      <c r="F83" s="510"/>
      <c r="G83" s="510"/>
      <c r="H83" s="571"/>
      <c r="I83" s="571"/>
      <c r="J83" s="571"/>
      <c r="K83" s="571"/>
      <c r="L83" s="570"/>
      <c r="M83" s="571"/>
      <c r="N83" s="571"/>
      <c r="O83" s="571"/>
      <c r="P83" s="571"/>
      <c r="Q83" s="571"/>
      <c r="R83" s="571"/>
      <c r="S83" s="571">
        <f>S78+S68+S63</f>
        <v>0</v>
      </c>
      <c r="T83" s="571">
        <f t="shared" ref="T83:AB83" si="12">T78+T68+T63</f>
        <v>0</v>
      </c>
      <c r="U83" s="571">
        <f t="shared" si="12"/>
        <v>0</v>
      </c>
      <c r="V83" s="825">
        <f t="shared" si="12"/>
        <v>115.56</v>
      </c>
      <c r="W83" s="628">
        <f t="shared" si="12"/>
        <v>214.23000000000002</v>
      </c>
      <c r="X83" s="628">
        <f t="shared" si="12"/>
        <v>298.35000000000002</v>
      </c>
      <c r="Y83" s="628">
        <f t="shared" si="12"/>
        <v>325.26</v>
      </c>
      <c r="Z83" s="628">
        <f t="shared" si="12"/>
        <v>246.32999999999998</v>
      </c>
      <c r="AA83" s="628">
        <f t="shared" si="12"/>
        <v>98.6</v>
      </c>
      <c r="AB83" s="628">
        <f t="shared" si="12"/>
        <v>27.9056</v>
      </c>
      <c r="AC83" s="518"/>
      <c r="AD83" s="314" t="s">
        <v>42</v>
      </c>
      <c r="AE83" s="713">
        <f>(S84+(T83/4)*SUMMARY!$C$12)/AC84</f>
        <v>0</v>
      </c>
    </row>
    <row r="84" spans="1:31" s="564" customFormat="1">
      <c r="A84" s="36" t="s">
        <v>52</v>
      </c>
      <c r="B84" s="139"/>
      <c r="C84" s="564" t="s">
        <v>46</v>
      </c>
      <c r="D84" s="564" t="s">
        <v>61</v>
      </c>
      <c r="E84" s="510" t="s">
        <v>43</v>
      </c>
      <c r="F84" s="510"/>
      <c r="G84" s="510"/>
      <c r="H84" s="571"/>
      <c r="I84" s="571"/>
      <c r="J84" s="571"/>
      <c r="K84" s="571"/>
      <c r="L84" s="571"/>
      <c r="M84" s="570"/>
      <c r="N84" s="570"/>
      <c r="O84" s="570"/>
      <c r="P84" s="570"/>
      <c r="Q84" s="570"/>
      <c r="R84" s="570"/>
      <c r="S84" s="570">
        <f>S83</f>
        <v>0</v>
      </c>
      <c r="T84" s="570">
        <f>T83+S84</f>
        <v>0</v>
      </c>
      <c r="U84" s="570">
        <f t="shared" ref="U84:AB84" si="13">U83+T84</f>
        <v>0</v>
      </c>
      <c r="V84" s="825">
        <f t="shared" si="13"/>
        <v>115.56</v>
      </c>
      <c r="W84" s="628">
        <f t="shared" si="13"/>
        <v>329.79</v>
      </c>
      <c r="X84" s="628">
        <f t="shared" si="13"/>
        <v>628.1400000000001</v>
      </c>
      <c r="Y84" s="628">
        <f t="shared" si="13"/>
        <v>953.40000000000009</v>
      </c>
      <c r="Z84" s="628">
        <f t="shared" si="13"/>
        <v>1199.73</v>
      </c>
      <c r="AA84" s="628">
        <f t="shared" si="13"/>
        <v>1298.33</v>
      </c>
      <c r="AB84" s="628">
        <f t="shared" si="13"/>
        <v>1326.2356</v>
      </c>
      <c r="AC84" s="517">
        <f>MAX(F84:AB84)</f>
        <v>1326.2356</v>
      </c>
      <c r="AD84" s="312" t="s">
        <v>44</v>
      </c>
      <c r="AE84" s="712">
        <f>AC86/AC84</f>
        <v>0</v>
      </c>
    </row>
    <row r="85" spans="1:31" s="564" customFormat="1">
      <c r="A85" s="36" t="s">
        <v>52</v>
      </c>
      <c r="B85" s="139"/>
      <c r="C85" s="564" t="s">
        <v>46</v>
      </c>
      <c r="D85" s="564" t="s">
        <v>61</v>
      </c>
      <c r="E85" s="139" t="s">
        <v>32</v>
      </c>
      <c r="F85" s="139"/>
      <c r="G85" s="139"/>
      <c r="L85" s="569"/>
      <c r="M85" s="569"/>
      <c r="N85" s="569"/>
      <c r="O85" s="569"/>
      <c r="P85" s="569"/>
      <c r="Q85" s="569"/>
      <c r="R85" s="569"/>
      <c r="S85" s="569">
        <f t="shared" ref="S85:AB85" si="14">S80+S70+S65</f>
        <v>0</v>
      </c>
      <c r="T85" s="569">
        <f t="shared" si="14"/>
        <v>0</v>
      </c>
      <c r="U85" s="569">
        <f t="shared" si="14"/>
        <v>0</v>
      </c>
      <c r="V85" s="823">
        <f t="shared" si="14"/>
        <v>0</v>
      </c>
      <c r="W85" s="628">
        <f t="shared" si="14"/>
        <v>0</v>
      </c>
      <c r="X85" s="628">
        <f t="shared" si="14"/>
        <v>0</v>
      </c>
      <c r="Y85" s="628">
        <f t="shared" si="14"/>
        <v>0</v>
      </c>
      <c r="Z85" s="628">
        <f t="shared" si="14"/>
        <v>0</v>
      </c>
      <c r="AA85" s="628">
        <f t="shared" si="14"/>
        <v>0</v>
      </c>
      <c r="AB85" s="628">
        <f t="shared" si="14"/>
        <v>0</v>
      </c>
      <c r="AC85" s="517"/>
      <c r="AD85" s="313"/>
      <c r="AE85" s="515"/>
    </row>
    <row r="86" spans="1:31" s="564" customFormat="1">
      <c r="A86" s="36" t="s">
        <v>52</v>
      </c>
      <c r="B86" s="139"/>
      <c r="C86" s="564" t="s">
        <v>46</v>
      </c>
      <c r="D86" s="564" t="s">
        <v>61</v>
      </c>
      <c r="E86" s="139" t="s">
        <v>45</v>
      </c>
      <c r="F86" s="139"/>
      <c r="G86" s="139"/>
      <c r="L86" s="569"/>
      <c r="P86" s="569"/>
      <c r="Q86" s="569">
        <v>0</v>
      </c>
      <c r="R86" s="569">
        <v>0</v>
      </c>
      <c r="S86" s="569">
        <f t="shared" ref="S86:AB86" si="15">S81+S71+S66</f>
        <v>0</v>
      </c>
      <c r="T86" s="569">
        <f t="shared" si="15"/>
        <v>0</v>
      </c>
      <c r="U86" s="569">
        <f>T86+U85</f>
        <v>0</v>
      </c>
      <c r="V86" s="824">
        <f>U86+V85</f>
        <v>0</v>
      </c>
      <c r="W86" s="628">
        <f t="shared" si="15"/>
        <v>0</v>
      </c>
      <c r="X86" s="628">
        <f t="shared" si="15"/>
        <v>0</v>
      </c>
      <c r="Y86" s="628">
        <f t="shared" si="15"/>
        <v>0</v>
      </c>
      <c r="Z86" s="628">
        <f t="shared" si="15"/>
        <v>0</v>
      </c>
      <c r="AA86" s="628">
        <f t="shared" si="15"/>
        <v>0</v>
      </c>
      <c r="AB86" s="628">
        <f t="shared" si="15"/>
        <v>0</v>
      </c>
      <c r="AC86" s="517">
        <f>MAX(F86:Z86)</f>
        <v>0</v>
      </c>
      <c r="AD86" s="313"/>
      <c r="AE86" s="515"/>
    </row>
    <row r="87" spans="1:31" s="564" customFormat="1">
      <c r="A87" s="34"/>
      <c r="B87" s="139"/>
      <c r="C87" s="139"/>
      <c r="D87" s="139"/>
      <c r="E87" s="139"/>
      <c r="F87" s="139"/>
      <c r="G87" s="139"/>
      <c r="H87" s="139"/>
      <c r="I87" s="139"/>
      <c r="J87" s="139"/>
      <c r="K87" s="139"/>
      <c r="L87" s="139"/>
      <c r="M87" s="139"/>
      <c r="N87" s="139"/>
      <c r="O87" s="139"/>
      <c r="P87" s="139"/>
      <c r="Q87" s="139">
        <f>Q108/4*SUMMARY!C51</f>
        <v>0</v>
      </c>
      <c r="R87" s="139"/>
      <c r="S87" s="139"/>
      <c r="T87" s="139"/>
      <c r="U87" s="139"/>
      <c r="V87" s="823"/>
      <c r="W87" s="139"/>
      <c r="X87" s="139"/>
      <c r="Y87" s="139"/>
      <c r="Z87" s="525"/>
      <c r="AA87" s="525"/>
      <c r="AB87" s="35"/>
      <c r="AC87" s="518"/>
      <c r="AD87" s="313"/>
      <c r="AE87" s="515"/>
    </row>
    <row r="88" spans="1:31">
      <c r="A88" s="36" t="s">
        <v>56</v>
      </c>
      <c r="B88" s="139" t="s">
        <v>57</v>
      </c>
      <c r="C88" s="522" t="s">
        <v>58</v>
      </c>
      <c r="D88" s="139" t="s">
        <v>22</v>
      </c>
      <c r="E88" s="510" t="s">
        <v>30</v>
      </c>
      <c r="F88" s="510"/>
      <c r="G88" s="510"/>
      <c r="H88" s="510"/>
      <c r="I88" s="510"/>
      <c r="J88" s="510"/>
      <c r="K88" s="510"/>
      <c r="L88" s="511"/>
      <c r="M88" s="511">
        <f t="shared" ref="M88:AB88" si="16">M53+M48</f>
        <v>0</v>
      </c>
      <c r="N88" s="510">
        <f t="shared" si="16"/>
        <v>0</v>
      </c>
      <c r="O88" s="510">
        <f t="shared" si="16"/>
        <v>0</v>
      </c>
      <c r="P88" s="510">
        <f t="shared" si="16"/>
        <v>0</v>
      </c>
      <c r="Q88" s="510">
        <f t="shared" si="16"/>
        <v>67</v>
      </c>
      <c r="R88" s="510">
        <f t="shared" si="16"/>
        <v>741</v>
      </c>
      <c r="S88" s="510">
        <f t="shared" si="16"/>
        <v>1905</v>
      </c>
      <c r="T88" s="510">
        <f t="shared" si="16"/>
        <v>2486</v>
      </c>
      <c r="U88" s="510">
        <f t="shared" si="16"/>
        <v>4419</v>
      </c>
      <c r="V88" s="826">
        <f t="shared" si="16"/>
        <v>5610</v>
      </c>
      <c r="W88" s="510">
        <f t="shared" si="16"/>
        <v>6790</v>
      </c>
      <c r="X88" s="510">
        <f t="shared" si="16"/>
        <v>7724</v>
      </c>
      <c r="Y88" s="510">
        <f t="shared" si="16"/>
        <v>6402</v>
      </c>
      <c r="Z88" s="510">
        <f t="shared" si="16"/>
        <v>3781</v>
      </c>
      <c r="AA88" s="510">
        <f t="shared" si="16"/>
        <v>2374</v>
      </c>
      <c r="AB88" s="535">
        <f t="shared" si="16"/>
        <v>111</v>
      </c>
      <c r="AC88" s="518"/>
      <c r="AD88" s="314" t="s">
        <v>42</v>
      </c>
      <c r="AE88" s="713">
        <f>(S89+(T88/4)*SUMMARY!$C$12)/AC89</f>
        <v>0.1225890120254657</v>
      </c>
    </row>
    <row r="89" spans="1:31">
      <c r="A89" s="36" t="s">
        <v>56</v>
      </c>
      <c r="B89" s="139" t="s">
        <v>57</v>
      </c>
      <c r="C89" s="522" t="s">
        <v>58</v>
      </c>
      <c r="D89" s="139" t="s">
        <v>22</v>
      </c>
      <c r="E89" s="510" t="s">
        <v>43</v>
      </c>
      <c r="F89" s="510"/>
      <c r="G89" s="510"/>
      <c r="H89" s="510"/>
      <c r="I89" s="510"/>
      <c r="J89" s="510"/>
      <c r="K89" s="510"/>
      <c r="L89" s="510"/>
      <c r="M89" s="510">
        <f>M54+M49</f>
        <v>0</v>
      </c>
      <c r="N89" s="511">
        <f t="shared" ref="N89:Y89" si="17">N88+M89</f>
        <v>0</v>
      </c>
      <c r="O89" s="511">
        <f t="shared" si="17"/>
        <v>0</v>
      </c>
      <c r="P89" s="511">
        <f t="shared" si="17"/>
        <v>0</v>
      </c>
      <c r="Q89" s="511">
        <f>Q88+P89</f>
        <v>67</v>
      </c>
      <c r="R89" s="511">
        <f t="shared" si="17"/>
        <v>808</v>
      </c>
      <c r="S89" s="511">
        <f t="shared" si="17"/>
        <v>2713</v>
      </c>
      <c r="T89" s="511">
        <f t="shared" si="17"/>
        <v>5199</v>
      </c>
      <c r="U89" s="511">
        <f t="shared" si="17"/>
        <v>9618</v>
      </c>
      <c r="V89" s="826">
        <f t="shared" si="17"/>
        <v>15228</v>
      </c>
      <c r="W89" s="511">
        <f t="shared" si="17"/>
        <v>22018</v>
      </c>
      <c r="X89" s="511">
        <f t="shared" si="17"/>
        <v>29742</v>
      </c>
      <c r="Y89" s="512">
        <f t="shared" si="17"/>
        <v>36144</v>
      </c>
      <c r="Z89" s="512">
        <f>Z88+Y89</f>
        <v>39925</v>
      </c>
      <c r="AA89" s="512">
        <f>AA88+Z89</f>
        <v>42299</v>
      </c>
      <c r="AB89" s="533">
        <f>AB88+AA89</f>
        <v>42410</v>
      </c>
      <c r="AC89" s="517">
        <f>MAX(F89:AB89)</f>
        <v>42410</v>
      </c>
      <c r="AD89" s="312" t="s">
        <v>44</v>
      </c>
      <c r="AE89" s="785">
        <f>AC91/AC89</f>
        <v>5.8382456967696297E-2</v>
      </c>
    </row>
    <row r="90" spans="1:31">
      <c r="A90" s="36" t="s">
        <v>56</v>
      </c>
      <c r="B90" s="139" t="s">
        <v>57</v>
      </c>
      <c r="C90" s="522" t="s">
        <v>58</v>
      </c>
      <c r="D90" s="139" t="s">
        <v>22</v>
      </c>
      <c r="E90" s="139" t="s">
        <v>32</v>
      </c>
      <c r="F90" s="139"/>
      <c r="G90" s="139"/>
      <c r="H90" s="139"/>
      <c r="I90" s="139"/>
      <c r="J90" s="139"/>
      <c r="K90" s="139"/>
      <c r="L90" s="370"/>
      <c r="M90" s="370"/>
      <c r="N90" s="370"/>
      <c r="O90" s="370">
        <v>0</v>
      </c>
      <c r="P90" s="370">
        <v>0</v>
      </c>
      <c r="Q90" s="370">
        <f>Q55+Q50</f>
        <v>275</v>
      </c>
      <c r="R90" s="370">
        <f>R55+R50</f>
        <v>545</v>
      </c>
      <c r="S90" s="370">
        <f>S55+S50</f>
        <v>803</v>
      </c>
      <c r="T90" s="370">
        <f>T55+T50</f>
        <v>249</v>
      </c>
      <c r="U90" s="370">
        <f>U55+U50</f>
        <v>604</v>
      </c>
      <c r="V90" s="827"/>
      <c r="W90" s="139"/>
      <c r="X90" s="139"/>
      <c r="Y90" s="139"/>
      <c r="Z90" s="139"/>
      <c r="AA90" s="139"/>
      <c r="AB90" s="35"/>
      <c r="AC90" s="517"/>
      <c r="AD90" s="313"/>
      <c r="AE90" s="515"/>
    </row>
    <row r="91" spans="1:31" ht="15" thickBot="1">
      <c r="A91" s="39" t="s">
        <v>56</v>
      </c>
      <c r="B91" s="41" t="s">
        <v>57</v>
      </c>
      <c r="C91" s="40" t="s">
        <v>58</v>
      </c>
      <c r="D91" s="41" t="s">
        <v>22</v>
      </c>
      <c r="E91" s="41" t="s">
        <v>45</v>
      </c>
      <c r="F91" s="41"/>
      <c r="G91" s="41"/>
      <c r="H91" s="41"/>
      <c r="I91" s="41"/>
      <c r="J91" s="41"/>
      <c r="K91" s="41"/>
      <c r="L91" s="42"/>
      <c r="M91" s="41"/>
      <c r="N91" s="41"/>
      <c r="O91" s="42">
        <f>O90+N91</f>
        <v>0</v>
      </c>
      <c r="P91" s="42">
        <f>P90+O91</f>
        <v>0</v>
      </c>
      <c r="Q91" s="42">
        <f>Q90+P91</f>
        <v>275</v>
      </c>
      <c r="R91" s="42">
        <f>R90+Q91</f>
        <v>820</v>
      </c>
      <c r="S91" s="42">
        <f>R91+S90</f>
        <v>1623</v>
      </c>
      <c r="T91" s="42">
        <f>S91+T90</f>
        <v>1872</v>
      </c>
      <c r="U91" s="42">
        <f>T91+U90</f>
        <v>2476</v>
      </c>
      <c r="V91" s="824">
        <f>U91+V90</f>
        <v>2476</v>
      </c>
      <c r="W91" s="41"/>
      <c r="X91" s="41"/>
      <c r="Y91" s="41"/>
      <c r="Z91" s="41"/>
      <c r="AA91" s="41"/>
      <c r="AB91" s="43"/>
      <c r="AC91" s="517">
        <f>MAX(F91:Z91)</f>
        <v>2476</v>
      </c>
      <c r="AD91" s="313"/>
      <c r="AE91" s="515"/>
    </row>
    <row r="92" spans="1:31">
      <c r="A92" s="34"/>
      <c r="B92" s="139"/>
      <c r="C92" s="139"/>
      <c r="D92" s="139"/>
      <c r="E92" s="139"/>
      <c r="F92" s="139"/>
      <c r="G92" s="139"/>
      <c r="H92" s="139"/>
      <c r="I92" s="139"/>
      <c r="J92" s="139"/>
      <c r="K92" s="139"/>
      <c r="L92" s="370"/>
      <c r="M92" s="139"/>
      <c r="N92" s="139"/>
      <c r="O92" s="370"/>
      <c r="P92" s="370"/>
      <c r="Q92" s="370"/>
      <c r="R92" s="370"/>
      <c r="S92" s="370"/>
      <c r="T92" s="370"/>
      <c r="U92" s="370"/>
      <c r="V92" s="831"/>
      <c r="W92" s="139"/>
      <c r="X92" s="139"/>
      <c r="Y92" s="139"/>
      <c r="Z92" s="139"/>
      <c r="AA92" s="139"/>
      <c r="AB92" s="35"/>
      <c r="AC92" s="518"/>
      <c r="AD92" s="313"/>
      <c r="AE92" s="515"/>
    </row>
    <row r="93" spans="1:31" ht="15" thickBot="1">
      <c r="A93" s="527"/>
      <c r="B93" s="528"/>
      <c r="C93" s="528"/>
      <c r="D93" s="528"/>
      <c r="E93" s="528"/>
      <c r="F93" s="528"/>
      <c r="G93" s="528"/>
      <c r="H93" s="528"/>
      <c r="I93" s="528"/>
      <c r="J93" s="528"/>
      <c r="K93" s="528"/>
      <c r="L93" s="528"/>
      <c r="M93" s="528"/>
      <c r="N93" s="528"/>
      <c r="O93" s="528"/>
      <c r="P93" s="528"/>
      <c r="Q93" s="528"/>
      <c r="R93" s="528"/>
      <c r="S93" s="528"/>
      <c r="T93" s="528"/>
      <c r="U93" s="528"/>
      <c r="V93" s="829"/>
      <c r="W93" s="528"/>
      <c r="X93" s="528"/>
      <c r="Y93" s="528"/>
      <c r="Z93" s="528"/>
      <c r="AA93" s="528"/>
      <c r="AB93" s="529"/>
      <c r="AC93" s="519"/>
      <c r="AD93" s="313"/>
      <c r="AE93" s="515"/>
    </row>
    <row r="94" spans="1:31">
      <c r="A94" s="44" t="s">
        <v>59</v>
      </c>
      <c r="B94" s="45" t="s">
        <v>6</v>
      </c>
      <c r="C94" s="31" t="s">
        <v>60</v>
      </c>
      <c r="D94" s="558" t="s">
        <v>281</v>
      </c>
      <c r="E94" s="33" t="s">
        <v>30</v>
      </c>
      <c r="F94" s="33"/>
      <c r="G94" s="33"/>
      <c r="H94" s="33"/>
      <c r="I94" s="33"/>
      <c r="J94" s="33"/>
      <c r="K94" s="33"/>
      <c r="L94" s="33">
        <v>1</v>
      </c>
      <c r="M94" s="33">
        <v>1</v>
      </c>
      <c r="N94" s="33">
        <v>1</v>
      </c>
      <c r="O94" s="33">
        <v>1</v>
      </c>
      <c r="P94" s="33"/>
      <c r="Q94" s="33">
        <v>2</v>
      </c>
      <c r="R94" s="33"/>
      <c r="S94" s="33"/>
      <c r="T94" s="33"/>
      <c r="U94" s="33"/>
      <c r="V94" s="822"/>
      <c r="W94" s="32"/>
      <c r="X94" s="32"/>
      <c r="Y94" s="32"/>
      <c r="Z94" s="32"/>
      <c r="AA94" s="32"/>
      <c r="AB94" s="520"/>
      <c r="AC94" s="518"/>
      <c r="AD94" s="314" t="s">
        <v>42</v>
      </c>
      <c r="AE94" s="711">
        <f>AC95/AC95</f>
        <v>1</v>
      </c>
    </row>
    <row r="95" spans="1:31">
      <c r="A95" s="36" t="s">
        <v>59</v>
      </c>
      <c r="B95" s="139"/>
      <c r="C95" s="522" t="s">
        <v>60</v>
      </c>
      <c r="D95" s="558" t="s">
        <v>281</v>
      </c>
      <c r="E95" s="510" t="s">
        <v>43</v>
      </c>
      <c r="F95" s="510"/>
      <c r="G95" s="510"/>
      <c r="H95" s="510"/>
      <c r="I95" s="510"/>
      <c r="J95" s="510"/>
      <c r="K95" s="510"/>
      <c r="L95" s="510">
        <v>1</v>
      </c>
      <c r="M95" s="510">
        <v>2</v>
      </c>
      <c r="N95" s="510">
        <v>3</v>
      </c>
      <c r="O95" s="510">
        <v>4</v>
      </c>
      <c r="P95" s="510">
        <v>4</v>
      </c>
      <c r="Q95" s="523">
        <v>6</v>
      </c>
      <c r="R95" s="523"/>
      <c r="S95" s="523"/>
      <c r="T95" s="523"/>
      <c r="U95" s="523"/>
      <c r="V95" s="823"/>
      <c r="W95" s="139"/>
      <c r="X95" s="139"/>
      <c r="Y95" s="139"/>
      <c r="Z95" s="139"/>
      <c r="AA95" s="139"/>
      <c r="AB95" s="35"/>
      <c r="AC95" s="517">
        <f>MAX(F95:AB95)</f>
        <v>6</v>
      </c>
      <c r="AD95" s="312" t="s">
        <v>44</v>
      </c>
      <c r="AE95" s="712">
        <f>AC97/AC95</f>
        <v>0.66666666666666663</v>
      </c>
    </row>
    <row r="96" spans="1:31">
      <c r="A96" s="36" t="s">
        <v>59</v>
      </c>
      <c r="B96" s="139"/>
      <c r="C96" s="522" t="s">
        <v>60</v>
      </c>
      <c r="D96" s="558" t="s">
        <v>281</v>
      </c>
      <c r="E96" s="139" t="s">
        <v>32</v>
      </c>
      <c r="F96" s="139"/>
      <c r="G96" s="139"/>
      <c r="H96" s="139"/>
      <c r="I96" s="139"/>
      <c r="J96" s="139"/>
      <c r="K96" s="139">
        <v>1</v>
      </c>
      <c r="L96" s="139">
        <v>1</v>
      </c>
      <c r="M96" s="139"/>
      <c r="N96" s="139">
        <v>1</v>
      </c>
      <c r="O96" s="139"/>
      <c r="P96" s="139">
        <v>1</v>
      </c>
      <c r="Q96" s="139"/>
      <c r="R96" s="139"/>
      <c r="S96" s="139"/>
      <c r="T96" s="139"/>
      <c r="U96" s="139"/>
      <c r="V96" s="823"/>
      <c r="W96" s="139"/>
      <c r="X96" s="139"/>
      <c r="Y96" s="139"/>
      <c r="Z96" s="139"/>
      <c r="AA96" s="139"/>
      <c r="AB96" s="35"/>
      <c r="AC96" s="517"/>
      <c r="AD96" s="313"/>
      <c r="AE96" s="515"/>
    </row>
    <row r="97" spans="1:38">
      <c r="A97" s="36" t="s">
        <v>59</v>
      </c>
      <c r="B97" s="139"/>
      <c r="C97" s="522" t="s">
        <v>60</v>
      </c>
      <c r="D97" s="558" t="s">
        <v>281</v>
      </c>
      <c r="E97" s="139" t="s">
        <v>45</v>
      </c>
      <c r="F97" s="139"/>
      <c r="G97" s="139"/>
      <c r="H97" s="139"/>
      <c r="I97" s="139"/>
      <c r="J97" s="139"/>
      <c r="K97" s="139">
        <v>1</v>
      </c>
      <c r="L97" s="139">
        <v>2</v>
      </c>
      <c r="M97" s="139">
        <v>2</v>
      </c>
      <c r="N97" s="139">
        <v>3</v>
      </c>
      <c r="O97" s="139">
        <v>3</v>
      </c>
      <c r="P97" s="139">
        <v>4</v>
      </c>
      <c r="Q97" s="139">
        <v>4</v>
      </c>
      <c r="R97" s="139">
        <v>4</v>
      </c>
      <c r="S97" s="139">
        <f>+R97+S96</f>
        <v>4</v>
      </c>
      <c r="T97" s="139">
        <f>+S97+T96</f>
        <v>4</v>
      </c>
      <c r="U97" s="139">
        <f>T97+U96</f>
        <v>4</v>
      </c>
      <c r="V97" s="824">
        <f>U97+V96</f>
        <v>4</v>
      </c>
      <c r="W97" s="139"/>
      <c r="X97" s="139"/>
      <c r="Y97" s="139"/>
      <c r="Z97" s="139"/>
      <c r="AA97" s="139"/>
      <c r="AB97" s="35"/>
      <c r="AC97" s="517">
        <f>MAX(F97:Z97)</f>
        <v>4</v>
      </c>
      <c r="AD97" s="313"/>
      <c r="AE97" s="515"/>
    </row>
    <row r="98" spans="1:38" ht="15" thickBot="1">
      <c r="A98" s="34"/>
      <c r="B98" s="139"/>
      <c r="C98" s="139"/>
      <c r="D98" s="139"/>
      <c r="E98" s="139"/>
      <c r="F98" s="139"/>
      <c r="G98" s="139"/>
      <c r="H98" s="139"/>
      <c r="I98" s="139"/>
      <c r="J98" s="139"/>
      <c r="K98" s="139"/>
      <c r="L98" s="139"/>
      <c r="M98" s="139"/>
      <c r="N98" s="139"/>
      <c r="O98" s="139"/>
      <c r="P98" s="139"/>
      <c r="Q98" s="139"/>
      <c r="R98" s="139"/>
      <c r="S98" s="139"/>
      <c r="T98" s="139"/>
      <c r="U98" s="139"/>
      <c r="V98" s="824"/>
      <c r="W98" s="139"/>
      <c r="X98" s="139"/>
      <c r="Y98" s="139"/>
      <c r="Z98" s="139"/>
      <c r="AA98" s="139"/>
      <c r="AB98" s="35"/>
      <c r="AC98" s="518"/>
      <c r="AD98" s="313"/>
      <c r="AE98" s="515"/>
    </row>
    <row r="99" spans="1:38">
      <c r="A99" s="36" t="s">
        <v>59</v>
      </c>
      <c r="B99" s="9" t="s">
        <v>7</v>
      </c>
      <c r="C99" s="522" t="s">
        <v>48</v>
      </c>
      <c r="D99" s="558" t="s">
        <v>58</v>
      </c>
      <c r="E99" s="510" t="s">
        <v>30</v>
      </c>
      <c r="F99" s="510"/>
      <c r="G99" s="510"/>
      <c r="H99" s="510">
        <v>14</v>
      </c>
      <c r="I99" s="510">
        <v>9</v>
      </c>
      <c r="J99" s="510">
        <v>16</v>
      </c>
      <c r="K99" s="510">
        <v>13</v>
      </c>
      <c r="L99" s="510">
        <v>10</v>
      </c>
      <c r="M99" s="510">
        <v>8</v>
      </c>
      <c r="N99" s="510">
        <v>0</v>
      </c>
      <c r="O99" s="510">
        <v>1</v>
      </c>
      <c r="P99" s="510">
        <v>2</v>
      </c>
      <c r="Q99" s="510">
        <v>1</v>
      </c>
      <c r="R99" s="510"/>
      <c r="S99" s="510"/>
      <c r="T99" s="510"/>
      <c r="U99" s="510"/>
      <c r="V99" s="823"/>
      <c r="W99" s="139"/>
      <c r="X99" s="139"/>
      <c r="Y99" s="139"/>
      <c r="Z99" s="139"/>
      <c r="AA99" s="139"/>
      <c r="AB99" s="35"/>
      <c r="AC99" s="518"/>
      <c r="AD99" s="314" t="s">
        <v>42</v>
      </c>
      <c r="AE99" s="711">
        <f>AC100/AC100</f>
        <v>1</v>
      </c>
    </row>
    <row r="100" spans="1:38">
      <c r="A100" s="36" t="s">
        <v>59</v>
      </c>
      <c r="B100" s="139"/>
      <c r="C100" s="522" t="s">
        <v>48</v>
      </c>
      <c r="D100" s="558" t="s">
        <v>58</v>
      </c>
      <c r="E100" s="510" t="s">
        <v>43</v>
      </c>
      <c r="F100" s="510"/>
      <c r="G100" s="510"/>
      <c r="H100" s="510">
        <v>14</v>
      </c>
      <c r="I100" s="510">
        <v>23</v>
      </c>
      <c r="J100" s="510">
        <v>39</v>
      </c>
      <c r="K100" s="510">
        <v>52</v>
      </c>
      <c r="L100" s="510">
        <v>62</v>
      </c>
      <c r="M100" s="510">
        <v>70</v>
      </c>
      <c r="N100" s="510">
        <v>70</v>
      </c>
      <c r="O100" s="510">
        <v>71</v>
      </c>
      <c r="P100" s="510">
        <v>73</v>
      </c>
      <c r="Q100" s="523">
        <v>74</v>
      </c>
      <c r="R100" s="523"/>
      <c r="S100" s="523"/>
      <c r="T100" s="523"/>
      <c r="U100" s="523"/>
      <c r="V100" s="823"/>
      <c r="W100" s="139"/>
      <c r="X100" s="139"/>
      <c r="Y100" s="139"/>
      <c r="Z100" s="139"/>
      <c r="AA100" s="139"/>
      <c r="AB100" s="35"/>
      <c r="AC100" s="517">
        <f>MAX(F100:AB100)</f>
        <v>74</v>
      </c>
      <c r="AD100" s="312" t="s">
        <v>44</v>
      </c>
      <c r="AE100" s="712">
        <f>AC102/AC100</f>
        <v>0.91891891891891897</v>
      </c>
    </row>
    <row r="101" spans="1:38">
      <c r="A101" s="36" t="s">
        <v>59</v>
      </c>
      <c r="B101" s="139"/>
      <c r="C101" s="522" t="s">
        <v>48</v>
      </c>
      <c r="D101" s="558" t="s">
        <v>58</v>
      </c>
      <c r="E101" s="139" t="s">
        <v>32</v>
      </c>
      <c r="F101" s="139"/>
      <c r="G101" s="139"/>
      <c r="H101" s="139">
        <v>7</v>
      </c>
      <c r="I101" s="139">
        <v>21</v>
      </c>
      <c r="J101" s="139">
        <v>9</v>
      </c>
      <c r="K101" s="139">
        <v>6</v>
      </c>
      <c r="L101" s="139">
        <v>12</v>
      </c>
      <c r="M101" s="139">
        <v>5</v>
      </c>
      <c r="N101" s="139">
        <v>2</v>
      </c>
      <c r="O101" s="139">
        <v>1</v>
      </c>
      <c r="P101" s="139">
        <v>3</v>
      </c>
      <c r="Q101" s="139"/>
      <c r="R101" s="139">
        <v>1</v>
      </c>
      <c r="S101" s="139"/>
      <c r="T101" s="139">
        <v>1</v>
      </c>
      <c r="U101" s="139"/>
      <c r="V101" s="823"/>
      <c r="W101" s="139"/>
      <c r="X101" s="139"/>
      <c r="Y101" s="139"/>
      <c r="Z101" s="139"/>
      <c r="AA101" s="139"/>
      <c r="AB101" s="35"/>
      <c r="AC101" s="517"/>
      <c r="AD101" s="313"/>
      <c r="AE101" s="515"/>
    </row>
    <row r="102" spans="1:38">
      <c r="A102" s="36" t="s">
        <v>59</v>
      </c>
      <c r="B102" s="139"/>
      <c r="C102" s="522" t="s">
        <v>48</v>
      </c>
      <c r="D102" s="558" t="s">
        <v>58</v>
      </c>
      <c r="E102" s="139" t="s">
        <v>45</v>
      </c>
      <c r="F102" s="139"/>
      <c r="G102" s="139"/>
      <c r="H102" s="139">
        <v>7</v>
      </c>
      <c r="I102" s="139">
        <v>28</v>
      </c>
      <c r="J102" s="139">
        <v>37</v>
      </c>
      <c r="K102" s="139">
        <v>43</v>
      </c>
      <c r="L102" s="139">
        <v>55</v>
      </c>
      <c r="M102" s="139">
        <v>60</v>
      </c>
      <c r="N102" s="139">
        <v>62</v>
      </c>
      <c r="O102" s="139">
        <v>63</v>
      </c>
      <c r="P102" s="139">
        <v>66</v>
      </c>
      <c r="Q102" s="139">
        <v>66</v>
      </c>
      <c r="R102" s="139">
        <v>67</v>
      </c>
      <c r="S102" s="139">
        <f>+R102+S101</f>
        <v>67</v>
      </c>
      <c r="T102" s="139">
        <f>+S102+T101</f>
        <v>68</v>
      </c>
      <c r="U102" s="139">
        <f>T102+U101</f>
        <v>68</v>
      </c>
      <c r="V102" s="824">
        <f>U102+V101</f>
        <v>68</v>
      </c>
      <c r="W102" s="139"/>
      <c r="X102" s="139"/>
      <c r="Y102" s="139"/>
      <c r="Z102" s="139"/>
      <c r="AA102" s="139"/>
      <c r="AB102" s="35"/>
      <c r="AC102" s="517">
        <f>MAX(F102:Z102)</f>
        <v>68</v>
      </c>
      <c r="AD102" s="313"/>
      <c r="AE102" s="515"/>
    </row>
    <row r="103" spans="1:38" ht="15" thickBot="1">
      <c r="A103" s="34"/>
      <c r="B103" s="139"/>
      <c r="C103" s="139"/>
      <c r="D103" s="139"/>
      <c r="E103" s="139"/>
      <c r="F103" s="139"/>
      <c r="G103" s="139"/>
      <c r="H103" s="139"/>
      <c r="I103" s="139"/>
      <c r="J103" s="139"/>
      <c r="K103" s="139"/>
      <c r="L103" s="139"/>
      <c r="M103" s="139"/>
      <c r="N103" s="139"/>
      <c r="O103" s="139"/>
      <c r="P103" s="139"/>
      <c r="Q103" s="139"/>
      <c r="R103" s="139"/>
      <c r="S103" s="139"/>
      <c r="T103" s="139"/>
      <c r="U103" s="139"/>
      <c r="V103" s="823"/>
      <c r="W103" s="139"/>
      <c r="X103" s="139"/>
      <c r="Y103" s="139"/>
      <c r="Z103" s="139"/>
      <c r="AA103" s="139"/>
      <c r="AB103" s="35"/>
      <c r="AC103" s="518">
        <f>Q103</f>
        <v>0</v>
      </c>
      <c r="AD103" s="313"/>
      <c r="AE103" s="515"/>
    </row>
    <row r="104" spans="1:38" ht="15" thickBot="1">
      <c r="A104" s="36" t="s">
        <v>59</v>
      </c>
      <c r="B104" s="9" t="s">
        <v>8</v>
      </c>
      <c r="C104" s="522" t="s">
        <v>46</v>
      </c>
      <c r="D104" s="558" t="s">
        <v>46</v>
      </c>
      <c r="E104" s="510" t="s">
        <v>30</v>
      </c>
      <c r="F104" s="510"/>
      <c r="G104" s="510"/>
      <c r="H104" s="510">
        <v>2</v>
      </c>
      <c r="I104" s="510">
        <v>4</v>
      </c>
      <c r="J104" s="510">
        <v>8</v>
      </c>
      <c r="K104" s="510">
        <v>12</v>
      </c>
      <c r="L104" s="510">
        <v>8</v>
      </c>
      <c r="M104" s="510">
        <v>10</v>
      </c>
      <c r="N104" s="510">
        <v>8</v>
      </c>
      <c r="O104" s="510">
        <v>2</v>
      </c>
      <c r="P104" s="510">
        <v>2</v>
      </c>
      <c r="Q104" s="139"/>
      <c r="R104" s="139"/>
      <c r="S104" s="139"/>
      <c r="T104" s="139"/>
      <c r="U104" s="139"/>
      <c r="V104" s="823"/>
      <c r="W104" s="139"/>
      <c r="X104" s="139"/>
      <c r="Y104" s="139"/>
      <c r="Z104" s="139"/>
      <c r="AA104" s="139"/>
      <c r="AB104" s="35"/>
      <c r="AC104" s="518"/>
      <c r="AD104" s="314" t="s">
        <v>42</v>
      </c>
      <c r="AE104" s="711">
        <f>AC105/AC105</f>
        <v>1</v>
      </c>
    </row>
    <row r="105" spans="1:38">
      <c r="A105" s="36" t="s">
        <v>59</v>
      </c>
      <c r="B105" s="139"/>
      <c r="C105" s="522" t="s">
        <v>46</v>
      </c>
      <c r="D105" s="558" t="s">
        <v>46</v>
      </c>
      <c r="E105" s="510" t="s">
        <v>43</v>
      </c>
      <c r="F105" s="510"/>
      <c r="G105" s="510"/>
      <c r="H105" s="510">
        <v>2</v>
      </c>
      <c r="I105" s="510">
        <v>6</v>
      </c>
      <c r="J105" s="510">
        <v>14</v>
      </c>
      <c r="K105" s="510">
        <v>26</v>
      </c>
      <c r="L105" s="513">
        <v>34</v>
      </c>
      <c r="M105" s="513">
        <v>44</v>
      </c>
      <c r="N105" s="513">
        <v>52</v>
      </c>
      <c r="O105" s="513">
        <v>54</v>
      </c>
      <c r="P105" s="523">
        <v>56</v>
      </c>
      <c r="Q105" s="139"/>
      <c r="R105" s="139"/>
      <c r="S105" s="139"/>
      <c r="T105" s="139"/>
      <c r="U105" s="139"/>
      <c r="V105" s="823"/>
      <c r="W105" s="139"/>
      <c r="X105" s="139"/>
      <c r="Y105" s="139"/>
      <c r="Z105" s="139"/>
      <c r="AA105" s="139"/>
      <c r="AB105" s="35"/>
      <c r="AC105" s="517">
        <f>MAX(F105:AB105)</f>
        <v>56</v>
      </c>
      <c r="AD105" s="312" t="s">
        <v>44</v>
      </c>
      <c r="AE105" s="712">
        <f>AC107/AC105</f>
        <v>0.5178571428571429</v>
      </c>
      <c r="AJ105" s="28">
        <v>161</v>
      </c>
      <c r="AK105" s="32">
        <v>118</v>
      </c>
      <c r="AL105" s="783">
        <f>AJ105-AK105</f>
        <v>43</v>
      </c>
    </row>
    <row r="106" spans="1:38">
      <c r="A106" s="36" t="s">
        <v>59</v>
      </c>
      <c r="B106" s="139"/>
      <c r="C106" s="522" t="s">
        <v>46</v>
      </c>
      <c r="D106" s="558" t="s">
        <v>46</v>
      </c>
      <c r="E106" s="139" t="s">
        <v>32</v>
      </c>
      <c r="F106" s="139"/>
      <c r="G106" s="139"/>
      <c r="H106" s="139">
        <v>1</v>
      </c>
      <c r="I106" s="139">
        <v>1</v>
      </c>
      <c r="J106" s="139">
        <v>2</v>
      </c>
      <c r="K106" s="139"/>
      <c r="L106" s="139">
        <v>2</v>
      </c>
      <c r="M106" s="139">
        <v>3</v>
      </c>
      <c r="N106" s="139">
        <v>5</v>
      </c>
      <c r="O106" s="139">
        <v>4</v>
      </c>
      <c r="P106" s="139">
        <v>1</v>
      </c>
      <c r="Q106" s="139">
        <v>2</v>
      </c>
      <c r="R106" s="139">
        <v>2</v>
      </c>
      <c r="S106" s="310">
        <v>3</v>
      </c>
      <c r="T106" s="310">
        <v>3</v>
      </c>
      <c r="U106" s="310"/>
      <c r="V106" s="823"/>
      <c r="W106" s="139"/>
      <c r="X106" s="139"/>
      <c r="Y106" s="139"/>
      <c r="Z106" s="139"/>
      <c r="AA106" s="139"/>
      <c r="AB106" s="35"/>
      <c r="AC106" s="517"/>
      <c r="AD106" s="313"/>
      <c r="AE106" s="515"/>
      <c r="AI106">
        <f>AJ105-AJ106</f>
        <v>15</v>
      </c>
      <c r="AJ106" s="34">
        <v>146</v>
      </c>
      <c r="AK106" s="139">
        <v>98</v>
      </c>
      <c r="AL106" s="784">
        <f>AJ106-AK106</f>
        <v>48</v>
      </c>
    </row>
    <row r="107" spans="1:38">
      <c r="A107" s="36" t="s">
        <v>59</v>
      </c>
      <c r="B107" s="139"/>
      <c r="C107" s="522" t="s">
        <v>46</v>
      </c>
      <c r="D107" s="558" t="s">
        <v>46</v>
      </c>
      <c r="E107" s="139" t="s">
        <v>45</v>
      </c>
      <c r="F107" s="139"/>
      <c r="G107" s="139"/>
      <c r="H107" s="139">
        <v>1</v>
      </c>
      <c r="I107" s="139">
        <v>2</v>
      </c>
      <c r="J107" s="139">
        <v>4</v>
      </c>
      <c r="K107" s="139">
        <v>4</v>
      </c>
      <c r="L107" s="139">
        <v>6</v>
      </c>
      <c r="M107" s="139">
        <v>9</v>
      </c>
      <c r="N107" s="139">
        <v>14</v>
      </c>
      <c r="O107" s="139">
        <v>18</v>
      </c>
      <c r="P107" s="139">
        <v>19</v>
      </c>
      <c r="Q107" s="139">
        <v>21</v>
      </c>
      <c r="R107" s="139">
        <v>23</v>
      </c>
      <c r="S107" s="139">
        <f>+R107+S106</f>
        <v>26</v>
      </c>
      <c r="T107" s="139">
        <f>+S107+T106</f>
        <v>29</v>
      </c>
      <c r="U107" s="139">
        <f>T107+U106</f>
        <v>29</v>
      </c>
      <c r="V107" s="824">
        <f>U107+V106</f>
        <v>29</v>
      </c>
      <c r="W107" s="139"/>
      <c r="X107" s="139"/>
      <c r="Y107" s="139"/>
      <c r="Z107" s="139"/>
      <c r="AA107" s="139"/>
      <c r="AB107" s="35"/>
      <c r="AC107" s="517">
        <f>MAX(F107:Z107)</f>
        <v>29</v>
      </c>
      <c r="AD107" s="313"/>
      <c r="AE107" s="515"/>
      <c r="AJ107" s="34"/>
      <c r="AK107" s="139"/>
      <c r="AL107" s="35"/>
    </row>
    <row r="108" spans="1:38" ht="15" thickBot="1">
      <c r="A108" s="34"/>
      <c r="B108" s="139"/>
      <c r="C108" s="139"/>
      <c r="D108" s="558"/>
      <c r="E108" s="139"/>
      <c r="F108" s="139"/>
      <c r="G108" s="139"/>
      <c r="H108" s="139"/>
      <c r="I108" s="139"/>
      <c r="J108" s="139"/>
      <c r="K108" s="139"/>
      <c r="L108" s="139"/>
      <c r="M108" s="139"/>
      <c r="N108" s="139"/>
      <c r="O108" s="139"/>
      <c r="P108" s="139"/>
      <c r="Q108" s="139"/>
      <c r="R108" s="139"/>
      <c r="S108" s="139"/>
      <c r="T108" s="139"/>
      <c r="U108" s="139"/>
      <c r="V108" s="823"/>
      <c r="W108" s="139"/>
      <c r="X108" s="139"/>
      <c r="Y108" s="139"/>
      <c r="Z108" s="139"/>
      <c r="AA108" s="139"/>
      <c r="AB108" s="35"/>
      <c r="AC108" s="518"/>
      <c r="AD108" s="313"/>
      <c r="AE108" s="515"/>
      <c r="AJ108" s="34">
        <v>56</v>
      </c>
      <c r="AK108" s="139">
        <v>23</v>
      </c>
      <c r="AL108" s="784">
        <f>AJ108-AK108</f>
        <v>33</v>
      </c>
    </row>
    <row r="109" spans="1:38">
      <c r="A109" s="36" t="s">
        <v>59</v>
      </c>
      <c r="B109" s="9" t="s">
        <v>9</v>
      </c>
      <c r="C109" s="522" t="s">
        <v>55</v>
      </c>
      <c r="D109" s="558" t="s">
        <v>55</v>
      </c>
      <c r="E109" s="510" t="s">
        <v>30</v>
      </c>
      <c r="F109" s="510"/>
      <c r="G109" s="510"/>
      <c r="H109" s="510"/>
      <c r="I109" s="510"/>
      <c r="J109" s="510"/>
      <c r="K109" s="510"/>
      <c r="L109" s="510"/>
      <c r="M109" s="510"/>
      <c r="N109" s="510">
        <v>7</v>
      </c>
      <c r="O109" s="510">
        <v>3</v>
      </c>
      <c r="P109" s="139"/>
      <c r="Q109" s="139"/>
      <c r="R109" s="139"/>
      <c r="S109" s="139"/>
      <c r="T109" s="139"/>
      <c r="U109" s="139"/>
      <c r="V109" s="823"/>
      <c r="W109" s="139"/>
      <c r="X109" s="139"/>
      <c r="Y109" s="139"/>
      <c r="Z109" s="139"/>
      <c r="AA109" s="139"/>
      <c r="AB109" s="35"/>
      <c r="AC109" s="518">
        <f>Q109</f>
        <v>0</v>
      </c>
      <c r="AD109" s="314" t="s">
        <v>42</v>
      </c>
      <c r="AE109" s="711">
        <f>AC110/AC110</f>
        <v>1</v>
      </c>
      <c r="AJ109" s="34">
        <v>58</v>
      </c>
      <c r="AK109" s="139">
        <v>26</v>
      </c>
      <c r="AL109" s="784">
        <f>AJ109-AK109</f>
        <v>32</v>
      </c>
    </row>
    <row r="110" spans="1:38">
      <c r="A110" s="36" t="s">
        <v>59</v>
      </c>
      <c r="B110" s="139"/>
      <c r="C110" s="522" t="s">
        <v>55</v>
      </c>
      <c r="D110" s="558" t="s">
        <v>55</v>
      </c>
      <c r="E110" s="510" t="s">
        <v>43</v>
      </c>
      <c r="F110" s="510"/>
      <c r="G110" s="510"/>
      <c r="H110" s="510"/>
      <c r="I110" s="510"/>
      <c r="J110" s="510"/>
      <c r="K110" s="510"/>
      <c r="L110" s="510"/>
      <c r="M110" s="510"/>
      <c r="N110" s="510">
        <v>7</v>
      </c>
      <c r="O110" s="523">
        <v>10</v>
      </c>
      <c r="P110" s="139"/>
      <c r="Q110" s="139"/>
      <c r="R110" s="139"/>
      <c r="S110" s="139"/>
      <c r="T110" s="139"/>
      <c r="U110" s="139"/>
      <c r="V110" s="823"/>
      <c r="W110" s="139"/>
      <c r="X110" s="139"/>
      <c r="Y110" s="139"/>
      <c r="Z110" s="139"/>
      <c r="AA110" s="139"/>
      <c r="AB110" s="35"/>
      <c r="AC110" s="517">
        <f>MAX(F110:AB110)</f>
        <v>10</v>
      </c>
      <c r="AD110" s="312" t="s">
        <v>44</v>
      </c>
      <c r="AE110" s="712">
        <f>AC112/AC110</f>
        <v>0.4</v>
      </c>
      <c r="AJ110" s="34"/>
      <c r="AK110" s="139"/>
      <c r="AL110" s="35"/>
    </row>
    <row r="111" spans="1:38">
      <c r="A111" s="36" t="s">
        <v>59</v>
      </c>
      <c r="B111" s="139"/>
      <c r="C111" s="522" t="s">
        <v>55</v>
      </c>
      <c r="D111" s="558" t="s">
        <v>55</v>
      </c>
      <c r="E111" s="139" t="s">
        <v>32</v>
      </c>
      <c r="F111" s="139"/>
      <c r="G111" s="139"/>
      <c r="H111" s="139"/>
      <c r="I111" s="139"/>
      <c r="J111" s="139"/>
      <c r="K111" s="139"/>
      <c r="L111" s="139"/>
      <c r="M111" s="139">
        <v>3</v>
      </c>
      <c r="N111" s="139"/>
      <c r="O111" s="139">
        <v>1</v>
      </c>
      <c r="P111" s="139"/>
      <c r="Q111" s="139"/>
      <c r="R111" s="139"/>
      <c r="S111" s="139"/>
      <c r="T111" s="139"/>
      <c r="U111" s="139"/>
      <c r="V111" s="823"/>
      <c r="W111" s="139"/>
      <c r="X111" s="139"/>
      <c r="Y111" s="139"/>
      <c r="Z111" s="139"/>
      <c r="AA111" s="139"/>
      <c r="AB111" s="35"/>
      <c r="AC111" s="517"/>
      <c r="AD111" s="313"/>
      <c r="AE111" s="515"/>
      <c r="AJ111" s="34">
        <v>74</v>
      </c>
      <c r="AK111" s="139">
        <v>67</v>
      </c>
      <c r="AL111" s="35">
        <f>AJ111-AK111</f>
        <v>7</v>
      </c>
    </row>
    <row r="112" spans="1:38" ht="15" thickBot="1">
      <c r="A112" s="36" t="s">
        <v>59</v>
      </c>
      <c r="B112" s="139"/>
      <c r="C112" s="522" t="s">
        <v>55</v>
      </c>
      <c r="D112" s="558" t="s">
        <v>55</v>
      </c>
      <c r="E112" s="139" t="s">
        <v>45</v>
      </c>
      <c r="F112" s="139"/>
      <c r="G112" s="139"/>
      <c r="H112" s="139"/>
      <c r="I112" s="139"/>
      <c r="J112" s="139"/>
      <c r="K112" s="139"/>
      <c r="L112" s="139"/>
      <c r="M112" s="139">
        <v>3</v>
      </c>
      <c r="N112" s="139">
        <v>3</v>
      </c>
      <c r="O112" s="139">
        <v>4</v>
      </c>
      <c r="P112" s="139">
        <v>4</v>
      </c>
      <c r="Q112" s="139">
        <v>4</v>
      </c>
      <c r="R112" s="139">
        <v>4</v>
      </c>
      <c r="S112" s="139">
        <f>+R112+S111</f>
        <v>4</v>
      </c>
      <c r="T112" s="139">
        <f>+S112+T111</f>
        <v>4</v>
      </c>
      <c r="U112" s="139">
        <f>T112+U111</f>
        <v>4</v>
      </c>
      <c r="V112" s="824">
        <f>U112+V111</f>
        <v>4</v>
      </c>
      <c r="W112" s="139"/>
      <c r="X112" s="139"/>
      <c r="Y112" s="139"/>
      <c r="Z112" s="139"/>
      <c r="AA112" s="139"/>
      <c r="AB112" s="35"/>
      <c r="AC112" s="517">
        <f>MAX(F112:Z112)</f>
        <v>4</v>
      </c>
      <c r="AD112" s="313"/>
      <c r="AE112" s="515"/>
      <c r="AJ112" s="719">
        <v>98</v>
      </c>
      <c r="AK112" s="41">
        <v>84</v>
      </c>
      <c r="AL112" s="43">
        <f>AJ112-AK112</f>
        <v>14</v>
      </c>
    </row>
    <row r="113" spans="1:33" ht="15" thickBot="1">
      <c r="A113" s="34"/>
      <c r="B113" s="139"/>
      <c r="C113" s="139"/>
      <c r="D113" s="139"/>
      <c r="E113" s="139"/>
      <c r="F113" s="139"/>
      <c r="G113" s="139"/>
      <c r="H113" s="139"/>
      <c r="I113" s="139"/>
      <c r="J113" s="139"/>
      <c r="K113" s="139"/>
      <c r="L113" s="139"/>
      <c r="M113" s="139"/>
      <c r="N113" s="139"/>
      <c r="O113" s="139"/>
      <c r="P113" s="139"/>
      <c r="Q113" s="139"/>
      <c r="R113" s="139"/>
      <c r="S113" s="139"/>
      <c r="T113" s="139"/>
      <c r="U113" s="139"/>
      <c r="V113" s="823"/>
      <c r="W113" s="139"/>
      <c r="X113" s="139"/>
      <c r="Y113" s="139"/>
      <c r="Z113" s="139"/>
      <c r="AA113" s="139"/>
      <c r="AB113" s="35"/>
      <c r="AC113" s="518">
        <f>Q113</f>
        <v>0</v>
      </c>
      <c r="AD113" s="313"/>
      <c r="AE113" s="515"/>
    </row>
    <row r="114" spans="1:33">
      <c r="A114" s="36" t="s">
        <v>59</v>
      </c>
      <c r="B114" s="139"/>
      <c r="C114" s="522" t="s">
        <v>61</v>
      </c>
      <c r="D114" s="558" t="s">
        <v>61</v>
      </c>
      <c r="E114" s="510" t="s">
        <v>30</v>
      </c>
      <c r="F114" s="510"/>
      <c r="G114" s="510"/>
      <c r="H114" s="510">
        <f>H109+H104+H99+H94</f>
        <v>16</v>
      </c>
      <c r="I114" s="510">
        <f t="shared" ref="I114:Q114" si="18">I109+I104+I99+I94</f>
        <v>13</v>
      </c>
      <c r="J114" s="510">
        <f t="shared" si="18"/>
        <v>24</v>
      </c>
      <c r="K114" s="510">
        <f t="shared" si="18"/>
        <v>25</v>
      </c>
      <c r="L114" s="510">
        <f t="shared" si="18"/>
        <v>19</v>
      </c>
      <c r="M114" s="510">
        <f t="shared" si="18"/>
        <v>19</v>
      </c>
      <c r="N114" s="510">
        <f t="shared" si="18"/>
        <v>16</v>
      </c>
      <c r="O114" s="510">
        <f t="shared" si="18"/>
        <v>7</v>
      </c>
      <c r="P114" s="510">
        <f t="shared" si="18"/>
        <v>4</v>
      </c>
      <c r="Q114" s="510">
        <f t="shared" si="18"/>
        <v>3</v>
      </c>
      <c r="R114" s="510"/>
      <c r="S114" s="510"/>
      <c r="T114" s="510"/>
      <c r="U114" s="510"/>
      <c r="V114" s="823"/>
      <c r="W114" s="139"/>
      <c r="X114" s="139"/>
      <c r="Y114" s="139"/>
      <c r="Z114" s="139"/>
      <c r="AA114" s="139"/>
      <c r="AB114" s="35"/>
      <c r="AC114" s="518"/>
      <c r="AD114" s="314" t="s">
        <v>42</v>
      </c>
      <c r="AE114" s="711">
        <f>AC115/AC115</f>
        <v>1</v>
      </c>
    </row>
    <row r="115" spans="1:33">
      <c r="A115" s="36" t="s">
        <v>59</v>
      </c>
      <c r="B115" s="139"/>
      <c r="C115" s="522" t="s">
        <v>61</v>
      </c>
      <c r="D115" s="558" t="s">
        <v>61</v>
      </c>
      <c r="E115" s="510" t="s">
        <v>43</v>
      </c>
      <c r="F115" s="510"/>
      <c r="G115" s="510"/>
      <c r="H115" s="510">
        <f>H110+H105+H100+H95</f>
        <v>16</v>
      </c>
      <c r="I115" s="510">
        <f>I114+H115</f>
        <v>29</v>
      </c>
      <c r="J115" s="510">
        <f t="shared" ref="J115:Q115" si="19">J114+I115</f>
        <v>53</v>
      </c>
      <c r="K115" s="510">
        <f t="shared" si="19"/>
        <v>78</v>
      </c>
      <c r="L115" s="510">
        <f t="shared" si="19"/>
        <v>97</v>
      </c>
      <c r="M115" s="510">
        <f t="shared" si="19"/>
        <v>116</v>
      </c>
      <c r="N115" s="510">
        <f t="shared" si="19"/>
        <v>132</v>
      </c>
      <c r="O115" s="510">
        <f t="shared" si="19"/>
        <v>139</v>
      </c>
      <c r="P115" s="510">
        <f t="shared" si="19"/>
        <v>143</v>
      </c>
      <c r="Q115" s="510">
        <f t="shared" si="19"/>
        <v>146</v>
      </c>
      <c r="R115" s="510"/>
      <c r="S115" s="510"/>
      <c r="T115" s="510"/>
      <c r="U115" s="510"/>
      <c r="V115" s="823"/>
      <c r="W115" s="139"/>
      <c r="X115" s="139"/>
      <c r="Y115" s="139"/>
      <c r="Z115" s="139"/>
      <c r="AA115" s="139"/>
      <c r="AB115" s="35"/>
      <c r="AC115" s="517">
        <f>MAX(F115:AB115)</f>
        <v>146</v>
      </c>
      <c r="AD115" s="312" t="s">
        <v>44</v>
      </c>
      <c r="AE115" s="712">
        <f>AC117/AC115</f>
        <v>0.71917808219178081</v>
      </c>
    </row>
    <row r="116" spans="1:33">
      <c r="A116" s="36" t="s">
        <v>59</v>
      </c>
      <c r="B116" s="139"/>
      <c r="C116" s="522" t="s">
        <v>61</v>
      </c>
      <c r="D116" s="558" t="s">
        <v>61</v>
      </c>
      <c r="E116" s="139" t="s">
        <v>32</v>
      </c>
      <c r="F116" s="139"/>
      <c r="G116" s="139"/>
      <c r="H116" s="139">
        <f>H111+H106+H101+H96</f>
        <v>8</v>
      </c>
      <c r="I116" s="139">
        <f t="shared" ref="I116:Q116" si="20">I111+I106+I101+I96</f>
        <v>22</v>
      </c>
      <c r="J116" s="139">
        <f t="shared" si="20"/>
        <v>11</v>
      </c>
      <c r="K116" s="139">
        <f t="shared" si="20"/>
        <v>7</v>
      </c>
      <c r="L116" s="139">
        <f t="shared" si="20"/>
        <v>15</v>
      </c>
      <c r="M116" s="139">
        <f t="shared" si="20"/>
        <v>11</v>
      </c>
      <c r="N116" s="139">
        <f t="shared" si="20"/>
        <v>8</v>
      </c>
      <c r="O116" s="139">
        <f t="shared" si="20"/>
        <v>6</v>
      </c>
      <c r="P116" s="139">
        <f t="shared" si="20"/>
        <v>5</v>
      </c>
      <c r="Q116" s="139">
        <f t="shared" si="20"/>
        <v>2</v>
      </c>
      <c r="R116" s="139">
        <v>3</v>
      </c>
      <c r="S116" s="139">
        <v>3</v>
      </c>
      <c r="T116" s="139">
        <v>4</v>
      </c>
      <c r="U116" s="139"/>
      <c r="V116" s="823"/>
      <c r="W116" s="139"/>
      <c r="X116" s="139"/>
      <c r="Y116" s="139"/>
      <c r="Z116" s="139"/>
      <c r="AA116" s="139"/>
      <c r="AB116" s="35"/>
      <c r="AC116" s="517"/>
      <c r="AD116" s="313"/>
      <c r="AE116" s="515"/>
    </row>
    <row r="117" spans="1:33" ht="15" thickBot="1">
      <c r="A117" s="39" t="s">
        <v>59</v>
      </c>
      <c r="B117" s="41"/>
      <c r="C117" s="40" t="s">
        <v>61</v>
      </c>
      <c r="D117" s="558" t="s">
        <v>61</v>
      </c>
      <c r="E117" s="41" t="s">
        <v>45</v>
      </c>
      <c r="F117" s="41"/>
      <c r="G117" s="41"/>
      <c r="H117" s="41">
        <f>H112+H107+H102+H11</f>
        <v>8</v>
      </c>
      <c r="I117" s="41">
        <f>I116+H117</f>
        <v>30</v>
      </c>
      <c r="J117" s="41">
        <f t="shared" ref="J117:Q117" si="21">J116+I117</f>
        <v>41</v>
      </c>
      <c r="K117" s="41">
        <f t="shared" si="21"/>
        <v>48</v>
      </c>
      <c r="L117" s="41">
        <f t="shared" si="21"/>
        <v>63</v>
      </c>
      <c r="M117" s="41">
        <f t="shared" si="21"/>
        <v>74</v>
      </c>
      <c r="N117" s="41">
        <f t="shared" si="21"/>
        <v>82</v>
      </c>
      <c r="O117" s="41">
        <f t="shared" si="21"/>
        <v>88</v>
      </c>
      <c r="P117" s="41">
        <f t="shared" si="21"/>
        <v>93</v>
      </c>
      <c r="Q117" s="41">
        <f t="shared" si="21"/>
        <v>95</v>
      </c>
      <c r="R117" s="41">
        <v>98</v>
      </c>
      <c r="S117" s="41">
        <f>+R117+S116</f>
        <v>101</v>
      </c>
      <c r="T117" s="41">
        <f>+S117+T116</f>
        <v>105</v>
      </c>
      <c r="U117" s="41">
        <f>T117+U116</f>
        <v>105</v>
      </c>
      <c r="V117" s="824">
        <f>U117+V116</f>
        <v>105</v>
      </c>
      <c r="W117" s="41"/>
      <c r="X117" s="41"/>
      <c r="Y117" s="41"/>
      <c r="Z117" s="41"/>
      <c r="AA117" s="41"/>
      <c r="AB117" s="43"/>
      <c r="AC117" s="517">
        <f>MAX(F117:Z117)</f>
        <v>105</v>
      </c>
      <c r="AD117" s="313"/>
      <c r="AE117" s="515"/>
    </row>
    <row r="118" spans="1:33">
      <c r="A118" s="34"/>
      <c r="B118" s="139"/>
      <c r="C118" s="139"/>
      <c r="D118" s="139"/>
      <c r="E118" s="139"/>
      <c r="F118" s="139"/>
      <c r="G118" s="139"/>
      <c r="H118" s="139"/>
      <c r="I118" s="139"/>
      <c r="J118" s="139"/>
      <c r="K118" s="139"/>
      <c r="L118" s="139"/>
      <c r="M118" s="139"/>
      <c r="N118" s="139"/>
      <c r="O118" s="139"/>
      <c r="P118" s="139"/>
      <c r="Q118" s="139"/>
      <c r="R118" s="139"/>
      <c r="S118" s="139"/>
      <c r="T118" s="139"/>
      <c r="U118" s="139"/>
      <c r="V118" s="823"/>
      <c r="W118" s="139"/>
      <c r="X118" s="139"/>
      <c r="Y118" s="139"/>
      <c r="Z118" s="139"/>
      <c r="AA118" s="139"/>
      <c r="AB118" s="35"/>
      <c r="AC118" s="518"/>
      <c r="AD118" s="313"/>
      <c r="AE118" s="515"/>
    </row>
    <row r="119" spans="1:33" ht="15" thickBot="1">
      <c r="A119" s="527"/>
      <c r="B119" s="528"/>
      <c r="C119" s="528"/>
      <c r="D119" s="528"/>
      <c r="E119" s="528"/>
      <c r="F119" s="528"/>
      <c r="G119" s="528"/>
      <c r="H119" s="528"/>
      <c r="I119" s="528"/>
      <c r="J119" s="528"/>
      <c r="K119" s="528"/>
      <c r="L119" s="528"/>
      <c r="M119" s="528"/>
      <c r="N119" s="528"/>
      <c r="O119" s="528"/>
      <c r="P119" s="528"/>
      <c r="Q119" s="528"/>
      <c r="R119" s="528"/>
      <c r="S119" s="528"/>
      <c r="T119" s="528"/>
      <c r="U119" s="528"/>
      <c r="V119" s="829"/>
      <c r="W119" s="528"/>
      <c r="X119" s="528"/>
      <c r="Y119" s="528"/>
      <c r="Z119" s="528"/>
      <c r="AA119" s="528"/>
      <c r="AB119" s="529"/>
      <c r="AC119" s="519"/>
      <c r="AD119" s="313"/>
      <c r="AE119" s="515"/>
    </row>
    <row r="120" spans="1:33">
      <c r="A120" s="44" t="s">
        <v>17</v>
      </c>
      <c r="B120" s="31"/>
      <c r="C120" s="31" t="s">
        <v>62</v>
      </c>
      <c r="D120" s="507" t="s">
        <v>279</v>
      </c>
      <c r="E120" s="33" t="s">
        <v>30</v>
      </c>
      <c r="F120" s="33"/>
      <c r="G120" s="33"/>
      <c r="H120" s="33"/>
      <c r="I120" s="33"/>
      <c r="J120" s="33">
        <v>534</v>
      </c>
      <c r="K120" s="33">
        <v>492</v>
      </c>
      <c r="L120" s="33">
        <v>504</v>
      </c>
      <c r="M120" s="33">
        <v>974</v>
      </c>
      <c r="N120" s="33">
        <v>1431</v>
      </c>
      <c r="O120" s="33">
        <v>1849</v>
      </c>
      <c r="P120" s="33">
        <v>2443</v>
      </c>
      <c r="Q120" s="33">
        <v>2138</v>
      </c>
      <c r="R120" s="33">
        <v>1728</v>
      </c>
      <c r="S120" s="33">
        <v>1404</v>
      </c>
      <c r="T120" s="33">
        <v>1069</v>
      </c>
      <c r="U120" s="33">
        <v>1015</v>
      </c>
      <c r="V120" s="832">
        <v>1082</v>
      </c>
      <c r="W120" s="33">
        <v>409</v>
      </c>
      <c r="X120" s="32"/>
      <c r="Y120" s="32"/>
      <c r="Z120" s="32"/>
      <c r="AA120" s="32"/>
      <c r="AB120" s="520"/>
      <c r="AC120" s="518"/>
      <c r="AD120" s="314" t="s">
        <v>42</v>
      </c>
      <c r="AE120" s="713">
        <f>(S121+(T120/4)*SUMMARY!$C$12)/AC121</f>
        <v>0.85320993439550141</v>
      </c>
      <c r="AG120" s="569">
        <f>2212-R128</f>
        <v>0</v>
      </c>
    </row>
    <row r="121" spans="1:33">
      <c r="A121" s="36" t="s">
        <v>17</v>
      </c>
      <c r="B121" s="522"/>
      <c r="C121" s="522" t="s">
        <v>62</v>
      </c>
      <c r="D121" s="524" t="s">
        <v>279</v>
      </c>
      <c r="E121" s="510" t="s">
        <v>43</v>
      </c>
      <c r="F121" s="510"/>
      <c r="G121" s="510"/>
      <c r="H121" s="510"/>
      <c r="I121" s="510"/>
      <c r="J121" s="510">
        <v>534</v>
      </c>
      <c r="K121" s="510">
        <v>1026</v>
      </c>
      <c r="L121" s="510">
        <v>1530</v>
      </c>
      <c r="M121" s="510">
        <v>2504</v>
      </c>
      <c r="N121" s="510">
        <v>3935</v>
      </c>
      <c r="O121" s="510">
        <v>5784</v>
      </c>
      <c r="P121" s="510">
        <v>8227</v>
      </c>
      <c r="Q121" s="510">
        <v>10365</v>
      </c>
      <c r="R121" s="510">
        <v>12093</v>
      </c>
      <c r="S121" s="510">
        <v>13497</v>
      </c>
      <c r="T121" s="510">
        <v>14566</v>
      </c>
      <c r="U121" s="510">
        <v>15581</v>
      </c>
      <c r="V121" s="833">
        <v>16663</v>
      </c>
      <c r="W121" s="523">
        <v>17072</v>
      </c>
      <c r="X121" s="139"/>
      <c r="Y121" s="139"/>
      <c r="Z121" s="139"/>
      <c r="AA121" s="139"/>
      <c r="AB121" s="35"/>
      <c r="AC121" s="517">
        <f>MAX(F121:AB121)</f>
        <v>17072</v>
      </c>
      <c r="AD121" s="312" t="s">
        <v>44</v>
      </c>
      <c r="AE121" s="712">
        <f>AC123/AC121</f>
        <v>0.70179240862230552</v>
      </c>
    </row>
    <row r="122" spans="1:33">
      <c r="A122" s="36" t="s">
        <v>17</v>
      </c>
      <c r="B122" s="522"/>
      <c r="C122" s="522" t="s">
        <v>62</v>
      </c>
      <c r="D122" s="524" t="s">
        <v>279</v>
      </c>
      <c r="E122" s="139" t="s">
        <v>32</v>
      </c>
      <c r="F122" s="139"/>
      <c r="G122" s="139"/>
      <c r="H122" s="370"/>
      <c r="I122" s="370">
        <v>68</v>
      </c>
      <c r="J122" s="370">
        <v>234</v>
      </c>
      <c r="K122" s="370">
        <v>210</v>
      </c>
      <c r="L122" s="370">
        <v>1054</v>
      </c>
      <c r="M122" s="370">
        <v>613</v>
      </c>
      <c r="N122" s="370">
        <v>373</v>
      </c>
      <c r="O122" s="370">
        <v>1274</v>
      </c>
      <c r="P122" s="370">
        <v>1213</v>
      </c>
      <c r="Q122" s="370">
        <v>413</v>
      </c>
      <c r="R122" s="370">
        <v>879</v>
      </c>
      <c r="S122" s="370">
        <f>2238-938</f>
        <v>1300</v>
      </c>
      <c r="T122" s="370">
        <v>2839</v>
      </c>
      <c r="U122" s="370">
        <v>453</v>
      </c>
      <c r="V122" s="827"/>
      <c r="W122" s="139"/>
      <c r="X122" s="139"/>
      <c r="Y122" s="139"/>
      <c r="Z122" s="139"/>
      <c r="AA122" s="139"/>
      <c r="AB122" s="35"/>
      <c r="AC122" s="517"/>
      <c r="AD122" s="313"/>
      <c r="AE122" s="515"/>
    </row>
    <row r="123" spans="1:33">
      <c r="A123" s="36" t="s">
        <v>17</v>
      </c>
      <c r="B123" s="522"/>
      <c r="C123" s="522" t="s">
        <v>62</v>
      </c>
      <c r="D123" s="524" t="s">
        <v>279</v>
      </c>
      <c r="E123" s="139" t="s">
        <v>45</v>
      </c>
      <c r="F123" s="139"/>
      <c r="G123" s="139"/>
      <c r="H123" s="370"/>
      <c r="I123" s="370">
        <v>68</v>
      </c>
      <c r="J123" s="139">
        <v>302</v>
      </c>
      <c r="K123" s="139">
        <v>512</v>
      </c>
      <c r="L123" s="139">
        <v>1566</v>
      </c>
      <c r="M123" s="139">
        <v>2179</v>
      </c>
      <c r="N123" s="139">
        <v>2552</v>
      </c>
      <c r="O123" s="139">
        <v>3826</v>
      </c>
      <c r="P123" s="139">
        <v>5039</v>
      </c>
      <c r="Q123" s="139">
        <v>5452</v>
      </c>
      <c r="R123" s="139">
        <v>6331</v>
      </c>
      <c r="S123" s="139">
        <f>R123+S122+58+1000</f>
        <v>8689</v>
      </c>
      <c r="T123" s="139">
        <f>S123+T122</f>
        <v>11528</v>
      </c>
      <c r="U123" s="139">
        <f>T123+U122</f>
        <v>11981</v>
      </c>
      <c r="V123" s="824">
        <f>U123+V122</f>
        <v>11981</v>
      </c>
      <c r="W123" s="139"/>
      <c r="X123" s="139"/>
      <c r="Y123" s="139"/>
      <c r="Z123" s="139"/>
      <c r="AA123" s="139"/>
      <c r="AB123" s="35"/>
      <c r="AC123" s="517">
        <f>MAX(F123:Z123)</f>
        <v>11981</v>
      </c>
      <c r="AD123" s="313"/>
      <c r="AE123" s="515"/>
      <c r="AG123" s="569">
        <f>R133-3209</f>
        <v>0</v>
      </c>
    </row>
    <row r="124" spans="1:33">
      <c r="A124" s="34"/>
      <c r="B124" s="139"/>
      <c r="C124" s="139"/>
      <c r="D124" s="524"/>
      <c r="E124" s="139"/>
      <c r="F124" s="139"/>
      <c r="G124" s="139"/>
      <c r="H124" s="139"/>
      <c r="I124" s="139"/>
      <c r="J124" s="139"/>
      <c r="K124" s="139"/>
      <c r="L124" s="37"/>
      <c r="M124" s="37"/>
      <c r="N124" s="37"/>
      <c r="O124" s="37"/>
      <c r="P124" s="37"/>
      <c r="Q124" s="37"/>
      <c r="R124" s="37"/>
      <c r="S124" s="37"/>
      <c r="T124" s="37">
        <f>S123-8689</f>
        <v>0</v>
      </c>
      <c r="U124" s="37"/>
      <c r="V124" s="824"/>
      <c r="W124" s="139"/>
      <c r="X124" s="139"/>
      <c r="Y124" s="139"/>
      <c r="Z124" s="139"/>
      <c r="AA124" s="139"/>
      <c r="AB124" s="35"/>
      <c r="AC124" s="518"/>
      <c r="AD124" s="313"/>
      <c r="AE124" s="515"/>
    </row>
    <row r="125" spans="1:33">
      <c r="A125" s="36" t="s">
        <v>17</v>
      </c>
      <c r="B125" s="522"/>
      <c r="C125" s="310" t="s">
        <v>63</v>
      </c>
      <c r="D125" s="524" t="s">
        <v>64</v>
      </c>
      <c r="E125" s="510" t="s">
        <v>30</v>
      </c>
      <c r="F125" s="510"/>
      <c r="G125" s="510"/>
      <c r="H125" s="510"/>
      <c r="I125" s="510"/>
      <c r="J125" s="510"/>
      <c r="K125" s="510"/>
      <c r="L125" s="511"/>
      <c r="M125" s="511">
        <v>40</v>
      </c>
      <c r="N125" s="511">
        <v>80</v>
      </c>
      <c r="O125" s="511">
        <v>1509</v>
      </c>
      <c r="P125" s="511">
        <v>1344</v>
      </c>
      <c r="Q125" s="511">
        <v>343</v>
      </c>
      <c r="R125" s="511">
        <v>695</v>
      </c>
      <c r="S125" s="511">
        <v>1382</v>
      </c>
      <c r="T125" s="511">
        <v>2331</v>
      </c>
      <c r="U125" s="511">
        <v>3647</v>
      </c>
      <c r="V125" s="826">
        <v>4842</v>
      </c>
      <c r="W125" s="511">
        <v>3001</v>
      </c>
      <c r="X125" s="511">
        <v>1691</v>
      </c>
      <c r="Y125" s="525"/>
      <c r="Z125" s="139"/>
      <c r="AA125" s="139"/>
      <c r="AB125" s="35"/>
      <c r="AC125" s="518"/>
      <c r="AD125" s="314" t="s">
        <v>42</v>
      </c>
      <c r="AE125" s="713">
        <f>(S126+(T125/4)*SUMMARY!$C$12)/AC126</f>
        <v>0.36948098541018892</v>
      </c>
    </row>
    <row r="126" spans="1:33">
      <c r="A126" s="36" t="s">
        <v>17</v>
      </c>
      <c r="B126" s="522"/>
      <c r="C126" s="310" t="s">
        <v>63</v>
      </c>
      <c r="D126" s="524" t="s">
        <v>64</v>
      </c>
      <c r="E126" s="510" t="s">
        <v>43</v>
      </c>
      <c r="F126" s="510"/>
      <c r="G126" s="510"/>
      <c r="H126" s="510"/>
      <c r="I126" s="510"/>
      <c r="J126" s="510"/>
      <c r="K126" s="510"/>
      <c r="L126" s="511"/>
      <c r="M126" s="511">
        <v>40</v>
      </c>
      <c r="N126" s="511">
        <v>120</v>
      </c>
      <c r="O126" s="511">
        <v>1629</v>
      </c>
      <c r="P126" s="511">
        <v>2973</v>
      </c>
      <c r="Q126" s="511">
        <v>3316</v>
      </c>
      <c r="R126" s="511">
        <v>4011</v>
      </c>
      <c r="S126" s="511">
        <v>5393</v>
      </c>
      <c r="T126" s="511">
        <v>7724</v>
      </c>
      <c r="U126" s="511">
        <v>11371</v>
      </c>
      <c r="V126" s="826">
        <v>16213</v>
      </c>
      <c r="W126" s="514">
        <v>19214</v>
      </c>
      <c r="X126" s="512">
        <v>20905</v>
      </c>
      <c r="Y126" s="512"/>
      <c r="Z126" s="139"/>
      <c r="AA126" s="139"/>
      <c r="AB126" s="35"/>
      <c r="AC126" s="517">
        <f>MAX(F126:AB126)</f>
        <v>20905</v>
      </c>
      <c r="AD126" s="312" t="s">
        <v>44</v>
      </c>
      <c r="AE126" s="712">
        <f>AC128/AC126</f>
        <v>0.29701028462090406</v>
      </c>
    </row>
    <row r="127" spans="1:33">
      <c r="A127" s="36" t="s">
        <v>17</v>
      </c>
      <c r="B127" s="522"/>
      <c r="C127" s="310" t="s">
        <v>63</v>
      </c>
      <c r="D127" s="524" t="s">
        <v>64</v>
      </c>
      <c r="E127" s="139" t="s">
        <v>32</v>
      </c>
      <c r="F127" s="139"/>
      <c r="G127" s="139"/>
      <c r="H127" s="139"/>
      <c r="I127" s="139"/>
      <c r="J127" s="139"/>
      <c r="K127" s="139"/>
      <c r="L127" s="139"/>
      <c r="M127" s="139"/>
      <c r="N127" s="139"/>
      <c r="O127" s="139"/>
      <c r="P127" s="370">
        <v>457</v>
      </c>
      <c r="Q127" s="370">
        <v>621</v>
      </c>
      <c r="R127" s="370">
        <f>504+630</f>
        <v>1134</v>
      </c>
      <c r="S127" s="370">
        <f>198+1292</f>
        <v>1490</v>
      </c>
      <c r="T127" s="370">
        <v>509</v>
      </c>
      <c r="U127" s="370">
        <v>1998</v>
      </c>
      <c r="V127" s="827"/>
      <c r="W127" s="139"/>
      <c r="X127" s="139"/>
      <c r="Y127" s="139"/>
      <c r="Z127" s="139"/>
      <c r="AA127" s="139"/>
      <c r="AB127" s="35"/>
      <c r="AC127" s="517"/>
      <c r="AD127" s="313"/>
      <c r="AE127" s="515"/>
      <c r="AG127">
        <f>9361-8689</f>
        <v>672</v>
      </c>
    </row>
    <row r="128" spans="1:33">
      <c r="A128" s="36" t="s">
        <v>17</v>
      </c>
      <c r="B128" s="522"/>
      <c r="C128" s="310" t="s">
        <v>63</v>
      </c>
      <c r="D128" s="524" t="s">
        <v>64</v>
      </c>
      <c r="E128" s="139" t="s">
        <v>45</v>
      </c>
      <c r="F128" s="139"/>
      <c r="G128" s="139"/>
      <c r="H128" s="139"/>
      <c r="I128" s="139"/>
      <c r="J128" s="139"/>
      <c r="K128" s="139"/>
      <c r="L128" s="139"/>
      <c r="M128" s="139"/>
      <c r="N128" s="536"/>
      <c r="O128" s="536"/>
      <c r="P128" s="536">
        <v>457</v>
      </c>
      <c r="Q128" s="536">
        <f t="shared" ref="Q128:V128" si="22">P128+Q127</f>
        <v>1078</v>
      </c>
      <c r="R128" s="536">
        <f t="shared" si="22"/>
        <v>2212</v>
      </c>
      <c r="S128" s="536">
        <f t="shared" si="22"/>
        <v>3702</v>
      </c>
      <c r="T128" s="536">
        <f t="shared" si="22"/>
        <v>4211</v>
      </c>
      <c r="U128" s="536">
        <f t="shared" si="22"/>
        <v>6209</v>
      </c>
      <c r="V128" s="824">
        <f t="shared" si="22"/>
        <v>6209</v>
      </c>
      <c r="W128" s="139"/>
      <c r="X128" s="139"/>
      <c r="Y128" s="139"/>
      <c r="Z128" s="139"/>
      <c r="AA128" s="139"/>
      <c r="AB128" s="35"/>
      <c r="AC128" s="517">
        <f>MAX(F128:Z128)</f>
        <v>6209</v>
      </c>
      <c r="AD128" s="313"/>
      <c r="AE128" s="515"/>
    </row>
    <row r="129" spans="1:34">
      <c r="A129" s="34"/>
      <c r="B129" s="139"/>
      <c r="C129" s="139"/>
      <c r="D129" s="139"/>
      <c r="E129" s="139"/>
      <c r="F129" s="139"/>
      <c r="G129" s="139"/>
      <c r="H129" s="139"/>
      <c r="I129" s="139"/>
      <c r="J129" s="139"/>
      <c r="K129" s="139"/>
      <c r="L129" s="139"/>
      <c r="M129" s="537"/>
      <c r="N129" s="537"/>
      <c r="O129" s="537"/>
      <c r="P129" s="537"/>
      <c r="Q129" s="537"/>
      <c r="R129" s="537">
        <f>Q128-755</f>
        <v>323</v>
      </c>
      <c r="S129" s="537"/>
      <c r="T129" s="537">
        <f>4150-T128</f>
        <v>-61</v>
      </c>
      <c r="U129" s="537"/>
      <c r="V129" s="834">
        <f>U128-4307</f>
        <v>1902</v>
      </c>
      <c r="W129" s="139"/>
      <c r="X129" s="139"/>
      <c r="Y129" s="139"/>
      <c r="Z129" s="139"/>
      <c r="AA129" s="139"/>
      <c r="AB129" s="35"/>
      <c r="AC129" s="518"/>
      <c r="AD129" s="313"/>
      <c r="AE129" s="515"/>
      <c r="AG129">
        <v>3971</v>
      </c>
      <c r="AH129" s="569">
        <f>AG129-T128</f>
        <v>-240</v>
      </c>
    </row>
    <row r="130" spans="1:34">
      <c r="A130" s="36" t="s">
        <v>17</v>
      </c>
      <c r="B130" s="522"/>
      <c r="C130" s="139" t="s">
        <v>285</v>
      </c>
      <c r="D130" s="524" t="s">
        <v>280</v>
      </c>
      <c r="E130" s="510" t="s">
        <v>30</v>
      </c>
      <c r="F130" s="510"/>
      <c r="G130" s="510"/>
      <c r="H130" s="510"/>
      <c r="I130" s="510"/>
      <c r="J130" s="510"/>
      <c r="K130" s="510"/>
      <c r="L130" s="511"/>
      <c r="M130" s="511"/>
      <c r="N130" s="511">
        <v>164</v>
      </c>
      <c r="O130" s="511">
        <v>328</v>
      </c>
      <c r="P130" s="511">
        <v>985</v>
      </c>
      <c r="Q130" s="511">
        <v>1643</v>
      </c>
      <c r="R130" s="511">
        <v>3121</v>
      </c>
      <c r="S130" s="511">
        <v>3450</v>
      </c>
      <c r="T130" s="511">
        <v>2136</v>
      </c>
      <c r="U130" s="511">
        <v>1643</v>
      </c>
      <c r="V130" s="826">
        <v>1314</v>
      </c>
      <c r="W130" s="511">
        <v>985</v>
      </c>
      <c r="X130" s="511">
        <v>662</v>
      </c>
      <c r="Y130" s="139"/>
      <c r="Z130" s="370"/>
      <c r="AA130" s="139"/>
      <c r="AB130" s="35"/>
      <c r="AC130" s="518"/>
      <c r="AD130" s="314" t="s">
        <v>42</v>
      </c>
      <c r="AE130" s="713">
        <f>(S131+(T130/4)*SUMMARY!$C$12)/AC131</f>
        <v>0.71979794291278676</v>
      </c>
    </row>
    <row r="131" spans="1:34">
      <c r="A131" s="36" t="s">
        <v>17</v>
      </c>
      <c r="B131" s="522"/>
      <c r="C131" s="139" t="s">
        <v>285</v>
      </c>
      <c r="D131" s="524" t="s">
        <v>280</v>
      </c>
      <c r="E131" s="510" t="s">
        <v>43</v>
      </c>
      <c r="F131" s="511"/>
      <c r="G131" s="511"/>
      <c r="H131" s="511"/>
      <c r="I131" s="511"/>
      <c r="J131" s="511"/>
      <c r="K131" s="511"/>
      <c r="L131" s="511"/>
      <c r="M131" s="511"/>
      <c r="N131" s="511">
        <v>164</v>
      </c>
      <c r="O131" s="511">
        <v>492</v>
      </c>
      <c r="P131" s="511">
        <v>1477</v>
      </c>
      <c r="Q131" s="511">
        <v>3120</v>
      </c>
      <c r="R131" s="511">
        <v>6241</v>
      </c>
      <c r="S131" s="511">
        <v>9691</v>
      </c>
      <c r="T131" s="511">
        <v>11827</v>
      </c>
      <c r="U131" s="511">
        <v>13470</v>
      </c>
      <c r="V131" s="826">
        <v>14784</v>
      </c>
      <c r="W131" s="511">
        <v>15769</v>
      </c>
      <c r="X131" s="512">
        <v>16431</v>
      </c>
      <c r="Y131" s="139"/>
      <c r="Z131" s="139"/>
      <c r="AA131" s="139"/>
      <c r="AB131" s="35"/>
      <c r="AC131" s="517">
        <f>MAX(F131:AB131)</f>
        <v>16431</v>
      </c>
      <c r="AD131" s="312" t="s">
        <v>44</v>
      </c>
      <c r="AE131" s="712">
        <f>AC133/AC131</f>
        <v>0.57300225184103215</v>
      </c>
    </row>
    <row r="132" spans="1:34">
      <c r="A132" s="36" t="s">
        <v>17</v>
      </c>
      <c r="B132" s="522"/>
      <c r="C132" s="139" t="s">
        <v>285</v>
      </c>
      <c r="D132" s="524" t="s">
        <v>280</v>
      </c>
      <c r="E132" s="139" t="s">
        <v>32</v>
      </c>
      <c r="F132" s="139"/>
      <c r="G132" s="139"/>
      <c r="H132" s="139"/>
      <c r="I132" s="139"/>
      <c r="J132" s="139"/>
      <c r="K132" s="139"/>
      <c r="L132" s="370"/>
      <c r="M132" s="139"/>
      <c r="N132" s="139"/>
      <c r="O132" s="370"/>
      <c r="P132" s="370">
        <v>420</v>
      </c>
      <c r="Q132" s="370">
        <v>1124</v>
      </c>
      <c r="R132" s="370">
        <f>1752-87</f>
        <v>1665</v>
      </c>
      <c r="S132" s="370">
        <f>799-78+160</f>
        <v>881</v>
      </c>
      <c r="T132" s="370">
        <f>274+484+261-354</f>
        <v>665</v>
      </c>
      <c r="U132" s="370">
        <v>2705</v>
      </c>
      <c r="V132" s="827"/>
      <c r="W132" s="139"/>
      <c r="X132" s="139"/>
      <c r="Y132" s="139"/>
      <c r="Z132" s="139"/>
      <c r="AA132" s="139"/>
      <c r="AB132" s="35"/>
      <c r="AC132" s="517"/>
      <c r="AD132" s="313"/>
      <c r="AE132" s="515"/>
    </row>
    <row r="133" spans="1:34">
      <c r="A133" s="36" t="s">
        <v>17</v>
      </c>
      <c r="B133" s="522"/>
      <c r="C133" s="139" t="s">
        <v>285</v>
      </c>
      <c r="D133" s="524" t="s">
        <v>280</v>
      </c>
      <c r="E133" s="139" t="s">
        <v>45</v>
      </c>
      <c r="F133" s="139"/>
      <c r="G133" s="139"/>
      <c r="H133" s="139"/>
      <c r="I133" s="139"/>
      <c r="J133" s="139"/>
      <c r="K133" s="139"/>
      <c r="L133" s="139"/>
      <c r="M133" s="139"/>
      <c r="N133" s="536"/>
      <c r="O133" s="536"/>
      <c r="P133" s="536">
        <v>420</v>
      </c>
      <c r="Q133" s="536">
        <f>P133+Q132</f>
        <v>1544</v>
      </c>
      <c r="R133" s="536">
        <f>Q133+R132</f>
        <v>3209</v>
      </c>
      <c r="S133" s="536">
        <f>R133+S132+1955</f>
        <v>6045</v>
      </c>
      <c r="T133" s="536">
        <f>S133+T132</f>
        <v>6710</v>
      </c>
      <c r="U133" s="536">
        <f>T133+U132</f>
        <v>9415</v>
      </c>
      <c r="V133" s="824">
        <f>U133+V132</f>
        <v>9415</v>
      </c>
      <c r="W133" s="139"/>
      <c r="X133" s="139"/>
      <c r="Y133" s="139"/>
      <c r="Z133" s="139"/>
      <c r="AA133" s="139"/>
      <c r="AB133" s="35"/>
      <c r="AC133" s="517">
        <f>MAX(F133:Z133)</f>
        <v>9415</v>
      </c>
      <c r="AD133" s="313"/>
      <c r="AE133" s="515"/>
      <c r="AF133" s="8">
        <f>X131+W136</f>
        <v>16482</v>
      </c>
      <c r="AG133" s="334">
        <f>R134+Q136+R132+Q131</f>
        <v>4788</v>
      </c>
    </row>
    <row r="134" spans="1:34">
      <c r="A134" s="34"/>
      <c r="B134" s="139"/>
      <c r="C134" s="139"/>
      <c r="D134" s="524"/>
      <c r="E134" s="139"/>
      <c r="F134" s="139"/>
      <c r="G134" s="139"/>
      <c r="H134" s="139"/>
      <c r="I134" s="139"/>
      <c r="J134" s="139"/>
      <c r="K134" s="139"/>
      <c r="L134" s="139"/>
      <c r="M134" s="139"/>
      <c r="N134" s="139"/>
      <c r="O134" s="139"/>
      <c r="P134" s="139"/>
      <c r="Q134" s="139"/>
      <c r="R134" s="139"/>
      <c r="S134" s="139"/>
      <c r="T134" s="139">
        <f>6710-T133</f>
        <v>0</v>
      </c>
      <c r="U134" s="139"/>
      <c r="V134" s="827">
        <f>U133-8130</f>
        <v>1285</v>
      </c>
      <c r="W134" s="139"/>
      <c r="X134" s="139"/>
      <c r="Y134" s="139"/>
      <c r="Z134" s="139"/>
      <c r="AA134" s="139"/>
      <c r="AB134" s="35"/>
      <c r="AC134" s="518"/>
      <c r="AD134" s="313"/>
      <c r="AE134" s="515"/>
    </row>
    <row r="135" spans="1:34">
      <c r="A135" s="36" t="s">
        <v>17</v>
      </c>
      <c r="B135" s="522"/>
      <c r="C135" s="139" t="s">
        <v>46</v>
      </c>
      <c r="D135" s="524" t="s">
        <v>280</v>
      </c>
      <c r="E135" s="510" t="s">
        <v>30</v>
      </c>
      <c r="F135" s="510"/>
      <c r="G135" s="510"/>
      <c r="H135" s="510"/>
      <c r="I135" s="510"/>
      <c r="J135" s="510"/>
      <c r="K135" s="510"/>
      <c r="L135" s="510"/>
      <c r="M135" s="511"/>
      <c r="N135" s="511"/>
      <c r="O135" s="511"/>
      <c r="P135" s="511">
        <v>2</v>
      </c>
      <c r="Q135" s="511">
        <v>1</v>
      </c>
      <c r="R135" s="511">
        <v>7</v>
      </c>
      <c r="S135" s="511">
        <v>9</v>
      </c>
      <c r="T135" s="511">
        <v>10</v>
      </c>
      <c r="U135" s="511">
        <v>8</v>
      </c>
      <c r="V135" s="826">
        <v>8</v>
      </c>
      <c r="W135" s="511">
        <v>6</v>
      </c>
      <c r="X135" s="511">
        <v>3</v>
      </c>
      <c r="Y135" s="139"/>
      <c r="Z135" s="139"/>
      <c r="AA135" s="139"/>
      <c r="AB135" s="35"/>
      <c r="AC135" s="518"/>
      <c r="AD135" s="314" t="s">
        <v>42</v>
      </c>
      <c r="AE135" s="713">
        <f>(S136+(T135/4)*SUMMARY!$C$12)/AC136</f>
        <v>0.53703703703703709</v>
      </c>
      <c r="AG135" s="367">
        <f>AG133/AF133</f>
        <v>0.29049872588278119</v>
      </c>
    </row>
    <row r="136" spans="1:34">
      <c r="A136" s="36" t="s">
        <v>17</v>
      </c>
      <c r="B136" s="522"/>
      <c r="C136" s="139" t="s">
        <v>46</v>
      </c>
      <c r="D136" s="524" t="s">
        <v>280</v>
      </c>
      <c r="E136" s="510" t="s">
        <v>43</v>
      </c>
      <c r="F136" s="510"/>
      <c r="G136" s="510"/>
      <c r="H136" s="510"/>
      <c r="I136" s="510"/>
      <c r="J136" s="510"/>
      <c r="K136" s="510"/>
      <c r="L136" s="510"/>
      <c r="M136" s="511"/>
      <c r="N136" s="511"/>
      <c r="O136" s="511"/>
      <c r="P136" s="514">
        <v>2</v>
      </c>
      <c r="Q136" s="514">
        <v>3</v>
      </c>
      <c r="R136" s="514">
        <v>10</v>
      </c>
      <c r="S136" s="514">
        <v>19</v>
      </c>
      <c r="T136" s="514">
        <v>29</v>
      </c>
      <c r="U136" s="514">
        <v>37</v>
      </c>
      <c r="V136" s="835">
        <v>45</v>
      </c>
      <c r="W136" s="514">
        <v>51</v>
      </c>
      <c r="X136" s="512">
        <v>54</v>
      </c>
      <c r="Y136" s="139"/>
      <c r="Z136" s="139"/>
      <c r="AA136" s="139"/>
      <c r="AB136" s="35"/>
      <c r="AC136" s="517">
        <f>MAX(F136:AB136)</f>
        <v>54</v>
      </c>
      <c r="AD136" s="312" t="s">
        <v>44</v>
      </c>
      <c r="AE136" s="712">
        <f>AC138/AC136</f>
        <v>7.407407407407407E-2</v>
      </c>
      <c r="AG136" s="367">
        <f>(Q133+Q138)/AF133</f>
        <v>9.3799296201917237E-2</v>
      </c>
    </row>
    <row r="137" spans="1:34">
      <c r="A137" s="36" t="s">
        <v>17</v>
      </c>
      <c r="B137" s="522"/>
      <c r="C137" s="139" t="s">
        <v>46</v>
      </c>
      <c r="D137" s="524" t="s">
        <v>280</v>
      </c>
      <c r="E137" s="139" t="s">
        <v>32</v>
      </c>
      <c r="F137" s="139"/>
      <c r="G137" s="139"/>
      <c r="H137" s="139"/>
      <c r="I137" s="139"/>
      <c r="J137" s="139"/>
      <c r="K137" s="139"/>
      <c r="L137" s="139"/>
      <c r="M137" s="139"/>
      <c r="N137" s="139"/>
      <c r="O137" s="139">
        <v>1</v>
      </c>
      <c r="P137" s="139">
        <v>1</v>
      </c>
      <c r="Q137" s="139"/>
      <c r="R137" s="139"/>
      <c r="S137" s="139"/>
      <c r="T137" s="139">
        <v>1</v>
      </c>
      <c r="U137" s="139">
        <v>1</v>
      </c>
      <c r="V137" s="823"/>
      <c r="W137" s="139"/>
      <c r="X137" s="139"/>
      <c r="Y137" s="139"/>
      <c r="Z137" s="139"/>
      <c r="AA137" s="139"/>
      <c r="AB137" s="35"/>
      <c r="AC137" s="517"/>
      <c r="AD137" s="313"/>
      <c r="AE137" s="515"/>
    </row>
    <row r="138" spans="1:34">
      <c r="A138" s="36" t="s">
        <v>17</v>
      </c>
      <c r="B138" s="522"/>
      <c r="C138" s="139" t="s">
        <v>46</v>
      </c>
      <c r="D138" s="524" t="s">
        <v>280</v>
      </c>
      <c r="E138" s="139" t="s">
        <v>45</v>
      </c>
      <c r="F138" s="139"/>
      <c r="G138" s="139"/>
      <c r="H138" s="139"/>
      <c r="I138" s="139"/>
      <c r="J138" s="139"/>
      <c r="K138" s="139"/>
      <c r="L138" s="139"/>
      <c r="M138" s="139"/>
      <c r="N138" s="536"/>
      <c r="O138" s="536">
        <v>1</v>
      </c>
      <c r="P138" s="536">
        <v>2</v>
      </c>
      <c r="Q138" s="536">
        <v>2</v>
      </c>
      <c r="R138" s="536">
        <v>2</v>
      </c>
      <c r="S138" s="536">
        <f>R138+S137</f>
        <v>2</v>
      </c>
      <c r="T138" s="536">
        <f>S138+T137</f>
        <v>3</v>
      </c>
      <c r="U138" s="536">
        <f>T138+U137</f>
        <v>4</v>
      </c>
      <c r="V138" s="824">
        <f>U138+V137</f>
        <v>4</v>
      </c>
      <c r="W138" s="139"/>
      <c r="X138" s="139"/>
      <c r="Y138" s="139"/>
      <c r="Z138" s="139"/>
      <c r="AA138" s="139"/>
      <c r="AB138" s="35"/>
      <c r="AC138" s="517">
        <f>MAX(F138:Z138)</f>
        <v>4</v>
      </c>
      <c r="AD138" s="313"/>
      <c r="AE138" s="515"/>
    </row>
    <row r="139" spans="1:34">
      <c r="A139" s="34"/>
      <c r="B139" s="139"/>
      <c r="C139" s="139"/>
      <c r="D139" s="139"/>
      <c r="E139" s="139"/>
      <c r="F139" s="139"/>
      <c r="G139" s="139"/>
      <c r="H139" s="139"/>
      <c r="I139" s="139"/>
      <c r="J139" s="139"/>
      <c r="K139" s="139"/>
      <c r="L139" s="139"/>
      <c r="M139" s="139"/>
      <c r="N139" s="139"/>
      <c r="O139" s="139"/>
      <c r="P139" s="139"/>
      <c r="Q139" s="139"/>
      <c r="R139" s="139"/>
      <c r="S139" s="139"/>
      <c r="T139" s="139"/>
      <c r="U139" s="139"/>
      <c r="V139" s="823"/>
      <c r="W139" s="139"/>
      <c r="X139" s="139"/>
      <c r="Y139" s="139"/>
      <c r="Z139" s="139"/>
      <c r="AA139" s="139"/>
      <c r="AB139" s="35"/>
      <c r="AC139" s="518"/>
      <c r="AD139" s="313"/>
      <c r="AE139" s="515"/>
    </row>
    <row r="140" spans="1:34" s="556" customFormat="1">
      <c r="A140" s="36" t="s">
        <v>17</v>
      </c>
      <c r="B140" s="522"/>
      <c r="C140" s="139" t="s">
        <v>55</v>
      </c>
      <c r="D140" s="524" t="s">
        <v>280</v>
      </c>
      <c r="E140" s="510" t="s">
        <v>30</v>
      </c>
      <c r="F140" s="510"/>
      <c r="G140" s="510"/>
      <c r="H140" s="510"/>
      <c r="I140" s="510"/>
      <c r="J140" s="510"/>
      <c r="K140" s="510"/>
      <c r="L140" s="510"/>
      <c r="M140" s="511"/>
      <c r="N140" s="511"/>
      <c r="O140" s="511"/>
      <c r="P140" s="511"/>
      <c r="Q140" s="511"/>
      <c r="R140" s="511"/>
      <c r="S140" s="511">
        <v>2</v>
      </c>
      <c r="T140" s="511">
        <v>3</v>
      </c>
      <c r="U140" s="511">
        <v>3</v>
      </c>
      <c r="V140" s="826">
        <v>1</v>
      </c>
      <c r="W140" s="511">
        <v>1</v>
      </c>
      <c r="X140" s="511"/>
      <c r="Y140" s="139"/>
      <c r="Z140" s="139"/>
      <c r="AA140" s="139"/>
      <c r="AB140" s="35"/>
      <c r="AC140" s="518"/>
      <c r="AD140" s="314" t="s">
        <v>42</v>
      </c>
      <c r="AE140" s="713">
        <f>(S141+(T140/4)*SUMMARY!$C$12)/AC141</f>
        <v>0.5</v>
      </c>
      <c r="AG140" s="557" t="e">
        <f>AG138/AF138</f>
        <v>#DIV/0!</v>
      </c>
    </row>
    <row r="141" spans="1:34" s="556" customFormat="1">
      <c r="A141" s="36" t="s">
        <v>17</v>
      </c>
      <c r="B141" s="522"/>
      <c r="C141" s="139" t="s">
        <v>55</v>
      </c>
      <c r="D141" s="524" t="s">
        <v>280</v>
      </c>
      <c r="E141" s="510" t="s">
        <v>43</v>
      </c>
      <c r="F141" s="510"/>
      <c r="G141" s="510"/>
      <c r="H141" s="510"/>
      <c r="I141" s="510"/>
      <c r="J141" s="510"/>
      <c r="K141" s="510"/>
      <c r="L141" s="510"/>
      <c r="M141" s="511"/>
      <c r="N141" s="511"/>
      <c r="O141" s="511"/>
      <c r="P141" s="514"/>
      <c r="Q141" s="514"/>
      <c r="R141" s="514"/>
      <c r="S141" s="514">
        <v>2</v>
      </c>
      <c r="T141" s="514">
        <v>5</v>
      </c>
      <c r="U141" s="514">
        <v>8</v>
      </c>
      <c r="V141" s="835">
        <v>9</v>
      </c>
      <c r="W141" s="512">
        <v>10</v>
      </c>
      <c r="X141" s="512"/>
      <c r="Y141" s="139"/>
      <c r="Z141" s="139"/>
      <c r="AA141" s="139"/>
      <c r="AB141" s="35"/>
      <c r="AC141" s="517">
        <f>MAX(F141:AB141)</f>
        <v>10</v>
      </c>
      <c r="AD141" s="312" t="s">
        <v>44</v>
      </c>
      <c r="AE141" s="712">
        <f>AC143/AC141</f>
        <v>0</v>
      </c>
      <c r="AG141" s="557" t="e">
        <f>(Q138+Q143)/AF138</f>
        <v>#DIV/0!</v>
      </c>
    </row>
    <row r="142" spans="1:34" s="556" customFormat="1">
      <c r="A142" s="36" t="s">
        <v>17</v>
      </c>
      <c r="B142" s="522"/>
      <c r="C142" s="139" t="s">
        <v>55</v>
      </c>
      <c r="D142" s="524" t="s">
        <v>280</v>
      </c>
      <c r="E142" s="139" t="s">
        <v>32</v>
      </c>
      <c r="F142" s="139"/>
      <c r="G142" s="139"/>
      <c r="H142" s="139"/>
      <c r="I142" s="139"/>
      <c r="J142" s="139"/>
      <c r="K142" s="139"/>
      <c r="L142" s="139"/>
      <c r="M142" s="139"/>
      <c r="N142" s="139"/>
      <c r="O142" s="139"/>
      <c r="P142" s="139"/>
      <c r="Q142" s="139"/>
      <c r="R142" s="139"/>
      <c r="S142" s="139"/>
      <c r="T142" s="139"/>
      <c r="U142" s="139"/>
      <c r="V142" s="823"/>
      <c r="W142" s="139"/>
      <c r="X142" s="139"/>
      <c r="Y142" s="139"/>
      <c r="Z142" s="139"/>
      <c r="AA142" s="139"/>
      <c r="AB142" s="35"/>
      <c r="AC142" s="517"/>
      <c r="AD142" s="313"/>
      <c r="AE142" s="515"/>
    </row>
    <row r="143" spans="1:34" s="556" customFormat="1">
      <c r="A143" s="36" t="s">
        <v>17</v>
      </c>
      <c r="B143" s="522"/>
      <c r="C143" s="139" t="s">
        <v>55</v>
      </c>
      <c r="D143" s="524" t="s">
        <v>280</v>
      </c>
      <c r="E143" s="139" t="s">
        <v>45</v>
      </c>
      <c r="F143" s="139"/>
      <c r="G143" s="139"/>
      <c r="H143" s="139"/>
      <c r="I143" s="139"/>
      <c r="J143" s="139"/>
      <c r="K143" s="139"/>
      <c r="L143" s="139"/>
      <c r="M143" s="139"/>
      <c r="N143" s="536"/>
      <c r="O143" s="536"/>
      <c r="P143" s="536"/>
      <c r="Q143" s="536"/>
      <c r="R143" s="536"/>
      <c r="S143" s="536"/>
      <c r="T143" s="536"/>
      <c r="U143" s="536">
        <f>T143+U142</f>
        <v>0</v>
      </c>
      <c r="V143" s="824">
        <f>U143+V142</f>
        <v>0</v>
      </c>
      <c r="W143" s="139"/>
      <c r="X143" s="139"/>
      <c r="Y143" s="139"/>
      <c r="Z143" s="139"/>
      <c r="AA143" s="139"/>
      <c r="AB143" s="35"/>
      <c r="AC143" s="517">
        <f>MAX(F143:Z143)</f>
        <v>0</v>
      </c>
      <c r="AD143" s="313"/>
      <c r="AE143" s="515"/>
    </row>
    <row r="144" spans="1:34" s="556" customFormat="1">
      <c r="A144" s="34"/>
      <c r="B144" s="139"/>
      <c r="C144" s="139"/>
      <c r="D144" s="139"/>
      <c r="E144" s="139"/>
      <c r="F144" s="139"/>
      <c r="G144" s="139"/>
      <c r="H144" s="139"/>
      <c r="I144" s="139"/>
      <c r="J144" s="139"/>
      <c r="K144" s="139"/>
      <c r="L144" s="139"/>
      <c r="M144" s="139"/>
      <c r="N144" s="139"/>
      <c r="O144" s="139"/>
      <c r="P144" s="139"/>
      <c r="Q144" s="139"/>
      <c r="R144" s="139"/>
      <c r="S144" s="139"/>
      <c r="T144" s="139"/>
      <c r="U144" s="139"/>
      <c r="V144" s="823"/>
      <c r="W144" s="139"/>
      <c r="X144" s="139"/>
      <c r="Y144" s="139"/>
      <c r="Z144" s="139"/>
      <c r="AA144" s="139"/>
      <c r="AB144" s="35"/>
      <c r="AC144" s="518"/>
      <c r="AD144" s="313"/>
      <c r="AE144" s="515"/>
    </row>
    <row r="145" spans="1:34" s="564" customFormat="1">
      <c r="A145" s="36" t="s">
        <v>66</v>
      </c>
      <c r="B145" s="139"/>
      <c r="C145" s="522" t="s">
        <v>284</v>
      </c>
      <c r="D145" s="524" t="s">
        <v>280</v>
      </c>
      <c r="E145" s="510" t="s">
        <v>30</v>
      </c>
      <c r="F145" s="510"/>
      <c r="G145" s="510"/>
      <c r="H145" s="510">
        <f>H125</f>
        <v>0</v>
      </c>
      <c r="I145" s="510">
        <f t="shared" ref="I145:J145" si="23">I125</f>
        <v>0</v>
      </c>
      <c r="J145" s="510">
        <f t="shared" si="23"/>
        <v>0</v>
      </c>
      <c r="K145" s="511">
        <f>M125</f>
        <v>40</v>
      </c>
      <c r="L145" s="511">
        <f t="shared" ref="L145:Q145" si="24">N125</f>
        <v>80</v>
      </c>
      <c r="M145" s="511">
        <f t="shared" si="24"/>
        <v>1509</v>
      </c>
      <c r="N145" s="511">
        <f t="shared" si="24"/>
        <v>1344</v>
      </c>
      <c r="O145" s="511">
        <f t="shared" si="24"/>
        <v>343</v>
      </c>
      <c r="P145" s="511">
        <f t="shared" si="24"/>
        <v>695</v>
      </c>
      <c r="Q145" s="511">
        <f t="shared" si="24"/>
        <v>1382</v>
      </c>
      <c r="R145" s="511">
        <f>T125</f>
        <v>2331</v>
      </c>
      <c r="S145" s="511">
        <f t="shared" ref="S145" si="25">U125</f>
        <v>3647</v>
      </c>
      <c r="T145" s="511">
        <f t="shared" ref="T145" si="26">V125</f>
        <v>4842</v>
      </c>
      <c r="U145" s="511">
        <f t="shared" ref="U145" si="27">W125</f>
        <v>3001</v>
      </c>
      <c r="V145" s="835">
        <f t="shared" ref="V145" si="28">X125</f>
        <v>1691</v>
      </c>
      <c r="W145" s="511"/>
      <c r="X145" s="511"/>
      <c r="Y145" s="139"/>
      <c r="Z145" s="139"/>
      <c r="AA145" s="139"/>
      <c r="AB145" s="35"/>
      <c r="AC145" s="518"/>
      <c r="AD145" s="314" t="s">
        <v>42</v>
      </c>
      <c r="AE145" s="713">
        <f>(S146+(T145/4)*SUMMARY!$C$12)/AC146</f>
        <v>0.77555608706051182</v>
      </c>
    </row>
    <row r="146" spans="1:34" s="564" customFormat="1">
      <c r="A146" s="36" t="s">
        <v>66</v>
      </c>
      <c r="B146" s="139"/>
      <c r="C146" s="522" t="s">
        <v>48</v>
      </c>
      <c r="D146" s="524" t="s">
        <v>280</v>
      </c>
      <c r="E146" s="510" t="s">
        <v>43</v>
      </c>
      <c r="F146" s="510"/>
      <c r="G146" s="510"/>
      <c r="H146" s="510">
        <f t="shared" ref="H146:I146" si="29">H126</f>
        <v>0</v>
      </c>
      <c r="I146" s="510">
        <f t="shared" si="29"/>
        <v>0</v>
      </c>
      <c r="J146" s="510"/>
      <c r="K146" s="511">
        <f>K145</f>
        <v>40</v>
      </c>
      <c r="L146" s="511">
        <f>K146+L145</f>
        <v>120</v>
      </c>
      <c r="M146" s="511">
        <f t="shared" ref="M146:Q146" si="30">L146+M145</f>
        <v>1629</v>
      </c>
      <c r="N146" s="511">
        <f t="shared" si="30"/>
        <v>2973</v>
      </c>
      <c r="O146" s="511">
        <f t="shared" si="30"/>
        <v>3316</v>
      </c>
      <c r="P146" s="511">
        <f t="shared" si="30"/>
        <v>4011</v>
      </c>
      <c r="Q146" s="511">
        <f t="shared" si="30"/>
        <v>5393</v>
      </c>
      <c r="R146" s="511">
        <f>R145+Q146</f>
        <v>7724</v>
      </c>
      <c r="S146" s="511">
        <f>S145+R146</f>
        <v>11371</v>
      </c>
      <c r="T146" s="511">
        <f t="shared" ref="T146:V146" si="31">T145+S146</f>
        <v>16213</v>
      </c>
      <c r="U146" s="511">
        <f t="shared" si="31"/>
        <v>19214</v>
      </c>
      <c r="V146" s="835">
        <f t="shared" si="31"/>
        <v>20905</v>
      </c>
      <c r="W146" s="512"/>
      <c r="X146" s="512"/>
      <c r="Y146" s="139"/>
      <c r="Z146" s="139"/>
      <c r="AA146" s="139"/>
      <c r="AB146" s="35"/>
      <c r="AC146" s="517">
        <f>MAX(F146:AB146)</f>
        <v>20905</v>
      </c>
      <c r="AD146" s="312" t="s">
        <v>44</v>
      </c>
      <c r="AE146" s="712">
        <f>AC148/AC146</f>
        <v>0.59684286055967473</v>
      </c>
    </row>
    <row r="147" spans="1:34" s="564" customFormat="1">
      <c r="A147" s="36" t="s">
        <v>66</v>
      </c>
      <c r="B147" s="139"/>
      <c r="C147" s="522" t="s">
        <v>48</v>
      </c>
      <c r="D147" s="524" t="s">
        <v>280</v>
      </c>
      <c r="E147" s="139" t="s">
        <v>32</v>
      </c>
      <c r="F147" s="139"/>
      <c r="G147" s="139"/>
      <c r="H147" s="510">
        <f t="shared" ref="H147" si="32">H127</f>
        <v>0</v>
      </c>
      <c r="I147" s="510">
        <f>I127</f>
        <v>0</v>
      </c>
      <c r="J147" s="510">
        <f t="shared" ref="J147:Q147" si="33">J127</f>
        <v>0</v>
      </c>
      <c r="K147" s="510">
        <f t="shared" si="33"/>
        <v>0</v>
      </c>
      <c r="L147" s="510">
        <f t="shared" si="33"/>
        <v>0</v>
      </c>
      <c r="M147" s="510">
        <f t="shared" si="33"/>
        <v>0</v>
      </c>
      <c r="N147" s="510">
        <f t="shared" si="33"/>
        <v>0</v>
      </c>
      <c r="O147" s="510">
        <f t="shared" si="33"/>
        <v>0</v>
      </c>
      <c r="P147" s="510">
        <f t="shared" si="33"/>
        <v>457</v>
      </c>
      <c r="Q147" s="510">
        <f t="shared" si="33"/>
        <v>621</v>
      </c>
      <c r="R147" s="511">
        <f>R127</f>
        <v>1134</v>
      </c>
      <c r="S147" s="511">
        <f t="shared" ref="S147" si="34">S127</f>
        <v>1490</v>
      </c>
      <c r="T147" s="511">
        <f>2786+191</f>
        <v>2977</v>
      </c>
      <c r="U147" s="511">
        <v>5798</v>
      </c>
      <c r="V147" s="826">
        <f t="shared" ref="V147:X147" si="35">V127</f>
        <v>0</v>
      </c>
      <c r="W147" s="510">
        <f t="shared" si="35"/>
        <v>0</v>
      </c>
      <c r="X147" s="510">
        <f t="shared" si="35"/>
        <v>0</v>
      </c>
      <c r="Y147" s="139"/>
      <c r="Z147" s="139"/>
      <c r="AA147" s="139"/>
      <c r="AB147" s="35"/>
      <c r="AC147" s="517"/>
      <c r="AD147" s="313"/>
      <c r="AE147" s="515"/>
    </row>
    <row r="148" spans="1:34" s="564" customFormat="1">
      <c r="A148" s="36" t="s">
        <v>66</v>
      </c>
      <c r="B148" s="139"/>
      <c r="C148" s="522" t="s">
        <v>48</v>
      </c>
      <c r="D148" s="524" t="s">
        <v>280</v>
      </c>
      <c r="E148" s="139" t="s">
        <v>45</v>
      </c>
      <c r="F148" s="139"/>
      <c r="G148" s="139"/>
      <c r="H148" s="510">
        <f t="shared" ref="H148:I148" si="36">H128</f>
        <v>0</v>
      </c>
      <c r="I148" s="510">
        <f t="shared" si="36"/>
        <v>0</v>
      </c>
      <c r="J148" s="510">
        <f t="shared" ref="J148:R148" si="37">J128</f>
        <v>0</v>
      </c>
      <c r="K148" s="510">
        <f t="shared" si="37"/>
        <v>0</v>
      </c>
      <c r="L148" s="510">
        <f t="shared" si="37"/>
        <v>0</v>
      </c>
      <c r="M148" s="510">
        <f t="shared" si="37"/>
        <v>0</v>
      </c>
      <c r="N148" s="510">
        <f t="shared" si="37"/>
        <v>0</v>
      </c>
      <c r="O148" s="510">
        <f t="shared" si="37"/>
        <v>0</v>
      </c>
      <c r="P148" s="510">
        <f t="shared" si="37"/>
        <v>457</v>
      </c>
      <c r="Q148" s="510">
        <f t="shared" si="37"/>
        <v>1078</v>
      </c>
      <c r="R148" s="510">
        <f t="shared" si="37"/>
        <v>2212</v>
      </c>
      <c r="S148" s="510">
        <f>S128</f>
        <v>3702</v>
      </c>
      <c r="T148" s="510">
        <f>T147+S148</f>
        <v>6679</v>
      </c>
      <c r="U148" s="510">
        <f>T148+U147</f>
        <v>12477</v>
      </c>
      <c r="V148" s="824">
        <f>U148+V147</f>
        <v>12477</v>
      </c>
      <c r="W148" s="510">
        <f t="shared" ref="W148:X148" si="38">W128</f>
        <v>0</v>
      </c>
      <c r="X148" s="510">
        <f t="shared" si="38"/>
        <v>0</v>
      </c>
      <c r="Y148" s="139"/>
      <c r="Z148" s="139"/>
      <c r="AA148" s="370">
        <f>5237-S148</f>
        <v>1535</v>
      </c>
      <c r="AB148" s="35"/>
      <c r="AC148" s="517">
        <f>MAX(F148:Z148)</f>
        <v>12477</v>
      </c>
      <c r="AD148" s="313"/>
      <c r="AE148" s="515"/>
    </row>
    <row r="149" spans="1:34" s="564" customFormat="1">
      <c r="A149" s="34"/>
      <c r="B149" s="139"/>
      <c r="C149" s="139"/>
      <c r="D149" s="524"/>
      <c r="E149" s="139"/>
      <c r="F149" s="139"/>
      <c r="G149" s="139"/>
      <c r="H149" s="139"/>
      <c r="I149" s="139"/>
      <c r="J149" s="139"/>
      <c r="K149" s="139"/>
      <c r="L149" s="139"/>
      <c r="M149" s="139"/>
      <c r="N149" s="139"/>
      <c r="O149" s="139"/>
      <c r="P149" s="139"/>
      <c r="Q149" s="139"/>
      <c r="R149" s="139"/>
      <c r="S149" s="139"/>
      <c r="T149" s="139"/>
      <c r="U149" s="139"/>
      <c r="V149" s="823"/>
      <c r="W149" s="139"/>
      <c r="X149" s="139"/>
      <c r="Y149" s="139"/>
      <c r="Z149" s="139"/>
      <c r="AA149" s="139"/>
      <c r="AB149" s="35"/>
      <c r="AC149" s="518"/>
      <c r="AD149" s="313"/>
      <c r="AE149" s="515"/>
      <c r="AG149" s="564">
        <f>6679-6488</f>
        <v>191</v>
      </c>
    </row>
    <row r="150" spans="1:34">
      <c r="A150" s="36" t="s">
        <v>66</v>
      </c>
      <c r="B150" s="139"/>
      <c r="C150" s="522" t="s">
        <v>48</v>
      </c>
      <c r="D150" s="524" t="s">
        <v>280</v>
      </c>
      <c r="E150" s="510" t="s">
        <v>30</v>
      </c>
      <c r="F150" s="510"/>
      <c r="G150" s="510"/>
      <c r="H150" s="510"/>
      <c r="I150" s="510"/>
      <c r="J150" s="510"/>
      <c r="K150" s="510"/>
      <c r="L150" s="510"/>
      <c r="M150" s="510">
        <v>6</v>
      </c>
      <c r="N150" s="510">
        <v>10</v>
      </c>
      <c r="O150" s="510">
        <v>13</v>
      </c>
      <c r="P150" s="510">
        <v>15</v>
      </c>
      <c r="Q150" s="510">
        <v>10</v>
      </c>
      <c r="R150" s="510">
        <v>10</v>
      </c>
      <c r="S150" s="510">
        <v>5</v>
      </c>
      <c r="T150" s="510">
        <v>1</v>
      </c>
      <c r="U150" s="510">
        <v>1</v>
      </c>
      <c r="V150" s="825">
        <v>1</v>
      </c>
      <c r="W150" s="525"/>
      <c r="X150" s="525"/>
      <c r="Y150" s="139"/>
      <c r="Z150" s="139"/>
      <c r="AA150" s="139"/>
      <c r="AB150" s="35"/>
      <c r="AC150" s="518"/>
      <c r="AD150" s="314" t="s">
        <v>42</v>
      </c>
      <c r="AE150" s="713">
        <f>(S151+(T150/4)*SUMMARY!$C$12)/AC151</f>
        <v>0.97222222222222221</v>
      </c>
    </row>
    <row r="151" spans="1:34">
      <c r="A151" s="36" t="s">
        <v>66</v>
      </c>
      <c r="B151" s="139"/>
      <c r="C151" s="522" t="s">
        <v>48</v>
      </c>
      <c r="D151" s="524" t="s">
        <v>280</v>
      </c>
      <c r="E151" s="510" t="s">
        <v>43</v>
      </c>
      <c r="F151" s="510"/>
      <c r="G151" s="510"/>
      <c r="H151" s="510"/>
      <c r="I151" s="510"/>
      <c r="J151" s="510"/>
      <c r="K151" s="510"/>
      <c r="L151" s="511"/>
      <c r="M151" s="511">
        <v>6</v>
      </c>
      <c r="N151" s="511">
        <v>16</v>
      </c>
      <c r="O151" s="511">
        <v>29</v>
      </c>
      <c r="P151" s="511">
        <v>44</v>
      </c>
      <c r="Q151" s="511">
        <v>54</v>
      </c>
      <c r="R151" s="511">
        <v>64</v>
      </c>
      <c r="S151" s="511">
        <v>69</v>
      </c>
      <c r="T151" s="511">
        <v>70</v>
      </c>
      <c r="U151" s="511">
        <v>71</v>
      </c>
      <c r="V151" s="826">
        <v>72</v>
      </c>
      <c r="W151" s="512"/>
      <c r="X151" s="512"/>
      <c r="Y151" s="139"/>
      <c r="Z151" s="139"/>
      <c r="AA151" s="139"/>
      <c r="AB151" s="35"/>
      <c r="AC151" s="517">
        <f>MAX(F151:AB151)</f>
        <v>72</v>
      </c>
      <c r="AD151" s="312" t="s">
        <v>44</v>
      </c>
      <c r="AE151" s="712">
        <f>AC153/AC151</f>
        <v>0.66666666666666663</v>
      </c>
    </row>
    <row r="152" spans="1:34">
      <c r="A152" s="36" t="s">
        <v>66</v>
      </c>
      <c r="B152" s="139"/>
      <c r="C152" s="522" t="s">
        <v>48</v>
      </c>
      <c r="D152" s="524" t="s">
        <v>280</v>
      </c>
      <c r="E152" s="139" t="s">
        <v>32</v>
      </c>
      <c r="F152" s="139"/>
      <c r="G152" s="139"/>
      <c r="H152" s="139"/>
      <c r="I152" s="139"/>
      <c r="J152" s="139"/>
      <c r="K152" s="139"/>
      <c r="L152" s="139">
        <v>1</v>
      </c>
      <c r="M152" s="139">
        <v>1</v>
      </c>
      <c r="N152" s="139">
        <v>18</v>
      </c>
      <c r="O152" s="139">
        <v>10</v>
      </c>
      <c r="P152" s="139">
        <v>6</v>
      </c>
      <c r="Q152" s="139"/>
      <c r="R152" s="139"/>
      <c r="S152" s="139">
        <v>12</v>
      </c>
      <c r="T152" s="139"/>
      <c r="U152" s="139"/>
      <c r="V152" s="823"/>
      <c r="W152" s="139"/>
      <c r="X152" s="139"/>
      <c r="Y152" s="139"/>
      <c r="Z152" s="139"/>
      <c r="AA152" s="139"/>
      <c r="AB152" s="35"/>
      <c r="AC152" s="517"/>
      <c r="AD152" s="313"/>
      <c r="AE152" s="515"/>
    </row>
    <row r="153" spans="1:34">
      <c r="A153" s="36" t="s">
        <v>66</v>
      </c>
      <c r="B153" s="139"/>
      <c r="C153" s="522" t="s">
        <v>48</v>
      </c>
      <c r="D153" s="524" t="s">
        <v>280</v>
      </c>
      <c r="E153" s="139" t="s">
        <v>45</v>
      </c>
      <c r="F153" s="139"/>
      <c r="G153" s="139"/>
      <c r="H153" s="139"/>
      <c r="I153" s="139"/>
      <c r="J153" s="139"/>
      <c r="K153" s="139"/>
      <c r="L153" s="139">
        <v>1</v>
      </c>
      <c r="M153" s="139">
        <v>2</v>
      </c>
      <c r="N153" s="139">
        <v>20</v>
      </c>
      <c r="O153" s="139">
        <v>30</v>
      </c>
      <c r="P153" s="139">
        <v>36</v>
      </c>
      <c r="Q153" s="139">
        <v>36</v>
      </c>
      <c r="R153" s="139">
        <v>36</v>
      </c>
      <c r="S153" s="139">
        <f>R153+S152</f>
        <v>48</v>
      </c>
      <c r="T153" s="139">
        <f>S153+T152</f>
        <v>48</v>
      </c>
      <c r="U153" s="139">
        <f>T153+U152</f>
        <v>48</v>
      </c>
      <c r="V153" s="824">
        <f>U153+V152</f>
        <v>48</v>
      </c>
      <c r="W153" s="139"/>
      <c r="X153" s="139"/>
      <c r="Y153" s="139"/>
      <c r="Z153" s="139"/>
      <c r="AA153" s="139"/>
      <c r="AB153" s="35"/>
      <c r="AC153" s="517">
        <f>MAX(F153:Z153)</f>
        <v>48</v>
      </c>
      <c r="AD153" s="313"/>
      <c r="AE153" s="515"/>
    </row>
    <row r="154" spans="1:34">
      <c r="A154" s="34"/>
      <c r="B154" s="139"/>
      <c r="C154" s="139"/>
      <c r="D154" s="524"/>
      <c r="E154" s="139"/>
      <c r="F154" s="139"/>
      <c r="G154" s="139"/>
      <c r="H154" s="139"/>
      <c r="I154" s="139"/>
      <c r="J154" s="139"/>
      <c r="K154" s="139"/>
      <c r="L154" s="139"/>
      <c r="M154" s="139"/>
      <c r="N154" s="139"/>
      <c r="O154" s="139"/>
      <c r="P154" s="139"/>
      <c r="Q154" s="139"/>
      <c r="R154" s="139"/>
      <c r="S154" s="139"/>
      <c r="T154" s="139">
        <f>S153-49</f>
        <v>-1</v>
      </c>
      <c r="U154" s="139"/>
      <c r="V154" s="823"/>
      <c r="W154" s="139"/>
      <c r="X154" s="139"/>
      <c r="Y154" s="139"/>
      <c r="Z154" s="139"/>
      <c r="AA154" s="139"/>
      <c r="AB154" s="35"/>
      <c r="AC154" s="518"/>
      <c r="AD154" s="313"/>
      <c r="AE154" s="515"/>
      <c r="AH154">
        <v>65</v>
      </c>
    </row>
    <row r="155" spans="1:34">
      <c r="A155" s="36" t="s">
        <v>66</v>
      </c>
      <c r="B155" s="139"/>
      <c r="C155" s="522" t="s">
        <v>46</v>
      </c>
      <c r="D155" s="524" t="s">
        <v>280</v>
      </c>
      <c r="E155" s="510" t="s">
        <v>30</v>
      </c>
      <c r="F155" s="510"/>
      <c r="G155" s="510"/>
      <c r="H155" s="510"/>
      <c r="I155" s="510"/>
      <c r="J155" s="510"/>
      <c r="K155" s="510"/>
      <c r="L155" s="510"/>
      <c r="M155" s="510"/>
      <c r="N155" s="510">
        <v>5</v>
      </c>
      <c r="O155" s="510">
        <v>7</v>
      </c>
      <c r="P155" s="510">
        <v>8</v>
      </c>
      <c r="Q155" s="510">
        <v>11</v>
      </c>
      <c r="R155" s="510">
        <v>9</v>
      </c>
      <c r="S155" s="510">
        <v>6</v>
      </c>
      <c r="T155" s="510">
        <v>4</v>
      </c>
      <c r="U155" s="510">
        <v>3</v>
      </c>
      <c r="V155" s="825">
        <v>1</v>
      </c>
      <c r="W155" s="139"/>
      <c r="X155" s="139"/>
      <c r="Y155" s="139"/>
      <c r="Z155" s="139"/>
      <c r="AA155" s="139"/>
      <c r="AB155" s="35"/>
      <c r="AC155" s="518"/>
      <c r="AD155" s="314" t="s">
        <v>42</v>
      </c>
      <c r="AE155" s="713">
        <f>(S156+(T155/4)*SUMMARY!$C$12)/AC156</f>
        <v>0.92592592592592593</v>
      </c>
    </row>
    <row r="156" spans="1:34">
      <c r="A156" s="36" t="s">
        <v>66</v>
      </c>
      <c r="B156" s="139"/>
      <c r="C156" s="522" t="s">
        <v>46</v>
      </c>
      <c r="D156" s="524" t="s">
        <v>280</v>
      </c>
      <c r="E156" s="510" t="s">
        <v>43</v>
      </c>
      <c r="F156" s="510"/>
      <c r="G156" s="510"/>
      <c r="H156" s="510"/>
      <c r="I156" s="510"/>
      <c r="J156" s="510"/>
      <c r="K156" s="510"/>
      <c r="L156" s="510"/>
      <c r="M156" s="510"/>
      <c r="N156" s="511">
        <v>5</v>
      </c>
      <c r="O156" s="511">
        <v>12</v>
      </c>
      <c r="P156" s="511">
        <v>20</v>
      </c>
      <c r="Q156" s="511">
        <v>31</v>
      </c>
      <c r="R156" s="511">
        <v>40</v>
      </c>
      <c r="S156" s="511">
        <v>46</v>
      </c>
      <c r="T156" s="511">
        <v>50</v>
      </c>
      <c r="U156" s="511">
        <v>53</v>
      </c>
      <c r="V156" s="826">
        <v>54</v>
      </c>
      <c r="W156" s="139"/>
      <c r="X156" s="139"/>
      <c r="Y156" s="139"/>
      <c r="Z156" s="139"/>
      <c r="AA156" s="139"/>
      <c r="AB156" s="35"/>
      <c r="AC156" s="517">
        <f>MAX(F156:AB156)</f>
        <v>54</v>
      </c>
      <c r="AD156" s="312" t="s">
        <v>44</v>
      </c>
      <c r="AE156" s="712">
        <f>AC158/AC156</f>
        <v>0.24074074074074073</v>
      </c>
    </row>
    <row r="157" spans="1:34">
      <c r="A157" s="36" t="s">
        <v>66</v>
      </c>
      <c r="B157" s="139"/>
      <c r="C157" s="522" t="s">
        <v>46</v>
      </c>
      <c r="D157" s="524" t="s">
        <v>280</v>
      </c>
      <c r="E157" s="139" t="s">
        <v>32</v>
      </c>
      <c r="F157" s="139"/>
      <c r="G157" s="139"/>
      <c r="H157" s="139"/>
      <c r="I157" s="139"/>
      <c r="J157" s="139"/>
      <c r="K157" s="139"/>
      <c r="L157" s="139"/>
      <c r="M157" s="139"/>
      <c r="N157" s="139">
        <v>2</v>
      </c>
      <c r="O157" s="139"/>
      <c r="P157" s="139">
        <v>3</v>
      </c>
      <c r="Q157" s="139"/>
      <c r="R157" s="139"/>
      <c r="S157" s="139">
        <v>6</v>
      </c>
      <c r="T157" s="139"/>
      <c r="U157" s="139">
        <v>2</v>
      </c>
      <c r="V157" s="823"/>
      <c r="W157" s="139"/>
      <c r="X157" s="139"/>
      <c r="Y157" s="139"/>
      <c r="Z157" s="139"/>
      <c r="AA157" s="139"/>
      <c r="AB157" s="35"/>
      <c r="AC157" s="517"/>
      <c r="AD157" s="313"/>
      <c r="AE157" s="515"/>
    </row>
    <row r="158" spans="1:34" ht="15" thickBot="1">
      <c r="A158" s="39" t="s">
        <v>66</v>
      </c>
      <c r="B158" s="41"/>
      <c r="C158" s="40" t="s">
        <v>46</v>
      </c>
      <c r="D158" s="509" t="s">
        <v>280</v>
      </c>
      <c r="E158" s="41" t="s">
        <v>45</v>
      </c>
      <c r="F158" s="41"/>
      <c r="G158" s="41"/>
      <c r="H158" s="41"/>
      <c r="I158" s="41"/>
      <c r="J158" s="41"/>
      <c r="K158" s="41"/>
      <c r="L158" s="41"/>
      <c r="M158" s="41"/>
      <c r="N158" s="538">
        <v>2</v>
      </c>
      <c r="O158" s="538">
        <v>2</v>
      </c>
      <c r="P158" s="538">
        <v>5</v>
      </c>
      <c r="Q158" s="538">
        <v>5</v>
      </c>
      <c r="R158" s="538">
        <v>5</v>
      </c>
      <c r="S158" s="538">
        <f>R158+S157</f>
        <v>11</v>
      </c>
      <c r="T158" s="538">
        <f>S158+T157</f>
        <v>11</v>
      </c>
      <c r="U158" s="538">
        <f>T158+U157</f>
        <v>13</v>
      </c>
      <c r="V158" s="824">
        <f>U158+V157</f>
        <v>13</v>
      </c>
      <c r="W158" s="41"/>
      <c r="X158" s="41"/>
      <c r="Y158" s="41"/>
      <c r="Z158" s="41"/>
      <c r="AA158" s="41"/>
      <c r="AB158" s="43"/>
      <c r="AC158" s="517">
        <f>MAX(F158:Z158)</f>
        <v>13</v>
      </c>
      <c r="AD158" s="315"/>
      <c r="AE158" s="714"/>
    </row>
    <row r="161" spans="18:22">
      <c r="R161" s="564">
        <f>(R131+R126)/(X126+X131)</f>
        <v>0.27458752946218129</v>
      </c>
      <c r="S161" s="564">
        <f>S128+S133-8255</f>
        <v>1492</v>
      </c>
      <c r="T161" s="564">
        <f>(R133+R128)/(X126+X131)</f>
        <v>0.1451949860724234</v>
      </c>
      <c r="V161" s="132"/>
    </row>
    <row r="162" spans="18:22">
      <c r="R162" s="564" t="e">
        <f>(R132+R127)/(X127+X132)</f>
        <v>#DIV/0!</v>
      </c>
      <c r="V162" s="836"/>
    </row>
  </sheetData>
  <mergeCells count="2">
    <mergeCell ref="AC1:AE1"/>
    <mergeCell ref="AM39:AO39"/>
  </mergeCells>
  <pageMargins left="0.7" right="0.7" top="0.75" bottom="0.75" header="0.3" footer="0.3"/>
  <pageSetup orientation="portrait" r:id="rId1"/>
  <ignoredErrors>
    <ignoredError sqref="P40"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56"/>
  <sheetViews>
    <sheetView zoomScale="60" zoomScaleNormal="60" workbookViewId="0">
      <pane ySplit="5" topLeftCell="A6" activePane="bottomLeft" state="frozen"/>
      <selection pane="bottomLeft" activeCell="C13" sqref="C13"/>
    </sheetView>
  </sheetViews>
  <sheetFormatPr defaultRowHeight="14.5"/>
  <cols>
    <col min="1" max="1" width="5.1796875" style="2" bestFit="1" customWidth="1"/>
    <col min="2" max="2" width="27.81640625" customWidth="1"/>
    <col min="3" max="3" width="8.453125" customWidth="1"/>
    <col min="4" max="8" width="7.81640625" customWidth="1"/>
    <col min="9" max="9" width="7.81640625" style="332" customWidth="1"/>
    <col min="10" max="14" width="7.81640625" customWidth="1"/>
    <col min="15" max="15" width="10.26953125" customWidth="1"/>
    <col min="16" max="16" width="11.7265625" customWidth="1"/>
    <col min="17" max="17" width="12.1796875" customWidth="1"/>
    <col min="18" max="18" width="13" customWidth="1"/>
    <col min="19" max="19" width="13" style="564" customWidth="1"/>
    <col min="20" max="20" width="11.453125" style="564" customWidth="1"/>
    <col min="21" max="21" width="10.26953125" customWidth="1"/>
    <col min="22" max="22" width="7.81640625" customWidth="1"/>
    <col min="23" max="23" width="12.26953125" customWidth="1"/>
    <col min="27" max="28" width="8.7265625" style="564"/>
    <col min="29" max="29" width="30.81640625" bestFit="1" customWidth="1"/>
  </cols>
  <sheetData>
    <row r="1" spans="1:28" ht="16" thickBot="1">
      <c r="A1" s="72" t="s">
        <v>0</v>
      </c>
      <c r="B1" s="73" t="s">
        <v>1</v>
      </c>
      <c r="C1" s="613" t="s">
        <v>90</v>
      </c>
      <c r="D1" s="608">
        <f>'MASTER SHEET -MARATHA SITE'!J1</f>
        <v>45292</v>
      </c>
      <c r="E1" s="13">
        <f>'MASTER SHEET -MARATHA SITE'!K1</f>
        <v>45323</v>
      </c>
      <c r="F1" s="13">
        <f>'MASTER SHEET -MARATHA SITE'!L1</f>
        <v>45352</v>
      </c>
      <c r="G1" s="13">
        <f>'MASTER SHEET -MARATHA SITE'!M1</f>
        <v>45383</v>
      </c>
      <c r="H1" s="13">
        <f>'MASTER SHEET -MARATHA SITE'!N1</f>
        <v>45413</v>
      </c>
      <c r="I1" s="13">
        <f>'MASTER SHEET -MARATHA SITE'!O1</f>
        <v>45444</v>
      </c>
      <c r="J1" s="13">
        <f>'MASTER SHEET -MARATHA SITE'!P1</f>
        <v>45474</v>
      </c>
      <c r="K1" s="13">
        <f>'MASTER SHEET -MARATHA SITE'!Q1</f>
        <v>45505</v>
      </c>
      <c r="L1" s="13">
        <f>'MASTER SHEET -MARATHA SITE'!R1</f>
        <v>45536</v>
      </c>
      <c r="M1" s="13">
        <f>'MASTER SHEET -MARATHA SITE'!S1</f>
        <v>45566</v>
      </c>
      <c r="N1" s="13">
        <f>'MASTER SHEET -MARATHA SITE'!T1</f>
        <v>45597</v>
      </c>
      <c r="O1" s="13">
        <f>'MASTER SHEET -MARATHA SITE'!U1</f>
        <v>45627</v>
      </c>
      <c r="P1" s="13">
        <f>'MASTER SHEET -MARATHA SITE'!V1</f>
        <v>45658</v>
      </c>
      <c r="Q1" s="13">
        <f>'MASTER SHEET -MARATHA SITE'!W1</f>
        <v>45689</v>
      </c>
      <c r="R1" s="13">
        <f>'MASTER SHEET -MARATHA SITE'!X1</f>
        <v>45717</v>
      </c>
      <c r="S1" s="13">
        <f>'MASTER SHEET -MARATHA SITE'!Y1</f>
        <v>45748</v>
      </c>
      <c r="T1" s="789">
        <f>'MASTER SHEET -MARATHA SITE'!Z1</f>
        <v>45778</v>
      </c>
      <c r="U1" s="789">
        <f>'MASTER SHEET -MARATHA SITE'!AA1</f>
        <v>45809</v>
      </c>
      <c r="V1" s="789">
        <f>'MASTER SHEET -MARATHA SITE'!AB1</f>
        <v>45839</v>
      </c>
      <c r="W1" s="13">
        <f>'MASTER SHEET -MARATHA SITE'!AC1</f>
        <v>45870</v>
      </c>
      <c r="X1" s="13">
        <f>'MASTER SHEET -MARATHA SITE'!AD1</f>
        <v>45901</v>
      </c>
      <c r="Y1" s="13">
        <f>'MASTER SHEET -MARATHA SITE'!AE1</f>
        <v>45931</v>
      </c>
      <c r="Z1" s="14">
        <f>'MASTER SHEET -MARATHA SITE'!AF1</f>
        <v>45962</v>
      </c>
      <c r="AA1" s="707"/>
      <c r="AB1" s="707"/>
    </row>
    <row r="2" spans="1:28" hidden="1">
      <c r="A2" s="95"/>
      <c r="B2" s="565" t="s">
        <v>5</v>
      </c>
      <c r="C2" s="614">
        <v>0.1</v>
      </c>
      <c r="D2" s="609">
        <f>'MASTER SHEET -MARATHA SITE'!J4</f>
        <v>0</v>
      </c>
      <c r="E2" s="333">
        <f>'MASTER SHEET -MARATHA SITE'!K4</f>
        <v>0</v>
      </c>
      <c r="F2" s="333">
        <f>'MASTER SHEET -MARATHA SITE'!L4</f>
        <v>0</v>
      </c>
      <c r="G2" s="333">
        <f>'MASTER SHEET -MARATHA SITE'!M4</f>
        <v>0</v>
      </c>
      <c r="H2" s="333">
        <f>'MASTER SHEET -MARATHA SITE'!N4</f>
        <v>0</v>
      </c>
      <c r="I2" s="333">
        <f>'MASTER SHEET -MARATHA SITE'!O4</f>
        <v>0</v>
      </c>
      <c r="J2" s="333">
        <f>'MASTER SHEET -MARATHA SITE'!P4</f>
        <v>5.0000000000000001E-3</v>
      </c>
      <c r="K2" s="333">
        <f>'MASTER SHEET -MARATHA SITE'!Q4</f>
        <v>5.0000000000000001E-3</v>
      </c>
      <c r="L2" s="333">
        <f>'MASTER SHEET -MARATHA SITE'!R4</f>
        <v>5.0000000000000001E-3</v>
      </c>
      <c r="M2" s="333">
        <f>'MASTER SHEET -MARATHA SITE'!S4</f>
        <v>5.0000000000000001E-3</v>
      </c>
      <c r="N2" s="333">
        <f>'MASTER SHEET -MARATHA SITE'!T4</f>
        <v>0</v>
      </c>
      <c r="O2" s="333">
        <f>'MASTER SHEET -MARATHA SITE'!U4</f>
        <v>0.01</v>
      </c>
      <c r="P2" s="333">
        <f>'MASTER SHEET -MARATHA SITE'!V4</f>
        <v>0</v>
      </c>
      <c r="Q2" s="333">
        <f>'MASTER SHEET -MARATHA SITE'!W4</f>
        <v>0</v>
      </c>
      <c r="R2" s="333">
        <f>'MASTER SHEET -MARATHA SITE'!X4</f>
        <v>0</v>
      </c>
      <c r="S2" s="333">
        <f>'MASTER SHEET -MARATHA SITE'!Y4</f>
        <v>0</v>
      </c>
      <c r="T2" s="333">
        <f>'MASTER SHEET -MARATHA SITE'!Z4</f>
        <v>0</v>
      </c>
      <c r="U2" s="333">
        <f>'MASTER SHEET -MARATHA SITE'!AA4</f>
        <v>0</v>
      </c>
      <c r="V2" s="333">
        <f>'MASTER SHEET -MARATHA SITE'!AB4</f>
        <v>0</v>
      </c>
      <c r="W2" s="333">
        <f>'MASTER SHEET -MARATHA SITE'!AC4</f>
        <v>0</v>
      </c>
      <c r="X2" s="333">
        <f>'MASTER SHEET -MARATHA SITE'!AD4</f>
        <v>0</v>
      </c>
      <c r="Y2" s="333">
        <f>'MASTER SHEET -MARATHA SITE'!AE4</f>
        <v>0</v>
      </c>
      <c r="Z2" s="333">
        <f>'MASTER SHEET -MARATHA SITE'!AF4</f>
        <v>0</v>
      </c>
      <c r="AA2" s="708"/>
      <c r="AB2" s="708"/>
    </row>
    <row r="3" spans="1:28" hidden="1">
      <c r="A3" s="95"/>
      <c r="B3" s="565" t="s">
        <v>5</v>
      </c>
      <c r="C3" s="615"/>
      <c r="D3" s="609">
        <f>'MASTER SHEET -MARATHA SITE'!J5</f>
        <v>0</v>
      </c>
      <c r="E3" s="333">
        <f>'MASTER SHEET -MARATHA SITE'!K5</f>
        <v>0</v>
      </c>
      <c r="F3" s="333">
        <f>'MASTER SHEET -MARATHA SITE'!L5</f>
        <v>9.4575675675675694E-3</v>
      </c>
      <c r="G3" s="333">
        <f>'MASTER SHEET -MARATHA SITE'!M5</f>
        <v>6.0798648648648663E-3</v>
      </c>
      <c r="H3" s="333">
        <f>'MASTER SHEET -MARATHA SITE'!N5</f>
        <v>1.0808648648648651E-2</v>
      </c>
      <c r="I3" s="333">
        <f>'MASTER SHEET -MARATHA SITE'!O5</f>
        <v>8.7820270270270295E-3</v>
      </c>
      <c r="J3" s="333">
        <f>'MASTER SHEET -MARATHA SITE'!P5</f>
        <v>6.7554054054054071E-3</v>
      </c>
      <c r="K3" s="333">
        <f>'MASTER SHEET -MARATHA SITE'!Q5</f>
        <v>5.4043243243243255E-3</v>
      </c>
      <c r="L3" s="333">
        <f>'MASTER SHEET -MARATHA SITE'!R5</f>
        <v>0</v>
      </c>
      <c r="M3" s="333">
        <f>'MASTER SHEET -MARATHA SITE'!S5</f>
        <v>6.7554054054054069E-4</v>
      </c>
      <c r="N3" s="333">
        <f>'MASTER SHEET -MARATHA SITE'!T5</f>
        <v>1.3510810810810814E-3</v>
      </c>
      <c r="O3" s="333">
        <f>'MASTER SHEET -MARATHA SITE'!U5</f>
        <v>6.7554054054054069E-4</v>
      </c>
      <c r="P3" s="333">
        <f>'MASTER SHEET -MARATHA SITE'!V5</f>
        <v>0</v>
      </c>
      <c r="Q3" s="333">
        <f>'MASTER SHEET -MARATHA SITE'!W5</f>
        <v>0</v>
      </c>
      <c r="R3" s="333">
        <f>'MASTER SHEET -MARATHA SITE'!X5</f>
        <v>0</v>
      </c>
      <c r="S3" s="333">
        <f>'MASTER SHEET -MARATHA SITE'!Y5</f>
        <v>0</v>
      </c>
      <c r="T3" s="333">
        <f>'MASTER SHEET -MARATHA SITE'!Z5</f>
        <v>0</v>
      </c>
      <c r="U3" s="333">
        <f>'MASTER SHEET -MARATHA SITE'!AA5</f>
        <v>0</v>
      </c>
      <c r="V3" s="333">
        <f>'MASTER SHEET -MARATHA SITE'!AB5</f>
        <v>0</v>
      </c>
      <c r="W3" s="333">
        <f>'MASTER SHEET -MARATHA SITE'!AC5</f>
        <v>0</v>
      </c>
      <c r="X3" s="333">
        <f>'MASTER SHEET -MARATHA SITE'!AD5</f>
        <v>0</v>
      </c>
      <c r="Y3" s="333">
        <f>'MASTER SHEET -MARATHA SITE'!AE5</f>
        <v>0</v>
      </c>
      <c r="Z3" s="333">
        <f>'MASTER SHEET -MARATHA SITE'!AF5</f>
        <v>0</v>
      </c>
      <c r="AA3" s="708"/>
      <c r="AB3" s="708"/>
    </row>
    <row r="4" spans="1:28" hidden="1">
      <c r="A4" s="95"/>
      <c r="B4" s="565" t="s">
        <v>5</v>
      </c>
      <c r="C4" s="615"/>
      <c r="D4" s="609">
        <f>'MASTER SHEET -MARATHA SITE'!J6</f>
        <v>0</v>
      </c>
      <c r="E4" s="333">
        <f>'MASTER SHEET -MARATHA SITE'!K6</f>
        <v>0</v>
      </c>
      <c r="F4" s="333">
        <f>'MASTER SHEET -MARATHA SITE'!L6</f>
        <v>5.3571428571428574E-4</v>
      </c>
      <c r="G4" s="333">
        <f>'MASTER SHEET -MARATHA SITE'!M6</f>
        <v>1.0714285714285715E-3</v>
      </c>
      <c r="H4" s="333">
        <f>'MASTER SHEET -MARATHA SITE'!N6</f>
        <v>2.142857142857143E-3</v>
      </c>
      <c r="I4" s="333">
        <f>'MASTER SHEET -MARATHA SITE'!O6</f>
        <v>3.2142857142857147E-3</v>
      </c>
      <c r="J4" s="333">
        <f>'MASTER SHEET -MARATHA SITE'!P6</f>
        <v>2.142857142857143E-3</v>
      </c>
      <c r="K4" s="333">
        <f>'MASTER SHEET -MARATHA SITE'!Q6</f>
        <v>2.6785714285714286E-3</v>
      </c>
      <c r="L4" s="333">
        <f>'MASTER SHEET -MARATHA SITE'!R6</f>
        <v>2.142857142857143E-3</v>
      </c>
      <c r="M4" s="333">
        <f>'MASTER SHEET -MARATHA SITE'!S6</f>
        <v>5.3571428571428574E-4</v>
      </c>
      <c r="N4" s="333">
        <f>'MASTER SHEET -MARATHA SITE'!T6</f>
        <v>5.3571428571428574E-4</v>
      </c>
      <c r="O4" s="333">
        <f>'MASTER SHEET -MARATHA SITE'!U6</f>
        <v>0</v>
      </c>
      <c r="P4" s="333">
        <f>'MASTER SHEET -MARATHA SITE'!V6</f>
        <v>0</v>
      </c>
      <c r="Q4" s="333">
        <f>'MASTER SHEET -MARATHA SITE'!W6</f>
        <v>0</v>
      </c>
      <c r="R4" s="333">
        <f>'MASTER SHEET -MARATHA SITE'!X6</f>
        <v>0</v>
      </c>
      <c r="S4" s="333">
        <f>'MASTER SHEET -MARATHA SITE'!Y6</f>
        <v>0</v>
      </c>
      <c r="T4" s="333">
        <f>'MASTER SHEET -MARATHA SITE'!Z6</f>
        <v>0</v>
      </c>
      <c r="U4" s="333">
        <f>'MASTER SHEET -MARATHA SITE'!AA6</f>
        <v>0</v>
      </c>
      <c r="V4" s="333">
        <f>'MASTER SHEET -MARATHA SITE'!AB6</f>
        <v>0</v>
      </c>
      <c r="W4" s="333">
        <f>'MASTER SHEET -MARATHA SITE'!AC6</f>
        <v>0</v>
      </c>
      <c r="X4" s="333">
        <f>'MASTER SHEET -MARATHA SITE'!AD6</f>
        <v>0</v>
      </c>
      <c r="Y4" s="333">
        <f>'MASTER SHEET -MARATHA SITE'!AE6</f>
        <v>0</v>
      </c>
      <c r="Z4" s="333">
        <f>'MASTER SHEET -MARATHA SITE'!AF6</f>
        <v>0</v>
      </c>
      <c r="AA4" s="708"/>
      <c r="AB4" s="708"/>
    </row>
    <row r="5" spans="1:28" ht="15" hidden="1" thickBot="1">
      <c r="A5" s="539"/>
      <c r="B5" s="576" t="s">
        <v>5</v>
      </c>
      <c r="C5" s="616"/>
      <c r="D5" s="609">
        <f>'MASTER SHEET -MARATHA SITE'!J7</f>
        <v>0</v>
      </c>
      <c r="E5" s="333">
        <f>'MASTER SHEET -MARATHA SITE'!K7</f>
        <v>0</v>
      </c>
      <c r="F5" s="333">
        <f>'MASTER SHEET -MARATHA SITE'!L7</f>
        <v>0</v>
      </c>
      <c r="G5" s="333">
        <f>'MASTER SHEET -MARATHA SITE'!M7</f>
        <v>0</v>
      </c>
      <c r="H5" s="333">
        <f>'MASTER SHEET -MARATHA SITE'!N7</f>
        <v>0</v>
      </c>
      <c r="I5" s="333">
        <f>'MASTER SHEET -MARATHA SITE'!O7</f>
        <v>0</v>
      </c>
      <c r="J5" s="333">
        <f>'MASTER SHEET -MARATHA SITE'!P7</f>
        <v>0</v>
      </c>
      <c r="K5" s="333">
        <f>'MASTER SHEET -MARATHA SITE'!Q7</f>
        <v>0</v>
      </c>
      <c r="L5" s="333">
        <f>'MASTER SHEET -MARATHA SITE'!R7</f>
        <v>3.5000000000000001E-3</v>
      </c>
      <c r="M5" s="333">
        <f>'MASTER SHEET -MARATHA SITE'!S7</f>
        <v>1.5E-3</v>
      </c>
      <c r="N5" s="333">
        <f>'MASTER SHEET -MARATHA SITE'!T7</f>
        <v>0</v>
      </c>
      <c r="O5" s="333">
        <f>'MASTER SHEET -MARATHA SITE'!U7</f>
        <v>0</v>
      </c>
      <c r="P5" s="333">
        <f>'MASTER SHEET -MARATHA SITE'!V7</f>
        <v>0</v>
      </c>
      <c r="Q5" s="333">
        <f>'MASTER SHEET -MARATHA SITE'!W7</f>
        <v>0</v>
      </c>
      <c r="R5" s="333">
        <f>'MASTER SHEET -MARATHA SITE'!X7</f>
        <v>0</v>
      </c>
      <c r="S5" s="333">
        <f>'MASTER SHEET -MARATHA SITE'!Y7</f>
        <v>0</v>
      </c>
      <c r="T5" s="333">
        <f>'MASTER SHEET -MARATHA SITE'!Z7</f>
        <v>0</v>
      </c>
      <c r="U5" s="333">
        <f>'MASTER SHEET -MARATHA SITE'!AA7</f>
        <v>0</v>
      </c>
      <c r="V5" s="333">
        <f>'MASTER SHEET -MARATHA SITE'!AB7</f>
        <v>0</v>
      </c>
      <c r="W5" s="333">
        <f>'MASTER SHEET -MARATHA SITE'!AC7</f>
        <v>0</v>
      </c>
      <c r="X5" s="333">
        <f>'MASTER SHEET -MARATHA SITE'!AD7</f>
        <v>0</v>
      </c>
      <c r="Y5" s="333">
        <f>'MASTER SHEET -MARATHA SITE'!AE7</f>
        <v>0</v>
      </c>
      <c r="Z5" s="333">
        <f>'MASTER SHEET -MARATHA SITE'!AF7</f>
        <v>0</v>
      </c>
      <c r="AA5" s="708"/>
      <c r="AB5" s="708"/>
    </row>
    <row r="6" spans="1:28" s="5" customFormat="1">
      <c r="A6" s="563"/>
      <c r="B6" s="541" t="s">
        <v>30</v>
      </c>
      <c r="C6" s="617"/>
      <c r="D6" s="578">
        <f>SUM(D2:D5)</f>
        <v>0</v>
      </c>
      <c r="E6" s="578">
        <f t="shared" ref="E6:W6" si="0">SUM(E2:E5)</f>
        <v>0</v>
      </c>
      <c r="F6" s="578">
        <f t="shared" si="0"/>
        <v>9.9932818532818546E-3</v>
      </c>
      <c r="G6" s="578">
        <f t="shared" si="0"/>
        <v>7.1512934362934375E-3</v>
      </c>
      <c r="H6" s="578">
        <f t="shared" si="0"/>
        <v>1.2951505791505794E-2</v>
      </c>
      <c r="I6" s="578">
        <f t="shared" si="0"/>
        <v>1.1996312741312744E-2</v>
      </c>
      <c r="J6" s="578">
        <f t="shared" si="0"/>
        <v>1.389826254826255E-2</v>
      </c>
      <c r="K6" s="578">
        <f t="shared" si="0"/>
        <v>1.3082895752895753E-2</v>
      </c>
      <c r="L6" s="578">
        <f t="shared" si="0"/>
        <v>1.0642857142857143E-2</v>
      </c>
      <c r="M6" s="578">
        <f t="shared" si="0"/>
        <v>7.7112548262548274E-3</v>
      </c>
      <c r="N6" s="578">
        <f t="shared" si="0"/>
        <v>1.8867953667953672E-3</v>
      </c>
      <c r="O6" s="578">
        <f t="shared" si="0"/>
        <v>1.067554054054054E-2</v>
      </c>
      <c r="P6" s="578">
        <f t="shared" si="0"/>
        <v>0</v>
      </c>
      <c r="Q6" s="578">
        <f t="shared" si="0"/>
        <v>0</v>
      </c>
      <c r="R6" s="578">
        <f t="shared" si="0"/>
        <v>0</v>
      </c>
      <c r="S6" s="578">
        <f t="shared" si="0"/>
        <v>0</v>
      </c>
      <c r="T6" s="841">
        <f t="shared" si="0"/>
        <v>0</v>
      </c>
      <c r="U6" s="578">
        <f t="shared" si="0"/>
        <v>0</v>
      </c>
      <c r="V6" s="578">
        <f t="shared" si="0"/>
        <v>0</v>
      </c>
      <c r="W6" s="578">
        <f t="shared" si="0"/>
        <v>0</v>
      </c>
      <c r="X6" s="578">
        <f>SUM(X2:X5)</f>
        <v>0</v>
      </c>
      <c r="Y6" s="578">
        <f>SUM(Y2:Y5)</f>
        <v>0</v>
      </c>
      <c r="Z6" s="579">
        <f>SUM(Z2:Z5)</f>
        <v>0</v>
      </c>
      <c r="AA6" s="592"/>
      <c r="AB6" s="592"/>
    </row>
    <row r="7" spans="1:28" hidden="1">
      <c r="A7" s="95"/>
      <c r="B7" s="566" t="s">
        <v>5</v>
      </c>
      <c r="C7" s="618"/>
      <c r="D7" s="610">
        <f>'MASTER SHEET -MARATHA SITE'!J43</f>
        <v>0</v>
      </c>
      <c r="E7" s="567">
        <f>'MASTER SHEET -MARATHA SITE'!K43</f>
        <v>0</v>
      </c>
      <c r="F7" s="567">
        <f>'MASTER SHEET -MARATHA SITE'!L43</f>
        <v>0</v>
      </c>
      <c r="G7" s="567">
        <f>'MASTER SHEET -MARATHA SITE'!M43</f>
        <v>0</v>
      </c>
      <c r="H7" s="567">
        <f>'MASTER SHEET -MARATHA SITE'!N43</f>
        <v>0</v>
      </c>
      <c r="I7" s="567">
        <f>'MASTER SHEET -MARATHA SITE'!O43</f>
        <v>5.0000000000000001E-3</v>
      </c>
      <c r="J7" s="567">
        <f>'MASTER SHEET -MARATHA SITE'!P43</f>
        <v>5.0000000000000001E-3</v>
      </c>
      <c r="K7" s="567">
        <f>'MASTER SHEET -MARATHA SITE'!Q43</f>
        <v>0</v>
      </c>
      <c r="L7" s="567">
        <f>'MASTER SHEET -MARATHA SITE'!R43</f>
        <v>5.0000000000000001E-3</v>
      </c>
      <c r="M7" s="567">
        <f>'MASTER SHEET -MARATHA SITE'!S43</f>
        <v>0</v>
      </c>
      <c r="N7" s="567">
        <f>'MASTER SHEET -MARATHA SITE'!T43</f>
        <v>5.0000000000000001E-3</v>
      </c>
      <c r="O7" s="567">
        <f>'MASTER SHEET -MARATHA SITE'!U43</f>
        <v>0</v>
      </c>
      <c r="P7" s="567">
        <f>'MASTER SHEET -MARATHA SITE'!V43</f>
        <v>0</v>
      </c>
      <c r="Q7" s="567">
        <f>'MASTER SHEET -MARATHA SITE'!W43</f>
        <v>0</v>
      </c>
      <c r="R7" s="837">
        <f>'MASTER SHEET -MARATHA SITE'!X43</f>
        <v>0</v>
      </c>
      <c r="S7" s="837">
        <f>'MASTER SHEET -MARATHA SITE'!Y43</f>
        <v>0</v>
      </c>
      <c r="T7" s="842">
        <f>'MASTER SHEET -MARATHA SITE'!Z43</f>
        <v>0</v>
      </c>
      <c r="U7" s="567">
        <f>'MASTER SHEET -MARATHA SITE'!AA43</f>
        <v>0</v>
      </c>
      <c r="V7" s="567">
        <f>'MASTER SHEET -MARATHA SITE'!AB43</f>
        <v>0</v>
      </c>
      <c r="W7" s="567">
        <f>'MASTER SHEET -MARATHA SITE'!AC43</f>
        <v>0</v>
      </c>
      <c r="X7" s="567">
        <f>'MASTER SHEET -MARATHA SITE'!AD43</f>
        <v>0</v>
      </c>
      <c r="Y7" s="567">
        <f>'MASTER SHEET -MARATHA SITE'!AE43</f>
        <v>0</v>
      </c>
      <c r="Z7" s="101">
        <f>'MASTER SHEET -MARATHA SITE'!AF43</f>
        <v>0</v>
      </c>
      <c r="AA7" s="709"/>
      <c r="AB7" s="709"/>
    </row>
    <row r="8" spans="1:28" hidden="1">
      <c r="A8" s="95"/>
      <c r="B8" s="566" t="s">
        <v>5</v>
      </c>
      <c r="C8" s="619"/>
      <c r="D8" s="610">
        <f>'MASTER SHEET -MARATHA SITE'!J44</f>
        <v>0</v>
      </c>
      <c r="E8" s="567">
        <f>'MASTER SHEET -MARATHA SITE'!K44</f>
        <v>0</v>
      </c>
      <c r="F8" s="567">
        <f>'MASTER SHEET -MARATHA SITE'!L44</f>
        <v>4.7287837837837847E-3</v>
      </c>
      <c r="G8" s="567">
        <f>'MASTER SHEET -MARATHA SITE'!M44</f>
        <v>1.4186351351351354E-2</v>
      </c>
      <c r="H8" s="567">
        <f>'MASTER SHEET -MARATHA SITE'!N44</f>
        <v>6.0798648648648663E-3</v>
      </c>
      <c r="I8" s="567">
        <f>'MASTER SHEET -MARATHA SITE'!O44</f>
        <v>4.0532432432432439E-3</v>
      </c>
      <c r="J8" s="567">
        <f>'MASTER SHEET -MARATHA SITE'!P44</f>
        <v>8.1064864864864878E-3</v>
      </c>
      <c r="K8" s="567">
        <f>'MASTER SHEET -MARATHA SITE'!Q44</f>
        <v>3.3777027027027035E-3</v>
      </c>
      <c r="L8" s="567">
        <f>'MASTER SHEET -MARATHA SITE'!R44</f>
        <v>1.3510810810810814E-3</v>
      </c>
      <c r="M8" s="567">
        <f>'MASTER SHEET -MARATHA SITE'!S44</f>
        <v>6.7554054054054069E-4</v>
      </c>
      <c r="N8" s="567">
        <f>'MASTER SHEET -MARATHA SITE'!T44</f>
        <v>2.0266216216216219E-3</v>
      </c>
      <c r="O8" s="567">
        <f>'MASTER SHEET -MARATHA SITE'!U44</f>
        <v>0</v>
      </c>
      <c r="P8" s="567">
        <f>'MASTER SHEET -MARATHA SITE'!V44</f>
        <v>6.7554054054054069E-4</v>
      </c>
      <c r="Q8" s="567">
        <f>'MASTER SHEET -MARATHA SITE'!W44</f>
        <v>0</v>
      </c>
      <c r="R8" s="837">
        <f>'MASTER SHEET -MARATHA SITE'!X44</f>
        <v>6.7554054054054069E-4</v>
      </c>
      <c r="S8" s="837">
        <f>'MASTER SHEET -MARATHA SITE'!Y44</f>
        <v>0</v>
      </c>
      <c r="T8" s="842">
        <f>'MASTER SHEET -MARATHA SITE'!Z44</f>
        <v>0</v>
      </c>
      <c r="U8" s="567">
        <f>'MASTER SHEET -MARATHA SITE'!AA44</f>
        <v>0</v>
      </c>
      <c r="V8" s="567">
        <f>'MASTER SHEET -MARATHA SITE'!AB44</f>
        <v>0</v>
      </c>
      <c r="W8" s="567">
        <f>'MASTER SHEET -MARATHA SITE'!AC44</f>
        <v>0</v>
      </c>
      <c r="X8" s="567">
        <f>'MASTER SHEET -MARATHA SITE'!AD44</f>
        <v>0</v>
      </c>
      <c r="Y8" s="567">
        <f>'MASTER SHEET -MARATHA SITE'!AE44</f>
        <v>0</v>
      </c>
      <c r="Z8" s="101">
        <f>'MASTER SHEET -MARATHA SITE'!AF44</f>
        <v>0</v>
      </c>
      <c r="AA8" s="709"/>
      <c r="AB8" s="709"/>
    </row>
    <row r="9" spans="1:28" hidden="1">
      <c r="A9" s="95"/>
      <c r="B9" s="566" t="s">
        <v>5</v>
      </c>
      <c r="C9" s="619"/>
      <c r="D9" s="610">
        <f>'MASTER SHEET -MARATHA SITE'!J45</f>
        <v>0</v>
      </c>
      <c r="E9" s="567">
        <f>'MASTER SHEET -MARATHA SITE'!K45</f>
        <v>0</v>
      </c>
      <c r="F9" s="567">
        <f>'MASTER SHEET -MARATHA SITE'!L45</f>
        <v>2.6785714285714287E-4</v>
      </c>
      <c r="G9" s="567">
        <f>'MASTER SHEET -MARATHA SITE'!M45</f>
        <v>2.6785714285714287E-4</v>
      </c>
      <c r="H9" s="567">
        <f>'MASTER SHEET -MARATHA SITE'!N45</f>
        <v>5.3571428571428574E-4</v>
      </c>
      <c r="I9" s="567">
        <f>'MASTER SHEET -MARATHA SITE'!O45</f>
        <v>0</v>
      </c>
      <c r="J9" s="567">
        <f>'MASTER SHEET -MARATHA SITE'!P45</f>
        <v>5.3571428571428574E-4</v>
      </c>
      <c r="K9" s="567">
        <f>'MASTER SHEET -MARATHA SITE'!Q45</f>
        <v>8.0357142857142867E-4</v>
      </c>
      <c r="L9" s="567">
        <f>'MASTER SHEET -MARATHA SITE'!R45</f>
        <v>1.3392857142857143E-3</v>
      </c>
      <c r="M9" s="567">
        <f>'MASTER SHEET -MARATHA SITE'!S45</f>
        <v>1.0714285714285715E-3</v>
      </c>
      <c r="N9" s="567">
        <f>'MASTER SHEET -MARATHA SITE'!T45</f>
        <v>2.6785714285714287E-4</v>
      </c>
      <c r="O9" s="567">
        <f>'MASTER SHEET -MARATHA SITE'!U45</f>
        <v>5.3571428571428574E-4</v>
      </c>
      <c r="P9" s="567">
        <f>'MASTER SHEET -MARATHA SITE'!V45</f>
        <v>5.3571428571428574E-4</v>
      </c>
      <c r="Q9" s="567">
        <f>'MASTER SHEET -MARATHA SITE'!W45</f>
        <v>8.0357142857142867E-4</v>
      </c>
      <c r="R9" s="837">
        <f>'MASTER SHEET -MARATHA SITE'!X45</f>
        <v>8.0357142857142867E-4</v>
      </c>
      <c r="S9" s="837">
        <f>'MASTER SHEET -MARATHA SITE'!Y45</f>
        <v>0</v>
      </c>
      <c r="T9" s="842">
        <f>'MASTER SHEET -MARATHA SITE'!Z45</f>
        <v>0</v>
      </c>
      <c r="U9" s="567">
        <f>'MASTER SHEET -MARATHA SITE'!AA45</f>
        <v>0</v>
      </c>
      <c r="V9" s="567">
        <f>'MASTER SHEET -MARATHA SITE'!AB45</f>
        <v>0</v>
      </c>
      <c r="W9" s="567">
        <f>'MASTER SHEET -MARATHA SITE'!AC45</f>
        <v>0</v>
      </c>
      <c r="X9" s="567">
        <f>'MASTER SHEET -MARATHA SITE'!AD45</f>
        <v>0</v>
      </c>
      <c r="Y9" s="567">
        <f>'MASTER SHEET -MARATHA SITE'!AE45</f>
        <v>0</v>
      </c>
      <c r="Z9" s="101">
        <f>'MASTER SHEET -MARATHA SITE'!AF45</f>
        <v>0</v>
      </c>
      <c r="AA9" s="709"/>
      <c r="AB9" s="709"/>
    </row>
    <row r="10" spans="1:28" hidden="1">
      <c r="A10" s="95"/>
      <c r="B10" s="566" t="s">
        <v>5</v>
      </c>
      <c r="C10" s="619"/>
      <c r="D10" s="610">
        <f>'MASTER SHEET -MARATHA SITE'!J46</f>
        <v>0</v>
      </c>
      <c r="E10" s="567">
        <f>'MASTER SHEET -MARATHA SITE'!K46</f>
        <v>0</v>
      </c>
      <c r="F10" s="567">
        <f>'MASTER SHEET -MARATHA SITE'!L46</f>
        <v>0</v>
      </c>
      <c r="G10" s="567">
        <f>'MASTER SHEET -MARATHA SITE'!M46</f>
        <v>0</v>
      </c>
      <c r="H10" s="567">
        <f>'MASTER SHEET -MARATHA SITE'!N46</f>
        <v>0</v>
      </c>
      <c r="I10" s="567">
        <f>'MASTER SHEET -MARATHA SITE'!O46</f>
        <v>0</v>
      </c>
      <c r="J10" s="567">
        <f>'MASTER SHEET -MARATHA SITE'!P46</f>
        <v>0</v>
      </c>
      <c r="K10" s="567">
        <f>'MASTER SHEET -MARATHA SITE'!Q46</f>
        <v>1.5E-3</v>
      </c>
      <c r="L10" s="567">
        <f>'MASTER SHEET -MARATHA SITE'!R46</f>
        <v>0</v>
      </c>
      <c r="M10" s="567">
        <f>'MASTER SHEET -MARATHA SITE'!S46</f>
        <v>5.0000000000000001E-4</v>
      </c>
      <c r="N10" s="567">
        <f>'MASTER SHEET -MARATHA SITE'!T46</f>
        <v>0</v>
      </c>
      <c r="O10" s="567">
        <f>'MASTER SHEET -MARATHA SITE'!U46</f>
        <v>0</v>
      </c>
      <c r="P10" s="567">
        <f>'MASTER SHEET -MARATHA SITE'!V46</f>
        <v>0</v>
      </c>
      <c r="Q10" s="567">
        <f>'MASTER SHEET -MARATHA SITE'!W46</f>
        <v>0</v>
      </c>
      <c r="R10" s="837">
        <f>'MASTER SHEET -MARATHA SITE'!X46</f>
        <v>0</v>
      </c>
      <c r="S10" s="837">
        <f>'MASTER SHEET -MARATHA SITE'!Y46</f>
        <v>0</v>
      </c>
      <c r="T10" s="842">
        <f>'MASTER SHEET -MARATHA SITE'!Z46</f>
        <v>0</v>
      </c>
      <c r="U10" s="567">
        <f>'MASTER SHEET -MARATHA SITE'!AA46</f>
        <v>0</v>
      </c>
      <c r="V10" s="567">
        <f>'MASTER SHEET -MARATHA SITE'!AB46</f>
        <v>0</v>
      </c>
      <c r="W10" s="567">
        <f>'MASTER SHEET -MARATHA SITE'!AC46</f>
        <v>0</v>
      </c>
      <c r="X10" s="567">
        <f>'MASTER SHEET -MARATHA SITE'!AD46</f>
        <v>0</v>
      </c>
      <c r="Y10" s="567">
        <f>'MASTER SHEET -MARATHA SITE'!AE46</f>
        <v>0</v>
      </c>
      <c r="Z10" s="101">
        <f>'MASTER SHEET -MARATHA SITE'!AF46</f>
        <v>0</v>
      </c>
      <c r="AA10" s="709"/>
      <c r="AB10" s="709"/>
    </row>
    <row r="11" spans="1:28" s="5" customFormat="1">
      <c r="A11" s="96"/>
      <c r="B11" s="574" t="s">
        <v>32</v>
      </c>
      <c r="C11" s="620"/>
      <c r="D11" s="580">
        <f>SUM(D7:D10)</f>
        <v>0</v>
      </c>
      <c r="E11" s="580">
        <f t="shared" ref="E11:W11" si="1">SUM(E7:E10)</f>
        <v>0</v>
      </c>
      <c r="F11" s="580">
        <f t="shared" si="1"/>
        <v>4.9966409266409273E-3</v>
      </c>
      <c r="G11" s="580">
        <f t="shared" si="1"/>
        <v>1.4454208494208497E-2</v>
      </c>
      <c r="H11" s="580">
        <f t="shared" si="1"/>
        <v>6.6155791505791523E-3</v>
      </c>
      <c r="I11" s="580">
        <f t="shared" si="1"/>
        <v>9.053243243243244E-3</v>
      </c>
      <c r="J11" s="580">
        <f t="shared" si="1"/>
        <v>1.3642200772200772E-2</v>
      </c>
      <c r="K11" s="580">
        <f t="shared" si="1"/>
        <v>5.6812741312741322E-3</v>
      </c>
      <c r="L11" s="580">
        <f t="shared" si="1"/>
        <v>7.6903667953667956E-3</v>
      </c>
      <c r="M11" s="580">
        <f t="shared" si="1"/>
        <v>2.2469691119691121E-3</v>
      </c>
      <c r="N11" s="580">
        <f t="shared" si="1"/>
        <v>7.2944787644787651E-3</v>
      </c>
      <c r="O11" s="580">
        <f t="shared" si="1"/>
        <v>5.3571428571428574E-4</v>
      </c>
      <c r="P11" s="580">
        <f t="shared" si="1"/>
        <v>1.2112548262548264E-3</v>
      </c>
      <c r="Q11" s="580">
        <f t="shared" si="1"/>
        <v>8.0357142857142867E-4</v>
      </c>
      <c r="R11" s="580">
        <f t="shared" si="1"/>
        <v>1.4791119691119695E-3</v>
      </c>
      <c r="S11" s="580">
        <f t="shared" si="1"/>
        <v>0</v>
      </c>
      <c r="T11" s="843">
        <f t="shared" si="1"/>
        <v>0</v>
      </c>
      <c r="U11" s="580">
        <f t="shared" si="1"/>
        <v>0</v>
      </c>
      <c r="V11" s="580">
        <f t="shared" si="1"/>
        <v>0</v>
      </c>
      <c r="W11" s="580">
        <f t="shared" si="1"/>
        <v>0</v>
      </c>
      <c r="X11" s="580">
        <f>SUM(X7:X10)</f>
        <v>0</v>
      </c>
      <c r="Y11" s="580">
        <f>SUM(Y7:Y10)</f>
        <v>0</v>
      </c>
      <c r="Z11" s="102">
        <f>SUM(Z7:Z10)</f>
        <v>0</v>
      </c>
      <c r="AA11" s="580"/>
      <c r="AB11" s="580"/>
    </row>
    <row r="12" spans="1:28">
      <c r="A12" s="80">
        <v>1</v>
      </c>
      <c r="B12" s="581" t="s">
        <v>5</v>
      </c>
      <c r="C12" s="357">
        <v>4</v>
      </c>
      <c r="D12" s="139"/>
      <c r="E12" s="139"/>
      <c r="F12" s="139"/>
      <c r="G12" s="139"/>
      <c r="H12" s="139"/>
      <c r="I12" s="139"/>
      <c r="J12" s="139"/>
      <c r="K12" s="139"/>
      <c r="L12" s="139"/>
      <c r="M12" s="139"/>
      <c r="N12" s="139"/>
      <c r="O12" s="593"/>
      <c r="P12" s="593"/>
      <c r="Q12" s="593"/>
      <c r="R12" s="582"/>
      <c r="S12" s="582">
        <f>S13/4*$C$12*100</f>
        <v>0</v>
      </c>
      <c r="T12" s="844"/>
      <c r="U12" s="139"/>
      <c r="V12" s="139"/>
      <c r="W12" s="139"/>
      <c r="X12" s="139"/>
      <c r="Y12" s="139"/>
      <c r="Z12" s="35"/>
      <c r="AA12" s="139"/>
      <c r="AB12" s="139"/>
    </row>
    <row r="13" spans="1:28">
      <c r="A13" s="80"/>
      <c r="B13" s="583" t="s">
        <v>30</v>
      </c>
      <c r="C13" s="621">
        <f>SUM(D13:S13)+T12/100</f>
        <v>0.99990000000000001</v>
      </c>
      <c r="D13" s="584">
        <f>D6/$C$2*1</f>
        <v>0</v>
      </c>
      <c r="E13" s="584">
        <f t="shared" ref="E13:W13" si="2">E6/$C$2*1</f>
        <v>0</v>
      </c>
      <c r="F13" s="584">
        <f t="shared" si="2"/>
        <v>9.9932818532818546E-2</v>
      </c>
      <c r="G13" s="584">
        <f t="shared" si="2"/>
        <v>7.1512934362934377E-2</v>
      </c>
      <c r="H13" s="584">
        <f t="shared" si="2"/>
        <v>0.12951505791505794</v>
      </c>
      <c r="I13" s="584">
        <f t="shared" si="2"/>
        <v>0.11996312741312744</v>
      </c>
      <c r="J13" s="584">
        <f t="shared" si="2"/>
        <v>0.13898262548262549</v>
      </c>
      <c r="K13" s="584">
        <f t="shared" si="2"/>
        <v>0.13082895752895751</v>
      </c>
      <c r="L13" s="584">
        <f t="shared" si="2"/>
        <v>0.10642857142857143</v>
      </c>
      <c r="M13" s="584">
        <f t="shared" si="2"/>
        <v>7.7112548262548264E-2</v>
      </c>
      <c r="N13" s="584">
        <f t="shared" si="2"/>
        <v>1.8867953667953671E-2</v>
      </c>
      <c r="O13" s="584">
        <f t="shared" si="2"/>
        <v>0.1067554054054054</v>
      </c>
      <c r="P13" s="584">
        <f t="shared" si="2"/>
        <v>0</v>
      </c>
      <c r="Q13" s="584">
        <f t="shared" si="2"/>
        <v>0</v>
      </c>
      <c r="R13" s="584">
        <f t="shared" si="2"/>
        <v>0</v>
      </c>
      <c r="S13" s="584">
        <f t="shared" si="2"/>
        <v>0</v>
      </c>
      <c r="T13" s="845">
        <f t="shared" si="2"/>
        <v>0</v>
      </c>
      <c r="U13" s="584">
        <f t="shared" si="2"/>
        <v>0</v>
      </c>
      <c r="V13" s="584">
        <f t="shared" si="2"/>
        <v>0</v>
      </c>
      <c r="W13" s="584">
        <f t="shared" si="2"/>
        <v>0</v>
      </c>
      <c r="X13" s="584">
        <f>X6/$C$2*1</f>
        <v>0</v>
      </c>
      <c r="Y13" s="584">
        <f>Y6/$C$2*1</f>
        <v>0</v>
      </c>
      <c r="Z13" s="103">
        <f>Z6/$C$2*1</f>
        <v>0</v>
      </c>
      <c r="AA13" s="584"/>
      <c r="AB13" s="584"/>
    </row>
    <row r="14" spans="1:28">
      <c r="A14" s="80"/>
      <c r="B14" s="585" t="s">
        <v>32</v>
      </c>
      <c r="C14" s="622">
        <f>SUM(D14:T14)</f>
        <v>0.75704613899613893</v>
      </c>
      <c r="D14" s="586">
        <f>D11/$C$2*1</f>
        <v>0</v>
      </c>
      <c r="E14" s="586">
        <f t="shared" ref="E14:W14" si="3">E11/$C$2*1</f>
        <v>0</v>
      </c>
      <c r="F14" s="586">
        <f t="shared" si="3"/>
        <v>4.9966409266409273E-2</v>
      </c>
      <c r="G14" s="586">
        <f t="shared" si="3"/>
        <v>0.14454208494208495</v>
      </c>
      <c r="H14" s="586">
        <f t="shared" si="3"/>
        <v>6.6155791505791525E-2</v>
      </c>
      <c r="I14" s="586">
        <f t="shared" si="3"/>
        <v>9.0532432432432433E-2</v>
      </c>
      <c r="J14" s="586">
        <f t="shared" si="3"/>
        <v>0.13642200772200772</v>
      </c>
      <c r="K14" s="586">
        <f t="shared" si="3"/>
        <v>5.6812741312741319E-2</v>
      </c>
      <c r="L14" s="586">
        <f t="shared" si="3"/>
        <v>7.6903667953667945E-2</v>
      </c>
      <c r="M14" s="586">
        <f t="shared" si="3"/>
        <v>2.2469691119691118E-2</v>
      </c>
      <c r="N14" s="586">
        <f t="shared" si="3"/>
        <v>7.2944787644787651E-2</v>
      </c>
      <c r="O14" s="586">
        <f t="shared" si="3"/>
        <v>5.3571428571428572E-3</v>
      </c>
      <c r="P14" s="586">
        <f t="shared" si="3"/>
        <v>1.2112548262548263E-2</v>
      </c>
      <c r="Q14" s="586">
        <f t="shared" si="3"/>
        <v>8.0357142857142867E-3</v>
      </c>
      <c r="R14" s="586">
        <f t="shared" si="3"/>
        <v>1.4791119691119695E-2</v>
      </c>
      <c r="S14" s="586">
        <f t="shared" si="3"/>
        <v>0</v>
      </c>
      <c r="T14" s="846">
        <f t="shared" si="3"/>
        <v>0</v>
      </c>
      <c r="U14" s="586">
        <f t="shared" si="3"/>
        <v>0</v>
      </c>
      <c r="V14" s="586">
        <f t="shared" si="3"/>
        <v>0</v>
      </c>
      <c r="W14" s="586">
        <f t="shared" si="3"/>
        <v>0</v>
      </c>
      <c r="X14" s="586">
        <f>X11/$C$2*1</f>
        <v>0</v>
      </c>
      <c r="Y14" s="586">
        <f>Y11/$C$2*1</f>
        <v>0</v>
      </c>
      <c r="Z14" s="104">
        <f>Z11/$C$2*1</f>
        <v>0</v>
      </c>
      <c r="AA14" s="586"/>
      <c r="AB14" s="586"/>
    </row>
    <row r="15" spans="1:28">
      <c r="A15" s="80"/>
      <c r="B15" s="587" t="s">
        <v>91</v>
      </c>
      <c r="C15" s="105">
        <f>SUM(D15:T15)</f>
        <v>0.24285386100386103</v>
      </c>
      <c r="D15" s="588">
        <f t="shared" ref="D15:Z15" si="4">D13-D14</f>
        <v>0</v>
      </c>
      <c r="E15" s="588">
        <f t="shared" si="4"/>
        <v>0</v>
      </c>
      <c r="F15" s="588">
        <f t="shared" si="4"/>
        <v>4.9966409266409273E-2</v>
      </c>
      <c r="G15" s="588">
        <f t="shared" si="4"/>
        <v>-7.3029150579150576E-2</v>
      </c>
      <c r="H15" s="588">
        <f t="shared" si="4"/>
        <v>6.335926640926641E-2</v>
      </c>
      <c r="I15" s="588">
        <f t="shared" si="4"/>
        <v>2.9430694980695005E-2</v>
      </c>
      <c r="J15" s="588">
        <f t="shared" si="4"/>
        <v>2.5606177606177782E-3</v>
      </c>
      <c r="K15" s="588">
        <f t="shared" si="4"/>
        <v>7.4016216216216194E-2</v>
      </c>
      <c r="L15" s="588">
        <f t="shared" si="4"/>
        <v>2.9524903474903483E-2</v>
      </c>
      <c r="M15" s="588">
        <f t="shared" si="4"/>
        <v>5.4642857142857146E-2</v>
      </c>
      <c r="N15" s="588">
        <f t="shared" si="4"/>
        <v>-5.407683397683398E-2</v>
      </c>
      <c r="O15" s="588">
        <f t="shared" si="4"/>
        <v>0.10139826254826255</v>
      </c>
      <c r="P15" s="588">
        <f t="shared" si="4"/>
        <v>-1.2112548262548263E-2</v>
      </c>
      <c r="Q15" s="588">
        <f t="shared" si="4"/>
        <v>-8.0357142857142867E-3</v>
      </c>
      <c r="R15" s="588">
        <f t="shared" si="4"/>
        <v>-1.4791119691119695E-2</v>
      </c>
      <c r="S15" s="588">
        <f t="shared" si="4"/>
        <v>0</v>
      </c>
      <c r="T15" s="847">
        <f t="shared" si="4"/>
        <v>0</v>
      </c>
      <c r="U15" s="588">
        <f t="shared" si="4"/>
        <v>0</v>
      </c>
      <c r="V15" s="588">
        <f t="shared" si="4"/>
        <v>0</v>
      </c>
      <c r="W15" s="588">
        <f t="shared" si="4"/>
        <v>0</v>
      </c>
      <c r="X15" s="588">
        <f t="shared" si="4"/>
        <v>0</v>
      </c>
      <c r="Y15" s="588">
        <f t="shared" si="4"/>
        <v>0</v>
      </c>
      <c r="Z15" s="105">
        <f t="shared" si="4"/>
        <v>0</v>
      </c>
      <c r="AA15" s="588"/>
      <c r="AB15" s="588"/>
    </row>
    <row r="16" spans="1:28">
      <c r="A16" s="80"/>
      <c r="B16" s="589" t="s">
        <v>282</v>
      </c>
      <c r="C16" s="622">
        <v>0.74</v>
      </c>
      <c r="D16" s="590">
        <f>C16-C14</f>
        <v>-1.7046138996138938E-2</v>
      </c>
      <c r="E16" s="524"/>
      <c r="F16" s="524"/>
      <c r="G16" s="524"/>
      <c r="H16" s="524"/>
      <c r="I16" s="524"/>
      <c r="J16" s="524"/>
      <c r="K16" s="524"/>
      <c r="L16" s="524"/>
      <c r="M16" s="524"/>
      <c r="N16" s="524"/>
      <c r="O16" s="524"/>
      <c r="P16" s="591"/>
      <c r="Q16" s="591"/>
      <c r="R16" s="591"/>
      <c r="S16" s="591"/>
      <c r="T16" s="848">
        <v>1.2855000000000005E-2</v>
      </c>
      <c r="U16" s="1099">
        <v>1.2855000000000005E-2</v>
      </c>
      <c r="V16" s="1099">
        <v>2.2855E-2</v>
      </c>
      <c r="W16" s="524"/>
      <c r="X16" s="524"/>
      <c r="Y16" s="524"/>
      <c r="Z16" s="540"/>
      <c r="AA16" s="524"/>
      <c r="AB16" s="524"/>
    </row>
    <row r="17" spans="1:28" hidden="1">
      <c r="A17" s="95"/>
      <c r="B17" s="565" t="s">
        <v>10</v>
      </c>
      <c r="C17" s="623">
        <v>0.15</v>
      </c>
      <c r="D17" s="611">
        <f>'MASTER SHEET -MARATHA SITE'!J8</f>
        <v>0</v>
      </c>
      <c r="E17" s="568">
        <f>'MASTER SHEET -MARATHA SITE'!K8</f>
        <v>7.5233644859813091E-4</v>
      </c>
      <c r="F17" s="568">
        <f>'MASTER SHEET -MARATHA SITE'!L8</f>
        <v>6.7056074766355146E-3</v>
      </c>
      <c r="G17" s="568">
        <f>'MASTER SHEET -MARATHA SITE'!M8</f>
        <v>2.4859813084112154E-3</v>
      </c>
      <c r="H17" s="568">
        <f>'MASTER SHEET -MARATHA SITE'!N8</f>
        <v>6.9018691588785056E-3</v>
      </c>
      <c r="I17" s="568">
        <f>'MASTER SHEET -MARATHA SITE'!O8</f>
        <v>3.5000000000000005E-3</v>
      </c>
      <c r="J17" s="568">
        <f>'MASTER SHEET -MARATHA SITE'!P8</f>
        <v>1.9626168224299068E-4</v>
      </c>
      <c r="K17" s="568">
        <f>'MASTER SHEET -MARATHA SITE'!Q8</f>
        <v>1.0140186915887851E-3</v>
      </c>
      <c r="L17" s="568">
        <f>'MASTER SHEET -MARATHA SITE'!R8</f>
        <v>6.5420560747663561E-5</v>
      </c>
      <c r="M17" s="568">
        <f>'MASTER SHEET -MARATHA SITE'!S8</f>
        <v>9.9112149532710296E-3</v>
      </c>
      <c r="N17" s="568">
        <f>'MASTER SHEET -MARATHA SITE'!T8</f>
        <v>2.9439252336448604E-3</v>
      </c>
      <c r="O17" s="568">
        <f>'MASTER SHEET -MARATHA SITE'!U8</f>
        <v>5.2336448598130848E-4</v>
      </c>
      <c r="P17" s="568">
        <f>'MASTER SHEET -MARATHA SITE'!V8</f>
        <v>0</v>
      </c>
      <c r="Q17" s="568">
        <f>'MASTER SHEET -MARATHA SITE'!W8</f>
        <v>0</v>
      </c>
      <c r="R17" s="838">
        <f>'MASTER SHEET -MARATHA SITE'!X8</f>
        <v>0</v>
      </c>
      <c r="S17" s="838">
        <f>'MASTER SHEET -MARATHA SITE'!Y8</f>
        <v>0</v>
      </c>
      <c r="T17" s="849">
        <f>'MASTER SHEET -MARATHA SITE'!Z8</f>
        <v>0</v>
      </c>
      <c r="U17" s="568">
        <f>'MASTER SHEET -MARATHA SITE'!AA8</f>
        <v>0</v>
      </c>
      <c r="V17" s="568">
        <f>'MASTER SHEET -MARATHA SITE'!AB8</f>
        <v>0</v>
      </c>
      <c r="W17" s="568">
        <f>'MASTER SHEET -MARATHA SITE'!AC8</f>
        <v>0</v>
      </c>
      <c r="X17" s="568">
        <f>'MASTER SHEET -MARATHA SITE'!AD8</f>
        <v>0</v>
      </c>
      <c r="Y17" s="568">
        <f>'MASTER SHEET -MARATHA SITE'!AE8</f>
        <v>0</v>
      </c>
      <c r="Z17" s="97">
        <f>'MASTER SHEET -MARATHA SITE'!AF8</f>
        <v>0</v>
      </c>
      <c r="AA17" s="710"/>
      <c r="AB17" s="710"/>
    </row>
    <row r="18" spans="1:28" hidden="1">
      <c r="A18" s="95"/>
      <c r="B18" s="565" t="s">
        <v>10</v>
      </c>
      <c r="C18" s="619"/>
      <c r="D18" s="611">
        <f>'MASTER SHEET -MARATHA SITE'!J9</f>
        <v>0</v>
      </c>
      <c r="E18" s="568">
        <f>'MASTER SHEET -MARATHA SITE'!K9</f>
        <v>0</v>
      </c>
      <c r="F18" s="568">
        <f>'MASTER SHEET -MARATHA SITE'!L9</f>
        <v>0</v>
      </c>
      <c r="G18" s="568">
        <f>'MASTER SHEET -MARATHA SITE'!M9</f>
        <v>0</v>
      </c>
      <c r="H18" s="568">
        <f>'MASTER SHEET -MARATHA SITE'!N9</f>
        <v>0</v>
      </c>
      <c r="I18" s="568">
        <f>'MASTER SHEET -MARATHA SITE'!O9</f>
        <v>0</v>
      </c>
      <c r="J18" s="568">
        <f>'MASTER SHEET -MARATHA SITE'!P9</f>
        <v>1.0644500946073794E-3</v>
      </c>
      <c r="K18" s="568">
        <f>'MASTER SHEET -MARATHA SITE'!Q9</f>
        <v>2.6418485690633863E-3</v>
      </c>
      <c r="L18" s="568">
        <f>'MASTER SHEET -MARATHA SITE'!R9</f>
        <v>5.6039969843897823E-3</v>
      </c>
      <c r="M18" s="568">
        <f>'MASTER SHEET -MARATHA SITE'!S9</f>
        <v>3.1161648533585621E-4</v>
      </c>
      <c r="N18" s="568">
        <f>'MASTER SHEET -MARATHA SITE'!T9</f>
        <v>1.4090279091769157E-4</v>
      </c>
      <c r="O18" s="568">
        <f>'MASTER SHEET -MARATHA SITE'!U9</f>
        <v>1.3483822138126773E-4</v>
      </c>
      <c r="P18" s="568">
        <f>'MASTER SHEET -MARATHA SITE'!V9</f>
        <v>9.2346854304635754E-5</v>
      </c>
      <c r="Q18" s="568">
        <f>'MASTER SHEET -MARATHA SITE'!W9</f>
        <v>0</v>
      </c>
      <c r="R18" s="838">
        <f>'MASTER SHEET -MARATHA SITE'!X9</f>
        <v>0</v>
      </c>
      <c r="S18" s="838">
        <f>'MASTER SHEET -MARATHA SITE'!Y9</f>
        <v>0</v>
      </c>
      <c r="T18" s="849">
        <f>'MASTER SHEET -MARATHA SITE'!Z9</f>
        <v>0</v>
      </c>
      <c r="U18" s="568">
        <f>'MASTER SHEET -MARATHA SITE'!AA9</f>
        <v>0</v>
      </c>
      <c r="V18" s="568">
        <f>'MASTER SHEET -MARATHA SITE'!AB9</f>
        <v>0</v>
      </c>
      <c r="W18" s="568">
        <f>'MASTER SHEET -MARATHA SITE'!AC9</f>
        <v>0</v>
      </c>
      <c r="X18" s="568">
        <f>'MASTER SHEET -MARATHA SITE'!AD9</f>
        <v>0</v>
      </c>
      <c r="Y18" s="568">
        <f>'MASTER SHEET -MARATHA SITE'!AE9</f>
        <v>0</v>
      </c>
      <c r="Z18" s="97">
        <f>'MASTER SHEET -MARATHA SITE'!AF9</f>
        <v>0</v>
      </c>
      <c r="AA18" s="710"/>
      <c r="AB18" s="710"/>
    </row>
    <row r="19" spans="1:28" hidden="1">
      <c r="A19" s="95"/>
      <c r="B19" s="565" t="s">
        <v>10</v>
      </c>
      <c r="C19" s="619"/>
      <c r="D19" s="611">
        <f>'MASTER SHEET -MARATHA SITE'!J10</f>
        <v>0</v>
      </c>
      <c r="E19" s="568">
        <f>'MASTER SHEET -MARATHA SITE'!K10</f>
        <v>0</v>
      </c>
      <c r="F19" s="568">
        <f>'MASTER SHEET -MARATHA SITE'!L10</f>
        <v>0</v>
      </c>
      <c r="G19" s="568">
        <f>'MASTER SHEET -MARATHA SITE'!M10</f>
        <v>0</v>
      </c>
      <c r="H19" s="568">
        <f>'MASTER SHEET -MARATHA SITE'!N10</f>
        <v>4.3013184845005744E-3</v>
      </c>
      <c r="I19" s="568">
        <f>'MASTER SHEET -MARATHA SITE'!O10</f>
        <v>4.3474877152698049E-3</v>
      </c>
      <c r="J19" s="568">
        <f>'MASTER SHEET -MARATHA SITE'!P10</f>
        <v>2.8121885189437428E-3</v>
      </c>
      <c r="K19" s="568">
        <f>'MASTER SHEET -MARATHA SITE'!Q10</f>
        <v>1.0470768082663606E-3</v>
      </c>
      <c r="L19" s="568">
        <f>'MASTER SHEET -MARATHA SITE'!R10</f>
        <v>3.8082724454649827E-3</v>
      </c>
      <c r="M19" s="568">
        <f>'MASTER SHEET -MARATHA SITE'!S10</f>
        <v>4.133868886337543E-3</v>
      </c>
      <c r="N19" s="568">
        <f>'MASTER SHEET -MARATHA SITE'!T10</f>
        <v>4.1128515499425948E-3</v>
      </c>
      <c r="O19" s="568">
        <f>'MASTER SHEET -MARATHA SITE'!U10</f>
        <v>2.6278561423650976E-3</v>
      </c>
      <c r="P19" s="568">
        <f>'MASTER SHEET -MARATHA SITE'!V10</f>
        <v>1.5232400688863375E-3</v>
      </c>
      <c r="Q19" s="568">
        <f>'MASTER SHEET -MARATHA SITE'!W10</f>
        <v>1.2958393800229621E-3</v>
      </c>
      <c r="R19" s="838">
        <f>'MASTER SHEET -MARATHA SITE'!X10</f>
        <v>0</v>
      </c>
      <c r="S19" s="838">
        <f>'MASTER SHEET -MARATHA SITE'!Y10</f>
        <v>0</v>
      </c>
      <c r="T19" s="849">
        <f>'MASTER SHEET -MARATHA SITE'!Z10</f>
        <v>0</v>
      </c>
      <c r="U19" s="568">
        <f>'MASTER SHEET -MARATHA SITE'!AA10</f>
        <v>0</v>
      </c>
      <c r="V19" s="568">
        <f>'MASTER SHEET -MARATHA SITE'!AB10</f>
        <v>0</v>
      </c>
      <c r="W19" s="568">
        <f>'MASTER SHEET -MARATHA SITE'!AC10</f>
        <v>0</v>
      </c>
      <c r="X19" s="568">
        <f>'MASTER SHEET -MARATHA SITE'!AD10</f>
        <v>0</v>
      </c>
      <c r="Y19" s="568">
        <f>'MASTER SHEET -MARATHA SITE'!AE10</f>
        <v>0</v>
      </c>
      <c r="Z19" s="97">
        <f>'MASTER SHEET -MARATHA SITE'!AF10</f>
        <v>0</v>
      </c>
      <c r="AA19" s="710"/>
      <c r="AB19" s="710"/>
    </row>
    <row r="20" spans="1:28" hidden="1">
      <c r="A20" s="95"/>
      <c r="B20" s="565" t="s">
        <v>10</v>
      </c>
      <c r="C20" s="619"/>
      <c r="D20" s="611">
        <f>'MASTER SHEET -MARATHA SITE'!J11</f>
        <v>0</v>
      </c>
      <c r="E20" s="568">
        <f>'MASTER SHEET -MARATHA SITE'!K11</f>
        <v>0</v>
      </c>
      <c r="F20" s="568">
        <f>'MASTER SHEET -MARATHA SITE'!L11</f>
        <v>0</v>
      </c>
      <c r="G20" s="568">
        <f>'MASTER SHEET -MARATHA SITE'!M11</f>
        <v>0</v>
      </c>
      <c r="H20" s="568">
        <f>'MASTER SHEET -MARATHA SITE'!N11</f>
        <v>0</v>
      </c>
      <c r="I20" s="568">
        <f>'MASTER SHEET -MARATHA SITE'!O11</f>
        <v>2.2099976082276968E-4</v>
      </c>
      <c r="J20" s="568">
        <f>'MASTER SHEET -MARATHA SITE'!P11</f>
        <v>3.5489117436020095E-3</v>
      </c>
      <c r="K20" s="568">
        <f>'MASTER SHEET -MARATHA SITE'!Q11</f>
        <v>5.6125328868691701E-3</v>
      </c>
      <c r="L20" s="568">
        <f>'MASTER SHEET -MARATHA SITE'!R11</f>
        <v>2.5156661085864629E-3</v>
      </c>
      <c r="M20" s="568">
        <f>'MASTER SHEET -MARATHA SITE'!S11</f>
        <v>6.3702463525472375E-3</v>
      </c>
      <c r="N20" s="568">
        <f>'MASTER SHEET -MARATHA SITE'!T11</f>
        <v>6.3946424300406609E-3</v>
      </c>
      <c r="O20" s="568">
        <f>'MASTER SHEET -MARATHA SITE'!U11</f>
        <v>5.3370007175316909E-3</v>
      </c>
      <c r="P20" s="568">
        <f>'MASTER SHEET -MARATHA SITE'!V11</f>
        <v>0</v>
      </c>
      <c r="Q20" s="568">
        <f>'MASTER SHEET -MARATHA SITE'!W11</f>
        <v>0</v>
      </c>
      <c r="R20" s="838">
        <f>'MASTER SHEET -MARATHA SITE'!X11</f>
        <v>0</v>
      </c>
      <c r="S20" s="838">
        <f>'MASTER SHEET -MARATHA SITE'!Y11</f>
        <v>0</v>
      </c>
      <c r="T20" s="849">
        <f>'MASTER SHEET -MARATHA SITE'!Z11</f>
        <v>0</v>
      </c>
      <c r="U20" s="568">
        <f>'MASTER SHEET -MARATHA SITE'!AA11</f>
        <v>0</v>
      </c>
      <c r="V20" s="568">
        <f>'MASTER SHEET -MARATHA SITE'!AB11</f>
        <v>0</v>
      </c>
      <c r="W20" s="568">
        <f>'MASTER SHEET -MARATHA SITE'!AC11</f>
        <v>0</v>
      </c>
      <c r="X20" s="568">
        <f>'MASTER SHEET -MARATHA SITE'!AD11</f>
        <v>0</v>
      </c>
      <c r="Y20" s="568">
        <f>'MASTER SHEET -MARATHA SITE'!AE11</f>
        <v>0</v>
      </c>
      <c r="Z20" s="97">
        <f>'MASTER SHEET -MARATHA SITE'!AF11</f>
        <v>0</v>
      </c>
      <c r="AA20" s="710"/>
      <c r="AB20" s="710"/>
    </row>
    <row r="21" spans="1:28" hidden="1">
      <c r="A21" s="95"/>
      <c r="B21" s="565" t="s">
        <v>10</v>
      </c>
      <c r="C21" s="619"/>
      <c r="D21" s="611">
        <f>'MASTER SHEET -MARATHA SITE'!J12</f>
        <v>0</v>
      </c>
      <c r="E21" s="568">
        <f>'MASTER SHEET -MARATHA SITE'!K12</f>
        <v>0</v>
      </c>
      <c r="F21" s="568">
        <f>'MASTER SHEET -MARATHA SITE'!L12</f>
        <v>0</v>
      </c>
      <c r="G21" s="568">
        <f>'MASTER SHEET -MARATHA SITE'!M12</f>
        <v>0</v>
      </c>
      <c r="H21" s="568">
        <f>'MASTER SHEET -MARATHA SITE'!N12</f>
        <v>0</v>
      </c>
      <c r="I21" s="568">
        <f>'MASTER SHEET -MARATHA SITE'!O12</f>
        <v>1.166921630094044E-4</v>
      </c>
      <c r="J21" s="568">
        <f>'MASTER SHEET -MARATHA SITE'!P12</f>
        <v>7.6790971786833866E-4</v>
      </c>
      <c r="K21" s="568">
        <f>'MASTER SHEET -MARATHA SITE'!Q12</f>
        <v>4.0983416927899688E-3</v>
      </c>
      <c r="L21" s="568">
        <f>'MASTER SHEET -MARATHA SITE'!R12</f>
        <v>7.9049529780564275E-5</v>
      </c>
      <c r="M21" s="568">
        <f>'MASTER SHEET -MARATHA SITE'!S12</f>
        <v>5.3264326018808783E-4</v>
      </c>
      <c r="N21" s="568">
        <f>'MASTER SHEET -MARATHA SITE'!T12</f>
        <v>6.029408777429468E-3</v>
      </c>
      <c r="O21" s="568">
        <f>'MASTER SHEET -MARATHA SITE'!U12</f>
        <v>3.3859548589341695E-3</v>
      </c>
      <c r="P21" s="568">
        <f>'MASTER SHEET -MARATHA SITE'!V12</f>
        <v>0</v>
      </c>
      <c r="Q21" s="568">
        <f>'MASTER SHEET -MARATHA SITE'!W12</f>
        <v>0</v>
      </c>
      <c r="R21" s="838">
        <f>'MASTER SHEET -MARATHA SITE'!X12</f>
        <v>0</v>
      </c>
      <c r="S21" s="838">
        <f>'MASTER SHEET -MARATHA SITE'!Y12</f>
        <v>0</v>
      </c>
      <c r="T21" s="849">
        <f>'MASTER SHEET -MARATHA SITE'!Z12</f>
        <v>0</v>
      </c>
      <c r="U21" s="568">
        <f>'MASTER SHEET -MARATHA SITE'!AA12</f>
        <v>0</v>
      </c>
      <c r="V21" s="568">
        <f>'MASTER SHEET -MARATHA SITE'!AB12</f>
        <v>0</v>
      </c>
      <c r="W21" s="568">
        <f>'MASTER SHEET -MARATHA SITE'!AC12</f>
        <v>0</v>
      </c>
      <c r="X21" s="568">
        <f>'MASTER SHEET -MARATHA SITE'!AD12</f>
        <v>0</v>
      </c>
      <c r="Y21" s="568">
        <f>'MASTER SHEET -MARATHA SITE'!AE12</f>
        <v>0</v>
      </c>
      <c r="Z21" s="97">
        <f>'MASTER SHEET -MARATHA SITE'!AF12</f>
        <v>0</v>
      </c>
      <c r="AA21" s="710"/>
      <c r="AB21" s="710"/>
    </row>
    <row r="22" spans="1:28" hidden="1">
      <c r="A22" s="95"/>
      <c r="B22" s="565" t="s">
        <v>10</v>
      </c>
      <c r="C22" s="619"/>
      <c r="D22" s="611">
        <f>'MASTER SHEET -MARATHA SITE'!J13</f>
        <v>0</v>
      </c>
      <c r="E22" s="568">
        <f>'MASTER SHEET -MARATHA SITE'!K13</f>
        <v>0</v>
      </c>
      <c r="F22" s="568">
        <f>'MASTER SHEET -MARATHA SITE'!L13</f>
        <v>0</v>
      </c>
      <c r="G22" s="568">
        <f>'MASTER SHEET -MARATHA SITE'!M13</f>
        <v>0</v>
      </c>
      <c r="H22" s="568">
        <f>'MASTER SHEET -MARATHA SITE'!N13</f>
        <v>1.4679706601466991E-4</v>
      </c>
      <c r="I22" s="568">
        <f>'MASTER SHEET -MARATHA SITE'!O13</f>
        <v>1.3211735941320293E-3</v>
      </c>
      <c r="J22" s="568">
        <f>'MASTER SHEET -MARATHA SITE'!P13</f>
        <v>2.5689486552567236E-3</v>
      </c>
      <c r="K22" s="568">
        <f>'MASTER SHEET -MARATHA SITE'!Q13</f>
        <v>2.5689486552567236E-3</v>
      </c>
      <c r="L22" s="568">
        <f>'MASTER SHEET -MARATHA SITE'!R13</f>
        <v>4.7709046454767721E-3</v>
      </c>
      <c r="M22" s="568">
        <f>'MASTER SHEET -MARATHA SITE'!S13</f>
        <v>4.7709046454767721E-3</v>
      </c>
      <c r="N22" s="568">
        <f>'MASTER SHEET -MARATHA SITE'!T13</f>
        <v>4.7709046454767721E-3</v>
      </c>
      <c r="O22" s="568">
        <f>'MASTER SHEET -MARATHA SITE'!U13</f>
        <v>4.4039119804400971E-3</v>
      </c>
      <c r="P22" s="568">
        <f>'MASTER SHEET -MARATHA SITE'!V13</f>
        <v>3.2295354523227378E-3</v>
      </c>
      <c r="Q22" s="568">
        <f>'MASTER SHEET -MARATHA SITE'!W13</f>
        <v>1.4679706601466991E-3</v>
      </c>
      <c r="R22" s="838">
        <f>'MASTER SHEET -MARATHA SITE'!X13</f>
        <v>0</v>
      </c>
      <c r="S22" s="838">
        <f>'MASTER SHEET -MARATHA SITE'!Y13</f>
        <v>0</v>
      </c>
      <c r="T22" s="849">
        <f>'MASTER SHEET -MARATHA SITE'!Z13</f>
        <v>0</v>
      </c>
      <c r="U22" s="568">
        <f>'MASTER SHEET -MARATHA SITE'!AA13</f>
        <v>0</v>
      </c>
      <c r="V22" s="568">
        <f>'MASTER SHEET -MARATHA SITE'!AB13</f>
        <v>0</v>
      </c>
      <c r="W22" s="568">
        <f>'MASTER SHEET -MARATHA SITE'!AC13</f>
        <v>0</v>
      </c>
      <c r="X22" s="568">
        <f>'MASTER SHEET -MARATHA SITE'!AD13</f>
        <v>0</v>
      </c>
      <c r="Y22" s="568">
        <f>'MASTER SHEET -MARATHA SITE'!AE13</f>
        <v>0</v>
      </c>
      <c r="Z22" s="97">
        <f>'MASTER SHEET -MARATHA SITE'!AF13</f>
        <v>0</v>
      </c>
      <c r="AA22" s="710"/>
      <c r="AB22" s="710"/>
    </row>
    <row r="23" spans="1:28" s="5" customFormat="1">
      <c r="A23" s="79"/>
      <c r="B23" s="573" t="s">
        <v>30</v>
      </c>
      <c r="C23" s="624"/>
      <c r="D23" s="592">
        <f t="shared" ref="D23:W23" si="5">SUM(D17:D22)</f>
        <v>0</v>
      </c>
      <c r="E23" s="592">
        <f t="shared" si="5"/>
        <v>7.5233644859813091E-4</v>
      </c>
      <c r="F23" s="592">
        <f t="shared" si="5"/>
        <v>6.7056074766355146E-3</v>
      </c>
      <c r="G23" s="592">
        <f t="shared" si="5"/>
        <v>2.4859813084112154E-3</v>
      </c>
      <c r="H23" s="592">
        <f t="shared" si="5"/>
        <v>1.1349984709393749E-2</v>
      </c>
      <c r="I23" s="592">
        <f t="shared" si="5"/>
        <v>9.5063532332340071E-3</v>
      </c>
      <c r="J23" s="592">
        <f t="shared" si="5"/>
        <v>1.0958670412521184E-2</v>
      </c>
      <c r="K23" s="592">
        <f t="shared" si="5"/>
        <v>1.6982767303834398E-2</v>
      </c>
      <c r="L23" s="592">
        <f t="shared" si="5"/>
        <v>1.684331027444623E-2</v>
      </c>
      <c r="M23" s="592">
        <f t="shared" si="5"/>
        <v>2.6030494583156528E-2</v>
      </c>
      <c r="N23" s="592">
        <f t="shared" si="5"/>
        <v>2.4392635427452049E-2</v>
      </c>
      <c r="O23" s="592">
        <f t="shared" si="5"/>
        <v>1.6412926406633631E-2</v>
      </c>
      <c r="P23" s="592">
        <f t="shared" si="5"/>
        <v>4.8451223755137107E-3</v>
      </c>
      <c r="Q23" s="592">
        <f t="shared" si="5"/>
        <v>2.7638100401696612E-3</v>
      </c>
      <c r="R23" s="592">
        <f t="shared" si="5"/>
        <v>0</v>
      </c>
      <c r="S23" s="592">
        <f t="shared" si="5"/>
        <v>0</v>
      </c>
      <c r="T23" s="850">
        <f t="shared" si="5"/>
        <v>0</v>
      </c>
      <c r="U23" s="592">
        <f t="shared" si="5"/>
        <v>0</v>
      </c>
      <c r="V23" s="592">
        <f t="shared" si="5"/>
        <v>0</v>
      </c>
      <c r="W23" s="592">
        <f t="shared" si="5"/>
        <v>0</v>
      </c>
      <c r="X23" s="592">
        <f>SUM(X17:X22)</f>
        <v>0</v>
      </c>
      <c r="Y23" s="592">
        <f>SUM(Y17:Y22)</f>
        <v>0</v>
      </c>
      <c r="Z23" s="100">
        <f>SUM(Z17:Z22)</f>
        <v>0</v>
      </c>
      <c r="AA23" s="592"/>
      <c r="AB23" s="592"/>
    </row>
    <row r="24" spans="1:28" hidden="1">
      <c r="A24" s="95"/>
      <c r="B24" s="566" t="s">
        <v>10</v>
      </c>
      <c r="C24" s="35"/>
      <c r="D24" s="611">
        <f>'MASTER SHEET -MARATHA SITE'!J47</f>
        <v>0</v>
      </c>
      <c r="E24" s="568">
        <f>'MASTER SHEET -MARATHA SITE'!K47</f>
        <v>0</v>
      </c>
      <c r="F24" s="568">
        <f>'MASTER SHEET -MARATHA SITE'!L47</f>
        <v>6.640186915887851E-3</v>
      </c>
      <c r="G24" s="568">
        <f>'MASTER SHEET -MARATHA SITE'!M47</f>
        <v>2.8785046728971968E-3</v>
      </c>
      <c r="H24" s="568">
        <f>'MASTER SHEET -MARATHA SITE'!N47</f>
        <v>2.1261682242990658E-3</v>
      </c>
      <c r="I24" s="568">
        <f>'MASTER SHEET -MARATHA SITE'!O47</f>
        <v>3.5000000000000005E-3</v>
      </c>
      <c r="J24" s="568">
        <f>'MASTER SHEET -MARATHA SITE'!P47</f>
        <v>2.3878504672897199E-3</v>
      </c>
      <c r="K24" s="568">
        <f>'MASTER SHEET -MARATHA SITE'!Q47</f>
        <v>3.2056074766355146E-3</v>
      </c>
      <c r="L24" s="568">
        <f>'MASTER SHEET -MARATHA SITE'!R47</f>
        <v>2.4532710280373835E-3</v>
      </c>
      <c r="M24" s="568">
        <f>'MASTER SHEET -MARATHA SITE'!S47</f>
        <v>2.4532710280373835E-3</v>
      </c>
      <c r="N24" s="568">
        <f>'MASTER SHEET -MARATHA SITE'!T47</f>
        <v>3.7616822429906546E-3</v>
      </c>
      <c r="O24" s="568">
        <f>'MASTER SHEET -MARATHA SITE'!U47</f>
        <v>1.046728971962617E-3</v>
      </c>
      <c r="P24" s="568">
        <f>'MASTER SHEET -MARATHA SITE'!V47</f>
        <v>2.0934579439252339E-3</v>
      </c>
      <c r="Q24" s="568">
        <f>'MASTER SHEET -MARATHA SITE'!W47</f>
        <v>6.8691588785046737E-4</v>
      </c>
      <c r="R24" s="838">
        <f>'MASTER SHEET -MARATHA SITE'!X47</f>
        <v>3.598130841121496E-4</v>
      </c>
      <c r="S24" s="838">
        <f>'MASTER SHEET -MARATHA SITE'!Y47</f>
        <v>2.2897196261682248E-4</v>
      </c>
      <c r="T24" s="849">
        <f>'MASTER SHEET -MARATHA SITE'!Z47</f>
        <v>0</v>
      </c>
      <c r="U24" s="568">
        <f>'MASTER SHEET -MARATHA SITE'!AA47</f>
        <v>0</v>
      </c>
      <c r="V24" s="568">
        <f>'MASTER SHEET -MARATHA SITE'!AB47</f>
        <v>0</v>
      </c>
      <c r="W24" s="568">
        <f>'MASTER SHEET -MARATHA SITE'!AC47</f>
        <v>0</v>
      </c>
      <c r="X24" s="568">
        <f>'MASTER SHEET -MARATHA SITE'!AD47</f>
        <v>0</v>
      </c>
      <c r="Y24" s="568">
        <f>'MASTER SHEET -MARATHA SITE'!AE47</f>
        <v>0</v>
      </c>
      <c r="Z24" s="97">
        <f>'MASTER SHEET -MARATHA SITE'!AF47</f>
        <v>0</v>
      </c>
      <c r="AA24" s="710"/>
      <c r="AB24" s="710"/>
    </row>
    <row r="25" spans="1:28" hidden="1">
      <c r="A25" s="95"/>
      <c r="B25" s="566" t="s">
        <v>10</v>
      </c>
      <c r="C25" s="35"/>
      <c r="D25" s="611">
        <f>'MASTER SHEET -MARATHA SITE'!J48</f>
        <v>0</v>
      </c>
      <c r="E25" s="568">
        <f>'MASTER SHEET -MARATHA SITE'!K48</f>
        <v>0</v>
      </c>
      <c r="F25" s="568">
        <f>'MASTER SHEET -MARATHA SITE'!L48</f>
        <v>0</v>
      </c>
      <c r="G25" s="568">
        <f>'MASTER SHEET -MARATHA SITE'!M48</f>
        <v>0</v>
      </c>
      <c r="H25" s="568">
        <f>'MASTER SHEET -MARATHA SITE'!N48</f>
        <v>0</v>
      </c>
      <c r="I25" s="568">
        <f>'MASTER SHEET -MARATHA SITE'!O48</f>
        <v>0</v>
      </c>
      <c r="J25" s="568">
        <f>'MASTER SHEET -MARATHA SITE'!P48</f>
        <v>3.8769926679280979E-3</v>
      </c>
      <c r="K25" s="568">
        <f>'MASTER SHEET -MARATHA SITE'!Q48</f>
        <v>0</v>
      </c>
      <c r="L25" s="568">
        <f>'MASTER SHEET -MARATHA SITE'!R48</f>
        <v>6.793105487228003E-4</v>
      </c>
      <c r="M25" s="568">
        <f>'MASTER SHEET -MARATHA SITE'!S48</f>
        <v>0</v>
      </c>
      <c r="N25" s="568">
        <f>'MASTER SHEET -MARATHA SITE'!T48</f>
        <v>2.3352530747398296E-3</v>
      </c>
      <c r="O25" s="568">
        <f>'MASTER SHEET -MARATHA SITE'!U48</f>
        <v>1.6972918637653735E-3</v>
      </c>
      <c r="P25" s="568">
        <f>'MASTER SHEET -MARATHA SITE'!V48</f>
        <v>1.6736636707663196E-4</v>
      </c>
      <c r="Q25" s="568">
        <f>'MASTER SHEET -MARATHA SITE'!W48</f>
        <v>0</v>
      </c>
      <c r="R25" s="838">
        <f>'MASTER SHEET -MARATHA SITE'!X48</f>
        <v>0</v>
      </c>
      <c r="S25" s="838">
        <f>'MASTER SHEET -MARATHA SITE'!Y48</f>
        <v>7.8760643330179749E-5</v>
      </c>
      <c r="T25" s="849">
        <f>'MASTER SHEET -MARATHA SITE'!Z48</f>
        <v>0</v>
      </c>
      <c r="U25" s="568">
        <f>'MASTER SHEET -MARATHA SITE'!AA48</f>
        <v>0</v>
      </c>
      <c r="V25" s="568">
        <f>'MASTER SHEET -MARATHA SITE'!AB48</f>
        <v>0</v>
      </c>
      <c r="W25" s="568">
        <f>'MASTER SHEET -MARATHA SITE'!AC48</f>
        <v>0</v>
      </c>
      <c r="X25" s="568">
        <f>'MASTER SHEET -MARATHA SITE'!AD48</f>
        <v>0</v>
      </c>
      <c r="Y25" s="568">
        <f>'MASTER SHEET -MARATHA SITE'!AE48</f>
        <v>0</v>
      </c>
      <c r="Z25" s="97">
        <f>'MASTER SHEET -MARATHA SITE'!AF48</f>
        <v>0</v>
      </c>
      <c r="AA25" s="710"/>
      <c r="AB25" s="710"/>
    </row>
    <row r="26" spans="1:28" hidden="1">
      <c r="A26" s="95"/>
      <c r="B26" s="566" t="s">
        <v>10</v>
      </c>
      <c r="C26" s="35"/>
      <c r="D26" s="611">
        <f>'MASTER SHEET -MARATHA SITE'!J49</f>
        <v>0</v>
      </c>
      <c r="E26" s="568">
        <f>'MASTER SHEET -MARATHA SITE'!K49</f>
        <v>0</v>
      </c>
      <c r="F26" s="568">
        <f>'MASTER SHEET -MARATHA SITE'!L49</f>
        <v>2.2233585533869117E-3</v>
      </c>
      <c r="G26" s="568">
        <f>'MASTER SHEET -MARATHA SITE'!M49</f>
        <v>1.4588098737083812E-3</v>
      </c>
      <c r="H26" s="568">
        <f>'MASTER SHEET -MARATHA SITE'!N49</f>
        <v>2.4173382319173367E-3</v>
      </c>
      <c r="I26" s="568">
        <f>'MASTER SHEET -MARATHA SITE'!O49</f>
        <v>2.4528265212399544E-3</v>
      </c>
      <c r="J26" s="568">
        <f>'MASTER SHEET -MARATHA SITE'!P49</f>
        <v>2.2536786452353619E-3</v>
      </c>
      <c r="K26" s="568">
        <f>'MASTER SHEET -MARATHA SITE'!Q49</f>
        <v>1.3041084959816303E-3</v>
      </c>
      <c r="L26" s="568">
        <f>'MASTER SHEET -MARATHA SITE'!R49</f>
        <v>7.1527853042479914E-3</v>
      </c>
      <c r="M26" s="568">
        <f>'MASTER SHEET -MARATHA SITE'!S49</f>
        <v>2.2130221584385763E-3</v>
      </c>
      <c r="N26" s="568">
        <f>'MASTER SHEET -MARATHA SITE'!T49</f>
        <v>2.3222433983926521E-3</v>
      </c>
      <c r="O26" s="568">
        <f>'MASTER SHEET -MARATHA SITE'!U49</f>
        <v>3.3638074626865674E-3</v>
      </c>
      <c r="P26" s="568">
        <f>'MASTER SHEET -MARATHA SITE'!V49</f>
        <v>2.4324982778415613E-3</v>
      </c>
      <c r="Q26" s="568">
        <f>'MASTER SHEET -MARATHA SITE'!W49</f>
        <v>1.7227324913892078E-4</v>
      </c>
      <c r="R26" s="838">
        <f>'MASTER SHEET -MARATHA SITE'!X49</f>
        <v>0</v>
      </c>
      <c r="S26" s="838">
        <f>'MASTER SHEET -MARATHA SITE'!Y49</f>
        <v>2.0879517795637201E-4</v>
      </c>
      <c r="T26" s="849">
        <f>'MASTER SHEET -MARATHA SITE'!Z49</f>
        <v>0</v>
      </c>
      <c r="U26" s="568">
        <f>'MASTER SHEET -MARATHA SITE'!AA49</f>
        <v>0</v>
      </c>
      <c r="V26" s="568">
        <f>'MASTER SHEET -MARATHA SITE'!AB49</f>
        <v>0</v>
      </c>
      <c r="W26" s="568">
        <f>'MASTER SHEET -MARATHA SITE'!AC49</f>
        <v>0</v>
      </c>
      <c r="X26" s="568">
        <f>'MASTER SHEET -MARATHA SITE'!AD49</f>
        <v>0</v>
      </c>
      <c r="Y26" s="568">
        <f>'MASTER SHEET -MARATHA SITE'!AE49</f>
        <v>0</v>
      </c>
      <c r="Z26" s="97">
        <f>'MASTER SHEET -MARATHA SITE'!AF49</f>
        <v>0</v>
      </c>
      <c r="AA26" s="710"/>
      <c r="AB26" s="710"/>
    </row>
    <row r="27" spans="1:28" hidden="1">
      <c r="A27" s="95"/>
      <c r="B27" s="566" t="s">
        <v>10</v>
      </c>
      <c r="C27" s="35"/>
      <c r="D27" s="611">
        <f>'MASTER SHEET -MARATHA SITE'!J50</f>
        <v>0</v>
      </c>
      <c r="E27" s="568">
        <f>'MASTER SHEET -MARATHA SITE'!K50</f>
        <v>0</v>
      </c>
      <c r="F27" s="568">
        <f>'MASTER SHEET -MARATHA SITE'!L50</f>
        <v>0</v>
      </c>
      <c r="G27" s="568">
        <f>'MASTER SHEET -MARATHA SITE'!M50</f>
        <v>0</v>
      </c>
      <c r="H27" s="568">
        <f>'MASTER SHEET -MARATHA SITE'!N50</f>
        <v>0</v>
      </c>
      <c r="I27" s="568">
        <f>'MASTER SHEET -MARATHA SITE'!O50</f>
        <v>0</v>
      </c>
      <c r="J27" s="568">
        <f>'MASTER SHEET -MARATHA SITE'!P50</f>
        <v>9.4226261659889985E-3</v>
      </c>
      <c r="K27" s="568">
        <f>'MASTER SHEET -MARATHA SITE'!Q50</f>
        <v>1.5642190863429802E-3</v>
      </c>
      <c r="L27" s="568">
        <f>'MASTER SHEET -MARATHA SITE'!R50</f>
        <v>1.9373355656541499E-3</v>
      </c>
      <c r="M27" s="568">
        <f>'MASTER SHEET -MARATHA SITE'!S50</f>
        <v>1.7220760583592442E-3</v>
      </c>
      <c r="N27" s="568">
        <f>'MASTER SHEET -MARATHA SITE'!T50</f>
        <v>1.6359722554412821E-3</v>
      </c>
      <c r="O27" s="568">
        <f>'MASTER SHEET -MARATHA SITE'!U50</f>
        <v>1.3920114805070559E-3</v>
      </c>
      <c r="P27" s="568">
        <f>'MASTER SHEET -MARATHA SITE'!V50</f>
        <v>5.6972016264051663E-3</v>
      </c>
      <c r="Q27" s="568">
        <f>'MASTER SHEET -MARATHA SITE'!W50</f>
        <v>6.1607270987801962E-3</v>
      </c>
      <c r="R27" s="838">
        <f>'MASTER SHEET -MARATHA SITE'!X50</f>
        <v>0</v>
      </c>
      <c r="S27" s="838">
        <f>'MASTER SHEET -MARATHA SITE'!Y50</f>
        <v>0</v>
      </c>
      <c r="T27" s="849">
        <f>'MASTER SHEET -MARATHA SITE'!Z50</f>
        <v>0</v>
      </c>
      <c r="U27" s="568">
        <f>'MASTER SHEET -MARATHA SITE'!AA50</f>
        <v>0</v>
      </c>
      <c r="V27" s="568">
        <f>'MASTER SHEET -MARATHA SITE'!AB50</f>
        <v>0</v>
      </c>
      <c r="W27" s="568">
        <f>'MASTER SHEET -MARATHA SITE'!AC50</f>
        <v>0</v>
      </c>
      <c r="X27" s="568">
        <f>'MASTER SHEET -MARATHA SITE'!AD50</f>
        <v>0</v>
      </c>
      <c r="Y27" s="568">
        <f>'MASTER SHEET -MARATHA SITE'!AE50</f>
        <v>0</v>
      </c>
      <c r="Z27" s="97">
        <f>'MASTER SHEET -MARATHA SITE'!AF50</f>
        <v>0</v>
      </c>
      <c r="AA27" s="710"/>
      <c r="AB27" s="710"/>
    </row>
    <row r="28" spans="1:28" hidden="1">
      <c r="A28" s="95"/>
      <c r="B28" s="566" t="s">
        <v>10</v>
      </c>
      <c r="C28" s="35"/>
      <c r="D28" s="611">
        <f>'MASTER SHEET -MARATHA SITE'!J51</f>
        <v>0</v>
      </c>
      <c r="E28" s="568">
        <f>'MASTER SHEET -MARATHA SITE'!K51</f>
        <v>0</v>
      </c>
      <c r="F28" s="568">
        <f>'MASTER SHEET -MARATHA SITE'!L51</f>
        <v>0</v>
      </c>
      <c r="G28" s="568">
        <f>'MASTER SHEET -MARATHA SITE'!M51</f>
        <v>0</v>
      </c>
      <c r="H28" s="568">
        <f>'MASTER SHEET -MARATHA SITE'!N51</f>
        <v>0</v>
      </c>
      <c r="I28" s="568">
        <f>'MASTER SHEET -MARATHA SITE'!O51</f>
        <v>0</v>
      </c>
      <c r="J28" s="568">
        <f>'MASTER SHEET -MARATHA SITE'!P51</f>
        <v>0</v>
      </c>
      <c r="K28" s="568">
        <f>'MASTER SHEET -MARATHA SITE'!Q51</f>
        <v>1.0257617554858935E-3</v>
      </c>
      <c r="L28" s="568">
        <f>'MASTER SHEET -MARATHA SITE'!R51</f>
        <v>9.6271034482758627E-4</v>
      </c>
      <c r="M28" s="568">
        <f>'MASTER SHEET -MARATHA SITE'!S51</f>
        <v>1.1292789968652039E-3</v>
      </c>
      <c r="N28" s="568">
        <f>'MASTER SHEET -MARATHA SITE'!T51</f>
        <v>1.0728150470219436E-3</v>
      </c>
      <c r="O28" s="568">
        <f>'MASTER SHEET -MARATHA SITE'!U51</f>
        <v>9.3824263322884018E-4</v>
      </c>
      <c r="P28" s="568">
        <f>'MASTER SHEET -MARATHA SITE'!V51</f>
        <v>1.3880721003134797E-3</v>
      </c>
      <c r="Q28" s="568">
        <f>'MASTER SHEET -MARATHA SITE'!W51</f>
        <v>2.4580639498432604E-3</v>
      </c>
      <c r="R28" s="838">
        <f>'MASTER SHEET -MARATHA SITE'!X51</f>
        <v>4.3561937304075239E-3</v>
      </c>
      <c r="S28" s="838">
        <f>'MASTER SHEET -MARATHA SITE'!Y51</f>
        <v>0</v>
      </c>
      <c r="T28" s="849">
        <f>'MASTER SHEET -MARATHA SITE'!Z51</f>
        <v>0</v>
      </c>
      <c r="U28" s="568">
        <f>'MASTER SHEET -MARATHA SITE'!AA51</f>
        <v>0</v>
      </c>
      <c r="V28" s="568">
        <f>'MASTER SHEET -MARATHA SITE'!AB51</f>
        <v>0</v>
      </c>
      <c r="W28" s="568">
        <f>'MASTER SHEET -MARATHA SITE'!AC51</f>
        <v>0</v>
      </c>
      <c r="X28" s="568">
        <f>'MASTER SHEET -MARATHA SITE'!AD51</f>
        <v>0</v>
      </c>
      <c r="Y28" s="568">
        <f>'MASTER SHEET -MARATHA SITE'!AE51</f>
        <v>0</v>
      </c>
      <c r="Z28" s="97">
        <f>'MASTER SHEET -MARATHA SITE'!AF51</f>
        <v>0</v>
      </c>
      <c r="AA28" s="710"/>
      <c r="AB28" s="710"/>
    </row>
    <row r="29" spans="1:28" hidden="1">
      <c r="A29" s="95"/>
      <c r="B29" s="566" t="s">
        <v>10</v>
      </c>
      <c r="C29" s="35"/>
      <c r="D29" s="611">
        <f>'MASTER SHEET -MARATHA SITE'!J52</f>
        <v>0</v>
      </c>
      <c r="E29" s="568">
        <f>'MASTER SHEET -MARATHA SITE'!K52</f>
        <v>0</v>
      </c>
      <c r="F29" s="568">
        <f>'MASTER SHEET -MARATHA SITE'!L52</f>
        <v>0</v>
      </c>
      <c r="G29" s="568">
        <f>'MASTER SHEET -MARATHA SITE'!M52</f>
        <v>0</v>
      </c>
      <c r="H29" s="568">
        <f>'MASTER SHEET -MARATHA SITE'!N52</f>
        <v>1.4679706601466991E-4</v>
      </c>
      <c r="I29" s="568">
        <f>'MASTER SHEET -MARATHA SITE'!O52</f>
        <v>1.9083618581907089E-3</v>
      </c>
      <c r="J29" s="568">
        <f>'MASTER SHEET -MARATHA SITE'!P52</f>
        <v>0</v>
      </c>
      <c r="K29" s="568">
        <f>'MASTER SHEET -MARATHA SITE'!Q52</f>
        <v>3.6699266503667478E-4</v>
      </c>
      <c r="L29" s="568">
        <f>'MASTER SHEET -MARATHA SITE'!R52</f>
        <v>1.4679706601466991E-3</v>
      </c>
      <c r="M29" s="568">
        <f>'MASTER SHEET -MARATHA SITE'!S52</f>
        <v>1.4679706601466991E-3</v>
      </c>
      <c r="N29" s="568">
        <f>'MASTER SHEET -MARATHA SITE'!T52</f>
        <v>7.3398533007334955E-4</v>
      </c>
      <c r="O29" s="568">
        <f>'MASTER SHEET -MARATHA SITE'!U52</f>
        <v>1.1303374083129583E-2</v>
      </c>
      <c r="P29" s="568">
        <f>'MASTER SHEET -MARATHA SITE'!V52</f>
        <v>7.3398533007334955E-5</v>
      </c>
      <c r="Q29" s="568">
        <f>'MASTER SHEET -MARATHA SITE'!W52</f>
        <v>7.3398533007334955E-4</v>
      </c>
      <c r="R29" s="838">
        <f>'MASTER SHEET -MARATHA SITE'!X52</f>
        <v>0</v>
      </c>
      <c r="S29" s="838">
        <f>'MASTER SHEET -MARATHA SITE'!Y52</f>
        <v>7.1196577017114907E-3</v>
      </c>
      <c r="T29" s="849">
        <f>'MASTER SHEET -MARATHA SITE'!Z52</f>
        <v>0</v>
      </c>
      <c r="U29" s="568">
        <f>'MASTER SHEET -MARATHA SITE'!AA52</f>
        <v>0</v>
      </c>
      <c r="V29" s="568">
        <f>'MASTER SHEET -MARATHA SITE'!AB52</f>
        <v>0</v>
      </c>
      <c r="W29" s="568">
        <f>'MASTER SHEET -MARATHA SITE'!AC52</f>
        <v>0</v>
      </c>
      <c r="X29" s="568">
        <f>'MASTER SHEET -MARATHA SITE'!AD52</f>
        <v>0</v>
      </c>
      <c r="Y29" s="568">
        <f>'MASTER SHEET -MARATHA SITE'!AE52</f>
        <v>0</v>
      </c>
      <c r="Z29" s="97">
        <f>'MASTER SHEET -MARATHA SITE'!AF52</f>
        <v>0</v>
      </c>
      <c r="AA29" s="710"/>
      <c r="AB29" s="710"/>
    </row>
    <row r="30" spans="1:28" s="5" customFormat="1">
      <c r="A30" s="96"/>
      <c r="B30" s="574" t="s">
        <v>32</v>
      </c>
      <c r="C30" s="620">
        <v>7</v>
      </c>
      <c r="D30" s="580">
        <f>SUM(D24:D29)</f>
        <v>0</v>
      </c>
      <c r="E30" s="580">
        <f>SUM(E24:E29)</f>
        <v>0</v>
      </c>
      <c r="F30" s="580">
        <f>SUM(F24:F29)</f>
        <v>8.8635454692747619E-3</v>
      </c>
      <c r="G30" s="580">
        <f>SUM(G24:G29)</f>
        <v>4.3373145466055777E-3</v>
      </c>
      <c r="H30" s="580">
        <f>SUM(H24:H29)</f>
        <v>4.6903035222310725E-3</v>
      </c>
      <c r="I30" s="580">
        <f t="shared" ref="I30:W30" si="6">SUM(I24:I29)</f>
        <v>7.8611883794306638E-3</v>
      </c>
      <c r="J30" s="580">
        <f t="shared" si="6"/>
        <v>1.7941147946442179E-2</v>
      </c>
      <c r="K30" s="580">
        <f t="shared" si="6"/>
        <v>7.4666894794826934E-3</v>
      </c>
      <c r="L30" s="580">
        <f t="shared" si="6"/>
        <v>1.4653383451636611E-2</v>
      </c>
      <c r="M30" s="580">
        <f t="shared" si="6"/>
        <v>8.9856189018471064E-3</v>
      </c>
      <c r="N30" s="580">
        <f t="shared" si="6"/>
        <v>1.1861951348659711E-2</v>
      </c>
      <c r="O30" s="580">
        <f t="shared" si="6"/>
        <v>1.9741456495280037E-2</v>
      </c>
      <c r="P30" s="580">
        <f t="shared" si="6"/>
        <v>1.1851994848569409E-2</v>
      </c>
      <c r="Q30" s="580">
        <f t="shared" si="6"/>
        <v>1.0211965515686195E-2</v>
      </c>
      <c r="R30" s="580">
        <f t="shared" si="6"/>
        <v>4.7160068145196739E-3</v>
      </c>
      <c r="S30" s="580">
        <f t="shared" si="6"/>
        <v>7.6361854856148645E-3</v>
      </c>
      <c r="T30" s="843">
        <f t="shared" si="6"/>
        <v>0</v>
      </c>
      <c r="U30" s="580">
        <f t="shared" si="6"/>
        <v>0</v>
      </c>
      <c r="V30" s="580">
        <f t="shared" si="6"/>
        <v>0</v>
      </c>
      <c r="W30" s="580">
        <f t="shared" si="6"/>
        <v>0</v>
      </c>
      <c r="X30" s="580">
        <f>SUM(X24:X29)</f>
        <v>0</v>
      </c>
      <c r="Y30" s="580">
        <f>SUM(Y24:Y29)</f>
        <v>0</v>
      </c>
      <c r="Z30" s="102">
        <f>SUM(Z24:Z29)</f>
        <v>0</v>
      </c>
      <c r="AA30" s="580"/>
      <c r="AB30" s="580"/>
    </row>
    <row r="31" spans="1:28">
      <c r="A31" s="80">
        <v>2</v>
      </c>
      <c r="B31" s="581" t="s">
        <v>10</v>
      </c>
      <c r="C31" s="357">
        <f>C12</f>
        <v>4</v>
      </c>
      <c r="D31" s="139"/>
      <c r="E31" s="310"/>
      <c r="F31" s="310"/>
      <c r="G31" s="310"/>
      <c r="H31" s="310"/>
      <c r="I31" s="310"/>
      <c r="J31" s="310"/>
      <c r="K31" s="310"/>
      <c r="L31" s="310"/>
      <c r="M31" s="310"/>
      <c r="N31" s="310"/>
      <c r="O31" s="593"/>
      <c r="P31" s="593"/>
      <c r="Q31" s="593"/>
      <c r="R31" s="593"/>
      <c r="S31" s="593">
        <f>S32/4*$C$31*100</f>
        <v>0</v>
      </c>
      <c r="T31" s="851"/>
      <c r="U31" s="310"/>
      <c r="V31" s="310"/>
      <c r="W31" s="310"/>
      <c r="X31" s="310"/>
      <c r="Y31" s="310"/>
      <c r="Z31" s="530"/>
      <c r="AA31" s="310"/>
      <c r="AB31" s="310"/>
    </row>
    <row r="32" spans="1:28">
      <c r="A32" s="80"/>
      <c r="B32" s="583" t="s">
        <v>30</v>
      </c>
      <c r="C32" s="621">
        <f>SUM(D32:S32)+T31/100</f>
        <v>1.0002</v>
      </c>
      <c r="D32" s="584">
        <f t="shared" ref="D32:I32" si="7">D23/$C$17*1</f>
        <v>0</v>
      </c>
      <c r="E32" s="584">
        <f t="shared" si="7"/>
        <v>5.0155763239875398E-3</v>
      </c>
      <c r="F32" s="584">
        <f t="shared" si="7"/>
        <v>4.4704049844236766E-2</v>
      </c>
      <c r="G32" s="584">
        <f t="shared" si="7"/>
        <v>1.6573208722741435E-2</v>
      </c>
      <c r="H32" s="584">
        <f t="shared" si="7"/>
        <v>7.566656472929166E-2</v>
      </c>
      <c r="I32" s="584">
        <f t="shared" si="7"/>
        <v>6.3375688221560048E-2</v>
      </c>
      <c r="J32" s="584">
        <f t="shared" ref="J32:W32" si="8">J23/$C$17*1</f>
        <v>7.3057802750141232E-2</v>
      </c>
      <c r="K32" s="584">
        <f t="shared" si="8"/>
        <v>0.11321844869222933</v>
      </c>
      <c r="L32" s="584">
        <f t="shared" si="8"/>
        <v>0.11228873516297487</v>
      </c>
      <c r="M32" s="584">
        <f t="shared" si="8"/>
        <v>0.17353663055437685</v>
      </c>
      <c r="N32" s="584">
        <f t="shared" si="8"/>
        <v>0.16261756951634701</v>
      </c>
      <c r="O32" s="584">
        <f t="shared" si="8"/>
        <v>0.10941950937755754</v>
      </c>
      <c r="P32" s="584">
        <f t="shared" si="8"/>
        <v>3.2300815836758076E-2</v>
      </c>
      <c r="Q32" s="584">
        <f t="shared" si="8"/>
        <v>1.8425400267797744E-2</v>
      </c>
      <c r="R32" s="584">
        <f t="shared" si="8"/>
        <v>0</v>
      </c>
      <c r="S32" s="584">
        <f t="shared" si="8"/>
        <v>0</v>
      </c>
      <c r="T32" s="845">
        <f t="shared" si="8"/>
        <v>0</v>
      </c>
      <c r="U32" s="584">
        <f t="shared" si="8"/>
        <v>0</v>
      </c>
      <c r="V32" s="584">
        <f t="shared" si="8"/>
        <v>0</v>
      </c>
      <c r="W32" s="584">
        <f t="shared" si="8"/>
        <v>0</v>
      </c>
      <c r="X32" s="584">
        <f>X23/$C$17*1</f>
        <v>0</v>
      </c>
      <c r="Y32" s="584">
        <f>Y23/$C$17*1</f>
        <v>0</v>
      </c>
      <c r="Z32" s="103">
        <f>Z23/$C$17*1</f>
        <v>0</v>
      </c>
      <c r="AA32" s="584"/>
      <c r="AB32" s="584"/>
    </row>
    <row r="33" spans="1:28">
      <c r="A33" s="80"/>
      <c r="B33" s="585" t="s">
        <v>32</v>
      </c>
      <c r="C33" s="622">
        <f>SUM(D33:T33)</f>
        <v>0.93879168136853708</v>
      </c>
      <c r="D33" s="586">
        <f t="shared" ref="D33:I33" si="9">D30/$C$17*1</f>
        <v>0</v>
      </c>
      <c r="E33" s="586">
        <f t="shared" si="9"/>
        <v>0</v>
      </c>
      <c r="F33" s="586">
        <f t="shared" si="9"/>
        <v>5.9090303128498417E-2</v>
      </c>
      <c r="G33" s="586">
        <f t="shared" si="9"/>
        <v>2.8915430310703854E-2</v>
      </c>
      <c r="H33" s="586">
        <f t="shared" si="9"/>
        <v>3.126869014820715E-2</v>
      </c>
      <c r="I33" s="586">
        <f t="shared" si="9"/>
        <v>5.2407922529537763E-2</v>
      </c>
      <c r="J33" s="586">
        <f t="shared" ref="J33:W33" si="10">J30/$C$17*1</f>
        <v>0.1196076529762812</v>
      </c>
      <c r="K33" s="586">
        <f t="shared" si="10"/>
        <v>4.9777929863217961E-2</v>
      </c>
      <c r="L33" s="586">
        <f t="shared" si="10"/>
        <v>9.7689223010910736E-2</v>
      </c>
      <c r="M33" s="586">
        <f t="shared" si="10"/>
        <v>5.9904126012314048E-2</v>
      </c>
      <c r="N33" s="586">
        <f t="shared" si="10"/>
        <v>7.9079675657731413E-2</v>
      </c>
      <c r="O33" s="586">
        <f t="shared" si="10"/>
        <v>0.13160970996853358</v>
      </c>
      <c r="P33" s="586">
        <f t="shared" si="10"/>
        <v>7.9013298990462721E-2</v>
      </c>
      <c r="Q33" s="586">
        <f t="shared" si="10"/>
        <v>6.8079770104574638E-2</v>
      </c>
      <c r="R33" s="586">
        <f t="shared" si="10"/>
        <v>3.144004543013116E-2</v>
      </c>
      <c r="S33" s="586">
        <f t="shared" si="10"/>
        <v>5.0907903237432432E-2</v>
      </c>
      <c r="T33" s="846">
        <f t="shared" si="10"/>
        <v>0</v>
      </c>
      <c r="U33" s="586">
        <f t="shared" si="10"/>
        <v>0</v>
      </c>
      <c r="V33" s="586">
        <f t="shared" si="10"/>
        <v>0</v>
      </c>
      <c r="W33" s="586">
        <f t="shared" si="10"/>
        <v>0</v>
      </c>
      <c r="X33" s="586">
        <f>X30/$C$17*1</f>
        <v>0</v>
      </c>
      <c r="Y33" s="586">
        <f>Y30/$C$17*1</f>
        <v>0</v>
      </c>
      <c r="Z33" s="104">
        <f>Z30/$C$17*1</f>
        <v>0</v>
      </c>
      <c r="AA33" s="586"/>
      <c r="AB33" s="586"/>
    </row>
    <row r="34" spans="1:28">
      <c r="A34" s="80"/>
      <c r="B34" s="587" t="s">
        <v>91</v>
      </c>
      <c r="C34" s="105">
        <f>SUM(D34:T34)</f>
        <v>6.1408318631463045E-2</v>
      </c>
      <c r="D34" s="588">
        <f t="shared" ref="D34:I34" si="11">D32-D33</f>
        <v>0</v>
      </c>
      <c r="E34" s="588">
        <f t="shared" si="11"/>
        <v>5.0155763239875398E-3</v>
      </c>
      <c r="F34" s="588">
        <f t="shared" si="11"/>
        <v>-1.4386253284261651E-2</v>
      </c>
      <c r="G34" s="588">
        <f t="shared" si="11"/>
        <v>-1.2342221587962419E-2</v>
      </c>
      <c r="H34" s="588">
        <f>H32-H33</f>
        <v>4.4397874581084511E-2</v>
      </c>
      <c r="I34" s="588">
        <f t="shared" si="11"/>
        <v>1.0967765692022284E-2</v>
      </c>
      <c r="J34" s="588">
        <f t="shared" ref="J34:W34" si="12">J32-J33</f>
        <v>-4.6549850226139972E-2</v>
      </c>
      <c r="K34" s="588">
        <f t="shared" si="12"/>
        <v>6.3440518829011361E-2</v>
      </c>
      <c r="L34" s="588">
        <f t="shared" si="12"/>
        <v>1.4599512152064134E-2</v>
      </c>
      <c r="M34" s="588">
        <f t="shared" si="12"/>
        <v>0.11363250454206281</v>
      </c>
      <c r="N34" s="588">
        <f t="shared" si="12"/>
        <v>8.3537893858615597E-2</v>
      </c>
      <c r="O34" s="588">
        <f t="shared" si="12"/>
        <v>-2.2190200590976039E-2</v>
      </c>
      <c r="P34" s="588">
        <f t="shared" si="12"/>
        <v>-4.6712483153704645E-2</v>
      </c>
      <c r="Q34" s="588">
        <f t="shared" si="12"/>
        <v>-4.9654369836776895E-2</v>
      </c>
      <c r="R34" s="588">
        <f t="shared" si="12"/>
        <v>-3.144004543013116E-2</v>
      </c>
      <c r="S34" s="588">
        <f t="shared" si="12"/>
        <v>-5.0907903237432432E-2</v>
      </c>
      <c r="T34" s="847">
        <f t="shared" si="12"/>
        <v>0</v>
      </c>
      <c r="U34" s="588">
        <f t="shared" si="12"/>
        <v>0</v>
      </c>
      <c r="V34" s="588">
        <f t="shared" si="12"/>
        <v>0</v>
      </c>
      <c r="W34" s="588">
        <f t="shared" si="12"/>
        <v>0</v>
      </c>
      <c r="X34" s="588">
        <f>X32-X33</f>
        <v>0</v>
      </c>
      <c r="Y34" s="588">
        <f>Y32-Y33</f>
        <v>0</v>
      </c>
      <c r="Z34" s="105">
        <f>Z32-Z33</f>
        <v>0</v>
      </c>
      <c r="AA34" s="588"/>
      <c r="AB34" s="588"/>
    </row>
    <row r="35" spans="1:28">
      <c r="A35" s="80"/>
      <c r="B35" s="589" t="s">
        <v>282</v>
      </c>
      <c r="C35" s="622">
        <v>0.71</v>
      </c>
      <c r="D35" s="590">
        <f>C35-C33</f>
        <v>-0.22879168136853711</v>
      </c>
      <c r="E35" s="524"/>
      <c r="F35" s="524"/>
      <c r="G35" s="524"/>
      <c r="H35" s="524"/>
      <c r="I35" s="524"/>
      <c r="J35" s="524"/>
      <c r="K35" s="524"/>
      <c r="L35" s="524"/>
      <c r="M35" s="524"/>
      <c r="N35" s="524"/>
      <c r="O35" s="524"/>
      <c r="P35" s="591"/>
      <c r="Q35" s="591"/>
      <c r="R35" s="591"/>
      <c r="S35" s="591"/>
      <c r="T35" s="848">
        <v>4.4649999999999967E-3</v>
      </c>
      <c r="U35" s="1099">
        <v>2.6789999999999978E-3</v>
      </c>
      <c r="V35" s="1099">
        <v>1.7859999999999987E-3</v>
      </c>
      <c r="W35" s="591"/>
      <c r="X35" s="524"/>
      <c r="Y35" s="524"/>
      <c r="Z35" s="540"/>
      <c r="AA35" s="524"/>
      <c r="AB35" s="524"/>
    </row>
    <row r="36" spans="1:28" hidden="1">
      <c r="A36" s="80"/>
      <c r="B36" s="565" t="s">
        <v>19</v>
      </c>
      <c r="C36" s="623">
        <v>0.43</v>
      </c>
      <c r="D36" s="611">
        <f>'MASTER SHEET -MARATHA SITE'!J25</f>
        <v>0</v>
      </c>
      <c r="E36" s="568">
        <f>'MASTER SHEET -MARATHA SITE'!K25</f>
        <v>0</v>
      </c>
      <c r="F36" s="568">
        <f>'MASTER SHEET -MARATHA SITE'!L25</f>
        <v>1.2949039915987129E-3</v>
      </c>
      <c r="G36" s="568">
        <f>'MASTER SHEET -MARATHA SITE'!M25</f>
        <v>1.9240132462650698E-3</v>
      </c>
      <c r="H36" s="568">
        <f>'MASTER SHEET -MARATHA SITE'!N25</f>
        <v>7.1129304893250962E-4</v>
      </c>
      <c r="I36" s="568">
        <f>'MASTER SHEET -MARATHA SITE'!O25</f>
        <v>2.633560357231379E-4</v>
      </c>
      <c r="J36" s="568">
        <f>'MASTER SHEET -MARATHA SITE'!P25</f>
        <v>2.0542830820169947E-4</v>
      </c>
      <c r="K36" s="568">
        <f>'MASTER SHEET -MARATHA SITE'!Q25</f>
        <v>6.4738964087199182E-4</v>
      </c>
      <c r="L36" s="568">
        <f>'MASTER SHEET -MARATHA SITE'!R25</f>
        <v>1.3184376319706776E-3</v>
      </c>
      <c r="M36" s="568">
        <f>'MASTER SHEET -MARATHA SITE'!S25</f>
        <v>1.0618346348810939E-3</v>
      </c>
      <c r="N36" s="568">
        <f>'MASTER SHEET -MARATHA SITE'!T25</f>
        <v>2.1895681839624753E-3</v>
      </c>
      <c r="O36" s="568">
        <f>'MASTER SHEET -MARATHA SITE'!U25</f>
        <v>1.318094679870174E-3</v>
      </c>
      <c r="P36" s="568">
        <f>'MASTER SHEET -MARATHA SITE'!V25</f>
        <v>2.9342955985314622E-3</v>
      </c>
      <c r="Q36" s="568">
        <f>'MASTER SHEET -MARATHA SITE'!W25</f>
        <v>4.6640295976075703E-3</v>
      </c>
      <c r="R36" s="838">
        <f>'MASTER SHEET -MARATHA SITE'!X25</f>
        <v>1.4673554015834241E-3</v>
      </c>
      <c r="S36" s="838">
        <f>'MASTER SHEET -MARATHA SITE'!Y25</f>
        <v>0</v>
      </c>
      <c r="T36" s="849">
        <f>'MASTER SHEET -MARATHA SITE'!Z25</f>
        <v>0</v>
      </c>
      <c r="U36" s="568">
        <f>'MASTER SHEET -MARATHA SITE'!AA25</f>
        <v>0</v>
      </c>
      <c r="V36" s="568">
        <f>'MASTER SHEET -MARATHA SITE'!AB25</f>
        <v>0</v>
      </c>
      <c r="W36" s="568">
        <f>'MASTER SHEET -MARATHA SITE'!AC25</f>
        <v>0</v>
      </c>
      <c r="X36" s="568">
        <f>'MASTER SHEET -MARATHA SITE'!AD25</f>
        <v>0</v>
      </c>
      <c r="Y36" s="568">
        <f>'MASTER SHEET -MARATHA SITE'!AE25</f>
        <v>0</v>
      </c>
      <c r="Z36" s="97">
        <f>'MASTER SHEET -MARATHA SITE'!AF25</f>
        <v>0</v>
      </c>
      <c r="AA36" s="710"/>
      <c r="AB36" s="710"/>
    </row>
    <row r="37" spans="1:28" hidden="1">
      <c r="A37" s="80"/>
      <c r="B37" s="565" t="s">
        <v>19</v>
      </c>
      <c r="C37" s="619"/>
      <c r="D37" s="611">
        <f>'MASTER SHEET -MARATHA SITE'!J26</f>
        <v>0</v>
      </c>
      <c r="E37" s="568">
        <f>'MASTER SHEET -MARATHA SITE'!K26</f>
        <v>0</v>
      </c>
      <c r="F37" s="568">
        <f>'MASTER SHEET -MARATHA SITE'!L26</f>
        <v>0</v>
      </c>
      <c r="G37" s="568">
        <f>'MASTER SHEET -MARATHA SITE'!M26</f>
        <v>0</v>
      </c>
      <c r="H37" s="568">
        <f>'MASTER SHEET -MARATHA SITE'!N26</f>
        <v>0</v>
      </c>
      <c r="I37" s="568">
        <f>'MASTER SHEET -MARATHA SITE'!O26</f>
        <v>1.2331476463834671E-3</v>
      </c>
      <c r="J37" s="568">
        <f>'MASTER SHEET -MARATHA SITE'!P26</f>
        <v>5.7455035591274387E-3</v>
      </c>
      <c r="K37" s="568">
        <f>'MASTER SHEET -MARATHA SITE'!Q26</f>
        <v>6.4240792192881736E-3</v>
      </c>
      <c r="L37" s="568">
        <f>'MASTER SHEET -MARATHA SITE'!R26</f>
        <v>6.5842506314580931E-3</v>
      </c>
      <c r="M37" s="568">
        <f>'MASTER SHEET -MARATHA SITE'!S26</f>
        <v>6.2656300803673928E-3</v>
      </c>
      <c r="N37" s="568">
        <f>'MASTER SHEET -MARATHA SITE'!T26</f>
        <v>7.1853239954075762E-3</v>
      </c>
      <c r="O37" s="568">
        <f>'MASTER SHEET -MARATHA SITE'!U26</f>
        <v>7.968958323765785E-3</v>
      </c>
      <c r="P37" s="568">
        <f>'MASTER SHEET -MARATHA SITE'!V26</f>
        <v>1.4864940413318022E-2</v>
      </c>
      <c r="Q37" s="568">
        <f>'MASTER SHEET -MARATHA SITE'!W26</f>
        <v>1.4894219058553385E-2</v>
      </c>
      <c r="R37" s="838">
        <f>'MASTER SHEET -MARATHA SITE'!X26</f>
        <v>1.6389152238805969E-2</v>
      </c>
      <c r="S37" s="838">
        <f>'MASTER SHEET -MARATHA SITE'!Y26</f>
        <v>1.5779467508610791E-2</v>
      </c>
      <c r="T37" s="849">
        <f>'MASTER SHEET -MARATHA SITE'!Z26</f>
        <v>1.3955580137772672E-2</v>
      </c>
      <c r="U37" s="568">
        <f>'MASTER SHEET -MARATHA SITE'!AA26</f>
        <v>1.3249448105625715E-2</v>
      </c>
      <c r="V37" s="568">
        <f>'MASTER SHEET -MARATHA SITE'!AB26</f>
        <v>9.2675523536165302E-3</v>
      </c>
      <c r="W37" s="568">
        <f>'MASTER SHEET -MARATHA SITE'!AC26</f>
        <v>4.8585328358208947E-3</v>
      </c>
      <c r="X37" s="568">
        <f>'MASTER SHEET -MARATHA SITE'!AD26</f>
        <v>3.1018141216991959E-3</v>
      </c>
      <c r="Y37" s="568">
        <f>'MASTER SHEET -MARATHA SITE'!AE26</f>
        <v>2.2423997703788744E-3</v>
      </c>
      <c r="Z37" s="97">
        <f>'MASTER SHEET -MARATHA SITE'!AF26</f>
        <v>0</v>
      </c>
      <c r="AA37" s="710"/>
      <c r="AB37" s="710"/>
    </row>
    <row r="38" spans="1:28" hidden="1">
      <c r="A38" s="80"/>
      <c r="B38" s="565" t="s">
        <v>19</v>
      </c>
      <c r="C38" s="619"/>
      <c r="D38" s="611">
        <f>'MASTER SHEET -MARATHA SITE'!J27</f>
        <v>0</v>
      </c>
      <c r="E38" s="568">
        <f>'MASTER SHEET -MARATHA SITE'!K27</f>
        <v>0</v>
      </c>
      <c r="F38" s="568">
        <f>'MASTER SHEET -MARATHA SITE'!L27</f>
        <v>0</v>
      </c>
      <c r="G38" s="568">
        <f>'MASTER SHEET -MARATHA SITE'!M27</f>
        <v>0</v>
      </c>
      <c r="H38" s="568">
        <f>'MASTER SHEET -MARATHA SITE'!N27</f>
        <v>0</v>
      </c>
      <c r="I38" s="568">
        <f>'MASTER SHEET -MARATHA SITE'!O27</f>
        <v>0</v>
      </c>
      <c r="J38" s="568">
        <f>'MASTER SHEET -MARATHA SITE'!P27</f>
        <v>0</v>
      </c>
      <c r="K38" s="568">
        <f>'MASTER SHEET -MARATHA SITE'!Q27</f>
        <v>0</v>
      </c>
      <c r="L38" s="568">
        <f>'MASTER SHEET -MARATHA SITE'!R27</f>
        <v>0</v>
      </c>
      <c r="M38" s="568">
        <f>'MASTER SHEET -MARATHA SITE'!S27</f>
        <v>1.5392620624408704E-3</v>
      </c>
      <c r="N38" s="568">
        <f>'MASTER SHEET -MARATHA SITE'!T27</f>
        <v>1.9240775780510881E-3</v>
      </c>
      <c r="O38" s="568">
        <f>'MASTER SHEET -MARATHA SITE'!U27</f>
        <v>3.9785950804162723E-3</v>
      </c>
      <c r="P38" s="568">
        <f>'MASTER SHEET -MARATHA SITE'!V27</f>
        <v>5.6422894985808892E-3</v>
      </c>
      <c r="Q38" s="568">
        <f>'MASTER SHEET -MARATHA SITE'!W27</f>
        <v>6.2992431409649953E-3</v>
      </c>
      <c r="R38" s="838">
        <f>'MASTER SHEET -MARATHA SITE'!X27</f>
        <v>5.5596026490066222E-3</v>
      </c>
      <c r="S38" s="838">
        <f>'MASTER SHEET -MARATHA SITE'!Y27</f>
        <v>5.401773888363293E-3</v>
      </c>
      <c r="T38" s="849">
        <f>'MASTER SHEET -MARATHA SITE'!Z27</f>
        <v>4.6852018290759996E-3</v>
      </c>
      <c r="U38" s="568">
        <f>'MASTER SHEET -MARATHA SITE'!AA27</f>
        <v>2.5703405865657521E-3</v>
      </c>
      <c r="V38" s="568">
        <f>'MASTER SHEET -MARATHA SITE'!AB27</f>
        <v>2.3996136865342167E-3</v>
      </c>
      <c r="W38" s="568">
        <f>'MASTER SHEET -MARATHA SITE'!AC27</f>
        <v>0</v>
      </c>
      <c r="X38" s="568">
        <f>'MASTER SHEET -MARATHA SITE'!AD27</f>
        <v>0</v>
      </c>
      <c r="Y38" s="568">
        <f>'MASTER SHEET -MARATHA SITE'!AE27</f>
        <v>0</v>
      </c>
      <c r="Z38" s="97">
        <f>'MASTER SHEET -MARATHA SITE'!AF27</f>
        <v>0</v>
      </c>
      <c r="AA38" s="710"/>
      <c r="AB38" s="710"/>
    </row>
    <row r="39" spans="1:28" hidden="1">
      <c r="A39" s="80"/>
      <c r="B39" s="565" t="s">
        <v>19</v>
      </c>
      <c r="C39" s="619"/>
      <c r="D39" s="611">
        <f>'MASTER SHEET -MARATHA SITE'!J28</f>
        <v>0</v>
      </c>
      <c r="E39" s="568">
        <f>'MASTER SHEET -MARATHA SITE'!K28</f>
        <v>0</v>
      </c>
      <c r="F39" s="568">
        <f>'MASTER SHEET -MARATHA SITE'!L28</f>
        <v>0</v>
      </c>
      <c r="G39" s="568">
        <f>'MASTER SHEET -MARATHA SITE'!M28</f>
        <v>0</v>
      </c>
      <c r="H39" s="568">
        <f>'MASTER SHEET -MARATHA SITE'!N28</f>
        <v>0</v>
      </c>
      <c r="I39" s="568">
        <f>'MASTER SHEET -MARATHA SITE'!O28</f>
        <v>0</v>
      </c>
      <c r="J39" s="568">
        <f>'MASTER SHEET -MARATHA SITE'!P28</f>
        <v>0</v>
      </c>
      <c r="K39" s="568">
        <f>'MASTER SHEET -MARATHA SITE'!Q28</f>
        <v>0</v>
      </c>
      <c r="L39" s="568">
        <f>'MASTER SHEET -MARATHA SITE'!R28</f>
        <v>0</v>
      </c>
      <c r="M39" s="568">
        <f>'MASTER SHEET -MARATHA SITE'!S28</f>
        <v>0</v>
      </c>
      <c r="N39" s="568">
        <f>'MASTER SHEET -MARATHA SITE'!T28</f>
        <v>0</v>
      </c>
      <c r="O39" s="568">
        <f>'MASTER SHEET -MARATHA SITE'!U28</f>
        <v>0</v>
      </c>
      <c r="P39" s="568">
        <f>'MASTER SHEET -MARATHA SITE'!V28</f>
        <v>1.2156723271944511E-3</v>
      </c>
      <c r="Q39" s="568">
        <f>'MASTER SHEET -MARATHA SITE'!W28</f>
        <v>3.3456106194690266E-3</v>
      </c>
      <c r="R39" s="838">
        <f>'MASTER SHEET -MARATHA SITE'!X28</f>
        <v>3.5733398708442956E-3</v>
      </c>
      <c r="S39" s="838">
        <f>'MASTER SHEET -MARATHA SITE'!Y28</f>
        <v>8.5097062903611576E-3</v>
      </c>
      <c r="T39" s="849">
        <f>'MASTER SHEET -MARATHA SITE'!Z28</f>
        <v>1.1229061468548194E-2</v>
      </c>
      <c r="U39" s="568">
        <f>'MASTER SHEET -MARATHA SITE'!AA28</f>
        <v>1.170461372877302E-2</v>
      </c>
      <c r="V39" s="568">
        <f>'MASTER SHEET -MARATHA SITE'!AB28</f>
        <v>1.3214994498923703E-2</v>
      </c>
      <c r="W39" s="568">
        <f>'MASTER SHEET -MARATHA SITE'!AC28</f>
        <v>9.9899464243004069E-3</v>
      </c>
      <c r="X39" s="568">
        <f>'MASTER SHEET -MARATHA SITE'!AD28</f>
        <v>4.484256876345372E-3</v>
      </c>
      <c r="Y39" s="568">
        <f>'MASTER SHEET -MARATHA SITE'!AE28</f>
        <v>2.7427978952403731E-3</v>
      </c>
      <c r="Z39" s="97">
        <f>'MASTER SHEET -MARATHA SITE'!AF28</f>
        <v>0</v>
      </c>
      <c r="AA39" s="710"/>
      <c r="AB39" s="710"/>
    </row>
    <row r="40" spans="1:28" hidden="1">
      <c r="A40" s="80"/>
      <c r="B40" s="565" t="s">
        <v>19</v>
      </c>
      <c r="C40" s="619"/>
      <c r="D40" s="611">
        <f>'MASTER SHEET -MARATHA SITE'!J29</f>
        <v>0</v>
      </c>
      <c r="E40" s="568">
        <f>'MASTER SHEET -MARATHA SITE'!K29</f>
        <v>0</v>
      </c>
      <c r="F40" s="568">
        <f>'MASTER SHEET -MARATHA SITE'!L29</f>
        <v>0</v>
      </c>
      <c r="G40" s="568">
        <f>'MASTER SHEET -MARATHA SITE'!M29</f>
        <v>0</v>
      </c>
      <c r="H40" s="568">
        <f>'MASTER SHEET -MARATHA SITE'!N29</f>
        <v>0</v>
      </c>
      <c r="I40" s="568">
        <f>'MASTER SHEET -MARATHA SITE'!O29</f>
        <v>0</v>
      </c>
      <c r="J40" s="568">
        <f>'MASTER SHEET -MARATHA SITE'!P29</f>
        <v>0</v>
      </c>
      <c r="K40" s="568">
        <f>'MASTER SHEET -MARATHA SITE'!Q29</f>
        <v>0</v>
      </c>
      <c r="L40" s="568">
        <f>'MASTER SHEET -MARATHA SITE'!R29</f>
        <v>0</v>
      </c>
      <c r="M40" s="568">
        <f>'MASTER SHEET -MARATHA SITE'!S29</f>
        <v>0</v>
      </c>
      <c r="N40" s="568">
        <f>'MASTER SHEET -MARATHA SITE'!T29</f>
        <v>0</v>
      </c>
      <c r="O40" s="568">
        <f>'MASTER SHEET -MARATHA SITE'!U29</f>
        <v>3.1158660776563581E-4</v>
      </c>
      <c r="P40" s="568">
        <f>'MASTER SHEET -MARATHA SITE'!V29</f>
        <v>1.7579065333643334E-3</v>
      </c>
      <c r="Q40" s="568">
        <f>'MASTER SHEET -MARATHA SITE'!W29</f>
        <v>4.2133950244129265E-3</v>
      </c>
      <c r="R40" s="838">
        <f>'MASTER SHEET -MARATHA SITE'!X29</f>
        <v>6.5991253196930931E-3</v>
      </c>
      <c r="S40" s="838">
        <f>'MASTER SHEET -MARATHA SITE'!Y29</f>
        <v>8.7337261102069276E-3</v>
      </c>
      <c r="T40" s="849">
        <f>'MASTER SHEET -MARATHA SITE'!Z29</f>
        <v>1.0496283189955822E-2</v>
      </c>
      <c r="U40" s="568">
        <f>'MASTER SHEET -MARATHA SITE'!AA29</f>
        <v>1.5323550337130896E-2</v>
      </c>
      <c r="V40" s="568">
        <f>'MASTER SHEET -MARATHA SITE'!AB29</f>
        <v>1.7569764240874211E-2</v>
      </c>
      <c r="W40" s="568">
        <f>'MASTER SHEET -MARATHA SITE'!AC29</f>
        <v>1.5900218088816552E-2</v>
      </c>
      <c r="X40" s="568">
        <f>'MASTER SHEET -MARATHA SITE'!AD29</f>
        <v>1.1356634271099742E-2</v>
      </c>
      <c r="Y40" s="568">
        <f>'MASTER SHEET -MARATHA SITE'!AE29</f>
        <v>7.231599627993488E-3</v>
      </c>
      <c r="Z40" s="97">
        <f>'MASTER SHEET -MARATHA SITE'!AF29</f>
        <v>5.1621064868635194E-4</v>
      </c>
      <c r="AA40" s="710"/>
      <c r="AB40" s="710"/>
    </row>
    <row r="41" spans="1:28" hidden="1">
      <c r="A41" s="80"/>
      <c r="B41" s="565" t="s">
        <v>19</v>
      </c>
      <c r="C41" s="619"/>
      <c r="D41" s="611">
        <f>'MASTER SHEET -MARATHA SITE'!J30</f>
        <v>0</v>
      </c>
      <c r="E41" s="568">
        <f>'MASTER SHEET -MARATHA SITE'!K30</f>
        <v>0</v>
      </c>
      <c r="F41" s="568">
        <f>'MASTER SHEET -MARATHA SITE'!L30</f>
        <v>0</v>
      </c>
      <c r="G41" s="568">
        <f>'MASTER SHEET -MARATHA SITE'!M30</f>
        <v>0</v>
      </c>
      <c r="H41" s="568">
        <f>'MASTER SHEET -MARATHA SITE'!N30</f>
        <v>0</v>
      </c>
      <c r="I41" s="568">
        <f>'MASTER SHEET -MARATHA SITE'!O30</f>
        <v>0</v>
      </c>
      <c r="J41" s="568">
        <f>'MASTER SHEET -MARATHA SITE'!P30</f>
        <v>0</v>
      </c>
      <c r="K41" s="568">
        <f>'MASTER SHEET -MARATHA SITE'!Q30</f>
        <v>0</v>
      </c>
      <c r="L41" s="568">
        <f>'MASTER SHEET -MARATHA SITE'!R30</f>
        <v>0</v>
      </c>
      <c r="M41" s="568">
        <f>'MASTER SHEET -MARATHA SITE'!S30</f>
        <v>0</v>
      </c>
      <c r="N41" s="568">
        <f>'MASTER SHEET -MARATHA SITE'!T30</f>
        <v>0</v>
      </c>
      <c r="O41" s="568">
        <f>'MASTER SHEET -MARATHA SITE'!U30</f>
        <v>0</v>
      </c>
      <c r="P41" s="568">
        <f>'MASTER SHEET -MARATHA SITE'!V30</f>
        <v>0</v>
      </c>
      <c r="Q41" s="568">
        <f>'MASTER SHEET -MARATHA SITE'!W30</f>
        <v>0</v>
      </c>
      <c r="R41" s="838">
        <f>'MASTER SHEET -MARATHA SITE'!X30</f>
        <v>0</v>
      </c>
      <c r="S41" s="838">
        <f>'MASTER SHEET -MARATHA SITE'!Y30</f>
        <v>0</v>
      </c>
      <c r="T41" s="849">
        <f>'MASTER SHEET -MARATHA SITE'!Z30</f>
        <v>3.4853535827269306E-3</v>
      </c>
      <c r="U41" s="568">
        <f>'MASTER SHEET -MARATHA SITE'!AA30</f>
        <v>6.4612954138766913E-3</v>
      </c>
      <c r="V41" s="568">
        <f>'MASTER SHEET -MARATHA SITE'!AB30</f>
        <v>8.9984011890496696E-3</v>
      </c>
      <c r="W41" s="568">
        <f>'MASTER SHEET -MARATHA SITE'!AC30</f>
        <v>9.8100216884541482E-3</v>
      </c>
      <c r="X41" s="568">
        <f>'MASTER SHEET -MARATHA SITE'!AD30</f>
        <v>7.4294491868563926E-3</v>
      </c>
      <c r="Y41" s="568">
        <f>'MASTER SHEET -MARATHA SITE'!AE30</f>
        <v>2.9738305923924829E-3</v>
      </c>
      <c r="Z41" s="97">
        <f>'MASTER SHEET -MARATHA SITE'!AF30</f>
        <v>8.4164834664368843E-4</v>
      </c>
      <c r="AA41" s="710"/>
      <c r="AB41" s="710"/>
    </row>
    <row r="42" spans="1:28" hidden="1">
      <c r="A42" s="80"/>
      <c r="B42" s="565" t="s">
        <v>19</v>
      </c>
      <c r="C42" s="619"/>
      <c r="D42" s="611">
        <f>'MASTER SHEET -MARATHA SITE'!J31</f>
        <v>0</v>
      </c>
      <c r="E42" s="568">
        <f>'MASTER SHEET -MARATHA SITE'!K31</f>
        <v>0</v>
      </c>
      <c r="F42" s="568">
        <f>'MASTER SHEET -MARATHA SITE'!L31</f>
        <v>0</v>
      </c>
      <c r="G42" s="568">
        <f>'MASTER SHEET -MARATHA SITE'!M31</f>
        <v>0</v>
      </c>
      <c r="H42" s="568">
        <f>'MASTER SHEET -MARATHA SITE'!N31</f>
        <v>0</v>
      </c>
      <c r="I42" s="568">
        <f>'MASTER SHEET -MARATHA SITE'!O31</f>
        <v>0</v>
      </c>
      <c r="J42" s="568">
        <f>'MASTER SHEET -MARATHA SITE'!P31</f>
        <v>0</v>
      </c>
      <c r="K42" s="568">
        <f>'MASTER SHEET -MARATHA SITE'!Q31</f>
        <v>0</v>
      </c>
      <c r="L42" s="568">
        <f>'MASTER SHEET -MARATHA SITE'!R31</f>
        <v>0</v>
      </c>
      <c r="M42" s="568">
        <f>'MASTER SHEET -MARATHA SITE'!S31</f>
        <v>0</v>
      </c>
      <c r="N42" s="568">
        <f>'MASTER SHEET -MARATHA SITE'!T31</f>
        <v>0</v>
      </c>
      <c r="O42" s="568">
        <f>'MASTER SHEET -MARATHA SITE'!U31</f>
        <v>0</v>
      </c>
      <c r="P42" s="568">
        <f>'MASTER SHEET -MARATHA SITE'!V31</f>
        <v>0</v>
      </c>
      <c r="Q42" s="568">
        <f>'MASTER SHEET -MARATHA SITE'!W31</f>
        <v>0</v>
      </c>
      <c r="R42" s="838">
        <f>'MASTER SHEET -MARATHA SITE'!X31</f>
        <v>0</v>
      </c>
      <c r="S42" s="838">
        <f>'MASTER SHEET -MARATHA SITE'!Y31</f>
        <v>5.5400111919418017E-4</v>
      </c>
      <c r="T42" s="849">
        <f>'MASTER SHEET -MARATHA SITE'!Z31</f>
        <v>1.0296586457750419E-3</v>
      </c>
      <c r="U42" s="568">
        <f>'MASTER SHEET -MARATHA SITE'!AA31</f>
        <v>1.4258533855623951E-3</v>
      </c>
      <c r="V42" s="568">
        <f>'MASTER SHEET -MARATHA SITE'!AB31</f>
        <v>1.7425853385562395E-3</v>
      </c>
      <c r="W42" s="568">
        <f>'MASTER SHEET -MARATHA SITE'!AC31</f>
        <v>1.5243424734191382E-3</v>
      </c>
      <c r="X42" s="568">
        <f>'MASTER SHEET -MARATHA SITE'!AD31</f>
        <v>1.9485170677112477E-3</v>
      </c>
      <c r="Y42" s="568">
        <f>'MASTER SHEET -MARATHA SITE'!AE31</f>
        <v>1.6127588136541689E-3</v>
      </c>
      <c r="Z42" s="97">
        <f>'MASTER SHEET -MARATHA SITE'!AF31</f>
        <v>1.6228315612758812E-4</v>
      </c>
      <c r="AA42" s="710"/>
      <c r="AB42" s="710"/>
    </row>
    <row r="43" spans="1:28" hidden="1">
      <c r="A43" s="80"/>
      <c r="B43" s="565" t="s">
        <v>19</v>
      </c>
      <c r="C43" s="619"/>
      <c r="D43" s="611">
        <f>'MASTER SHEET -MARATHA SITE'!J32</f>
        <v>0</v>
      </c>
      <c r="E43" s="568">
        <f>'MASTER SHEET -MARATHA SITE'!K32</f>
        <v>0</v>
      </c>
      <c r="F43" s="568">
        <f>'MASTER SHEET -MARATHA SITE'!L32</f>
        <v>0</v>
      </c>
      <c r="G43" s="568">
        <f>'MASTER SHEET -MARATHA SITE'!M32</f>
        <v>0</v>
      </c>
      <c r="H43" s="568">
        <f>'MASTER SHEET -MARATHA SITE'!N32</f>
        <v>0</v>
      </c>
      <c r="I43" s="568">
        <f>'MASTER SHEET -MARATHA SITE'!O32</f>
        <v>0</v>
      </c>
      <c r="J43" s="568">
        <f>'MASTER SHEET -MARATHA SITE'!P32</f>
        <v>0</v>
      </c>
      <c r="K43" s="568">
        <f>'MASTER SHEET -MARATHA SITE'!Q32</f>
        <v>0</v>
      </c>
      <c r="L43" s="568">
        <f>'MASTER SHEET -MARATHA SITE'!R32</f>
        <v>0</v>
      </c>
      <c r="M43" s="568">
        <f>'MASTER SHEET -MARATHA SITE'!S32</f>
        <v>0</v>
      </c>
      <c r="N43" s="568">
        <f>'MASTER SHEET -MARATHA SITE'!T32</f>
        <v>0</v>
      </c>
      <c r="O43" s="568">
        <f>'MASTER SHEET -MARATHA SITE'!U32</f>
        <v>0</v>
      </c>
      <c r="P43" s="568">
        <f>'MASTER SHEET -MARATHA SITE'!V32</f>
        <v>0</v>
      </c>
      <c r="Q43" s="568">
        <f>'MASTER SHEET -MARATHA SITE'!W32</f>
        <v>0</v>
      </c>
      <c r="R43" s="838">
        <f>'MASTER SHEET -MARATHA SITE'!X32</f>
        <v>0</v>
      </c>
      <c r="S43" s="838">
        <f>'MASTER SHEET -MARATHA SITE'!Y32</f>
        <v>0</v>
      </c>
      <c r="T43" s="849">
        <f>'MASTER SHEET -MARATHA SITE'!Z32</f>
        <v>0</v>
      </c>
      <c r="U43" s="568">
        <f>'MASTER SHEET -MARATHA SITE'!AA32</f>
        <v>0</v>
      </c>
      <c r="V43" s="568">
        <f>'MASTER SHEET -MARATHA SITE'!AB32</f>
        <v>0</v>
      </c>
      <c r="W43" s="568">
        <f>'MASTER SHEET -MARATHA SITE'!AC32</f>
        <v>0</v>
      </c>
      <c r="X43" s="568">
        <f>'MASTER SHEET -MARATHA SITE'!AD32</f>
        <v>0</v>
      </c>
      <c r="Y43" s="568">
        <f>'MASTER SHEET -MARATHA SITE'!AE32</f>
        <v>0</v>
      </c>
      <c r="Z43" s="97">
        <f>'MASTER SHEET -MARATHA SITE'!AF32</f>
        <v>0</v>
      </c>
      <c r="AA43" s="710"/>
      <c r="AB43" s="710"/>
    </row>
    <row r="44" spans="1:28" hidden="1">
      <c r="A44" s="80"/>
      <c r="B44" s="565" t="s">
        <v>19</v>
      </c>
      <c r="C44" s="625"/>
      <c r="D44" s="611">
        <f>'MASTER SHEET -MARATHA SITE'!J33</f>
        <v>0</v>
      </c>
      <c r="E44" s="568">
        <f>'MASTER SHEET -MARATHA SITE'!K33</f>
        <v>0</v>
      </c>
      <c r="F44" s="568">
        <f>'MASTER SHEET -MARATHA SITE'!L33</f>
        <v>0</v>
      </c>
      <c r="G44" s="568">
        <f>'MASTER SHEET -MARATHA SITE'!M33</f>
        <v>0</v>
      </c>
      <c r="H44" s="568">
        <f>'MASTER SHEET -MARATHA SITE'!N33</f>
        <v>0</v>
      </c>
      <c r="I44" s="568">
        <f>'MASTER SHEET -MARATHA SITE'!O33</f>
        <v>0</v>
      </c>
      <c r="J44" s="568">
        <f>'MASTER SHEET -MARATHA SITE'!P33</f>
        <v>0</v>
      </c>
      <c r="K44" s="568">
        <f>'MASTER SHEET -MARATHA SITE'!Q33</f>
        <v>0</v>
      </c>
      <c r="L44" s="568">
        <f>'MASTER SHEET -MARATHA SITE'!R33</f>
        <v>0</v>
      </c>
      <c r="M44" s="568">
        <f>'MASTER SHEET -MARATHA SITE'!S33</f>
        <v>0</v>
      </c>
      <c r="N44" s="568">
        <f>'MASTER SHEET -MARATHA SITE'!T33</f>
        <v>0</v>
      </c>
      <c r="O44" s="568">
        <f>'MASTER SHEET -MARATHA SITE'!U33</f>
        <v>0</v>
      </c>
      <c r="P44" s="568">
        <f>'MASTER SHEET -MARATHA SITE'!V33</f>
        <v>0</v>
      </c>
      <c r="Q44" s="568">
        <f>'MASTER SHEET -MARATHA SITE'!W33</f>
        <v>0</v>
      </c>
      <c r="R44" s="838">
        <f>'MASTER SHEET -MARATHA SITE'!X33</f>
        <v>0</v>
      </c>
      <c r="S44" s="838">
        <f>'MASTER SHEET -MARATHA SITE'!Y33</f>
        <v>0</v>
      </c>
      <c r="T44" s="849">
        <f>'MASTER SHEET -MARATHA SITE'!Z33</f>
        <v>0</v>
      </c>
      <c r="U44" s="568">
        <f>'MASTER SHEET -MARATHA SITE'!AA33</f>
        <v>0</v>
      </c>
      <c r="V44" s="568">
        <f>'MASTER SHEET -MARATHA SITE'!AB33</f>
        <v>0</v>
      </c>
      <c r="W44" s="568">
        <f>'MASTER SHEET -MARATHA SITE'!AC33</f>
        <v>0</v>
      </c>
      <c r="X44" s="568">
        <f>'MASTER SHEET -MARATHA SITE'!AD33</f>
        <v>0</v>
      </c>
      <c r="Y44" s="568">
        <f>'MASTER SHEET -MARATHA SITE'!AE33</f>
        <v>0</v>
      </c>
      <c r="Z44" s="97">
        <f>'MASTER SHEET -MARATHA SITE'!AF33</f>
        <v>0</v>
      </c>
      <c r="AA44" s="710"/>
      <c r="AB44" s="710"/>
    </row>
    <row r="45" spans="1:28" hidden="1">
      <c r="A45" s="80"/>
      <c r="B45" s="565" t="s">
        <v>19</v>
      </c>
      <c r="C45" s="625"/>
      <c r="D45" s="611">
        <f>'MASTER SHEET -MARATHA SITE'!J34</f>
        <v>0</v>
      </c>
      <c r="E45" s="568">
        <f>'MASTER SHEET -MARATHA SITE'!K34</f>
        <v>0</v>
      </c>
      <c r="F45" s="568">
        <f>'MASTER SHEET -MARATHA SITE'!L34</f>
        <v>0</v>
      </c>
      <c r="G45" s="568">
        <f>'MASTER SHEET -MARATHA SITE'!M34</f>
        <v>0</v>
      </c>
      <c r="H45" s="568">
        <f>'MASTER SHEET -MARATHA SITE'!N34</f>
        <v>0</v>
      </c>
      <c r="I45" s="568">
        <f>'MASTER SHEET -MARATHA SITE'!O34</f>
        <v>0</v>
      </c>
      <c r="J45" s="568">
        <f>'MASTER SHEET -MARATHA SITE'!P34</f>
        <v>0</v>
      </c>
      <c r="K45" s="568">
        <f>'MASTER SHEET -MARATHA SITE'!Q34</f>
        <v>0</v>
      </c>
      <c r="L45" s="568">
        <f>'MASTER SHEET -MARATHA SITE'!R34</f>
        <v>0</v>
      </c>
      <c r="M45" s="568">
        <f>'MASTER SHEET -MARATHA SITE'!S34</f>
        <v>0</v>
      </c>
      <c r="N45" s="568">
        <f>'MASTER SHEET -MARATHA SITE'!T34</f>
        <v>0</v>
      </c>
      <c r="O45" s="568">
        <f>'MASTER SHEET -MARATHA SITE'!U34</f>
        <v>0</v>
      </c>
      <c r="P45" s="568">
        <f>'MASTER SHEET -MARATHA SITE'!V34</f>
        <v>0</v>
      </c>
      <c r="Q45" s="568">
        <f>'MASTER SHEET -MARATHA SITE'!W34</f>
        <v>0</v>
      </c>
      <c r="R45" s="838">
        <f>'MASTER SHEET -MARATHA SITE'!X34</f>
        <v>0</v>
      </c>
      <c r="S45" s="838">
        <f>'MASTER SHEET -MARATHA SITE'!Y34</f>
        <v>0</v>
      </c>
      <c r="T45" s="849">
        <f>'MASTER SHEET -MARATHA SITE'!Z34</f>
        <v>0</v>
      </c>
      <c r="U45" s="568">
        <f>'MASTER SHEET -MARATHA SITE'!AA34</f>
        <v>0</v>
      </c>
      <c r="V45" s="568">
        <f>'MASTER SHEET -MARATHA SITE'!AB34</f>
        <v>0</v>
      </c>
      <c r="W45" s="568">
        <f>'MASTER SHEET -MARATHA SITE'!AC34</f>
        <v>0</v>
      </c>
      <c r="X45" s="568">
        <f>'MASTER SHEET -MARATHA SITE'!AD34</f>
        <v>0</v>
      </c>
      <c r="Y45" s="568">
        <f>'MASTER SHEET -MARATHA SITE'!AE34</f>
        <v>0</v>
      </c>
      <c r="Z45" s="97">
        <f>'MASTER SHEET -MARATHA SITE'!AF34</f>
        <v>0</v>
      </c>
      <c r="AA45" s="710"/>
      <c r="AB45" s="710"/>
    </row>
    <row r="46" spans="1:28" s="5" customFormat="1">
      <c r="A46" s="79"/>
      <c r="B46" s="573" t="s">
        <v>30</v>
      </c>
      <c r="C46" s="624"/>
      <c r="D46" s="592">
        <f t="shared" ref="D46:W46" si="13">SUM(D36:D45)</f>
        <v>0</v>
      </c>
      <c r="E46" s="592">
        <f t="shared" si="13"/>
        <v>0</v>
      </c>
      <c r="F46" s="592">
        <f t="shared" si="13"/>
        <v>1.2949039915987129E-3</v>
      </c>
      <c r="G46" s="592">
        <f t="shared" si="13"/>
        <v>1.9240132462650698E-3</v>
      </c>
      <c r="H46" s="592">
        <f t="shared" si="13"/>
        <v>7.1129304893250962E-4</v>
      </c>
      <c r="I46" s="592">
        <f t="shared" si="13"/>
        <v>1.4965036821066051E-3</v>
      </c>
      <c r="J46" s="592">
        <f t="shared" si="13"/>
        <v>5.9509318673291378E-3</v>
      </c>
      <c r="K46" s="592">
        <f t="shared" si="13"/>
        <v>7.0714688601601653E-3</v>
      </c>
      <c r="L46" s="592">
        <f t="shared" si="13"/>
        <v>7.9026882634287698E-3</v>
      </c>
      <c r="M46" s="592">
        <f t="shared" si="13"/>
        <v>8.8667267776893575E-3</v>
      </c>
      <c r="N46" s="592">
        <f t="shared" si="13"/>
        <v>1.1298969757421139E-2</v>
      </c>
      <c r="O46" s="592">
        <f>SUM(O36:O45)</f>
        <v>1.3577234691817867E-2</v>
      </c>
      <c r="P46" s="592">
        <f>SUM(P36:P45)</f>
        <v>2.6415104370989154E-2</v>
      </c>
      <c r="Q46" s="592">
        <f t="shared" si="13"/>
        <v>3.3416497441007907E-2</v>
      </c>
      <c r="R46" s="592">
        <f t="shared" si="13"/>
        <v>3.3588575479933401E-2</v>
      </c>
      <c r="S46" s="592">
        <f t="shared" si="13"/>
        <v>3.8978674916736344E-2</v>
      </c>
      <c r="T46" s="850">
        <f t="shared" si="13"/>
        <v>4.4881138853854662E-2</v>
      </c>
      <c r="U46" s="592">
        <f t="shared" si="13"/>
        <v>5.0735101557534468E-2</v>
      </c>
      <c r="V46" s="592">
        <f t="shared" si="13"/>
        <v>5.3192911307554568E-2</v>
      </c>
      <c r="W46" s="592">
        <f t="shared" si="13"/>
        <v>4.2083061510811134E-2</v>
      </c>
      <c r="X46" s="592">
        <f>SUM(X36:X45)</f>
        <v>2.8320671523711947E-2</v>
      </c>
      <c r="Y46" s="592">
        <f>SUM(Y36:Y45)</f>
        <v>1.6803386699659389E-2</v>
      </c>
      <c r="Z46" s="100">
        <f>SUM(Z36:Z45)</f>
        <v>1.5201421514576285E-3</v>
      </c>
      <c r="AA46" s="592"/>
      <c r="AB46" s="592"/>
    </row>
    <row r="47" spans="1:28" hidden="1">
      <c r="A47" s="80"/>
      <c r="B47" s="566" t="s">
        <v>19</v>
      </c>
      <c r="C47" s="623"/>
      <c r="D47" s="611">
        <f>'MASTER SHEET -MARATHA SITE'!J64</f>
        <v>0</v>
      </c>
      <c r="E47" s="568">
        <f>'MASTER SHEET -MARATHA SITE'!K64</f>
        <v>0</v>
      </c>
      <c r="F47" s="568">
        <f>'MASTER SHEET -MARATHA SITE'!L64</f>
        <v>1.580697408685106E-3</v>
      </c>
      <c r="G47" s="568">
        <f>'MASTER SHEET -MARATHA SITE'!M64</f>
        <v>3.8700585668655267E-3</v>
      </c>
      <c r="H47" s="568">
        <f>'MASTER SHEET -MARATHA SITE'!N64</f>
        <v>2.6732596609866524E-3</v>
      </c>
      <c r="I47" s="568">
        <f>'MASTER SHEET -MARATHA SITE'!O64</f>
        <v>8.0531388690998598E-4</v>
      </c>
      <c r="J47" s="568">
        <f>'MASTER SHEET -MARATHA SITE'!P64</f>
        <v>2.0390061248127403E-4</v>
      </c>
      <c r="K47" s="568">
        <f>'MASTER SHEET -MARATHA SITE'!Q64</f>
        <v>7.6800485537034403E-5</v>
      </c>
      <c r="L47" s="568">
        <f>'MASTER SHEET -MARATHA SITE'!R64</f>
        <v>3.5022684202950735E-4</v>
      </c>
      <c r="M47" s="568">
        <f>'MASTER SHEET -MARATHA SITE'!S64</f>
        <v>6.5098544168333355E-4</v>
      </c>
      <c r="N47" s="568">
        <f>'MASTER SHEET -MARATHA SITE'!T64</f>
        <v>1.7798174767351166E-3</v>
      </c>
      <c r="O47" s="568">
        <f>'MASTER SHEET -MARATHA SITE'!U64</f>
        <v>1.9588800431496098E-3</v>
      </c>
      <c r="P47" s="568">
        <f>'MASTER SHEET -MARATHA SITE'!V64</f>
        <v>3.4591395955347634E-3</v>
      </c>
      <c r="Q47" s="568">
        <f>'MASTER SHEET -MARATHA SITE'!W64</f>
        <v>1.344580083732275E-3</v>
      </c>
      <c r="R47" s="838">
        <f>'MASTER SHEET -MARATHA SITE'!X64</f>
        <v>1.246371073133496E-3</v>
      </c>
      <c r="S47" s="838">
        <f>'MASTER SHEET -MARATHA SITE'!Y64</f>
        <v>0</v>
      </c>
      <c r="T47" s="849">
        <f>'MASTER SHEET -MARATHA SITE'!Z64</f>
        <v>0</v>
      </c>
      <c r="U47" s="568">
        <f>'MASTER SHEET -MARATHA SITE'!AA64</f>
        <v>0</v>
      </c>
      <c r="V47" s="568">
        <f>'MASTER SHEET -MARATHA SITE'!AB64</f>
        <v>0</v>
      </c>
      <c r="W47" s="568">
        <f>'MASTER SHEET -MARATHA SITE'!AC64</f>
        <v>0</v>
      </c>
      <c r="X47" s="568">
        <f>'MASTER SHEET -MARATHA SITE'!AD64</f>
        <v>0</v>
      </c>
      <c r="Y47" s="568">
        <f>'MASTER SHEET -MARATHA SITE'!AE64</f>
        <v>0</v>
      </c>
      <c r="Z47" s="97">
        <f>'MASTER SHEET -MARATHA SITE'!AF64</f>
        <v>0</v>
      </c>
      <c r="AA47" s="710"/>
      <c r="AB47" s="710"/>
    </row>
    <row r="48" spans="1:28" hidden="1">
      <c r="A48" s="80"/>
      <c r="B48" s="566" t="s">
        <v>19</v>
      </c>
      <c r="C48" s="619"/>
      <c r="D48" s="611">
        <f>'MASTER SHEET -MARATHA SITE'!J65</f>
        <v>0</v>
      </c>
      <c r="E48" s="568">
        <f>'MASTER SHEET -MARATHA SITE'!K65</f>
        <v>0</v>
      </c>
      <c r="F48" s="568">
        <f>'MASTER SHEET -MARATHA SITE'!L65</f>
        <v>0</v>
      </c>
      <c r="G48" s="568">
        <f>'MASTER SHEET -MARATHA SITE'!M65</f>
        <v>0</v>
      </c>
      <c r="H48" s="568">
        <f>'MASTER SHEET -MARATHA SITE'!N65</f>
        <v>5.5112743972445455E-4</v>
      </c>
      <c r="I48" s="568">
        <f>'MASTER SHEET -MARATHA SITE'!O65</f>
        <v>1.2417590126291617E-3</v>
      </c>
      <c r="J48" s="568">
        <f>'MASTER SHEET -MARATHA SITE'!P65</f>
        <v>5.401048909299655E-3</v>
      </c>
      <c r="K48" s="568">
        <f>'MASTER SHEET -MARATHA SITE'!Q65</f>
        <v>6.384466934557978E-3</v>
      </c>
      <c r="L48" s="568">
        <f>'MASTER SHEET -MARATHA SITE'!R65</f>
        <v>6.1123477611940286E-3</v>
      </c>
      <c r="M48" s="568">
        <f>'MASTER SHEET -MARATHA SITE'!S65</f>
        <v>6.7254770378874845E-3</v>
      </c>
      <c r="N48" s="568">
        <f>'MASTER SHEET -MARATHA SITE'!T65</f>
        <v>5.4923293915040174E-3</v>
      </c>
      <c r="O48" s="568">
        <f>'MASTER SHEET -MARATHA SITE'!U65</f>
        <v>5.5784430539609631E-3</v>
      </c>
      <c r="P48" s="568">
        <f>'MASTER SHEET -MARATHA SITE'!V65</f>
        <v>7.3265504018369676E-3</v>
      </c>
      <c r="Q48" s="568">
        <f>'MASTER SHEET -MARATHA SITE'!W65</f>
        <v>5.6731680826636044E-3</v>
      </c>
      <c r="R48" s="838">
        <f>'MASTER SHEET -MARATHA SITE'!X65</f>
        <v>5.0135374282433975E-3</v>
      </c>
      <c r="S48" s="838">
        <f>'MASTER SHEET -MARATHA SITE'!Y65</f>
        <v>4.734529161882892E-3</v>
      </c>
      <c r="T48" s="849">
        <f>'MASTER SHEET -MARATHA SITE'!Z65</f>
        <v>3.8751148105625711E-4</v>
      </c>
      <c r="U48" s="568">
        <f>'MASTER SHEET -MARATHA SITE'!AA65</f>
        <v>0</v>
      </c>
      <c r="V48" s="568">
        <f>'MASTER SHEET -MARATHA SITE'!AB65</f>
        <v>0</v>
      </c>
      <c r="W48" s="568">
        <f>'MASTER SHEET -MARATHA SITE'!AC65</f>
        <v>0</v>
      </c>
      <c r="X48" s="568">
        <f>'MASTER SHEET -MARATHA SITE'!AD65</f>
        <v>0</v>
      </c>
      <c r="Y48" s="568">
        <f>'MASTER SHEET -MARATHA SITE'!AE65</f>
        <v>0</v>
      </c>
      <c r="Z48" s="97">
        <f>'MASTER SHEET -MARATHA SITE'!AF65</f>
        <v>0</v>
      </c>
      <c r="AA48" s="710"/>
      <c r="AB48" s="710"/>
    </row>
    <row r="49" spans="1:31" hidden="1">
      <c r="A49" s="80"/>
      <c r="B49" s="566" t="s">
        <v>19</v>
      </c>
      <c r="C49" s="619"/>
      <c r="D49" s="611">
        <f>'MASTER SHEET -MARATHA SITE'!J66</f>
        <v>0</v>
      </c>
      <c r="E49" s="568">
        <f>'MASTER SHEET -MARATHA SITE'!K66</f>
        <v>0</v>
      </c>
      <c r="F49" s="568">
        <f>'MASTER SHEET -MARATHA SITE'!L66</f>
        <v>0</v>
      </c>
      <c r="G49" s="568">
        <f>'MASTER SHEET -MARATHA SITE'!M66</f>
        <v>0</v>
      </c>
      <c r="H49" s="568">
        <f>'MASTER SHEET -MARATHA SITE'!N66</f>
        <v>0</v>
      </c>
      <c r="I49" s="568">
        <f>'MASTER SHEET -MARATHA SITE'!O66</f>
        <v>0</v>
      </c>
      <c r="J49" s="568">
        <f>'MASTER SHEET -MARATHA SITE'!P66</f>
        <v>0</v>
      </c>
      <c r="K49" s="568">
        <f>'MASTER SHEET -MARATHA SITE'!Q66</f>
        <v>0</v>
      </c>
      <c r="L49" s="568">
        <f>'MASTER SHEET -MARATHA SITE'!R66</f>
        <v>0</v>
      </c>
      <c r="M49" s="568">
        <f>'MASTER SHEET -MARATHA SITE'!S66</f>
        <v>2.7593818984547461E-4</v>
      </c>
      <c r="N49" s="568">
        <f>'MASTER SHEET -MARATHA SITE'!T66</f>
        <v>4.3361715547146011E-4</v>
      </c>
      <c r="O49" s="568">
        <f>'MASTER SHEET -MARATHA SITE'!U66</f>
        <v>5.912961210974456E-4</v>
      </c>
      <c r="P49" s="568">
        <f>'MASTER SHEET -MARATHA SITE'!V66</f>
        <v>1.5058341217281616E-3</v>
      </c>
      <c r="Q49" s="568">
        <f>'MASTER SHEET -MARATHA SITE'!W66</f>
        <v>1.8606117943866288E-3</v>
      </c>
      <c r="R49" s="838">
        <f>'MASTER SHEET -MARATHA SITE'!X66</f>
        <v>8.7511825922421949E-4</v>
      </c>
      <c r="S49" s="838">
        <f>'MASTER SHEET -MARATHA SITE'!Y66</f>
        <v>1.4427625354777674E-3</v>
      </c>
      <c r="T49" s="849">
        <f>'MASTER SHEET -MARATHA SITE'!Z66</f>
        <v>0</v>
      </c>
      <c r="U49" s="568">
        <f>'MASTER SHEET -MARATHA SITE'!AA66</f>
        <v>0</v>
      </c>
      <c r="V49" s="568">
        <f>'MASTER SHEET -MARATHA SITE'!AB66</f>
        <v>0</v>
      </c>
      <c r="W49" s="568">
        <f>'MASTER SHEET -MARATHA SITE'!AC66</f>
        <v>0</v>
      </c>
      <c r="X49" s="568">
        <f>'MASTER SHEET -MARATHA SITE'!AD66</f>
        <v>0</v>
      </c>
      <c r="Y49" s="568">
        <f>'MASTER SHEET -MARATHA SITE'!AE66</f>
        <v>0</v>
      </c>
      <c r="Z49" s="97">
        <f>'MASTER SHEET -MARATHA SITE'!AF66</f>
        <v>0</v>
      </c>
      <c r="AA49" s="710"/>
      <c r="AB49" s="710"/>
    </row>
    <row r="50" spans="1:31" hidden="1">
      <c r="A50" s="80"/>
      <c r="B50" s="566" t="s">
        <v>19</v>
      </c>
      <c r="C50" s="619"/>
      <c r="D50" s="611">
        <f>'MASTER SHEET -MARATHA SITE'!J67</f>
        <v>0</v>
      </c>
      <c r="E50" s="568">
        <f>'MASTER SHEET -MARATHA SITE'!K67</f>
        <v>0</v>
      </c>
      <c r="F50" s="568">
        <f>'MASTER SHEET -MARATHA SITE'!L67</f>
        <v>0</v>
      </c>
      <c r="G50" s="568">
        <f>'MASTER SHEET -MARATHA SITE'!M67</f>
        <v>0</v>
      </c>
      <c r="H50" s="568">
        <f>'MASTER SHEET -MARATHA SITE'!N67</f>
        <v>0</v>
      </c>
      <c r="I50" s="568">
        <f>'MASTER SHEET -MARATHA SITE'!O67</f>
        <v>0</v>
      </c>
      <c r="J50" s="568">
        <f>'MASTER SHEET -MARATHA SITE'!P67</f>
        <v>0</v>
      </c>
      <c r="K50" s="568">
        <f>'MASTER SHEET -MARATHA SITE'!Q67</f>
        <v>0</v>
      </c>
      <c r="L50" s="568">
        <f>'MASTER SHEET -MARATHA SITE'!R67</f>
        <v>0</v>
      </c>
      <c r="M50" s="568">
        <f>'MASTER SHEET -MARATHA SITE'!S67</f>
        <v>0</v>
      </c>
      <c r="N50" s="568">
        <f>'MASTER SHEET -MARATHA SITE'!T67</f>
        <v>0</v>
      </c>
      <c r="O50" s="568">
        <f>'MASTER SHEET -MARATHA SITE'!U67</f>
        <v>1.0046878737144224E-5</v>
      </c>
      <c r="P50" s="568">
        <f>'MASTER SHEET -MARATHA SITE'!V67</f>
        <v>0</v>
      </c>
      <c r="Q50" s="568">
        <f>'MASTER SHEET -MARATHA SITE'!W67</f>
        <v>1.16543793350873E-3</v>
      </c>
      <c r="R50" s="838">
        <f>'MASTER SHEET -MARATHA SITE'!X67</f>
        <v>6.1955752212389378E-4</v>
      </c>
      <c r="S50" s="838">
        <f>'MASTER SHEET -MARATHA SITE'!Y67</f>
        <v>2.8131260464003827E-4</v>
      </c>
      <c r="T50" s="849">
        <f>'MASTER SHEET -MARATHA SITE'!Z67</f>
        <v>0</v>
      </c>
      <c r="U50" s="568">
        <f>'MASTER SHEET -MARATHA SITE'!AA67</f>
        <v>0</v>
      </c>
      <c r="V50" s="568">
        <f>'MASTER SHEET -MARATHA SITE'!AB67</f>
        <v>0</v>
      </c>
      <c r="W50" s="568">
        <f>'MASTER SHEET -MARATHA SITE'!AC67</f>
        <v>0</v>
      </c>
      <c r="X50" s="568">
        <f>'MASTER SHEET -MARATHA SITE'!AD67</f>
        <v>0</v>
      </c>
      <c r="Y50" s="568">
        <f>'MASTER SHEET -MARATHA SITE'!AE67</f>
        <v>0</v>
      </c>
      <c r="Z50" s="97">
        <f>'MASTER SHEET -MARATHA SITE'!AF67</f>
        <v>0</v>
      </c>
      <c r="AA50" s="710"/>
      <c r="AB50" s="710"/>
    </row>
    <row r="51" spans="1:31" hidden="1">
      <c r="A51" s="80"/>
      <c r="B51" s="566" t="s">
        <v>19</v>
      </c>
      <c r="C51" s="619"/>
      <c r="D51" s="611">
        <f>'MASTER SHEET -MARATHA SITE'!J68</f>
        <v>0</v>
      </c>
      <c r="E51" s="568">
        <f>'MASTER SHEET -MARATHA SITE'!K68</f>
        <v>0</v>
      </c>
      <c r="F51" s="568">
        <f>'MASTER SHEET -MARATHA SITE'!L68</f>
        <v>0</v>
      </c>
      <c r="G51" s="568">
        <f>'MASTER SHEET -MARATHA SITE'!M68</f>
        <v>0</v>
      </c>
      <c r="H51" s="568">
        <f>'MASTER SHEET -MARATHA SITE'!N68</f>
        <v>0</v>
      </c>
      <c r="I51" s="568">
        <f>'MASTER SHEET -MARATHA SITE'!O68</f>
        <v>0</v>
      </c>
      <c r="J51" s="568">
        <f>'MASTER SHEET -MARATHA SITE'!P68</f>
        <v>0</v>
      </c>
      <c r="K51" s="568">
        <f>'MASTER SHEET -MARATHA SITE'!Q68</f>
        <v>0</v>
      </c>
      <c r="L51" s="568">
        <f>'MASTER SHEET -MARATHA SITE'!R68</f>
        <v>0</v>
      </c>
      <c r="M51" s="568">
        <f>'MASTER SHEET -MARATHA SITE'!S68</f>
        <v>0</v>
      </c>
      <c r="N51" s="568">
        <f>'MASTER SHEET -MARATHA SITE'!T68</f>
        <v>0</v>
      </c>
      <c r="O51" s="568">
        <f>'MASTER SHEET -MARATHA SITE'!U68</f>
        <v>1.2649486166007903E-3</v>
      </c>
      <c r="P51" s="568">
        <f>'MASTER SHEET -MARATHA SITE'!V68</f>
        <v>2.534547779586142E-3</v>
      </c>
      <c r="Q51" s="568">
        <f>'MASTER SHEET -MARATHA SITE'!W68</f>
        <v>2.1159986049755866E-3</v>
      </c>
      <c r="R51" s="838">
        <f>'MASTER SHEET -MARATHA SITE'!X68</f>
        <v>2.9763496861195065E-4</v>
      </c>
      <c r="S51" s="838">
        <f>'MASTER SHEET -MARATHA SITE'!Y68</f>
        <v>2.4182841199720988E-3</v>
      </c>
      <c r="T51" s="849">
        <f>'MASTER SHEET -MARATHA SITE'!Z68</f>
        <v>0</v>
      </c>
      <c r="U51" s="568">
        <f>'MASTER SHEET -MARATHA SITE'!AA68</f>
        <v>0</v>
      </c>
      <c r="V51" s="568">
        <f>'MASTER SHEET -MARATHA SITE'!AB68</f>
        <v>0</v>
      </c>
      <c r="W51" s="568">
        <f>'MASTER SHEET -MARATHA SITE'!AC68</f>
        <v>0</v>
      </c>
      <c r="X51" s="568">
        <f>'MASTER SHEET -MARATHA SITE'!AD68</f>
        <v>0</v>
      </c>
      <c r="Y51" s="568">
        <f>'MASTER SHEET -MARATHA SITE'!AE68</f>
        <v>0</v>
      </c>
      <c r="Z51" s="97">
        <f>'MASTER SHEET -MARATHA SITE'!AF68</f>
        <v>0</v>
      </c>
      <c r="AA51" s="710"/>
      <c r="AB51" s="710"/>
    </row>
    <row r="52" spans="1:31" hidden="1">
      <c r="A52" s="80"/>
      <c r="B52" s="566" t="s">
        <v>19</v>
      </c>
      <c r="C52" s="619"/>
      <c r="D52" s="611">
        <f>'MASTER SHEET -MARATHA SITE'!J69</f>
        <v>0</v>
      </c>
      <c r="E52" s="568">
        <f>'MASTER SHEET -MARATHA SITE'!K69</f>
        <v>0</v>
      </c>
      <c r="F52" s="568">
        <f>'MASTER SHEET -MARATHA SITE'!L69</f>
        <v>0</v>
      </c>
      <c r="G52" s="568">
        <f>'MASTER SHEET -MARATHA SITE'!M69</f>
        <v>0</v>
      </c>
      <c r="H52" s="568">
        <f>'MASTER SHEET -MARATHA SITE'!N69</f>
        <v>0</v>
      </c>
      <c r="I52" s="568">
        <f>'MASTER SHEET -MARATHA SITE'!O69</f>
        <v>0</v>
      </c>
      <c r="J52" s="568">
        <f>'MASTER SHEET -MARATHA SITE'!P69</f>
        <v>0</v>
      </c>
      <c r="K52" s="568">
        <f>'MASTER SHEET -MARATHA SITE'!Q69</f>
        <v>0</v>
      </c>
      <c r="L52" s="568">
        <f>'MASTER SHEET -MARATHA SITE'!R69</f>
        <v>0</v>
      </c>
      <c r="M52" s="568">
        <f>'MASTER SHEET -MARATHA SITE'!S69</f>
        <v>0</v>
      </c>
      <c r="N52" s="568">
        <f>'MASTER SHEET -MARATHA SITE'!T69</f>
        <v>0</v>
      </c>
      <c r="O52" s="568">
        <f>'MASTER SHEET -MARATHA SITE'!U69</f>
        <v>0</v>
      </c>
      <c r="P52" s="568">
        <f>'MASTER SHEET -MARATHA SITE'!V69</f>
        <v>0</v>
      </c>
      <c r="Q52" s="568">
        <f>'MASTER SHEET -MARATHA SITE'!W69</f>
        <v>0</v>
      </c>
      <c r="R52" s="838">
        <f>'MASTER SHEET -MARATHA SITE'!X69</f>
        <v>0</v>
      </c>
      <c r="S52" s="838">
        <f>'MASTER SHEET -MARATHA SITE'!Y69</f>
        <v>0</v>
      </c>
      <c r="T52" s="849">
        <f>'MASTER SHEET -MARATHA SITE'!Z69</f>
        <v>0</v>
      </c>
      <c r="U52" s="568">
        <f>'MASTER SHEET -MARATHA SITE'!AA69</f>
        <v>0</v>
      </c>
      <c r="V52" s="568">
        <f>'MASTER SHEET -MARATHA SITE'!AB69</f>
        <v>0</v>
      </c>
      <c r="W52" s="568">
        <f>'MASTER SHEET -MARATHA SITE'!AC69</f>
        <v>0</v>
      </c>
      <c r="X52" s="568">
        <f>'MASTER SHEET -MARATHA SITE'!AD69</f>
        <v>0</v>
      </c>
      <c r="Y52" s="568">
        <f>'MASTER SHEET -MARATHA SITE'!AE69</f>
        <v>0</v>
      </c>
      <c r="Z52" s="97">
        <f>'MASTER SHEET -MARATHA SITE'!AF69</f>
        <v>0</v>
      </c>
      <c r="AA52" s="710"/>
      <c r="AB52" s="710"/>
    </row>
    <row r="53" spans="1:31" hidden="1">
      <c r="A53" s="80"/>
      <c r="B53" s="566" t="s">
        <v>19</v>
      </c>
      <c r="C53" s="619"/>
      <c r="D53" s="611">
        <f>'MASTER SHEET -MARATHA SITE'!J70</f>
        <v>0</v>
      </c>
      <c r="E53" s="568">
        <f>'MASTER SHEET -MARATHA SITE'!K70</f>
        <v>0</v>
      </c>
      <c r="F53" s="568">
        <f>'MASTER SHEET -MARATHA SITE'!L70</f>
        <v>0</v>
      </c>
      <c r="G53" s="568">
        <f>'MASTER SHEET -MARATHA SITE'!M70</f>
        <v>0</v>
      </c>
      <c r="H53" s="568">
        <f>'MASTER SHEET -MARATHA SITE'!N70</f>
        <v>0</v>
      </c>
      <c r="I53" s="568">
        <f>'MASTER SHEET -MARATHA SITE'!O70</f>
        <v>0</v>
      </c>
      <c r="J53" s="568">
        <f>'MASTER SHEET -MARATHA SITE'!P70</f>
        <v>0</v>
      </c>
      <c r="K53" s="568">
        <f>'MASTER SHEET -MARATHA SITE'!Q70</f>
        <v>0</v>
      </c>
      <c r="L53" s="568">
        <f>'MASTER SHEET -MARATHA SITE'!R70</f>
        <v>0</v>
      </c>
      <c r="M53" s="568">
        <f>'MASTER SHEET -MARATHA SITE'!S70</f>
        <v>0</v>
      </c>
      <c r="N53" s="568">
        <f>'MASTER SHEET -MARATHA SITE'!T70</f>
        <v>0</v>
      </c>
      <c r="O53" s="568">
        <f>'MASTER SHEET -MARATHA SITE'!U70</f>
        <v>0</v>
      </c>
      <c r="P53" s="568">
        <f>'MASTER SHEET -MARATHA SITE'!V70</f>
        <v>0</v>
      </c>
      <c r="Q53" s="568">
        <f>'MASTER SHEET -MARATHA SITE'!W70</f>
        <v>0</v>
      </c>
      <c r="R53" s="838">
        <f>'MASTER SHEET -MARATHA SITE'!X70</f>
        <v>0</v>
      </c>
      <c r="S53" s="838">
        <f>'MASTER SHEET -MARATHA SITE'!Y70</f>
        <v>0</v>
      </c>
      <c r="T53" s="849">
        <f>'MASTER SHEET -MARATHA SITE'!Z70</f>
        <v>0</v>
      </c>
      <c r="U53" s="568">
        <f>'MASTER SHEET -MARATHA SITE'!AA70</f>
        <v>0</v>
      </c>
      <c r="V53" s="568">
        <f>'MASTER SHEET -MARATHA SITE'!AB70</f>
        <v>0</v>
      </c>
      <c r="W53" s="568">
        <f>'MASTER SHEET -MARATHA SITE'!AC70</f>
        <v>0</v>
      </c>
      <c r="X53" s="568">
        <f>'MASTER SHEET -MARATHA SITE'!AD70</f>
        <v>0</v>
      </c>
      <c r="Y53" s="568">
        <f>'MASTER SHEET -MARATHA SITE'!AE70</f>
        <v>0</v>
      </c>
      <c r="Z53" s="97">
        <f>'MASTER SHEET -MARATHA SITE'!AF70</f>
        <v>0</v>
      </c>
      <c r="AA53" s="710"/>
      <c r="AB53" s="710"/>
    </row>
    <row r="54" spans="1:31" hidden="1">
      <c r="A54" s="80"/>
      <c r="B54" s="566" t="s">
        <v>19</v>
      </c>
      <c r="C54" s="619"/>
      <c r="D54" s="611">
        <f>'MASTER SHEET -MARATHA SITE'!J71</f>
        <v>0</v>
      </c>
      <c r="E54" s="568">
        <f>'MASTER SHEET -MARATHA SITE'!K71</f>
        <v>0</v>
      </c>
      <c r="F54" s="568">
        <f>'MASTER SHEET -MARATHA SITE'!L71</f>
        <v>0</v>
      </c>
      <c r="G54" s="568">
        <f>'MASTER SHEET -MARATHA SITE'!M71</f>
        <v>0</v>
      </c>
      <c r="H54" s="568">
        <f>'MASTER SHEET -MARATHA SITE'!N71</f>
        <v>0</v>
      </c>
      <c r="I54" s="568">
        <f>'MASTER SHEET -MARATHA SITE'!O71</f>
        <v>0</v>
      </c>
      <c r="J54" s="568">
        <f>'MASTER SHEET -MARATHA SITE'!P71</f>
        <v>0</v>
      </c>
      <c r="K54" s="568">
        <f>'MASTER SHEET -MARATHA SITE'!Q71</f>
        <v>0</v>
      </c>
      <c r="L54" s="568">
        <f>'MASTER SHEET -MARATHA SITE'!R71</f>
        <v>0</v>
      </c>
      <c r="M54" s="568">
        <f>'MASTER SHEET -MARATHA SITE'!S71</f>
        <v>0</v>
      </c>
      <c r="N54" s="568">
        <f>'MASTER SHEET -MARATHA SITE'!T71</f>
        <v>0</v>
      </c>
      <c r="O54" s="568">
        <f>'MASTER SHEET -MARATHA SITE'!U71</f>
        <v>0</v>
      </c>
      <c r="P54" s="568">
        <f>'MASTER SHEET -MARATHA SITE'!V71</f>
        <v>0</v>
      </c>
      <c r="Q54" s="568">
        <f>'MASTER SHEET -MARATHA SITE'!W71</f>
        <v>0</v>
      </c>
      <c r="R54" s="838">
        <f>'MASTER SHEET -MARATHA SITE'!X71</f>
        <v>0</v>
      </c>
      <c r="S54" s="838">
        <f>'MASTER SHEET -MARATHA SITE'!Y71</f>
        <v>0</v>
      </c>
      <c r="T54" s="849">
        <f>'MASTER SHEET -MARATHA SITE'!Z71</f>
        <v>0</v>
      </c>
      <c r="U54" s="568">
        <f>'MASTER SHEET -MARATHA SITE'!AA71</f>
        <v>0</v>
      </c>
      <c r="V54" s="568">
        <f>'MASTER SHEET -MARATHA SITE'!AB71</f>
        <v>0</v>
      </c>
      <c r="W54" s="568">
        <f>'MASTER SHEET -MARATHA SITE'!AC71</f>
        <v>0</v>
      </c>
      <c r="X54" s="568">
        <f>'MASTER SHEET -MARATHA SITE'!AD71</f>
        <v>0</v>
      </c>
      <c r="Y54" s="568">
        <f>'MASTER SHEET -MARATHA SITE'!AE71</f>
        <v>0</v>
      </c>
      <c r="Z54" s="97">
        <f>'MASTER SHEET -MARATHA SITE'!AF71</f>
        <v>0</v>
      </c>
      <c r="AA54" s="710"/>
      <c r="AB54" s="710"/>
    </row>
    <row r="55" spans="1:31" hidden="1">
      <c r="A55" s="80"/>
      <c r="B55" s="566" t="s">
        <v>19</v>
      </c>
      <c r="C55" s="625"/>
      <c r="D55" s="611">
        <f>'MASTER SHEET -MARATHA SITE'!J72</f>
        <v>0</v>
      </c>
      <c r="E55" s="568">
        <f>'MASTER SHEET -MARATHA SITE'!K72</f>
        <v>0</v>
      </c>
      <c r="F55" s="568">
        <f>'MASTER SHEET -MARATHA SITE'!L72</f>
        <v>0</v>
      </c>
      <c r="G55" s="568">
        <f>'MASTER SHEET -MARATHA SITE'!M72</f>
        <v>0</v>
      </c>
      <c r="H55" s="568">
        <f>'MASTER SHEET -MARATHA SITE'!N72</f>
        <v>0</v>
      </c>
      <c r="I55" s="568">
        <f>'MASTER SHEET -MARATHA SITE'!O72</f>
        <v>0</v>
      </c>
      <c r="J55" s="568">
        <f>'MASTER SHEET -MARATHA SITE'!P72</f>
        <v>0</v>
      </c>
      <c r="K55" s="568">
        <f>'MASTER SHEET -MARATHA SITE'!Q72</f>
        <v>0</v>
      </c>
      <c r="L55" s="568">
        <f>'MASTER SHEET -MARATHA SITE'!R72</f>
        <v>0</v>
      </c>
      <c r="M55" s="568">
        <f>'MASTER SHEET -MARATHA SITE'!S72</f>
        <v>0</v>
      </c>
      <c r="N55" s="568">
        <f>'MASTER SHEET -MARATHA SITE'!T72</f>
        <v>0</v>
      </c>
      <c r="O55" s="568">
        <f>'MASTER SHEET -MARATHA SITE'!U72</f>
        <v>0</v>
      </c>
      <c r="P55" s="568">
        <f>'MASTER SHEET -MARATHA SITE'!V72</f>
        <v>0</v>
      </c>
      <c r="Q55" s="568">
        <f>'MASTER SHEET -MARATHA SITE'!W72</f>
        <v>0</v>
      </c>
      <c r="R55" s="838">
        <f>'MASTER SHEET -MARATHA SITE'!X72</f>
        <v>0</v>
      </c>
      <c r="S55" s="838">
        <f>'MASTER SHEET -MARATHA SITE'!Y72</f>
        <v>0</v>
      </c>
      <c r="T55" s="849">
        <f>'MASTER SHEET -MARATHA SITE'!Z72</f>
        <v>0</v>
      </c>
      <c r="U55" s="568">
        <f>'MASTER SHEET -MARATHA SITE'!AA72</f>
        <v>0</v>
      </c>
      <c r="V55" s="568">
        <f>'MASTER SHEET -MARATHA SITE'!AB72</f>
        <v>0</v>
      </c>
      <c r="W55" s="568">
        <f>'MASTER SHEET -MARATHA SITE'!AC72</f>
        <v>0</v>
      </c>
      <c r="X55" s="568">
        <f>'MASTER SHEET -MARATHA SITE'!AD72</f>
        <v>0</v>
      </c>
      <c r="Y55" s="568">
        <f>'MASTER SHEET -MARATHA SITE'!AE72</f>
        <v>0</v>
      </c>
      <c r="Z55" s="97">
        <f>'MASTER SHEET -MARATHA SITE'!AF72</f>
        <v>0</v>
      </c>
      <c r="AA55" s="710"/>
      <c r="AB55" s="710"/>
    </row>
    <row r="56" spans="1:31" hidden="1">
      <c r="A56" s="80"/>
      <c r="B56" s="566" t="s">
        <v>19</v>
      </c>
      <c r="C56" s="625"/>
      <c r="D56" s="611">
        <f>'MASTER SHEET -MARATHA SITE'!J73</f>
        <v>0</v>
      </c>
      <c r="E56" s="568">
        <f>'MASTER SHEET -MARATHA SITE'!K73</f>
        <v>0</v>
      </c>
      <c r="F56" s="568">
        <f>'MASTER SHEET -MARATHA SITE'!L73</f>
        <v>0</v>
      </c>
      <c r="G56" s="568">
        <f>'MASTER SHEET -MARATHA SITE'!M73</f>
        <v>0</v>
      </c>
      <c r="H56" s="568">
        <f>'MASTER SHEET -MARATHA SITE'!N73</f>
        <v>0</v>
      </c>
      <c r="I56" s="568">
        <f>'MASTER SHEET -MARATHA SITE'!O73</f>
        <v>0</v>
      </c>
      <c r="J56" s="568">
        <f>'MASTER SHEET -MARATHA SITE'!P73</f>
        <v>0</v>
      </c>
      <c r="K56" s="568">
        <f>'MASTER SHEET -MARATHA SITE'!Q73</f>
        <v>0</v>
      </c>
      <c r="L56" s="568">
        <f>'MASTER SHEET -MARATHA SITE'!R73</f>
        <v>0</v>
      </c>
      <c r="M56" s="568">
        <f>'MASTER SHEET -MARATHA SITE'!S73</f>
        <v>0</v>
      </c>
      <c r="N56" s="568">
        <f>'MASTER SHEET -MARATHA SITE'!T73</f>
        <v>0</v>
      </c>
      <c r="O56" s="568">
        <f>'MASTER SHEET -MARATHA SITE'!U73</f>
        <v>0</v>
      </c>
      <c r="P56" s="568">
        <f>'MASTER SHEET -MARATHA SITE'!V73</f>
        <v>0</v>
      </c>
      <c r="Q56" s="568">
        <f>'MASTER SHEET -MARATHA SITE'!W73</f>
        <v>0</v>
      </c>
      <c r="R56" s="838">
        <f>'MASTER SHEET -MARATHA SITE'!X73</f>
        <v>0</v>
      </c>
      <c r="S56" s="838">
        <f>'MASTER SHEET -MARATHA SITE'!Y73</f>
        <v>0</v>
      </c>
      <c r="T56" s="849">
        <f>'MASTER SHEET -MARATHA SITE'!Z73</f>
        <v>0</v>
      </c>
      <c r="U56" s="568">
        <f>'MASTER SHEET -MARATHA SITE'!AA73</f>
        <v>0</v>
      </c>
      <c r="V56" s="568">
        <f>'MASTER SHEET -MARATHA SITE'!AB73</f>
        <v>0</v>
      </c>
      <c r="W56" s="568">
        <f>'MASTER SHEET -MARATHA SITE'!AC73</f>
        <v>0</v>
      </c>
      <c r="X56" s="568">
        <f>'MASTER SHEET -MARATHA SITE'!AD73</f>
        <v>0</v>
      </c>
      <c r="Y56" s="568">
        <f>'MASTER SHEET -MARATHA SITE'!AE73</f>
        <v>0</v>
      </c>
      <c r="Z56" s="97">
        <f>'MASTER SHEET -MARATHA SITE'!AF73</f>
        <v>0</v>
      </c>
      <c r="AA56" s="710"/>
      <c r="AB56" s="710"/>
    </row>
    <row r="57" spans="1:31" s="5" customFormat="1">
      <c r="A57" s="96"/>
      <c r="B57" s="574" t="s">
        <v>32</v>
      </c>
      <c r="C57" s="620"/>
      <c r="D57" s="580">
        <f>SUM(D47:D56)</f>
        <v>0</v>
      </c>
      <c r="E57" s="580">
        <f>SUM(E47:E56)</f>
        <v>0</v>
      </c>
      <c r="F57" s="580">
        <f>SUM(F47:F56)</f>
        <v>1.580697408685106E-3</v>
      </c>
      <c r="G57" s="580">
        <f>SUM(G47:G56)</f>
        <v>3.8700585668655267E-3</v>
      </c>
      <c r="H57" s="580">
        <f>SUM(H47:H56)</f>
        <v>3.224387100711107E-3</v>
      </c>
      <c r="I57" s="580">
        <f t="shared" ref="I57:W57" si="14">SUM(I47:I56)</f>
        <v>2.0470728995391476E-3</v>
      </c>
      <c r="J57" s="580">
        <f t="shared" si="14"/>
        <v>5.6049495217809289E-3</v>
      </c>
      <c r="K57" s="580">
        <f t="shared" si="14"/>
        <v>6.4612674200950123E-3</v>
      </c>
      <c r="L57" s="580">
        <f t="shared" si="14"/>
        <v>6.4625746032235358E-3</v>
      </c>
      <c r="M57" s="580">
        <f t="shared" si="14"/>
        <v>7.6524006694162925E-3</v>
      </c>
      <c r="N57" s="580">
        <f t="shared" si="14"/>
        <v>7.7057640237105937E-3</v>
      </c>
      <c r="O57" s="580">
        <f t="shared" si="14"/>
        <v>9.4036147135459526E-3</v>
      </c>
      <c r="P57" s="580">
        <f t="shared" si="14"/>
        <v>1.4826071898686035E-2</v>
      </c>
      <c r="Q57" s="580">
        <f t="shared" si="14"/>
        <v>1.2159796499266825E-2</v>
      </c>
      <c r="R57" s="580">
        <f t="shared" si="14"/>
        <v>8.0522192513369575E-3</v>
      </c>
      <c r="S57" s="580">
        <f t="shared" si="14"/>
        <v>8.8768884219727964E-3</v>
      </c>
      <c r="T57" s="843">
        <f t="shared" si="14"/>
        <v>3.8751148105625711E-4</v>
      </c>
      <c r="U57" s="580">
        <f t="shared" si="14"/>
        <v>0</v>
      </c>
      <c r="V57" s="580">
        <f t="shared" si="14"/>
        <v>0</v>
      </c>
      <c r="W57" s="580">
        <f t="shared" si="14"/>
        <v>0</v>
      </c>
      <c r="X57" s="580">
        <f>SUM(X47:X56)</f>
        <v>0</v>
      </c>
      <c r="Y57" s="580">
        <f>SUM(Y47:Y56)</f>
        <v>0</v>
      </c>
      <c r="Z57" s="102">
        <f>SUM(Z47:Z56)</f>
        <v>0</v>
      </c>
      <c r="AA57" s="580"/>
      <c r="AB57" s="580"/>
    </row>
    <row r="58" spans="1:31">
      <c r="A58" s="80">
        <v>3</v>
      </c>
      <c r="B58" s="669" t="s">
        <v>19</v>
      </c>
      <c r="C58" s="357">
        <f>C31</f>
        <v>4</v>
      </c>
      <c r="D58" s="310"/>
      <c r="E58" s="310"/>
      <c r="F58" s="310"/>
      <c r="G58" s="310"/>
      <c r="H58" s="310"/>
      <c r="I58" s="310"/>
      <c r="J58" s="310"/>
      <c r="K58" s="310"/>
      <c r="L58" s="310"/>
      <c r="M58" s="310"/>
      <c r="N58" s="310"/>
      <c r="O58" s="593"/>
      <c r="P58" s="593"/>
      <c r="Q58" s="593"/>
      <c r="R58" s="593"/>
      <c r="S58" s="593">
        <f>S59/4*$C$58*100</f>
        <v>9.0648081201712429</v>
      </c>
      <c r="T58" s="851"/>
      <c r="U58" s="310"/>
      <c r="V58" s="310"/>
      <c r="W58" s="310"/>
      <c r="X58" s="310"/>
      <c r="Y58" s="310"/>
      <c r="Z58" s="530"/>
      <c r="AA58" s="310"/>
      <c r="AB58" s="310"/>
    </row>
    <row r="59" spans="1:31">
      <c r="A59" s="80"/>
      <c r="B59" s="583" t="s">
        <v>30</v>
      </c>
      <c r="C59" s="621">
        <f>SUM(D59:S59)+T58/100</f>
        <v>0.4476595032451538</v>
      </c>
      <c r="D59" s="584">
        <f>D46/$C$36*1</f>
        <v>0</v>
      </c>
      <c r="E59" s="584">
        <f>E46/$C$36*1</f>
        <v>0</v>
      </c>
      <c r="F59" s="584">
        <f>F46/$C$36*1</f>
        <v>3.0114046316249139E-3</v>
      </c>
      <c r="G59" s="584">
        <f>G46/$C$36*1</f>
        <v>4.4744494099187666E-3</v>
      </c>
      <c r="H59" s="584">
        <f>H46/$C$36*1</f>
        <v>1.6541698812383946E-3</v>
      </c>
      <c r="I59" s="584">
        <f t="shared" ref="I59:W59" si="15">I46/$C$36*1</f>
        <v>3.4802411211781515E-3</v>
      </c>
      <c r="J59" s="584">
        <f t="shared" si="15"/>
        <v>1.3839376435649158E-2</v>
      </c>
      <c r="K59" s="584">
        <f t="shared" si="15"/>
        <v>1.6445276418977129E-2</v>
      </c>
      <c r="L59" s="584">
        <f t="shared" si="15"/>
        <v>1.8378344798671557E-2</v>
      </c>
      <c r="M59" s="584">
        <f t="shared" si="15"/>
        <v>2.0620294831835716E-2</v>
      </c>
      <c r="N59" s="584">
        <f t="shared" si="15"/>
        <v>2.6276673854467764E-2</v>
      </c>
      <c r="O59" s="584">
        <f t="shared" si="15"/>
        <v>3.1574964399576438E-2</v>
      </c>
      <c r="P59" s="584">
        <f t="shared" si="15"/>
        <v>6.1430475281370127E-2</v>
      </c>
      <c r="Q59" s="584">
        <f t="shared" si="15"/>
        <v>7.7712784746530011E-2</v>
      </c>
      <c r="R59" s="584">
        <f t="shared" si="15"/>
        <v>7.8112966232403255E-2</v>
      </c>
      <c r="S59" s="584">
        <f t="shared" si="15"/>
        <v>9.064808120171243E-2</v>
      </c>
      <c r="T59" s="845">
        <f t="shared" si="15"/>
        <v>0.10437474152059224</v>
      </c>
      <c r="U59" s="584">
        <f t="shared" si="15"/>
        <v>0.11798860827333597</v>
      </c>
      <c r="V59" s="584">
        <f t="shared" si="15"/>
        <v>0.12370444490128969</v>
      </c>
      <c r="W59" s="584">
        <f t="shared" si="15"/>
        <v>9.7867584908863103E-2</v>
      </c>
      <c r="X59" s="584">
        <f>X46/$C$36*1</f>
        <v>6.5862026799330106E-2</v>
      </c>
      <c r="Y59" s="584">
        <f>Y46/$C$36*1</f>
        <v>3.9077643487579979E-2</v>
      </c>
      <c r="Z59" s="103">
        <f>Z46/$C$36*1</f>
        <v>3.5352143057154153E-3</v>
      </c>
      <c r="AA59" s="584"/>
      <c r="AB59" s="584"/>
    </row>
    <row r="60" spans="1:31">
      <c r="A60" s="80"/>
      <c r="B60" s="585" t="s">
        <v>32</v>
      </c>
      <c r="C60" s="622">
        <f>SUM(D60:T60)</f>
        <v>0.22864017320905133</v>
      </c>
      <c r="D60" s="594">
        <f>D57/$C$36*1</f>
        <v>0</v>
      </c>
      <c r="E60" s="594">
        <f>E57/$C$36*1</f>
        <v>0</v>
      </c>
      <c r="F60" s="594">
        <f>F57/$C$36*1</f>
        <v>3.6760404853142001E-3</v>
      </c>
      <c r="G60" s="594">
        <f>G57/$C$36*1</f>
        <v>9.0001362020128532E-3</v>
      </c>
      <c r="H60" s="594">
        <f>H57/$C$36*1</f>
        <v>7.4985746528165283E-3</v>
      </c>
      <c r="I60" s="594">
        <f t="shared" ref="I60:W60" si="16">I57/$C$36*1</f>
        <v>4.7606346500910415E-3</v>
      </c>
      <c r="J60" s="594">
        <f t="shared" si="16"/>
        <v>1.3034766329723091E-2</v>
      </c>
      <c r="K60" s="594">
        <f t="shared" si="16"/>
        <v>1.502620330254654E-2</v>
      </c>
      <c r="L60" s="594">
        <f t="shared" si="16"/>
        <v>1.5029243263310548E-2</v>
      </c>
      <c r="M60" s="594">
        <f t="shared" si="16"/>
        <v>1.7796280626549518E-2</v>
      </c>
      <c r="N60" s="594">
        <f t="shared" si="16"/>
        <v>1.7920381450489752E-2</v>
      </c>
      <c r="O60" s="594">
        <f t="shared" si="16"/>
        <v>2.1868871426851053E-2</v>
      </c>
      <c r="P60" s="594">
        <f t="shared" si="16"/>
        <v>3.4479236973688453E-2</v>
      </c>
      <c r="Q60" s="594">
        <f t="shared" si="16"/>
        <v>2.8278596509922847E-2</v>
      </c>
      <c r="R60" s="594">
        <f t="shared" si="16"/>
        <v>1.8726091282178971E-2</v>
      </c>
      <c r="S60" s="594">
        <f t="shared" si="16"/>
        <v>2.0643926562727434E-2</v>
      </c>
      <c r="T60" s="852">
        <f t="shared" si="16"/>
        <v>9.0118949082850495E-4</v>
      </c>
      <c r="U60" s="594">
        <f t="shared" si="16"/>
        <v>0</v>
      </c>
      <c r="V60" s="594">
        <f t="shared" si="16"/>
        <v>0</v>
      </c>
      <c r="W60" s="594">
        <f t="shared" si="16"/>
        <v>0</v>
      </c>
      <c r="X60" s="594">
        <f>X57/$C$36*1</f>
        <v>0</v>
      </c>
      <c r="Y60" s="594">
        <f>Y57/$C$36*1</f>
        <v>0</v>
      </c>
      <c r="Z60" s="106">
        <f>Z57/$C$36*1</f>
        <v>0</v>
      </c>
      <c r="AA60" s="594"/>
      <c r="AB60" s="594"/>
    </row>
    <row r="61" spans="1:31">
      <c r="A61" s="80"/>
      <c r="B61" s="587" t="s">
        <v>91</v>
      </c>
      <c r="C61" s="105">
        <f>SUM(D61:T61)</f>
        <v>0.3233940715566947</v>
      </c>
      <c r="D61" s="588">
        <f t="shared" ref="D61:Z61" si="17">D59-D60</f>
        <v>0</v>
      </c>
      <c r="E61" s="588">
        <f t="shared" si="17"/>
        <v>0</v>
      </c>
      <c r="F61" s="588">
        <f t="shared" si="17"/>
        <v>-6.6463585368928615E-4</v>
      </c>
      <c r="G61" s="588">
        <f t="shared" si="17"/>
        <v>-4.5256867920940866E-3</v>
      </c>
      <c r="H61" s="588">
        <f t="shared" si="17"/>
        <v>-5.8444047715781339E-3</v>
      </c>
      <c r="I61" s="588">
        <f t="shared" si="17"/>
        <v>-1.2803935289128899E-3</v>
      </c>
      <c r="J61" s="588">
        <f t="shared" si="17"/>
        <v>8.0461010592606727E-4</v>
      </c>
      <c r="K61" s="588">
        <f t="shared" si="17"/>
        <v>1.419073116430589E-3</v>
      </c>
      <c r="L61" s="588">
        <f t="shared" si="17"/>
        <v>3.3491015353610092E-3</v>
      </c>
      <c r="M61" s="588">
        <f t="shared" si="17"/>
        <v>2.8240142052861975E-3</v>
      </c>
      <c r="N61" s="588">
        <f t="shared" si="17"/>
        <v>8.356292403978012E-3</v>
      </c>
      <c r="O61" s="588">
        <f t="shared" si="17"/>
        <v>9.7060929727253858E-3</v>
      </c>
      <c r="P61" s="588">
        <f t="shared" si="17"/>
        <v>2.6951238307681674E-2</v>
      </c>
      <c r="Q61" s="588">
        <f t="shared" si="17"/>
        <v>4.9434188236607168E-2</v>
      </c>
      <c r="R61" s="588">
        <f t="shared" si="17"/>
        <v>5.938687495022428E-2</v>
      </c>
      <c r="S61" s="588">
        <f t="shared" si="17"/>
        <v>7.0004154638984989E-2</v>
      </c>
      <c r="T61" s="847">
        <f t="shared" si="17"/>
        <v>0.10347355202976374</v>
      </c>
      <c r="U61" s="588">
        <f t="shared" si="17"/>
        <v>0.11798860827333597</v>
      </c>
      <c r="V61" s="588">
        <f t="shared" si="17"/>
        <v>0.12370444490128969</v>
      </c>
      <c r="W61" s="588">
        <f t="shared" si="17"/>
        <v>9.7867584908863103E-2</v>
      </c>
      <c r="X61" s="588">
        <f t="shared" si="17"/>
        <v>6.5862026799330106E-2</v>
      </c>
      <c r="Y61" s="588">
        <f t="shared" si="17"/>
        <v>3.9077643487579979E-2</v>
      </c>
      <c r="Z61" s="105">
        <f t="shared" si="17"/>
        <v>3.5352143057154153E-3</v>
      </c>
      <c r="AA61" s="588"/>
      <c r="AB61" s="588"/>
    </row>
    <row r="62" spans="1:31" ht="15" thickBot="1">
      <c r="A62" s="80"/>
      <c r="B62" s="589" t="s">
        <v>282</v>
      </c>
      <c r="C62" s="622">
        <v>0.15</v>
      </c>
      <c r="D62" s="595">
        <f>C62-C60</f>
        <v>-7.8640173209051339E-2</v>
      </c>
      <c r="E62" s="524"/>
      <c r="F62" s="524"/>
      <c r="G62" s="524"/>
      <c r="H62" s="524"/>
      <c r="I62" s="524"/>
      <c r="J62" s="524"/>
      <c r="K62" s="524"/>
      <c r="L62" s="524"/>
      <c r="M62" s="524"/>
      <c r="N62" s="524"/>
      <c r="O62" s="582"/>
      <c r="P62" s="591"/>
      <c r="Q62" s="591"/>
      <c r="R62" s="591"/>
      <c r="S62" s="591"/>
      <c r="T62" s="848">
        <v>4.0360000000000007E-2</v>
      </c>
      <c r="U62" s="1099">
        <v>4.2390000000000004E-2</v>
      </c>
      <c r="V62" s="1099">
        <v>4.5710000000000001E-2</v>
      </c>
      <c r="W62" s="1099">
        <v>4.8250000000000001E-2</v>
      </c>
      <c r="X62" s="1099">
        <v>3.9529999999999996E-2</v>
      </c>
      <c r="Y62" s="1099">
        <v>4.0718000000000004E-2</v>
      </c>
      <c r="Z62" s="596">
        <v>3.0415000000000005E-2</v>
      </c>
      <c r="AA62" s="1099">
        <v>2.0567000000000002E-2</v>
      </c>
      <c r="AB62" s="1099">
        <v>1.8204000000000005E-2</v>
      </c>
      <c r="AC62" s="599">
        <v>3.7660000000000007E-3</v>
      </c>
      <c r="AD62" s="557">
        <v>6.0000000000000006E-4</v>
      </c>
      <c r="AE62" s="557">
        <v>1E-3</v>
      </c>
    </row>
    <row r="63" spans="1:31" hidden="1">
      <c r="A63" s="80"/>
      <c r="B63" s="565" t="s">
        <v>17</v>
      </c>
      <c r="C63" s="623">
        <v>0.25</v>
      </c>
      <c r="D63" s="611">
        <f>'MASTER SHEET -MARATHA SITE'!J14</f>
        <v>0</v>
      </c>
      <c r="E63" s="568">
        <f>'MASTER SHEET -MARATHA SITE'!K14</f>
        <v>0</v>
      </c>
      <c r="F63" s="568">
        <f>'MASTER SHEET -MARATHA SITE'!L14</f>
        <v>0</v>
      </c>
      <c r="G63" s="568">
        <f>'MASTER SHEET -MARATHA SITE'!M14</f>
        <v>0</v>
      </c>
      <c r="H63" s="568">
        <f>'MASTER SHEET -MARATHA SITE'!N14</f>
        <v>0</v>
      </c>
      <c r="I63" s="568">
        <f>'MASTER SHEET -MARATHA SITE'!O14</f>
        <v>1.9134178426213823E-5</v>
      </c>
      <c r="J63" s="568">
        <f>'MASTER SHEET -MARATHA SITE'!P14</f>
        <v>3.8268356852427647E-5</v>
      </c>
      <c r="K63" s="568">
        <f>'MASTER SHEET -MARATHA SITE'!Q14</f>
        <v>7.2183688112891647E-4</v>
      </c>
      <c r="L63" s="568">
        <f>'MASTER SHEET -MARATHA SITE'!R14</f>
        <v>6.4290839512078448E-4</v>
      </c>
      <c r="M63" s="568">
        <f>'MASTER SHEET -MARATHA SITE'!S14</f>
        <v>1.6407558000478353E-4</v>
      </c>
      <c r="N63" s="568">
        <f>'MASTER SHEET -MARATHA SITE'!T14</f>
        <v>3.3245635015546519E-4</v>
      </c>
      <c r="O63" s="568">
        <f>'MASTER SHEET -MARATHA SITE'!U14</f>
        <v>6.6108586462568762E-4</v>
      </c>
      <c r="P63" s="568">
        <f>'MASTER SHEET -MARATHA SITE'!V14</f>
        <v>1.1150442477876107E-3</v>
      </c>
      <c r="Q63" s="568">
        <f>'MASTER SHEET -MARATHA SITE'!W14</f>
        <v>1.7445587180100455E-3</v>
      </c>
      <c r="R63" s="838">
        <f>'MASTER SHEET -MARATHA SITE'!X14</f>
        <v>2.3161922984931832E-3</v>
      </c>
      <c r="S63" s="838">
        <f>'MASTER SHEET -MARATHA SITE'!Y14</f>
        <v>1.4355417364266922E-3</v>
      </c>
      <c r="T63" s="849">
        <f>'MASTER SHEET -MARATHA SITE'!Z14</f>
        <v>8.0889739296818939E-4</v>
      </c>
      <c r="U63" s="568">
        <f>'MASTER SHEET -MARATHA SITE'!AA14</f>
        <v>0</v>
      </c>
      <c r="V63" s="568">
        <f>'MASTER SHEET -MARATHA SITE'!AB14</f>
        <v>0</v>
      </c>
      <c r="W63" s="568">
        <f>'MASTER SHEET -MARATHA SITE'!AC14</f>
        <v>0</v>
      </c>
      <c r="X63" s="568">
        <f>'MASTER SHEET -MARATHA SITE'!AD14</f>
        <v>0</v>
      </c>
      <c r="Y63" s="568">
        <f>'MASTER SHEET -MARATHA SITE'!AE14</f>
        <v>0</v>
      </c>
      <c r="Z63" s="97">
        <f>'MASTER SHEET -MARATHA SITE'!AF14</f>
        <v>0</v>
      </c>
      <c r="AA63" s="710"/>
      <c r="AB63" s="710"/>
    </row>
    <row r="64" spans="1:31" hidden="1">
      <c r="A64" s="80"/>
      <c r="B64" s="565" t="s">
        <v>17</v>
      </c>
      <c r="C64" s="625"/>
      <c r="D64" s="611">
        <f>'MASTER SHEET -MARATHA SITE'!J15</f>
        <v>0</v>
      </c>
      <c r="E64" s="568">
        <f>'MASTER SHEET -MARATHA SITE'!K15</f>
        <v>0</v>
      </c>
      <c r="F64" s="568">
        <f>'MASTER SHEET -MARATHA SITE'!L15</f>
        <v>0</v>
      </c>
      <c r="G64" s="568">
        <f>'MASTER SHEET -MARATHA SITE'!M15</f>
        <v>0</v>
      </c>
      <c r="H64" s="568">
        <f>'MASTER SHEET -MARATHA SITE'!N15</f>
        <v>0</v>
      </c>
      <c r="I64" s="568">
        <f>'MASTER SHEET -MARATHA SITE'!O15</f>
        <v>1.9134178426213823E-5</v>
      </c>
      <c r="J64" s="568">
        <f>'MASTER SHEET -MARATHA SITE'!P15</f>
        <v>3.8268356852427647E-5</v>
      </c>
      <c r="K64" s="568">
        <f>'MASTER SHEET -MARATHA SITE'!Q15</f>
        <v>7.2183688112891647E-4</v>
      </c>
      <c r="L64" s="568">
        <f>'MASTER SHEET -MARATHA SITE'!R15</f>
        <v>6.4290839512078448E-4</v>
      </c>
      <c r="M64" s="568">
        <f>'MASTER SHEET -MARATHA SITE'!S15</f>
        <v>1.6407558000478353E-4</v>
      </c>
      <c r="N64" s="568">
        <f>'MASTER SHEET -MARATHA SITE'!T15</f>
        <v>3.3245635015546519E-4</v>
      </c>
      <c r="O64" s="568">
        <f>'MASTER SHEET -MARATHA SITE'!U15</f>
        <v>6.6108586462568762E-4</v>
      </c>
      <c r="P64" s="568">
        <f>'MASTER SHEET -MARATHA SITE'!V15</f>
        <v>1.1150442477876107E-3</v>
      </c>
      <c r="Q64" s="568">
        <f>'MASTER SHEET -MARATHA SITE'!W15</f>
        <v>1.7445587180100455E-3</v>
      </c>
      <c r="R64" s="838">
        <f>'MASTER SHEET -MARATHA SITE'!X15</f>
        <v>2.3161922984931832E-3</v>
      </c>
      <c r="S64" s="838">
        <f>'MASTER SHEET -MARATHA SITE'!Y15</f>
        <v>1.4355417364266922E-3</v>
      </c>
      <c r="T64" s="849">
        <f>'MASTER SHEET -MARATHA SITE'!Z15</f>
        <v>8.0889739296818939E-4</v>
      </c>
      <c r="U64" s="568">
        <f>'MASTER SHEET -MARATHA SITE'!AA15</f>
        <v>0</v>
      </c>
      <c r="V64" s="568">
        <f>'MASTER SHEET -MARATHA SITE'!AB15</f>
        <v>0</v>
      </c>
      <c r="W64" s="568">
        <f>'MASTER SHEET -MARATHA SITE'!AC15</f>
        <v>0</v>
      </c>
      <c r="X64" s="568">
        <f>'MASTER SHEET -MARATHA SITE'!AD15</f>
        <v>0</v>
      </c>
      <c r="Y64" s="568">
        <f>'MASTER SHEET -MARATHA SITE'!AE15</f>
        <v>0</v>
      </c>
      <c r="Z64" s="97">
        <f>'MASTER SHEET -MARATHA SITE'!AF15</f>
        <v>0</v>
      </c>
      <c r="AA64" s="710"/>
      <c r="AB64" s="710"/>
    </row>
    <row r="65" spans="1:28" hidden="1">
      <c r="A65" s="80"/>
      <c r="B65" s="565" t="s">
        <v>17</v>
      </c>
      <c r="C65" s="625"/>
      <c r="D65" s="611">
        <f>'MASTER SHEET -MARATHA SITE'!J16</f>
        <v>0</v>
      </c>
      <c r="E65" s="568">
        <f>'MASTER SHEET -MARATHA SITE'!K16</f>
        <v>0</v>
      </c>
      <c r="F65" s="568">
        <f>'MASTER SHEET -MARATHA SITE'!L16</f>
        <v>0</v>
      </c>
      <c r="G65" s="568">
        <f>'MASTER SHEET -MARATHA SITE'!M16</f>
        <v>0</v>
      </c>
      <c r="H65" s="568">
        <f>'MASTER SHEET -MARATHA SITE'!N16</f>
        <v>0</v>
      </c>
      <c r="I65" s="568">
        <f>'MASTER SHEET -MARATHA SITE'!O16</f>
        <v>0</v>
      </c>
      <c r="J65" s="568">
        <f>'MASTER SHEET -MARATHA SITE'!P16</f>
        <v>0</v>
      </c>
      <c r="K65" s="568">
        <f>'MASTER SHEET -MARATHA SITE'!Q16</f>
        <v>3.8268356852427647E-5</v>
      </c>
      <c r="L65" s="568">
        <f>'MASTER SHEET -MARATHA SITE'!R16</f>
        <v>7.6536713704855293E-5</v>
      </c>
      <c r="M65" s="568">
        <f>'MASTER SHEET -MARATHA SITE'!S16</f>
        <v>1.4436737622578329E-3</v>
      </c>
      <c r="N65" s="568">
        <f>'MASTER SHEET -MARATHA SITE'!T16</f>
        <v>1.285816790241569E-3</v>
      </c>
      <c r="O65" s="568">
        <f>'MASTER SHEET -MARATHA SITE'!U16</f>
        <v>3.2815116000956706E-4</v>
      </c>
      <c r="P65" s="568">
        <f>'MASTER SHEET -MARATHA SITE'!V16</f>
        <v>6.6491270031093037E-4</v>
      </c>
      <c r="Q65" s="568">
        <f>'MASTER SHEET -MARATHA SITE'!W16</f>
        <v>1.3221717292513752E-3</v>
      </c>
      <c r="R65" s="838">
        <f>'MASTER SHEET -MARATHA SITE'!X16</f>
        <v>2.2300884955752213E-3</v>
      </c>
      <c r="S65" s="838">
        <f>'MASTER SHEET -MARATHA SITE'!Y16</f>
        <v>3.489117436020091E-3</v>
      </c>
      <c r="T65" s="849">
        <f>'MASTER SHEET -MARATHA SITE'!Z16</f>
        <v>4.6323845969863664E-3</v>
      </c>
      <c r="U65" s="568">
        <f>'MASTER SHEET -MARATHA SITE'!AA16</f>
        <v>2.8710834728533845E-3</v>
      </c>
      <c r="V65" s="568">
        <f>'MASTER SHEET -MARATHA SITE'!AB16</f>
        <v>1.6177947859363788E-3</v>
      </c>
      <c r="W65" s="568">
        <f>'MASTER SHEET -MARATHA SITE'!AC16</f>
        <v>0</v>
      </c>
      <c r="X65" s="568">
        <f>'MASTER SHEET -MARATHA SITE'!AD16</f>
        <v>0</v>
      </c>
      <c r="Y65" s="568">
        <f>'MASTER SHEET -MARATHA SITE'!AE16</f>
        <v>0</v>
      </c>
      <c r="Z65" s="97">
        <f>'MASTER SHEET -MARATHA SITE'!AF16</f>
        <v>0</v>
      </c>
      <c r="AA65" s="710"/>
      <c r="AB65" s="710"/>
    </row>
    <row r="66" spans="1:28" hidden="1">
      <c r="A66" s="80"/>
      <c r="B66" s="565" t="s">
        <v>17</v>
      </c>
      <c r="C66" s="625"/>
      <c r="D66" s="611">
        <f>'MASTER SHEET -MARATHA SITE'!J17</f>
        <v>0</v>
      </c>
      <c r="E66" s="568">
        <f>'MASTER SHEET -MARATHA SITE'!K17</f>
        <v>0</v>
      </c>
      <c r="F66" s="568">
        <f>'MASTER SHEET -MARATHA SITE'!L17</f>
        <v>0</v>
      </c>
      <c r="G66" s="568">
        <f>'MASTER SHEET -MARATHA SITE'!M17</f>
        <v>0</v>
      </c>
      <c r="H66" s="568">
        <f>'MASTER SHEET -MARATHA SITE'!N17</f>
        <v>0</v>
      </c>
      <c r="I66" s="568">
        <f>'MASTER SHEET -MARATHA SITE'!O17</f>
        <v>0</v>
      </c>
      <c r="J66" s="568">
        <f>'MASTER SHEET -MARATHA SITE'!P17</f>
        <v>0</v>
      </c>
      <c r="K66" s="568">
        <f>'MASTER SHEET -MARATHA SITE'!Q17</f>
        <v>5.0000000000000001E-3</v>
      </c>
      <c r="L66" s="568">
        <f>'MASTER SHEET -MARATHA SITE'!R17</f>
        <v>8.3333333333333332E-3</v>
      </c>
      <c r="M66" s="568">
        <f>'MASTER SHEET -MARATHA SITE'!S17</f>
        <v>1.0833333333333334E-2</v>
      </c>
      <c r="N66" s="568">
        <f>'MASTER SHEET -MARATHA SITE'!T17</f>
        <v>1.2500000000000001E-2</v>
      </c>
      <c r="O66" s="568">
        <f>'MASTER SHEET -MARATHA SITE'!U17</f>
        <v>8.3333333333333332E-3</v>
      </c>
      <c r="P66" s="568">
        <f>'MASTER SHEET -MARATHA SITE'!V17</f>
        <v>8.3333333333333332E-3</v>
      </c>
      <c r="Q66" s="568">
        <f>'MASTER SHEET -MARATHA SITE'!W17</f>
        <v>4.1666666666666666E-3</v>
      </c>
      <c r="R66" s="838">
        <f>'MASTER SHEET -MARATHA SITE'!X17</f>
        <v>8.3333333333333339E-4</v>
      </c>
      <c r="S66" s="838">
        <f>'MASTER SHEET -MARATHA SITE'!Y17</f>
        <v>8.3333333333333339E-4</v>
      </c>
      <c r="T66" s="849">
        <f>'MASTER SHEET -MARATHA SITE'!Z17</f>
        <v>8.3333333333333339E-4</v>
      </c>
      <c r="U66" s="568">
        <f>'MASTER SHEET -MARATHA SITE'!AA17</f>
        <v>0</v>
      </c>
      <c r="V66" s="568">
        <f>'MASTER SHEET -MARATHA SITE'!AB17</f>
        <v>0</v>
      </c>
      <c r="W66" s="568">
        <f>'MASTER SHEET -MARATHA SITE'!AC17</f>
        <v>0</v>
      </c>
      <c r="X66" s="568">
        <f>'MASTER SHEET -MARATHA SITE'!AD17</f>
        <v>0</v>
      </c>
      <c r="Y66" s="568">
        <f>'MASTER SHEET -MARATHA SITE'!AE17</f>
        <v>0</v>
      </c>
      <c r="Z66" s="97">
        <f>'MASTER SHEET -MARATHA SITE'!AF17</f>
        <v>0</v>
      </c>
      <c r="AA66" s="710"/>
      <c r="AB66" s="710"/>
    </row>
    <row r="67" spans="1:28" hidden="1">
      <c r="A67" s="80"/>
      <c r="B67" s="565" t="s">
        <v>17</v>
      </c>
      <c r="C67" s="625"/>
      <c r="D67" s="611">
        <f>'MASTER SHEET -MARATHA SITE'!J18</f>
        <v>0</v>
      </c>
      <c r="E67" s="568">
        <f>'MASTER SHEET -MARATHA SITE'!K18</f>
        <v>0</v>
      </c>
      <c r="F67" s="568">
        <f>'MASTER SHEET -MARATHA SITE'!L18</f>
        <v>0</v>
      </c>
      <c r="G67" s="568">
        <f>'MASTER SHEET -MARATHA SITE'!M18</f>
        <v>0</v>
      </c>
      <c r="H67" s="568">
        <f>'MASTER SHEET -MARATHA SITE'!N18</f>
        <v>0</v>
      </c>
      <c r="I67" s="568">
        <f>'MASTER SHEET -MARATHA SITE'!O18</f>
        <v>0</v>
      </c>
      <c r="J67" s="568">
        <f>'MASTER SHEET -MARATHA SITE'!P18</f>
        <v>0</v>
      </c>
      <c r="K67" s="568">
        <f>'MASTER SHEET -MARATHA SITE'!Q18</f>
        <v>1.6666666666666666E-3</v>
      </c>
      <c r="L67" s="568">
        <f>'MASTER SHEET -MARATHA SITE'!R18</f>
        <v>2.7777777777777779E-3</v>
      </c>
      <c r="M67" s="568">
        <f>'MASTER SHEET -MARATHA SITE'!S18</f>
        <v>3.6111111111111109E-3</v>
      </c>
      <c r="N67" s="568">
        <f>'MASTER SHEET -MARATHA SITE'!T18</f>
        <v>4.1666666666666666E-3</v>
      </c>
      <c r="O67" s="568">
        <f>'MASTER SHEET -MARATHA SITE'!U18</f>
        <v>2.7777777777777779E-3</v>
      </c>
      <c r="P67" s="568">
        <f>'MASTER SHEET -MARATHA SITE'!V18</f>
        <v>2.7777777777777779E-3</v>
      </c>
      <c r="Q67" s="568">
        <f>'MASTER SHEET -MARATHA SITE'!W18</f>
        <v>1.3888888888888889E-3</v>
      </c>
      <c r="R67" s="838">
        <f>'MASTER SHEET -MARATHA SITE'!X18</f>
        <v>2.7777777777777778E-4</v>
      </c>
      <c r="S67" s="838">
        <f>'MASTER SHEET -MARATHA SITE'!Y18</f>
        <v>2.7777777777777778E-4</v>
      </c>
      <c r="T67" s="849">
        <f>'MASTER SHEET -MARATHA SITE'!Z18</f>
        <v>2.7777777777777778E-4</v>
      </c>
      <c r="U67" s="568">
        <f>'MASTER SHEET -MARATHA SITE'!AA18</f>
        <v>0</v>
      </c>
      <c r="V67" s="568">
        <f>'MASTER SHEET -MARATHA SITE'!AB18</f>
        <v>0</v>
      </c>
      <c r="W67" s="568">
        <f>'MASTER SHEET -MARATHA SITE'!AC18</f>
        <v>0</v>
      </c>
      <c r="X67" s="568">
        <f>'MASTER SHEET -MARATHA SITE'!AD18</f>
        <v>0</v>
      </c>
      <c r="Y67" s="568">
        <f>'MASTER SHEET -MARATHA SITE'!AE18</f>
        <v>0</v>
      </c>
      <c r="Z67" s="97">
        <f>'MASTER SHEET -MARATHA SITE'!AF18</f>
        <v>0</v>
      </c>
      <c r="AA67" s="710"/>
      <c r="AB67" s="710"/>
    </row>
    <row r="68" spans="1:28" hidden="1">
      <c r="A68" s="80"/>
      <c r="B68" s="565" t="s">
        <v>17</v>
      </c>
      <c r="C68" s="625"/>
      <c r="D68" s="611">
        <f>'MASTER SHEET -MARATHA SITE'!J19</f>
        <v>0</v>
      </c>
      <c r="E68" s="568">
        <f>'MASTER SHEET -MARATHA SITE'!K19</f>
        <v>0</v>
      </c>
      <c r="F68" s="568">
        <f>'MASTER SHEET -MARATHA SITE'!L19</f>
        <v>0</v>
      </c>
      <c r="G68" s="568">
        <f>'MASTER SHEET -MARATHA SITE'!M19</f>
        <v>0</v>
      </c>
      <c r="H68" s="568">
        <f>'MASTER SHEET -MARATHA SITE'!N19</f>
        <v>0</v>
      </c>
      <c r="I68" s="568">
        <f>'MASTER SHEET -MARATHA SITE'!O19</f>
        <v>0</v>
      </c>
      <c r="J68" s="568">
        <f>'MASTER SHEET -MARATHA SITE'!P19</f>
        <v>0</v>
      </c>
      <c r="K68" s="568">
        <f>'MASTER SHEET -MARATHA SITE'!Q19</f>
        <v>0</v>
      </c>
      <c r="L68" s="568">
        <f>'MASTER SHEET -MARATHA SITE'!R19</f>
        <v>5.4896232730813703E-4</v>
      </c>
      <c r="M68" s="568">
        <f>'MASTER SHEET -MARATHA SITE'!S19</f>
        <v>1.0979246546162741E-3</v>
      </c>
      <c r="N68" s="568">
        <f>'MASTER SHEET -MARATHA SITE'!T19</f>
        <v>3.2971212951128964E-3</v>
      </c>
      <c r="O68" s="568">
        <f>'MASTER SHEET -MARATHA SITE'!U19</f>
        <v>5.4996652668735926E-3</v>
      </c>
      <c r="P68" s="568">
        <f>'MASTER SHEET -MARATHA SITE'!V19</f>
        <v>1.0447020875174974E-2</v>
      </c>
      <c r="Q68" s="568">
        <f>'MASTER SHEET -MARATHA SITE'!W19</f>
        <v>1.1548292861055322E-2</v>
      </c>
      <c r="R68" s="838">
        <f>'MASTER SHEET -MARATHA SITE'!X19</f>
        <v>7.1498995800620777E-3</v>
      </c>
      <c r="S68" s="838">
        <f>'MASTER SHEET -MARATHA SITE'!Y19</f>
        <v>5.4996652668735926E-3</v>
      </c>
      <c r="T68" s="849">
        <f>'MASTER SHEET -MARATHA SITE'!Z19</f>
        <v>4.3983932809932447E-3</v>
      </c>
      <c r="U68" s="568">
        <f>'MASTER SHEET -MARATHA SITE'!AA19</f>
        <v>3.2971212951128964E-3</v>
      </c>
      <c r="V68" s="568">
        <f>'MASTER SHEET -MARATHA SITE'!AB19</f>
        <v>2.2159332968169922E-3</v>
      </c>
      <c r="W68" s="568">
        <f>'MASTER SHEET -MARATHA SITE'!AC19</f>
        <v>0</v>
      </c>
      <c r="X68" s="568">
        <f>'MASTER SHEET -MARATHA SITE'!AD19</f>
        <v>0</v>
      </c>
      <c r="Y68" s="568">
        <f>'MASTER SHEET -MARATHA SITE'!AE19</f>
        <v>0</v>
      </c>
      <c r="Z68" s="97">
        <f>'MASTER SHEET -MARATHA SITE'!AF19</f>
        <v>0</v>
      </c>
      <c r="AA68" s="710"/>
      <c r="AB68" s="710"/>
    </row>
    <row r="69" spans="1:28" hidden="1">
      <c r="A69" s="80"/>
      <c r="B69" s="565" t="s">
        <v>17</v>
      </c>
      <c r="C69" s="625"/>
      <c r="D69" s="611">
        <f>'MASTER SHEET -MARATHA SITE'!J20</f>
        <v>0</v>
      </c>
      <c r="E69" s="568">
        <f>'MASTER SHEET -MARATHA SITE'!K20</f>
        <v>0</v>
      </c>
      <c r="F69" s="568">
        <f>'MASTER SHEET -MARATHA SITE'!L20</f>
        <v>0</v>
      </c>
      <c r="G69" s="568">
        <f>'MASTER SHEET -MARATHA SITE'!M20</f>
        <v>0</v>
      </c>
      <c r="H69" s="568">
        <f>'MASTER SHEET -MARATHA SITE'!N20</f>
        <v>0</v>
      </c>
      <c r="I69" s="568">
        <f>'MASTER SHEET -MARATHA SITE'!O20</f>
        <v>0</v>
      </c>
      <c r="J69" s="568">
        <f>'MASTER SHEET -MARATHA SITE'!P20</f>
        <v>0</v>
      </c>
      <c r="K69" s="568">
        <f>'MASTER SHEET -MARATHA SITE'!Q20</f>
        <v>0</v>
      </c>
      <c r="L69" s="568">
        <f>'MASTER SHEET -MARATHA SITE'!R20</f>
        <v>2.7777777777777779E-3</v>
      </c>
      <c r="M69" s="568">
        <f>'MASTER SHEET -MARATHA SITE'!S20</f>
        <v>3.8888888888888888E-3</v>
      </c>
      <c r="N69" s="568">
        <f>'MASTER SHEET -MARATHA SITE'!T20</f>
        <v>4.4444444444444444E-3</v>
      </c>
      <c r="O69" s="568">
        <f>'MASTER SHEET -MARATHA SITE'!U20</f>
        <v>6.1111111111111114E-3</v>
      </c>
      <c r="P69" s="568">
        <f>'MASTER SHEET -MARATHA SITE'!V20</f>
        <v>5.0000000000000001E-3</v>
      </c>
      <c r="Q69" s="568">
        <f>'MASTER SHEET -MARATHA SITE'!W20</f>
        <v>3.3333333333333331E-3</v>
      </c>
      <c r="R69" s="838">
        <f>'MASTER SHEET -MARATHA SITE'!X20</f>
        <v>2.2222222222222222E-3</v>
      </c>
      <c r="S69" s="838">
        <f>'MASTER SHEET -MARATHA SITE'!Y20</f>
        <v>1.6666666666666666E-3</v>
      </c>
      <c r="T69" s="849">
        <f>'MASTER SHEET -MARATHA SITE'!Z20</f>
        <v>5.5555555555555556E-4</v>
      </c>
      <c r="U69" s="568">
        <f>'MASTER SHEET -MARATHA SITE'!AA20</f>
        <v>0</v>
      </c>
      <c r="V69" s="568">
        <f>'MASTER SHEET -MARATHA SITE'!AB20</f>
        <v>0</v>
      </c>
      <c r="W69" s="568">
        <f>'MASTER SHEET -MARATHA SITE'!AC20</f>
        <v>0</v>
      </c>
      <c r="X69" s="568">
        <f>'MASTER SHEET -MARATHA SITE'!AD20</f>
        <v>0</v>
      </c>
      <c r="Y69" s="568">
        <f>'MASTER SHEET -MARATHA SITE'!AE20</f>
        <v>0</v>
      </c>
      <c r="Z69" s="97">
        <f>'MASTER SHEET -MARATHA SITE'!AF20</f>
        <v>0</v>
      </c>
      <c r="AA69" s="710"/>
      <c r="AB69" s="710"/>
    </row>
    <row r="70" spans="1:28" hidden="1">
      <c r="A70" s="80"/>
      <c r="B70" s="565" t="s">
        <v>17</v>
      </c>
      <c r="C70" s="625"/>
      <c r="D70" s="611">
        <f>'MASTER SHEET -MARATHA SITE'!J21</f>
        <v>0</v>
      </c>
      <c r="E70" s="568">
        <f>'MASTER SHEET -MARATHA SITE'!K21</f>
        <v>0</v>
      </c>
      <c r="F70" s="568">
        <f>'MASTER SHEET -MARATHA SITE'!L21</f>
        <v>0</v>
      </c>
      <c r="G70" s="568">
        <f>'MASTER SHEET -MARATHA SITE'!M21</f>
        <v>0</v>
      </c>
      <c r="H70" s="568">
        <f>'MASTER SHEET -MARATHA SITE'!N21</f>
        <v>0</v>
      </c>
      <c r="I70" s="568">
        <f>'MASTER SHEET -MARATHA SITE'!O21</f>
        <v>0</v>
      </c>
      <c r="J70" s="568">
        <f>'MASTER SHEET -MARATHA SITE'!P21</f>
        <v>0</v>
      </c>
      <c r="K70" s="568">
        <f>'MASTER SHEET -MARATHA SITE'!Q21</f>
        <v>0</v>
      </c>
      <c r="L70" s="568">
        <f>'MASTER SHEET -MARATHA SITE'!R21</f>
        <v>9.2685185185185177E-4</v>
      </c>
      <c r="M70" s="568">
        <f>'MASTER SHEET -MARATHA SITE'!S21</f>
        <v>1.2975925925925924E-3</v>
      </c>
      <c r="N70" s="568">
        <f>'MASTER SHEET -MARATHA SITE'!T21</f>
        <v>1.4829629629629628E-3</v>
      </c>
      <c r="O70" s="568">
        <f>'MASTER SHEET -MARATHA SITE'!U21</f>
        <v>2.0390740740740738E-3</v>
      </c>
      <c r="P70" s="568">
        <f>'MASTER SHEET -MARATHA SITE'!V21</f>
        <v>1.6683333333333333E-3</v>
      </c>
      <c r="Q70" s="568">
        <f>'MASTER SHEET -MARATHA SITE'!W21</f>
        <v>1.1122222222222221E-3</v>
      </c>
      <c r="R70" s="838">
        <f>'MASTER SHEET -MARATHA SITE'!X21</f>
        <v>7.4148148148148142E-4</v>
      </c>
      <c r="S70" s="838">
        <f>'MASTER SHEET -MARATHA SITE'!Y21</f>
        <v>5.5611111111111106E-4</v>
      </c>
      <c r="T70" s="849">
        <f>'MASTER SHEET -MARATHA SITE'!Z21</f>
        <v>1.8537037037037035E-4</v>
      </c>
      <c r="U70" s="568">
        <f>'MASTER SHEET -MARATHA SITE'!AA21</f>
        <v>0</v>
      </c>
      <c r="V70" s="568">
        <f>'MASTER SHEET -MARATHA SITE'!AB21</f>
        <v>0</v>
      </c>
      <c r="W70" s="568">
        <f>'MASTER SHEET -MARATHA SITE'!AC21</f>
        <v>0</v>
      </c>
      <c r="X70" s="568">
        <f>'MASTER SHEET -MARATHA SITE'!AD21</f>
        <v>0</v>
      </c>
      <c r="Y70" s="568">
        <f>'MASTER SHEET -MARATHA SITE'!AE21</f>
        <v>0</v>
      </c>
      <c r="Z70" s="97">
        <f>'MASTER SHEET -MARATHA SITE'!AF21</f>
        <v>0</v>
      </c>
      <c r="AA70" s="710"/>
      <c r="AB70" s="710"/>
    </row>
    <row r="71" spans="1:28" hidden="1">
      <c r="A71" s="80"/>
      <c r="B71" s="565" t="s">
        <v>17</v>
      </c>
      <c r="C71" s="625"/>
      <c r="D71" s="611">
        <f>'MASTER SHEET -MARATHA SITE'!J22</f>
        <v>0</v>
      </c>
      <c r="E71" s="611">
        <f>'MASTER SHEET -MARATHA SITE'!K22</f>
        <v>0</v>
      </c>
      <c r="F71" s="611">
        <f>'MASTER SHEET -MARATHA SITE'!L22</f>
        <v>0</v>
      </c>
      <c r="G71" s="611">
        <f>'MASTER SHEET -MARATHA SITE'!M22</f>
        <v>0</v>
      </c>
      <c r="H71" s="611">
        <f>'MASTER SHEET -MARATHA SITE'!N22</f>
        <v>0</v>
      </c>
      <c r="I71" s="611">
        <f>'MASTER SHEET -MARATHA SITE'!O22</f>
        <v>0</v>
      </c>
      <c r="J71" s="611">
        <f>'MASTER SHEET -MARATHA SITE'!P22</f>
        <v>0</v>
      </c>
      <c r="K71" s="611">
        <f>'MASTER SHEET -MARATHA SITE'!Q22</f>
        <v>0</v>
      </c>
      <c r="L71" s="611">
        <f>'MASTER SHEET -MARATHA SITE'!R22</f>
        <v>0</v>
      </c>
      <c r="M71" s="611">
        <f>'MASTER SHEET -MARATHA SITE'!S22</f>
        <v>0</v>
      </c>
      <c r="N71" s="611">
        <f>'MASTER SHEET -MARATHA SITE'!T22</f>
        <v>7.4037037037037029E-4</v>
      </c>
      <c r="O71" s="611">
        <f>'MASTER SHEET -MARATHA SITE'!U22</f>
        <v>3.7018518518518515E-4</v>
      </c>
      <c r="P71" s="611">
        <f>'MASTER SHEET -MARATHA SITE'!V22</f>
        <v>2.591296296296296E-3</v>
      </c>
      <c r="Q71" s="611">
        <f>'MASTER SHEET -MARATHA SITE'!W22</f>
        <v>3.3316666666666664E-3</v>
      </c>
      <c r="R71" s="839">
        <f>'MASTER SHEET -MARATHA SITE'!X22</f>
        <v>3.7018518518518516E-3</v>
      </c>
      <c r="S71" s="839">
        <f>'MASTER SHEET -MARATHA SITE'!Y22</f>
        <v>2.9614814814814812E-3</v>
      </c>
      <c r="T71" s="849">
        <f>'MASTER SHEET -MARATHA SITE'!Z22</f>
        <v>2.9614814814814812E-3</v>
      </c>
      <c r="U71" s="611">
        <f>'MASTER SHEET -MARATHA SITE'!AA22</f>
        <v>2.2211111111111108E-3</v>
      </c>
      <c r="V71" s="611">
        <f>'MASTER SHEET -MARATHA SITE'!AB22</f>
        <v>1.1105555555555554E-3</v>
      </c>
      <c r="W71" s="611">
        <f>'MASTER SHEET -MARATHA SITE'!AC22</f>
        <v>0</v>
      </c>
      <c r="X71" s="611">
        <f>'MASTER SHEET -MARATHA SITE'!AD22</f>
        <v>0</v>
      </c>
      <c r="Y71" s="611">
        <f>'MASTER SHEET -MARATHA SITE'!AE22</f>
        <v>0</v>
      </c>
      <c r="Z71" s="611">
        <f>'MASTER SHEET -MARATHA SITE'!AF22</f>
        <v>0</v>
      </c>
      <c r="AA71" s="710"/>
      <c r="AB71" s="710"/>
    </row>
    <row r="72" spans="1:28" s="564" customFormat="1" hidden="1">
      <c r="A72" s="80"/>
      <c r="B72" s="665"/>
      <c r="C72" s="666"/>
      <c r="D72" s="611">
        <f>'MASTER SHEET -MARATHA SITE'!J23</f>
        <v>0</v>
      </c>
      <c r="E72" s="611">
        <f>'MASTER SHEET -MARATHA SITE'!K23</f>
        <v>0</v>
      </c>
      <c r="F72" s="611">
        <f>'MASTER SHEET -MARATHA SITE'!L23</f>
        <v>0</v>
      </c>
      <c r="G72" s="611">
        <f>'MASTER SHEET -MARATHA SITE'!M23</f>
        <v>0</v>
      </c>
      <c r="H72" s="611">
        <f>'MASTER SHEET -MARATHA SITE'!N23</f>
        <v>3.131056701030928E-4</v>
      </c>
      <c r="I72" s="611">
        <f>'MASTER SHEET -MARATHA SITE'!O23</f>
        <v>2.88479381443299E-4</v>
      </c>
      <c r="J72" s="611">
        <f>'MASTER SHEET -MARATHA SITE'!P23</f>
        <v>2.9551546391752581E-4</v>
      </c>
      <c r="K72" s="611">
        <f>'MASTER SHEET -MARATHA SITE'!Q23</f>
        <v>5.7109536082474235E-4</v>
      </c>
      <c r="L72" s="611">
        <f>'MASTER SHEET -MARATHA SITE'!R23</f>
        <v>8.3905283505154654E-4</v>
      </c>
      <c r="M72" s="611">
        <f>'MASTER SHEET -MARATHA SITE'!S23</f>
        <v>1.0841430412371136E-3</v>
      </c>
      <c r="N72" s="611">
        <f>'MASTER SHEET -MARATHA SITE'!T23</f>
        <v>1.4324291237113405E-3</v>
      </c>
      <c r="O72" s="611">
        <f>'MASTER SHEET -MARATHA SITE'!U23</f>
        <v>1.2535953608247424E-3</v>
      </c>
      <c r="P72" s="611">
        <f>'MASTER SHEET -MARATHA SITE'!V23</f>
        <v>1.0131958762886598E-3</v>
      </c>
      <c r="Q72" s="611">
        <f>'MASTER SHEET -MARATHA SITE'!W23</f>
        <v>8.2322164948453621E-4</v>
      </c>
      <c r="R72" s="839">
        <f>'MASTER SHEET -MARATHA SITE'!X23</f>
        <v>6.267976804123712E-4</v>
      </c>
      <c r="S72" s="839">
        <f>'MASTER SHEET -MARATHA SITE'!Y23</f>
        <v>5.9513530927835054E-4</v>
      </c>
      <c r="T72" s="849">
        <f>'MASTER SHEET -MARATHA SITE'!Z23</f>
        <v>6.3442010309278356E-4</v>
      </c>
      <c r="U72" s="611">
        <f>'MASTER SHEET -MARATHA SITE'!AA23</f>
        <v>2.3981314432989693E-4</v>
      </c>
      <c r="V72" s="611">
        <f>'MASTER SHEET -MARATHA SITE'!AB23</f>
        <v>0</v>
      </c>
      <c r="W72" s="611">
        <f>'MASTER SHEET -MARATHA SITE'!AC23</f>
        <v>0</v>
      </c>
      <c r="X72" s="611">
        <f>'MASTER SHEET -MARATHA SITE'!AD23</f>
        <v>0</v>
      </c>
      <c r="Y72" s="611">
        <f>'MASTER SHEET -MARATHA SITE'!AE23</f>
        <v>0</v>
      </c>
      <c r="Z72" s="611">
        <f>'MASTER SHEET -MARATHA SITE'!AF23</f>
        <v>0</v>
      </c>
      <c r="AA72" s="710"/>
      <c r="AB72" s="710"/>
    </row>
    <row r="73" spans="1:28" s="564" customFormat="1" hidden="1">
      <c r="A73" s="80"/>
      <c r="B73" s="665"/>
      <c r="C73" s="666"/>
      <c r="D73" s="611">
        <f>'MASTER SHEET -MARATHA SITE'!J24</f>
        <v>0</v>
      </c>
      <c r="E73" s="611">
        <f>'MASTER SHEET -MARATHA SITE'!K24</f>
        <v>0</v>
      </c>
      <c r="F73" s="611">
        <f>'MASTER SHEET -MARATHA SITE'!L24</f>
        <v>0</v>
      </c>
      <c r="G73" s="611">
        <f>'MASTER SHEET -MARATHA SITE'!M24</f>
        <v>0</v>
      </c>
      <c r="H73" s="611">
        <f>'MASTER SHEET -MARATHA SITE'!N24</f>
        <v>0</v>
      </c>
      <c r="I73" s="611">
        <f>'MASTER SHEET -MARATHA SITE'!O24</f>
        <v>0</v>
      </c>
      <c r="J73" s="611">
        <f>'MASTER SHEET -MARATHA SITE'!P24</f>
        <v>0</v>
      </c>
      <c r="K73" s="611">
        <f>'MASTER SHEET -MARATHA SITE'!Q24</f>
        <v>0</v>
      </c>
      <c r="L73" s="611">
        <f>'MASTER SHEET -MARATHA SITE'!R24</f>
        <v>0</v>
      </c>
      <c r="M73" s="611">
        <f>'MASTER SHEET -MARATHA SITE'!S24</f>
        <v>0</v>
      </c>
      <c r="N73" s="611">
        <f>'MASTER SHEET -MARATHA SITE'!T24</f>
        <v>0</v>
      </c>
      <c r="O73" s="611">
        <f>'MASTER SHEET -MARATHA SITE'!U24</f>
        <v>0</v>
      </c>
      <c r="P73" s="611">
        <f>'MASTER SHEET -MARATHA SITE'!V24</f>
        <v>0</v>
      </c>
      <c r="Q73" s="611">
        <f>'MASTER SHEET -MARATHA SITE'!W24</f>
        <v>0</v>
      </c>
      <c r="R73" s="839">
        <f>'MASTER SHEET -MARATHA SITE'!X24</f>
        <v>1E-3</v>
      </c>
      <c r="S73" s="839">
        <f>'MASTER SHEET -MARATHA SITE'!Y24</f>
        <v>1E-3</v>
      </c>
      <c r="T73" s="849">
        <f>'MASTER SHEET -MARATHA SITE'!Z24</f>
        <v>1E-3</v>
      </c>
      <c r="U73" s="611">
        <f>'MASTER SHEET -MARATHA SITE'!AA24</f>
        <v>1E-3</v>
      </c>
      <c r="V73" s="611">
        <f>'MASTER SHEET -MARATHA SITE'!AB24</f>
        <v>1E-3</v>
      </c>
      <c r="W73" s="611">
        <f>'MASTER SHEET -MARATHA SITE'!AC24</f>
        <v>0</v>
      </c>
      <c r="X73" s="611">
        <f>'MASTER SHEET -MARATHA SITE'!AD24</f>
        <v>0</v>
      </c>
      <c r="Y73" s="611">
        <f>'MASTER SHEET -MARATHA SITE'!AE24</f>
        <v>0</v>
      </c>
      <c r="Z73" s="611">
        <f>'MASTER SHEET -MARATHA SITE'!AF24</f>
        <v>0</v>
      </c>
      <c r="AA73" s="710"/>
      <c r="AB73" s="710"/>
    </row>
    <row r="74" spans="1:28" s="5" customFormat="1">
      <c r="A74" s="79"/>
      <c r="B74" s="573" t="s">
        <v>30</v>
      </c>
      <c r="C74" s="624"/>
      <c r="D74" s="592">
        <f>SUM(D63:D73)</f>
        <v>0</v>
      </c>
      <c r="E74" s="592">
        <f t="shared" ref="E74:Z74" si="18">SUM(E63:E73)</f>
        <v>0</v>
      </c>
      <c r="F74" s="592">
        <f t="shared" si="18"/>
        <v>0</v>
      </c>
      <c r="G74" s="592">
        <f t="shared" si="18"/>
        <v>0</v>
      </c>
      <c r="H74" s="592">
        <f t="shared" si="18"/>
        <v>3.131056701030928E-4</v>
      </c>
      <c r="I74" s="592">
        <f t="shared" si="18"/>
        <v>3.2674773829572665E-4</v>
      </c>
      <c r="J74" s="592">
        <f t="shared" si="18"/>
        <v>3.720521776223811E-4</v>
      </c>
      <c r="K74" s="592">
        <f t="shared" si="18"/>
        <v>8.71970414660167E-3</v>
      </c>
      <c r="L74" s="592">
        <f t="shared" si="18"/>
        <v>1.7566109407046848E-2</v>
      </c>
      <c r="M74" s="592">
        <f t="shared" si="18"/>
        <v>2.3584818544046714E-2</v>
      </c>
      <c r="N74" s="592">
        <f t="shared" si="18"/>
        <v>3.001472435382118E-2</v>
      </c>
      <c r="O74" s="592">
        <f t="shared" si="18"/>
        <v>2.8035064998440759E-2</v>
      </c>
      <c r="P74" s="592">
        <f t="shared" si="18"/>
        <v>3.472595868809053E-2</v>
      </c>
      <c r="Q74" s="592">
        <f t="shared" si="18"/>
        <v>3.05155814535891E-2</v>
      </c>
      <c r="R74" s="592">
        <f t="shared" si="18"/>
        <v>2.3415837019702703E-2</v>
      </c>
      <c r="S74" s="592">
        <f t="shared" si="18"/>
        <v>1.9750371855395788E-2</v>
      </c>
      <c r="T74" s="850">
        <f t="shared" si="18"/>
        <v>1.7096511285527295E-2</v>
      </c>
      <c r="U74" s="592">
        <f t="shared" si="18"/>
        <v>9.6291290234072902E-3</v>
      </c>
      <c r="V74" s="592">
        <f t="shared" si="18"/>
        <v>5.9442836383089264E-3</v>
      </c>
      <c r="W74" s="592">
        <f t="shared" si="18"/>
        <v>0</v>
      </c>
      <c r="X74" s="592">
        <f t="shared" si="18"/>
        <v>0</v>
      </c>
      <c r="Y74" s="592">
        <f t="shared" si="18"/>
        <v>0</v>
      </c>
      <c r="Z74" s="592">
        <f t="shared" si="18"/>
        <v>0</v>
      </c>
      <c r="AA74" s="592"/>
      <c r="AB74" s="592"/>
    </row>
    <row r="75" spans="1:28" hidden="1">
      <c r="A75" s="80"/>
      <c r="B75" s="566" t="s">
        <v>17</v>
      </c>
      <c r="C75" s="626"/>
      <c r="D75" s="611">
        <f>'MASTER SHEET -MARATHA SITE'!J53</f>
        <v>0</v>
      </c>
      <c r="E75" s="568">
        <f>'MASTER SHEET -MARATHA SITE'!K53</f>
        <v>0</v>
      </c>
      <c r="F75" s="568">
        <f>'MASTER SHEET -MARATHA SITE'!L53</f>
        <v>0</v>
      </c>
      <c r="G75" s="568">
        <f>'MASTER SHEET -MARATHA SITE'!M53</f>
        <v>0</v>
      </c>
      <c r="H75" s="568">
        <f>'MASTER SHEET -MARATHA SITE'!N53</f>
        <v>0</v>
      </c>
      <c r="I75" s="568">
        <f>'MASTER SHEET -MARATHA SITE'!O53</f>
        <v>0</v>
      </c>
      <c r="J75" s="568">
        <f>'MASTER SHEET -MARATHA SITE'!P53</f>
        <v>0</v>
      </c>
      <c r="K75" s="568">
        <f>'MASTER SHEET -MARATHA SITE'!Q53</f>
        <v>0</v>
      </c>
      <c r="L75" s="568">
        <f>'MASTER SHEET -MARATHA SITE'!R53</f>
        <v>0</v>
      </c>
      <c r="M75" s="568">
        <f>'MASTER SHEET -MARATHA SITE'!S53</f>
        <v>0</v>
      </c>
      <c r="N75" s="568">
        <f>'MASTER SHEET -MARATHA SITE'!T53</f>
        <v>2.1860798851949294E-4</v>
      </c>
      <c r="O75" s="568">
        <f>'MASTER SHEET -MARATHA SITE'!U53</f>
        <v>2.9705812006696961E-4</v>
      </c>
      <c r="P75" s="568">
        <f>'MASTER SHEET -MARATHA SITE'!V53</f>
        <v>5.4245395838316193E-4</v>
      </c>
      <c r="Q75" s="568">
        <f>'MASTER SHEET -MARATHA SITE'!W53</f>
        <v>7.127481463764649E-4</v>
      </c>
      <c r="R75" s="838">
        <f>'MASTER SHEET -MARATHA SITE'!X53</f>
        <v>1.424061229370964E-3</v>
      </c>
      <c r="S75" s="838">
        <f>'MASTER SHEET -MARATHA SITE'!Y53</f>
        <v>2.7734991628796937E-3</v>
      </c>
      <c r="T75" s="849">
        <f>'MASTER SHEET -MARATHA SITE'!Z53</f>
        <v>0</v>
      </c>
      <c r="U75" s="568">
        <f>'MASTER SHEET -MARATHA SITE'!AA53</f>
        <v>0</v>
      </c>
      <c r="V75" s="568">
        <f>'MASTER SHEET -MARATHA SITE'!AB53</f>
        <v>0</v>
      </c>
      <c r="W75" s="568">
        <f>'MASTER SHEET -MARATHA SITE'!AC53</f>
        <v>0</v>
      </c>
      <c r="X75" s="568">
        <f>'MASTER SHEET -MARATHA SITE'!AD53</f>
        <v>0</v>
      </c>
      <c r="Y75" s="568">
        <f>'MASTER SHEET -MARATHA SITE'!AE53</f>
        <v>0</v>
      </c>
      <c r="Z75" s="97">
        <f>'MASTER SHEET -MARATHA SITE'!AF53</f>
        <v>0</v>
      </c>
      <c r="AA75" s="710"/>
      <c r="AB75" s="710"/>
    </row>
    <row r="76" spans="1:28" hidden="1">
      <c r="A76" s="80"/>
      <c r="B76" s="566" t="s">
        <v>17</v>
      </c>
      <c r="C76" s="626"/>
      <c r="D76" s="611">
        <f>'MASTER SHEET -MARATHA SITE'!J54</f>
        <v>0</v>
      </c>
      <c r="E76" s="568">
        <f>'MASTER SHEET -MARATHA SITE'!K54</f>
        <v>0</v>
      </c>
      <c r="F76" s="568">
        <f>'MASTER SHEET -MARATHA SITE'!L54</f>
        <v>0</v>
      </c>
      <c r="G76" s="568">
        <f>'MASTER SHEET -MARATHA SITE'!M54</f>
        <v>0</v>
      </c>
      <c r="H76" s="568">
        <f>'MASTER SHEET -MARATHA SITE'!N54</f>
        <v>0</v>
      </c>
      <c r="I76" s="568">
        <f>'MASTER SHEET -MARATHA SITE'!O54</f>
        <v>0</v>
      </c>
      <c r="J76" s="568">
        <f>'MASTER SHEET -MARATHA SITE'!P54</f>
        <v>0</v>
      </c>
      <c r="K76" s="568">
        <f>'MASTER SHEET -MARATHA SITE'!Q54</f>
        <v>0</v>
      </c>
      <c r="L76" s="568">
        <f>'MASTER SHEET -MARATHA SITE'!R54</f>
        <v>0</v>
      </c>
      <c r="M76" s="568">
        <f>'MASTER SHEET -MARATHA SITE'!S54</f>
        <v>0</v>
      </c>
      <c r="N76" s="568">
        <f>'MASTER SHEET -MARATHA SITE'!T54</f>
        <v>2.1860798851949294E-4</v>
      </c>
      <c r="O76" s="568">
        <f>'MASTER SHEET -MARATHA SITE'!U54</f>
        <v>2.9705812006696961E-4</v>
      </c>
      <c r="P76" s="568">
        <f>'MASTER SHEET -MARATHA SITE'!V54</f>
        <v>5.4245395838316193E-4</v>
      </c>
      <c r="Q76" s="568">
        <f>'MASTER SHEET -MARATHA SITE'!W54</f>
        <v>7.127481463764649E-4</v>
      </c>
      <c r="R76" s="838">
        <f>'MASTER SHEET -MARATHA SITE'!X54</f>
        <v>1.424061229370964E-3</v>
      </c>
      <c r="S76" s="838">
        <f>'MASTER SHEET -MARATHA SITE'!Y54</f>
        <v>2.7734991628796937E-3</v>
      </c>
      <c r="T76" s="849">
        <f>'MASTER SHEET -MARATHA SITE'!Z54</f>
        <v>0</v>
      </c>
      <c r="U76" s="568">
        <f>'MASTER SHEET -MARATHA SITE'!AA54</f>
        <v>0</v>
      </c>
      <c r="V76" s="568">
        <f>'MASTER SHEET -MARATHA SITE'!AB54</f>
        <v>0</v>
      </c>
      <c r="W76" s="568">
        <f>'MASTER SHEET -MARATHA SITE'!AC54</f>
        <v>0</v>
      </c>
      <c r="X76" s="568">
        <f>'MASTER SHEET -MARATHA SITE'!AD54</f>
        <v>0</v>
      </c>
      <c r="Y76" s="568">
        <f>'MASTER SHEET -MARATHA SITE'!AE54</f>
        <v>0</v>
      </c>
      <c r="Z76" s="97">
        <f>'MASTER SHEET -MARATHA SITE'!AF54</f>
        <v>0</v>
      </c>
      <c r="AA76" s="710"/>
      <c r="AB76" s="710"/>
    </row>
    <row r="77" spans="1:28" hidden="1">
      <c r="A77" s="80"/>
      <c r="B77" s="566" t="s">
        <v>17</v>
      </c>
      <c r="C77" s="626"/>
      <c r="D77" s="611">
        <f>'MASTER SHEET -MARATHA SITE'!J55</f>
        <v>0</v>
      </c>
      <c r="E77" s="568">
        <f>'MASTER SHEET -MARATHA SITE'!K55</f>
        <v>0</v>
      </c>
      <c r="F77" s="568">
        <f>'MASTER SHEET -MARATHA SITE'!L55</f>
        <v>0</v>
      </c>
      <c r="G77" s="568">
        <f>'MASTER SHEET -MARATHA SITE'!M55</f>
        <v>0</v>
      </c>
      <c r="H77" s="568">
        <f>'MASTER SHEET -MARATHA SITE'!N55</f>
        <v>0</v>
      </c>
      <c r="I77" s="568">
        <f>'MASTER SHEET -MARATHA SITE'!O55</f>
        <v>0</v>
      </c>
      <c r="J77" s="568">
        <f>'MASTER SHEET -MARATHA SITE'!P55</f>
        <v>0</v>
      </c>
      <c r="K77" s="568">
        <f>'MASTER SHEET -MARATHA SITE'!Q55</f>
        <v>0</v>
      </c>
      <c r="L77" s="568">
        <f>'MASTER SHEET -MARATHA SITE'!R55</f>
        <v>0</v>
      </c>
      <c r="M77" s="568">
        <f>'MASTER SHEET -MARATHA SITE'!S55</f>
        <v>0</v>
      </c>
      <c r="N77" s="568">
        <f>'MASTER SHEET -MARATHA SITE'!T55</f>
        <v>4.3721597703898587E-4</v>
      </c>
      <c r="O77" s="568">
        <f>'MASTER SHEET -MARATHA SITE'!U55</f>
        <v>5.9411624013393921E-4</v>
      </c>
      <c r="P77" s="568">
        <f>'MASTER SHEET -MARATHA SITE'!V55</f>
        <v>1.0849079167663239E-3</v>
      </c>
      <c r="Q77" s="568">
        <f>'MASTER SHEET -MARATHA SITE'!W55</f>
        <v>1.4254962927529298E-3</v>
      </c>
      <c r="R77" s="838">
        <f>'MASTER SHEET -MARATHA SITE'!X55</f>
        <v>4.8696484094714183E-4</v>
      </c>
      <c r="S77" s="838">
        <f>'MASTER SHEET -MARATHA SITE'!Y55</f>
        <v>1.9115044247787611E-3</v>
      </c>
      <c r="T77" s="849">
        <f>'MASTER SHEET -MARATHA SITE'!Z55</f>
        <v>0</v>
      </c>
      <c r="U77" s="568">
        <f>'MASTER SHEET -MARATHA SITE'!AA55</f>
        <v>0</v>
      </c>
      <c r="V77" s="568">
        <f>'MASTER SHEET -MARATHA SITE'!AB55</f>
        <v>0</v>
      </c>
      <c r="W77" s="568">
        <f>'MASTER SHEET -MARATHA SITE'!AC55</f>
        <v>0</v>
      </c>
      <c r="X77" s="568">
        <f>'MASTER SHEET -MARATHA SITE'!AD55</f>
        <v>0</v>
      </c>
      <c r="Y77" s="568">
        <f>'MASTER SHEET -MARATHA SITE'!AE55</f>
        <v>0</v>
      </c>
      <c r="Z77" s="97">
        <f>'MASTER SHEET -MARATHA SITE'!AF55</f>
        <v>0</v>
      </c>
      <c r="AA77" s="710"/>
      <c r="AB77" s="710"/>
    </row>
    <row r="78" spans="1:28" hidden="1">
      <c r="A78" s="80"/>
      <c r="B78" s="566" t="s">
        <v>17</v>
      </c>
      <c r="C78" s="627"/>
      <c r="D78" s="611">
        <f>'MASTER SHEET -MARATHA SITE'!J56</f>
        <v>0</v>
      </c>
      <c r="E78" s="568">
        <f>'MASTER SHEET -MARATHA SITE'!K56</f>
        <v>0</v>
      </c>
      <c r="F78" s="568">
        <f>'MASTER SHEET -MARATHA SITE'!L56</f>
        <v>0</v>
      </c>
      <c r="G78" s="568">
        <f>'MASTER SHEET -MARATHA SITE'!M56</f>
        <v>0</v>
      </c>
      <c r="H78" s="568">
        <f>'MASTER SHEET -MARATHA SITE'!N56</f>
        <v>0</v>
      </c>
      <c r="I78" s="568">
        <f>'MASTER SHEET -MARATHA SITE'!O56</f>
        <v>0</v>
      </c>
      <c r="J78" s="568">
        <f>'MASTER SHEET -MARATHA SITE'!P56</f>
        <v>8.3333333333333339E-4</v>
      </c>
      <c r="K78" s="568">
        <f>'MASTER SHEET -MARATHA SITE'!Q56</f>
        <v>8.3333333333333339E-4</v>
      </c>
      <c r="L78" s="568">
        <f>'MASTER SHEET -MARATHA SITE'!R56</f>
        <v>1.5000000000000001E-2</v>
      </c>
      <c r="M78" s="568">
        <f>'MASTER SHEET -MARATHA SITE'!S56</f>
        <v>8.3333333333333332E-3</v>
      </c>
      <c r="N78" s="568">
        <f>'MASTER SHEET -MARATHA SITE'!T56</f>
        <v>5.0000000000000001E-3</v>
      </c>
      <c r="O78" s="568">
        <f>'MASTER SHEET -MARATHA SITE'!U56</f>
        <v>0</v>
      </c>
      <c r="P78" s="568">
        <f>'MASTER SHEET -MARATHA SITE'!V56</f>
        <v>0</v>
      </c>
      <c r="Q78" s="568">
        <f>'MASTER SHEET -MARATHA SITE'!W56</f>
        <v>0.01</v>
      </c>
      <c r="R78" s="838">
        <f>'MASTER SHEET -MARATHA SITE'!X56</f>
        <v>0</v>
      </c>
      <c r="S78" s="838">
        <f>'MASTER SHEET -MARATHA SITE'!Y56</f>
        <v>0</v>
      </c>
      <c r="T78" s="849">
        <f>'MASTER SHEET -MARATHA SITE'!Z56</f>
        <v>0</v>
      </c>
      <c r="U78" s="568">
        <f>'MASTER SHEET -MARATHA SITE'!AA56</f>
        <v>0</v>
      </c>
      <c r="V78" s="568">
        <f>'MASTER SHEET -MARATHA SITE'!AB56</f>
        <v>0</v>
      </c>
      <c r="W78" s="568">
        <f>'MASTER SHEET -MARATHA SITE'!AC56</f>
        <v>0</v>
      </c>
      <c r="X78" s="568">
        <f>'MASTER SHEET -MARATHA SITE'!AD56</f>
        <v>0</v>
      </c>
      <c r="Y78" s="568">
        <f>'MASTER SHEET -MARATHA SITE'!AE56</f>
        <v>0</v>
      </c>
      <c r="Z78" s="97">
        <f>'MASTER SHEET -MARATHA SITE'!AF56</f>
        <v>0</v>
      </c>
      <c r="AA78" s="710"/>
      <c r="AB78" s="710"/>
    </row>
    <row r="79" spans="1:28" hidden="1">
      <c r="A79" s="80"/>
      <c r="B79" s="566" t="s">
        <v>17</v>
      </c>
      <c r="C79" s="627"/>
      <c r="D79" s="611">
        <f>'MASTER SHEET -MARATHA SITE'!J57</f>
        <v>0</v>
      </c>
      <c r="E79" s="568">
        <f>'MASTER SHEET -MARATHA SITE'!K57</f>
        <v>0</v>
      </c>
      <c r="F79" s="568">
        <f>'MASTER SHEET -MARATHA SITE'!L57</f>
        <v>0</v>
      </c>
      <c r="G79" s="568">
        <f>'MASTER SHEET -MARATHA SITE'!M57</f>
        <v>0</v>
      </c>
      <c r="H79" s="568">
        <f>'MASTER SHEET -MARATHA SITE'!N57</f>
        <v>0</v>
      </c>
      <c r="I79" s="568">
        <f>'MASTER SHEET -MARATHA SITE'!O57</f>
        <v>0</v>
      </c>
      <c r="J79" s="568">
        <f>'MASTER SHEET -MARATHA SITE'!P57</f>
        <v>2.7777777777777778E-4</v>
      </c>
      <c r="K79" s="568">
        <f>'MASTER SHEET -MARATHA SITE'!Q57</f>
        <v>2.7777777777777778E-4</v>
      </c>
      <c r="L79" s="568">
        <f>'MASTER SHEET -MARATHA SITE'!R57</f>
        <v>5.0000000000000001E-3</v>
      </c>
      <c r="M79" s="568">
        <f>'MASTER SHEET -MARATHA SITE'!S57</f>
        <v>2.7777777777777779E-3</v>
      </c>
      <c r="N79" s="568">
        <f>'MASTER SHEET -MARATHA SITE'!T57</f>
        <v>1.6666666666666666E-3</v>
      </c>
      <c r="O79" s="568">
        <f>'MASTER SHEET -MARATHA SITE'!U57</f>
        <v>0</v>
      </c>
      <c r="P79" s="568">
        <f>'MASTER SHEET -MARATHA SITE'!V57</f>
        <v>0</v>
      </c>
      <c r="Q79" s="568">
        <f>'MASTER SHEET -MARATHA SITE'!W57</f>
        <v>3.3333333333333331E-3</v>
      </c>
      <c r="R79" s="838">
        <f>'MASTER SHEET -MARATHA SITE'!X57</f>
        <v>0</v>
      </c>
      <c r="S79" s="838">
        <f>'MASTER SHEET -MARATHA SITE'!Y57</f>
        <v>0</v>
      </c>
      <c r="T79" s="849">
        <f>'MASTER SHEET -MARATHA SITE'!Z57</f>
        <v>0</v>
      </c>
      <c r="U79" s="568">
        <f>'MASTER SHEET -MARATHA SITE'!AA57</f>
        <v>0</v>
      </c>
      <c r="V79" s="568">
        <f>'MASTER SHEET -MARATHA SITE'!AB57</f>
        <v>0</v>
      </c>
      <c r="W79" s="568">
        <f>'MASTER SHEET -MARATHA SITE'!AC57</f>
        <v>0</v>
      </c>
      <c r="X79" s="568">
        <f>'MASTER SHEET -MARATHA SITE'!AD57</f>
        <v>0</v>
      </c>
      <c r="Y79" s="568">
        <f>'MASTER SHEET -MARATHA SITE'!AE57</f>
        <v>0</v>
      </c>
      <c r="Z79" s="97">
        <f>'MASTER SHEET -MARATHA SITE'!AF57</f>
        <v>0</v>
      </c>
      <c r="AA79" s="710"/>
      <c r="AB79" s="710"/>
    </row>
    <row r="80" spans="1:28" hidden="1">
      <c r="A80" s="80"/>
      <c r="B80" s="566" t="s">
        <v>17</v>
      </c>
      <c r="C80" s="627"/>
      <c r="D80" s="611">
        <f>'MASTER SHEET -MARATHA SITE'!J58</f>
        <v>0</v>
      </c>
      <c r="E80" s="568">
        <f>'MASTER SHEET -MARATHA SITE'!K58</f>
        <v>0</v>
      </c>
      <c r="F80" s="568">
        <f>'MASTER SHEET -MARATHA SITE'!L58</f>
        <v>0</v>
      </c>
      <c r="G80" s="568">
        <f>'MASTER SHEET -MARATHA SITE'!M58</f>
        <v>0</v>
      </c>
      <c r="H80" s="568">
        <f>'MASTER SHEET -MARATHA SITE'!N58</f>
        <v>0</v>
      </c>
      <c r="I80" s="568">
        <f>'MASTER SHEET -MARATHA SITE'!O58</f>
        <v>0</v>
      </c>
      <c r="J80" s="568">
        <f>'MASTER SHEET -MARATHA SITE'!P58</f>
        <v>0</v>
      </c>
      <c r="K80" s="568">
        <f>'MASTER SHEET -MARATHA SITE'!Q58</f>
        <v>0</v>
      </c>
      <c r="L80" s="568">
        <f>'MASTER SHEET -MARATHA SITE'!R58</f>
        <v>0</v>
      </c>
      <c r="M80" s="568">
        <f>'MASTER SHEET -MARATHA SITE'!S58</f>
        <v>0</v>
      </c>
      <c r="N80" s="568">
        <f>'MASTER SHEET -MARATHA SITE'!T58</f>
        <v>1.4058791309110828E-3</v>
      </c>
      <c r="O80" s="568">
        <f>'MASTER SHEET -MARATHA SITE'!U58</f>
        <v>3.7624003408191836E-3</v>
      </c>
      <c r="P80" s="568">
        <f>'MASTER SHEET -MARATHA SITE'!V58</f>
        <v>5.5733065546832213E-3</v>
      </c>
      <c r="Q80" s="568">
        <f>'MASTER SHEET -MARATHA SITE'!W58</f>
        <v>2.9489988436492E-3</v>
      </c>
      <c r="R80" s="838">
        <f>'MASTER SHEET -MARATHA SITE'!X58</f>
        <v>2.2259752906092145E-3</v>
      </c>
      <c r="S80" s="838">
        <f>'MASTER SHEET -MARATHA SITE'!Y58</f>
        <v>9.0545310693201878E-3</v>
      </c>
      <c r="T80" s="849">
        <f>'MASTER SHEET -MARATHA SITE'!Z58</f>
        <v>0</v>
      </c>
      <c r="U80" s="568">
        <f>'MASTER SHEET -MARATHA SITE'!AA58</f>
        <v>0</v>
      </c>
      <c r="V80" s="568">
        <f>'MASTER SHEET -MARATHA SITE'!AB58</f>
        <v>0</v>
      </c>
      <c r="W80" s="568">
        <f>'MASTER SHEET -MARATHA SITE'!AC58</f>
        <v>0</v>
      </c>
      <c r="X80" s="568">
        <f>'MASTER SHEET -MARATHA SITE'!AD58</f>
        <v>0</v>
      </c>
      <c r="Y80" s="568">
        <f>'MASTER SHEET -MARATHA SITE'!AE58</f>
        <v>0</v>
      </c>
      <c r="Z80" s="97">
        <f>'MASTER SHEET -MARATHA SITE'!AF58</f>
        <v>0</v>
      </c>
      <c r="AA80" s="710"/>
      <c r="AB80" s="710"/>
    </row>
    <row r="81" spans="1:28" hidden="1">
      <c r="A81" s="80"/>
      <c r="B81" s="566" t="s">
        <v>17</v>
      </c>
      <c r="C81" s="627"/>
      <c r="D81" s="611">
        <f>'MASTER SHEET -MARATHA SITE'!J59</f>
        <v>0</v>
      </c>
      <c r="E81" s="568">
        <f>'MASTER SHEET -MARATHA SITE'!K59</f>
        <v>0</v>
      </c>
      <c r="F81" s="568">
        <f>'MASTER SHEET -MARATHA SITE'!L59</f>
        <v>0</v>
      </c>
      <c r="G81" s="568">
        <f>'MASTER SHEET -MARATHA SITE'!M59</f>
        <v>0</v>
      </c>
      <c r="H81" s="568">
        <f>'MASTER SHEET -MARATHA SITE'!N59</f>
        <v>0</v>
      </c>
      <c r="I81" s="568">
        <f>'MASTER SHEET -MARATHA SITE'!O59</f>
        <v>0</v>
      </c>
      <c r="J81" s="568">
        <f>'MASTER SHEET -MARATHA SITE'!P59</f>
        <v>0</v>
      </c>
      <c r="K81" s="568">
        <f>'MASTER SHEET -MARATHA SITE'!Q59</f>
        <v>0</v>
      </c>
      <c r="L81" s="568">
        <f>'MASTER SHEET -MARATHA SITE'!R59</f>
        <v>1.1111111111111111E-3</v>
      </c>
      <c r="M81" s="568">
        <f>'MASTER SHEET -MARATHA SITE'!S59</f>
        <v>0</v>
      </c>
      <c r="N81" s="568">
        <f>'MASTER SHEET -MARATHA SITE'!T59</f>
        <v>1.6666666666666666E-3</v>
      </c>
      <c r="O81" s="568">
        <f>'MASTER SHEET -MARATHA SITE'!U59</f>
        <v>0</v>
      </c>
      <c r="P81" s="568">
        <f>'MASTER SHEET -MARATHA SITE'!V59</f>
        <v>0</v>
      </c>
      <c r="Q81" s="568">
        <f>'MASTER SHEET -MARATHA SITE'!W59</f>
        <v>3.3333333333333331E-3</v>
      </c>
      <c r="R81" s="838">
        <f>'MASTER SHEET -MARATHA SITE'!X59</f>
        <v>0</v>
      </c>
      <c r="S81" s="838">
        <f>'MASTER SHEET -MARATHA SITE'!Y59</f>
        <v>1.1111111111111111E-3</v>
      </c>
      <c r="T81" s="849">
        <f>'MASTER SHEET -MARATHA SITE'!Z59</f>
        <v>0</v>
      </c>
      <c r="U81" s="568">
        <f>'MASTER SHEET -MARATHA SITE'!AA59</f>
        <v>0</v>
      </c>
      <c r="V81" s="568">
        <f>'MASTER SHEET -MARATHA SITE'!AB59</f>
        <v>0</v>
      </c>
      <c r="W81" s="568">
        <f>'MASTER SHEET -MARATHA SITE'!AC59</f>
        <v>0</v>
      </c>
      <c r="X81" s="568">
        <f>'MASTER SHEET -MARATHA SITE'!AD59</f>
        <v>0</v>
      </c>
      <c r="Y81" s="568">
        <f>'MASTER SHEET -MARATHA SITE'!AE59</f>
        <v>0</v>
      </c>
      <c r="Z81" s="97">
        <f>'MASTER SHEET -MARATHA SITE'!AF59</f>
        <v>0</v>
      </c>
      <c r="AA81" s="710"/>
      <c r="AB81" s="710"/>
    </row>
    <row r="82" spans="1:28" hidden="1">
      <c r="A82" s="80"/>
      <c r="B82" s="566" t="s">
        <v>17</v>
      </c>
      <c r="C82" s="627"/>
      <c r="D82" s="611">
        <f>'MASTER SHEET -MARATHA SITE'!J60</f>
        <v>0</v>
      </c>
      <c r="E82" s="568">
        <f>'MASTER SHEET -MARATHA SITE'!K60</f>
        <v>0</v>
      </c>
      <c r="F82" s="568">
        <f>'MASTER SHEET -MARATHA SITE'!L60</f>
        <v>0</v>
      </c>
      <c r="G82" s="568">
        <f>'MASTER SHEET -MARATHA SITE'!M60</f>
        <v>0</v>
      </c>
      <c r="H82" s="568">
        <f>'MASTER SHEET -MARATHA SITE'!N60</f>
        <v>0</v>
      </c>
      <c r="I82" s="568">
        <f>'MASTER SHEET -MARATHA SITE'!O60</f>
        <v>0</v>
      </c>
      <c r="J82" s="568">
        <f>'MASTER SHEET -MARATHA SITE'!P60</f>
        <v>0</v>
      </c>
      <c r="K82" s="568">
        <f>'MASTER SHEET -MARATHA SITE'!Q60</f>
        <v>0</v>
      </c>
      <c r="L82" s="568">
        <f>'MASTER SHEET -MARATHA SITE'!R60</f>
        <v>3.7074074074074071E-4</v>
      </c>
      <c r="M82" s="568">
        <f>'MASTER SHEET -MARATHA SITE'!S60</f>
        <v>0</v>
      </c>
      <c r="N82" s="568">
        <f>'MASTER SHEET -MARATHA SITE'!T60</f>
        <v>5.5611111111111106E-4</v>
      </c>
      <c r="O82" s="568">
        <f>'MASTER SHEET -MARATHA SITE'!U60</f>
        <v>0</v>
      </c>
      <c r="P82" s="568">
        <f>'MASTER SHEET -MARATHA SITE'!V60</f>
        <v>0</v>
      </c>
      <c r="Q82" s="568">
        <f>'MASTER SHEET -MARATHA SITE'!W60</f>
        <v>1.1122222222222221E-3</v>
      </c>
      <c r="R82" s="838">
        <f>'MASTER SHEET -MARATHA SITE'!X60</f>
        <v>0</v>
      </c>
      <c r="S82" s="838">
        <f>'MASTER SHEET -MARATHA SITE'!Y60</f>
        <v>3.7074074074074071E-4</v>
      </c>
      <c r="T82" s="849">
        <f>'MASTER SHEET -MARATHA SITE'!Z60</f>
        <v>0</v>
      </c>
      <c r="U82" s="568">
        <f>'MASTER SHEET -MARATHA SITE'!AA60</f>
        <v>0</v>
      </c>
      <c r="V82" s="568">
        <f>'MASTER SHEET -MARATHA SITE'!AB60</f>
        <v>0</v>
      </c>
      <c r="W82" s="568">
        <f>'MASTER SHEET -MARATHA SITE'!AC60</f>
        <v>0</v>
      </c>
      <c r="X82" s="568">
        <f>'MASTER SHEET -MARATHA SITE'!AD60</f>
        <v>0</v>
      </c>
      <c r="Y82" s="568">
        <f>'MASTER SHEET -MARATHA SITE'!AE60</f>
        <v>0</v>
      </c>
      <c r="Z82" s="97">
        <f>'MASTER SHEET -MARATHA SITE'!AF60</f>
        <v>0</v>
      </c>
      <c r="AA82" s="710"/>
      <c r="AB82" s="710"/>
    </row>
    <row r="83" spans="1:28" hidden="1">
      <c r="A83" s="80"/>
      <c r="B83" s="566" t="s">
        <v>17</v>
      </c>
      <c r="C83" s="626"/>
      <c r="D83" s="611">
        <f>'MASTER SHEET -MARATHA SITE'!J61</f>
        <v>0</v>
      </c>
      <c r="E83" s="611">
        <f>'MASTER SHEET -MARATHA SITE'!K61</f>
        <v>0</v>
      </c>
      <c r="F83" s="611">
        <f>'MASTER SHEET -MARATHA SITE'!L61</f>
        <v>0</v>
      </c>
      <c r="G83" s="611">
        <f>'MASTER SHEET -MARATHA SITE'!M61</f>
        <v>0</v>
      </c>
      <c r="H83" s="611">
        <f>'MASTER SHEET -MARATHA SITE'!N61</f>
        <v>0</v>
      </c>
      <c r="I83" s="611">
        <f>'MASTER SHEET -MARATHA SITE'!O61</f>
        <v>0</v>
      </c>
      <c r="J83" s="611">
        <f>'MASTER SHEET -MARATHA SITE'!P61</f>
        <v>0</v>
      </c>
      <c r="K83" s="611">
        <f>'MASTER SHEET -MARATHA SITE'!Q61</f>
        <v>0</v>
      </c>
      <c r="L83" s="611">
        <f>'MASTER SHEET -MARATHA SITE'!R61</f>
        <v>0</v>
      </c>
      <c r="M83" s="611">
        <f>'MASTER SHEET -MARATHA SITE'!S61</f>
        <v>3.7018518518518515E-4</v>
      </c>
      <c r="N83" s="611">
        <f>'MASTER SHEET -MARATHA SITE'!T61</f>
        <v>3.7018518518518515E-4</v>
      </c>
      <c r="O83" s="611">
        <f>'MASTER SHEET -MARATHA SITE'!U61</f>
        <v>0</v>
      </c>
      <c r="P83" s="611">
        <f>'MASTER SHEET -MARATHA SITE'!V61</f>
        <v>0</v>
      </c>
      <c r="Q83" s="611">
        <f>'MASTER SHEET -MARATHA SITE'!W61</f>
        <v>0</v>
      </c>
      <c r="R83" s="839">
        <f>'MASTER SHEET -MARATHA SITE'!X61</f>
        <v>3.7018518518518515E-4</v>
      </c>
      <c r="S83" s="839">
        <f>'MASTER SHEET -MARATHA SITE'!Y61</f>
        <v>3.7018518518518515E-4</v>
      </c>
      <c r="T83" s="849">
        <f>'MASTER SHEET -MARATHA SITE'!Z61</f>
        <v>0</v>
      </c>
      <c r="U83" s="611">
        <f>'MASTER SHEET -MARATHA SITE'!AA61</f>
        <v>0</v>
      </c>
      <c r="V83" s="611">
        <f>'MASTER SHEET -MARATHA SITE'!AB61</f>
        <v>0</v>
      </c>
      <c r="W83" s="611">
        <f>'MASTER SHEET -MARATHA SITE'!AC61</f>
        <v>0</v>
      </c>
      <c r="X83" s="611">
        <f>'MASTER SHEET -MARATHA SITE'!AD61</f>
        <v>0</v>
      </c>
      <c r="Y83" s="611">
        <f>'MASTER SHEET -MARATHA SITE'!AE61</f>
        <v>0</v>
      </c>
      <c r="Z83" s="611">
        <f>'MASTER SHEET -MARATHA SITE'!AF61</f>
        <v>0</v>
      </c>
      <c r="AA83" s="710"/>
      <c r="AB83" s="710"/>
    </row>
    <row r="84" spans="1:28" s="564" customFormat="1" hidden="1">
      <c r="A84" s="80"/>
      <c r="B84" s="667"/>
      <c r="C84" s="668"/>
      <c r="D84" s="611">
        <f>'MASTER SHEET -MARATHA SITE'!J62</f>
        <v>0</v>
      </c>
      <c r="E84" s="611">
        <f>'MASTER SHEET -MARATHA SITE'!K62</f>
        <v>0</v>
      </c>
      <c r="F84" s="611">
        <f>'MASTER SHEET -MARATHA SITE'!L62</f>
        <v>0</v>
      </c>
      <c r="G84" s="611">
        <f>'MASTER SHEET -MARATHA SITE'!M62</f>
        <v>3.9871134020618562E-5</v>
      </c>
      <c r="H84" s="611">
        <f>'MASTER SHEET -MARATHA SITE'!N62</f>
        <v>1.3720360824742269E-4</v>
      </c>
      <c r="I84" s="611">
        <f>'MASTER SHEET -MARATHA SITE'!O62</f>
        <v>1.2313144329896908E-4</v>
      </c>
      <c r="J84" s="611">
        <f>'MASTER SHEET -MARATHA SITE'!P62</f>
        <v>6.1800257731958773E-4</v>
      </c>
      <c r="K84" s="611">
        <f>'MASTER SHEET -MARATHA SITE'!Q62</f>
        <v>3.5942654639175263E-4</v>
      </c>
      <c r="L84" s="611">
        <f>'MASTER SHEET -MARATHA SITE'!R62</f>
        <v>2.1870489690721653E-4</v>
      </c>
      <c r="M84" s="611">
        <f>'MASTER SHEET -MARATHA SITE'!S62</f>
        <v>7.4699742268041248E-4</v>
      </c>
      <c r="N84" s="611">
        <f>'MASTER SHEET -MARATHA SITE'!T62</f>
        <v>7.1123067010309289E-4</v>
      </c>
      <c r="O84" s="611">
        <f>'MASTER SHEET -MARATHA SITE'!U62</f>
        <v>2.421585051546392E-4</v>
      </c>
      <c r="P84" s="611">
        <f>'MASTER SHEET -MARATHA SITE'!V62</f>
        <v>5.153930412371135E-4</v>
      </c>
      <c r="Q84" s="611">
        <f>'MASTER SHEET -MARATHA SITE'!W62</f>
        <v>7.6224226804123721E-4</v>
      </c>
      <c r="R84" s="839">
        <f>'MASTER SHEET -MARATHA SITE'!X62</f>
        <v>1.664619845360825E-3</v>
      </c>
      <c r="S84" s="839">
        <f>'MASTER SHEET -MARATHA SITE'!Y62</f>
        <v>2.6561211340206186E-4</v>
      </c>
      <c r="T84" s="849">
        <f>'MASTER SHEET -MARATHA SITE'!Z62</f>
        <v>0</v>
      </c>
      <c r="U84" s="611">
        <f>'MASTER SHEET -MARATHA SITE'!AA62</f>
        <v>0</v>
      </c>
      <c r="V84" s="611">
        <f>'MASTER SHEET -MARATHA SITE'!AB62</f>
        <v>0</v>
      </c>
      <c r="W84" s="611">
        <f>'MASTER SHEET -MARATHA SITE'!AC62</f>
        <v>0</v>
      </c>
      <c r="X84" s="611">
        <f>'MASTER SHEET -MARATHA SITE'!AD62</f>
        <v>0</v>
      </c>
      <c r="Y84" s="611">
        <f>'MASTER SHEET -MARATHA SITE'!AE62</f>
        <v>0</v>
      </c>
      <c r="Z84" s="611">
        <f>'MASTER SHEET -MARATHA SITE'!AF62</f>
        <v>0</v>
      </c>
      <c r="AA84" s="710"/>
      <c r="AB84" s="710"/>
    </row>
    <row r="85" spans="1:28" s="564" customFormat="1" hidden="1">
      <c r="A85" s="80"/>
      <c r="B85" s="667"/>
      <c r="C85" s="668"/>
      <c r="D85" s="611">
        <f>'MASTER SHEET -MARATHA SITE'!J63</f>
        <v>0</v>
      </c>
      <c r="E85" s="611">
        <f>'MASTER SHEET -MARATHA SITE'!K63</f>
        <v>0</v>
      </c>
      <c r="F85" s="611">
        <f>'MASTER SHEET -MARATHA SITE'!L63</f>
        <v>0</v>
      </c>
      <c r="G85" s="611">
        <f>'MASTER SHEET -MARATHA SITE'!M63</f>
        <v>0</v>
      </c>
      <c r="H85" s="611">
        <f>'MASTER SHEET -MARATHA SITE'!N63</f>
        <v>0</v>
      </c>
      <c r="I85" s="611">
        <f>'MASTER SHEET -MARATHA SITE'!O63</f>
        <v>0</v>
      </c>
      <c r="J85" s="611">
        <f>'MASTER SHEET -MARATHA SITE'!P63</f>
        <v>0</v>
      </c>
      <c r="K85" s="611">
        <f>'MASTER SHEET -MARATHA SITE'!Q63</f>
        <v>0</v>
      </c>
      <c r="L85" s="611">
        <f>'MASTER SHEET -MARATHA SITE'!R63</f>
        <v>0</v>
      </c>
      <c r="M85" s="611">
        <f>'MASTER SHEET -MARATHA SITE'!S63</f>
        <v>0</v>
      </c>
      <c r="N85" s="611">
        <f>'MASTER SHEET -MARATHA SITE'!T63</f>
        <v>0</v>
      </c>
      <c r="O85" s="611">
        <f>'MASTER SHEET -MARATHA SITE'!U63</f>
        <v>0</v>
      </c>
      <c r="P85" s="611">
        <f>'MASTER SHEET -MARATHA SITE'!V63</f>
        <v>0</v>
      </c>
      <c r="Q85" s="611">
        <f>'MASTER SHEET -MARATHA SITE'!W63</f>
        <v>0</v>
      </c>
      <c r="R85" s="839">
        <f>'MASTER SHEET -MARATHA SITE'!X63</f>
        <v>0</v>
      </c>
      <c r="S85" s="839">
        <f>'MASTER SHEET -MARATHA SITE'!Y63</f>
        <v>0</v>
      </c>
      <c r="T85" s="849">
        <f>'MASTER SHEET -MARATHA SITE'!Z63</f>
        <v>0</v>
      </c>
      <c r="U85" s="611">
        <f>'MASTER SHEET -MARATHA SITE'!AA63</f>
        <v>0</v>
      </c>
      <c r="V85" s="611">
        <f>'MASTER SHEET -MARATHA SITE'!AB63</f>
        <v>0</v>
      </c>
      <c r="W85" s="611">
        <f>'MASTER SHEET -MARATHA SITE'!AC63</f>
        <v>0</v>
      </c>
      <c r="X85" s="611">
        <f>'MASTER SHEET -MARATHA SITE'!AD63</f>
        <v>0</v>
      </c>
      <c r="Y85" s="611">
        <f>'MASTER SHEET -MARATHA SITE'!AE63</f>
        <v>0</v>
      </c>
      <c r="Z85" s="611">
        <f>'MASTER SHEET -MARATHA SITE'!AF63</f>
        <v>0</v>
      </c>
      <c r="AA85" s="710"/>
      <c r="AB85" s="710"/>
    </row>
    <row r="86" spans="1:28" s="5" customFormat="1">
      <c r="A86" s="96"/>
      <c r="B86" s="574" t="s">
        <v>32</v>
      </c>
      <c r="C86" s="620"/>
      <c r="D86" s="580">
        <f>SUM(D75:D85)</f>
        <v>0</v>
      </c>
      <c r="E86" s="580">
        <f t="shared" ref="E86:Z86" si="19">SUM(E75:E85)</f>
        <v>0</v>
      </c>
      <c r="F86" s="580">
        <f t="shared" si="19"/>
        <v>0</v>
      </c>
      <c r="G86" s="580">
        <f t="shared" si="19"/>
        <v>3.9871134020618562E-5</v>
      </c>
      <c r="H86" s="580">
        <f t="shared" si="19"/>
        <v>1.3720360824742269E-4</v>
      </c>
      <c r="I86" s="580">
        <f t="shared" si="19"/>
        <v>1.2313144329896908E-4</v>
      </c>
      <c r="J86" s="580">
        <f t="shared" si="19"/>
        <v>1.7291136884306987E-3</v>
      </c>
      <c r="K86" s="580">
        <f t="shared" si="19"/>
        <v>1.4705376575028638E-3</v>
      </c>
      <c r="L86" s="580">
        <f t="shared" si="19"/>
        <v>2.1700556748759068E-2</v>
      </c>
      <c r="M86" s="580">
        <f t="shared" si="19"/>
        <v>1.2228293718976709E-2</v>
      </c>
      <c r="N86" s="580">
        <f t="shared" si="19"/>
        <v>1.2251171384721779E-2</v>
      </c>
      <c r="O86" s="580">
        <f t="shared" si="19"/>
        <v>5.1927913262417016E-3</v>
      </c>
      <c r="P86" s="580">
        <f t="shared" si="19"/>
        <v>8.2585154294529829E-3</v>
      </c>
      <c r="Q86" s="580">
        <f t="shared" si="19"/>
        <v>2.4341122586085187E-2</v>
      </c>
      <c r="R86" s="580">
        <f t="shared" si="19"/>
        <v>7.5958676208442944E-3</v>
      </c>
      <c r="S86" s="580">
        <f t="shared" si="19"/>
        <v>1.8630682970297435E-2</v>
      </c>
      <c r="T86" s="843">
        <f t="shared" si="19"/>
        <v>0</v>
      </c>
      <c r="U86" s="580">
        <f t="shared" si="19"/>
        <v>0</v>
      </c>
      <c r="V86" s="580">
        <f t="shared" si="19"/>
        <v>0</v>
      </c>
      <c r="W86" s="580">
        <f t="shared" si="19"/>
        <v>0</v>
      </c>
      <c r="X86" s="580">
        <f t="shared" si="19"/>
        <v>0</v>
      </c>
      <c r="Y86" s="580">
        <f t="shared" si="19"/>
        <v>0</v>
      </c>
      <c r="Z86" s="580">
        <f t="shared" si="19"/>
        <v>0</v>
      </c>
      <c r="AA86" s="580"/>
      <c r="AB86" s="580"/>
    </row>
    <row r="87" spans="1:28">
      <c r="A87" s="80">
        <v>4</v>
      </c>
      <c r="B87" s="669" t="s">
        <v>17</v>
      </c>
      <c r="C87" s="357">
        <f>C58</f>
        <v>4</v>
      </c>
      <c r="D87" s="139"/>
      <c r="E87" s="139"/>
      <c r="F87" s="139"/>
      <c r="G87" s="139"/>
      <c r="H87" s="139"/>
      <c r="I87" s="139"/>
      <c r="J87" s="139"/>
      <c r="K87" s="139"/>
      <c r="L87" s="139"/>
      <c r="M87" s="139"/>
      <c r="N87" s="139"/>
      <c r="O87" s="582"/>
      <c r="P87" s="582"/>
      <c r="Q87" s="593"/>
      <c r="R87" s="593"/>
      <c r="S87" s="593">
        <f>S88/4*$C$58*100</f>
        <v>7.900148742158315</v>
      </c>
      <c r="T87" s="851"/>
      <c r="U87" s="139"/>
      <c r="V87" s="139"/>
      <c r="W87" s="139"/>
      <c r="X87" s="139"/>
      <c r="Y87" s="139"/>
      <c r="Z87" s="35"/>
      <c r="AA87" s="139"/>
      <c r="AB87" s="139"/>
    </row>
    <row r="88" spans="1:28">
      <c r="A88" s="80"/>
      <c r="B88" s="583" t="s">
        <v>30</v>
      </c>
      <c r="C88" s="621">
        <f>SUM(D88:S88)+T87/100</f>
        <v>0.86936030421102606</v>
      </c>
      <c r="D88" s="584">
        <f>D74/$C$63*1</f>
        <v>0</v>
      </c>
      <c r="E88" s="584">
        <f>E74/$C$63*1</f>
        <v>0</v>
      </c>
      <c r="F88" s="584">
        <f>F74/$C$63*1</f>
        <v>0</v>
      </c>
      <c r="G88" s="584">
        <f>G74/$C$63*1</f>
        <v>0</v>
      </c>
      <c r="H88" s="584">
        <f>H74/$C$63*1</f>
        <v>1.2524226804123712E-3</v>
      </c>
      <c r="I88" s="584">
        <f t="shared" ref="I88:W88" si="20">I74/$C$63*1</f>
        <v>1.3069909531829066E-3</v>
      </c>
      <c r="J88" s="584">
        <f t="shared" si="20"/>
        <v>1.4882087104895244E-3</v>
      </c>
      <c r="K88" s="584">
        <f t="shared" si="20"/>
        <v>3.487881658640668E-2</v>
      </c>
      <c r="L88" s="584">
        <f t="shared" si="20"/>
        <v>7.026443762818739E-2</v>
      </c>
      <c r="M88" s="584">
        <f t="shared" si="20"/>
        <v>9.4339274176186858E-2</v>
      </c>
      <c r="N88" s="584">
        <f t="shared" si="20"/>
        <v>0.12005889741528472</v>
      </c>
      <c r="O88" s="584">
        <f t="shared" si="20"/>
        <v>0.11214025999376304</v>
      </c>
      <c r="P88" s="584">
        <f t="shared" si="20"/>
        <v>0.13890383475236212</v>
      </c>
      <c r="Q88" s="584">
        <f t="shared" si="20"/>
        <v>0.1220623258143564</v>
      </c>
      <c r="R88" s="584">
        <f t="shared" si="20"/>
        <v>9.3663348078810812E-2</v>
      </c>
      <c r="S88" s="584">
        <f t="shared" si="20"/>
        <v>7.9001487421583153E-2</v>
      </c>
      <c r="T88" s="845">
        <f t="shared" si="20"/>
        <v>6.8386045142109178E-2</v>
      </c>
      <c r="U88" s="584">
        <f t="shared" si="20"/>
        <v>3.8516516093629161E-2</v>
      </c>
      <c r="V88" s="584">
        <f t="shared" si="20"/>
        <v>2.3777134553235706E-2</v>
      </c>
      <c r="W88" s="584">
        <f t="shared" si="20"/>
        <v>0</v>
      </c>
      <c r="X88" s="584">
        <f>X74/$C$63*1</f>
        <v>0</v>
      </c>
      <c r="Y88" s="584">
        <f>Y74/$C$63*1</f>
        <v>0</v>
      </c>
      <c r="Z88" s="103">
        <f>Z74/$C$63*1</f>
        <v>0</v>
      </c>
      <c r="AA88" s="584"/>
      <c r="AB88" s="584"/>
    </row>
    <row r="89" spans="1:28">
      <c r="A89" s="80"/>
      <c r="B89" s="585" t="s">
        <v>32</v>
      </c>
      <c r="C89" s="622">
        <f>SUM(D89:T89)</f>
        <v>0.45479543726751898</v>
      </c>
      <c r="D89" s="586">
        <f>D86/$C$63*1</f>
        <v>0</v>
      </c>
      <c r="E89" s="586">
        <f>E86/$C$63*1</f>
        <v>0</v>
      </c>
      <c r="F89" s="586">
        <f>F86/$C$63*1</f>
        <v>0</v>
      </c>
      <c r="G89" s="586">
        <f>G86/$C$63*1</f>
        <v>1.5948453608247425E-4</v>
      </c>
      <c r="H89" s="586">
        <f>H86/$C$63*1</f>
        <v>5.4881443298969077E-4</v>
      </c>
      <c r="I89" s="586">
        <f t="shared" ref="I89:W89" si="21">I86/$C$63*1</f>
        <v>4.9252577319587631E-4</v>
      </c>
      <c r="J89" s="586">
        <f t="shared" si="21"/>
        <v>6.9164547537227949E-3</v>
      </c>
      <c r="K89" s="586">
        <f t="shared" si="21"/>
        <v>5.8821506300114554E-3</v>
      </c>
      <c r="L89" s="586">
        <f t="shared" si="21"/>
        <v>8.6802226995036272E-2</v>
      </c>
      <c r="M89" s="586">
        <f t="shared" si="21"/>
        <v>4.8913174875906837E-2</v>
      </c>
      <c r="N89" s="586">
        <f t="shared" si="21"/>
        <v>4.9004685538887115E-2</v>
      </c>
      <c r="O89" s="586">
        <f t="shared" si="21"/>
        <v>2.0771165304966806E-2</v>
      </c>
      <c r="P89" s="586">
        <f t="shared" si="21"/>
        <v>3.3034061717811931E-2</v>
      </c>
      <c r="Q89" s="586">
        <f t="shared" si="21"/>
        <v>9.7364490344340748E-2</v>
      </c>
      <c r="R89" s="586">
        <f t="shared" si="21"/>
        <v>3.0383470483377178E-2</v>
      </c>
      <c r="S89" s="586">
        <f t="shared" si="21"/>
        <v>7.4522731881189741E-2</v>
      </c>
      <c r="T89" s="846">
        <f t="shared" si="21"/>
        <v>0</v>
      </c>
      <c r="U89" s="586">
        <f t="shared" si="21"/>
        <v>0</v>
      </c>
      <c r="V89" s="586">
        <f t="shared" si="21"/>
        <v>0</v>
      </c>
      <c r="W89" s="586">
        <f t="shared" si="21"/>
        <v>0</v>
      </c>
      <c r="X89" s="586">
        <f>X86/$C$63*1</f>
        <v>0</v>
      </c>
      <c r="Y89" s="586">
        <f>Y86/$C$63*1</f>
        <v>0</v>
      </c>
      <c r="Z89" s="104">
        <f>Z86/$C$63*1</f>
        <v>0</v>
      </c>
      <c r="AA89" s="586"/>
      <c r="AB89" s="586"/>
    </row>
    <row r="90" spans="1:28" ht="15" thickBot="1">
      <c r="A90" s="81"/>
      <c r="B90" s="98" t="s">
        <v>91</v>
      </c>
      <c r="C90" s="105">
        <f>SUM(D90:T90)</f>
        <v>0.48295091208561619</v>
      </c>
      <c r="D90" s="99">
        <f t="shared" ref="D90:Z90" si="22">D88-D89</f>
        <v>0</v>
      </c>
      <c r="E90" s="99">
        <f t="shared" si="22"/>
        <v>0</v>
      </c>
      <c r="F90" s="99">
        <f t="shared" si="22"/>
        <v>0</v>
      </c>
      <c r="G90" s="99">
        <f t="shared" si="22"/>
        <v>-1.5948453608247425E-4</v>
      </c>
      <c r="H90" s="99">
        <f t="shared" si="22"/>
        <v>7.0360824742268042E-4</v>
      </c>
      <c r="I90" s="99">
        <f t="shared" si="22"/>
        <v>8.1446517998703027E-4</v>
      </c>
      <c r="J90" s="99">
        <f t="shared" si="22"/>
        <v>-5.4282460432332705E-3</v>
      </c>
      <c r="K90" s="99">
        <f t="shared" si="22"/>
        <v>2.8996665956395225E-2</v>
      </c>
      <c r="L90" s="99">
        <f t="shared" si="22"/>
        <v>-1.6537789366848882E-2</v>
      </c>
      <c r="M90" s="99">
        <f t="shared" si="22"/>
        <v>4.5426099300280021E-2</v>
      </c>
      <c r="N90" s="99">
        <f t="shared" si="22"/>
        <v>7.1054211876397599E-2</v>
      </c>
      <c r="O90" s="99">
        <f t="shared" si="22"/>
        <v>9.1369094688796226E-2</v>
      </c>
      <c r="P90" s="99">
        <f t="shared" si="22"/>
        <v>0.1058697730345502</v>
      </c>
      <c r="Q90" s="99">
        <f t="shared" si="22"/>
        <v>2.4697835470015653E-2</v>
      </c>
      <c r="R90" s="99">
        <f t="shared" si="22"/>
        <v>6.3279877595433631E-2</v>
      </c>
      <c r="S90" s="99">
        <f t="shared" si="22"/>
        <v>4.4787555403934115E-3</v>
      </c>
      <c r="T90" s="853">
        <f t="shared" si="22"/>
        <v>6.8386045142109178E-2</v>
      </c>
      <c r="U90" s="99">
        <f t="shared" si="22"/>
        <v>3.8516516093629161E-2</v>
      </c>
      <c r="V90" s="99">
        <f t="shared" si="22"/>
        <v>2.3777134553235706E-2</v>
      </c>
      <c r="W90" s="99">
        <f t="shared" si="22"/>
        <v>0</v>
      </c>
      <c r="X90" s="99">
        <f t="shared" si="22"/>
        <v>0</v>
      </c>
      <c r="Y90" s="99">
        <f t="shared" si="22"/>
        <v>0</v>
      </c>
      <c r="Z90" s="107">
        <f t="shared" si="22"/>
        <v>0</v>
      </c>
      <c r="AA90" s="588"/>
      <c r="AB90" s="588"/>
    </row>
    <row r="91" spans="1:28">
      <c r="A91" s="80"/>
      <c r="B91" s="589" t="s">
        <v>282</v>
      </c>
      <c r="C91" s="622">
        <v>0.25</v>
      </c>
      <c r="D91" s="590">
        <f>C91-C89</f>
        <v>-0.20479543726751898</v>
      </c>
      <c r="E91" s="524"/>
      <c r="F91" s="524"/>
      <c r="G91" s="524"/>
      <c r="H91" s="524"/>
      <c r="I91" s="524"/>
      <c r="J91" s="524"/>
      <c r="K91" s="524"/>
      <c r="L91" s="524"/>
      <c r="M91" s="524"/>
      <c r="N91" s="524"/>
      <c r="O91" s="524"/>
      <c r="P91" s="591"/>
      <c r="Q91" s="591"/>
      <c r="R91" s="591"/>
      <c r="S91" s="591"/>
      <c r="T91" s="848">
        <v>2.9302999999999996E-2</v>
      </c>
      <c r="U91" s="1099">
        <v>2.1693000000000004E-2</v>
      </c>
      <c r="V91" s="1099">
        <v>2.1109500000000003E-2</v>
      </c>
      <c r="W91" s="1099">
        <v>1.4539500000000002E-2</v>
      </c>
      <c r="X91" s="1099">
        <v>1.9386000000000004E-2</v>
      </c>
      <c r="Y91" s="1099">
        <v>1.4539500000000002E-2</v>
      </c>
      <c r="Z91" s="1099">
        <v>9.693000000000002E-3</v>
      </c>
      <c r="AA91" s="1099">
        <v>9.693000000000002E-3</v>
      </c>
      <c r="AB91" s="1099">
        <v>9.693000000000002E-3</v>
      </c>
    </row>
    <row r="92" spans="1:28" hidden="1">
      <c r="A92" s="34"/>
      <c r="B92" s="565" t="s">
        <v>25</v>
      </c>
      <c r="C92" s="623">
        <v>0.05</v>
      </c>
      <c r="D92" s="611"/>
      <c r="E92" s="568"/>
      <c r="F92" s="568"/>
      <c r="G92" s="568"/>
      <c r="H92" s="568"/>
      <c r="I92" s="568"/>
      <c r="J92" s="568"/>
      <c r="K92" s="568"/>
      <c r="L92" s="568"/>
      <c r="M92" s="568"/>
      <c r="N92" s="568"/>
      <c r="O92" s="568"/>
      <c r="P92" s="568"/>
      <c r="Q92" s="568"/>
      <c r="R92" s="838"/>
      <c r="S92" s="838"/>
      <c r="T92" s="849"/>
      <c r="U92" s="568">
        <v>4.0000000000000001E-3</v>
      </c>
      <c r="V92" s="568">
        <v>8.0000000000000002E-3</v>
      </c>
      <c r="W92" s="568">
        <v>6.0000000000000001E-3</v>
      </c>
      <c r="X92" s="568">
        <v>2E-3</v>
      </c>
      <c r="Y92" s="139"/>
      <c r="Z92" s="35"/>
      <c r="AA92" s="139"/>
      <c r="AB92" s="139"/>
    </row>
    <row r="93" spans="1:28" s="562" customFormat="1" hidden="1">
      <c r="A93" s="34"/>
      <c r="B93" s="565" t="s">
        <v>25</v>
      </c>
      <c r="C93" s="625"/>
      <c r="D93" s="612"/>
      <c r="E93" s="572"/>
      <c r="F93" s="572"/>
      <c r="G93" s="572"/>
      <c r="H93" s="572"/>
      <c r="I93" s="572"/>
      <c r="J93" s="572"/>
      <c r="K93" s="572"/>
      <c r="L93" s="572"/>
      <c r="M93" s="572"/>
      <c r="N93" s="572"/>
      <c r="O93" s="572"/>
      <c r="P93" s="572"/>
      <c r="Q93" s="572"/>
      <c r="R93" s="840"/>
      <c r="S93" s="840"/>
      <c r="T93" s="854"/>
      <c r="U93" s="572"/>
      <c r="V93" s="572">
        <v>3.5000000000000001E-3</v>
      </c>
      <c r="W93" s="572">
        <v>3.5000000000000001E-3</v>
      </c>
      <c r="X93" s="572">
        <v>3.0000000000000001E-3</v>
      </c>
      <c r="Y93" s="139"/>
      <c r="Z93" s="35"/>
      <c r="AA93" s="139"/>
      <c r="AB93" s="139"/>
    </row>
    <row r="94" spans="1:28" s="562" customFormat="1" hidden="1">
      <c r="A94" s="34"/>
      <c r="B94" s="565" t="s">
        <v>25</v>
      </c>
      <c r="C94" s="625"/>
      <c r="D94" s="612"/>
      <c r="E94" s="572"/>
      <c r="F94" s="572"/>
      <c r="G94" s="572"/>
      <c r="H94" s="572"/>
      <c r="I94" s="572"/>
      <c r="J94" s="572"/>
      <c r="K94" s="572"/>
      <c r="L94" s="572"/>
      <c r="M94" s="572"/>
      <c r="N94" s="572"/>
      <c r="O94" s="572"/>
      <c r="P94" s="572"/>
      <c r="Q94" s="572"/>
      <c r="R94" s="840"/>
      <c r="S94" s="840"/>
      <c r="T94" s="854"/>
      <c r="U94" s="572"/>
      <c r="V94" s="572"/>
      <c r="W94" s="572"/>
      <c r="X94" s="572">
        <v>0.01</v>
      </c>
      <c r="Y94" s="139"/>
      <c r="Z94" s="35"/>
      <c r="AA94" s="139"/>
      <c r="AB94" s="139"/>
    </row>
    <row r="95" spans="1:28" s="562" customFormat="1" hidden="1">
      <c r="A95" s="34"/>
      <c r="B95" s="565" t="s">
        <v>25</v>
      </c>
      <c r="C95" s="625"/>
      <c r="D95" s="612"/>
      <c r="E95" s="572"/>
      <c r="F95" s="572"/>
      <c r="G95" s="572"/>
      <c r="H95" s="572"/>
      <c r="I95" s="572"/>
      <c r="J95" s="572"/>
      <c r="K95" s="572"/>
      <c r="L95" s="572"/>
      <c r="M95" s="572"/>
      <c r="N95" s="572"/>
      <c r="O95" s="572"/>
      <c r="P95" s="572"/>
      <c r="Q95" s="572"/>
      <c r="R95" s="840"/>
      <c r="S95" s="840"/>
      <c r="T95" s="854"/>
      <c r="U95" s="572"/>
      <c r="V95" s="572"/>
      <c r="W95" s="572"/>
      <c r="X95" s="572">
        <v>0.01</v>
      </c>
      <c r="Y95" s="139"/>
      <c r="Z95" s="35"/>
      <c r="AA95" s="139"/>
      <c r="AB95" s="139"/>
    </row>
    <row r="96" spans="1:28" s="562" customFormat="1">
      <c r="A96" s="79"/>
      <c r="B96" s="573" t="s">
        <v>30</v>
      </c>
      <c r="C96" s="624"/>
      <c r="D96" s="592">
        <v>0</v>
      </c>
      <c r="E96" s="592">
        <v>0</v>
      </c>
      <c r="F96" s="592">
        <v>0</v>
      </c>
      <c r="G96" s="592">
        <v>0</v>
      </c>
      <c r="H96" s="592">
        <v>0</v>
      </c>
      <c r="I96" s="592">
        <v>0</v>
      </c>
      <c r="J96" s="592">
        <v>0</v>
      </c>
      <c r="K96" s="592">
        <v>0</v>
      </c>
      <c r="L96" s="592">
        <v>0</v>
      </c>
      <c r="M96" s="592">
        <v>0</v>
      </c>
      <c r="N96" s="592">
        <v>0</v>
      </c>
      <c r="O96" s="592">
        <v>0</v>
      </c>
      <c r="P96" s="592">
        <v>0</v>
      </c>
      <c r="Q96" s="592">
        <v>0</v>
      </c>
      <c r="R96" s="592">
        <v>0</v>
      </c>
      <c r="S96" s="592">
        <v>0</v>
      </c>
      <c r="T96" s="850">
        <v>0</v>
      </c>
      <c r="U96" s="592">
        <v>4.0000000000000001E-3</v>
      </c>
      <c r="V96" s="592">
        <v>1.15E-2</v>
      </c>
      <c r="W96" s="592">
        <v>9.4999999999999998E-3</v>
      </c>
      <c r="X96" s="592">
        <v>2.5000000000000001E-2</v>
      </c>
      <c r="Y96" s="139"/>
      <c r="Z96" s="35"/>
      <c r="AA96" s="139"/>
      <c r="AB96" s="139"/>
    </row>
    <row r="97" spans="1:33" s="562" customFormat="1" hidden="1">
      <c r="A97" s="34"/>
      <c r="B97" s="566" t="s">
        <v>25</v>
      </c>
      <c r="C97" s="626"/>
      <c r="D97" s="611"/>
      <c r="E97" s="568"/>
      <c r="F97" s="568"/>
      <c r="G97" s="568"/>
      <c r="H97" s="568"/>
      <c r="I97" s="568"/>
      <c r="J97" s="568"/>
      <c r="K97" s="568"/>
      <c r="L97" s="568"/>
      <c r="M97" s="568"/>
      <c r="N97" s="568"/>
      <c r="O97" s="568"/>
      <c r="P97" s="568"/>
      <c r="Q97" s="568"/>
      <c r="R97" s="838"/>
      <c r="S97" s="838"/>
      <c r="T97" s="849"/>
      <c r="U97" s="568"/>
      <c r="V97" s="568"/>
      <c r="W97" s="568"/>
      <c r="X97" s="568"/>
      <c r="Y97" s="139"/>
      <c r="Z97" s="35"/>
      <c r="AA97" s="139"/>
      <c r="AB97" s="139"/>
    </row>
    <row r="98" spans="1:33" s="562" customFormat="1" hidden="1">
      <c r="A98" s="34"/>
      <c r="B98" s="566" t="s">
        <v>25</v>
      </c>
      <c r="C98" s="626"/>
      <c r="D98" s="612"/>
      <c r="E98" s="572"/>
      <c r="F98" s="572"/>
      <c r="G98" s="572"/>
      <c r="H98" s="572"/>
      <c r="I98" s="572"/>
      <c r="J98" s="572"/>
      <c r="K98" s="572"/>
      <c r="L98" s="572"/>
      <c r="M98" s="572"/>
      <c r="N98" s="572"/>
      <c r="O98" s="572"/>
      <c r="P98" s="572"/>
      <c r="Q98" s="572"/>
      <c r="R98" s="840"/>
      <c r="S98" s="840"/>
      <c r="T98" s="854"/>
      <c r="U98" s="572"/>
      <c r="V98" s="572"/>
      <c r="W98" s="572"/>
      <c r="X98" s="572"/>
      <c r="Y98" s="139"/>
      <c r="Z98" s="35"/>
      <c r="AA98" s="139"/>
      <c r="AB98" s="139"/>
    </row>
    <row r="99" spans="1:33" s="562" customFormat="1" hidden="1">
      <c r="A99" s="34"/>
      <c r="B99" s="566" t="s">
        <v>25</v>
      </c>
      <c r="C99" s="626"/>
      <c r="D99" s="612"/>
      <c r="E99" s="572"/>
      <c r="F99" s="572"/>
      <c r="G99" s="572"/>
      <c r="H99" s="572"/>
      <c r="I99" s="572"/>
      <c r="J99" s="572"/>
      <c r="K99" s="572"/>
      <c r="L99" s="572"/>
      <c r="M99" s="572"/>
      <c r="N99" s="572"/>
      <c r="O99" s="572"/>
      <c r="P99" s="572"/>
      <c r="Q99" s="572"/>
      <c r="R99" s="840"/>
      <c r="S99" s="840"/>
      <c r="T99" s="854"/>
      <c r="U99" s="572"/>
      <c r="V99" s="572"/>
      <c r="W99" s="572"/>
      <c r="X99" s="572"/>
      <c r="Y99" s="139"/>
      <c r="Z99" s="35"/>
      <c r="AA99" s="139"/>
      <c r="AB99" s="139"/>
    </row>
    <row r="100" spans="1:33" s="562" customFormat="1" hidden="1">
      <c r="A100" s="34"/>
      <c r="B100" s="566" t="s">
        <v>25</v>
      </c>
      <c r="C100" s="627"/>
      <c r="D100" s="612"/>
      <c r="E100" s="572"/>
      <c r="F100" s="572"/>
      <c r="G100" s="572"/>
      <c r="H100" s="572"/>
      <c r="I100" s="572"/>
      <c r="J100" s="572"/>
      <c r="K100" s="572"/>
      <c r="L100" s="572"/>
      <c r="M100" s="572"/>
      <c r="N100" s="572"/>
      <c r="O100" s="572"/>
      <c r="P100" s="572"/>
      <c r="Q100" s="572"/>
      <c r="R100" s="840"/>
      <c r="S100" s="840"/>
      <c r="T100" s="854"/>
      <c r="U100" s="572"/>
      <c r="V100" s="572"/>
      <c r="W100" s="572"/>
      <c r="X100" s="572"/>
      <c r="Y100" s="139"/>
      <c r="Z100" s="35"/>
      <c r="AA100" s="139"/>
      <c r="AB100" s="139"/>
    </row>
    <row r="101" spans="1:33" s="562" customFormat="1">
      <c r="A101" s="96"/>
      <c r="B101" s="574" t="s">
        <v>32</v>
      </c>
      <c r="C101" s="620"/>
      <c r="D101" s="580">
        <v>0</v>
      </c>
      <c r="E101" s="580">
        <v>0</v>
      </c>
      <c r="F101" s="580">
        <v>0</v>
      </c>
      <c r="G101" s="580">
        <v>0</v>
      </c>
      <c r="H101" s="580">
        <v>0</v>
      </c>
      <c r="I101" s="580">
        <v>0</v>
      </c>
      <c r="J101" s="580">
        <v>0</v>
      </c>
      <c r="K101" s="580">
        <v>0</v>
      </c>
      <c r="L101" s="580">
        <v>0</v>
      </c>
      <c r="M101" s="580">
        <v>0</v>
      </c>
      <c r="N101" s="580">
        <v>0</v>
      </c>
      <c r="O101" s="580">
        <v>0</v>
      </c>
      <c r="P101" s="580">
        <v>0</v>
      </c>
      <c r="Q101" s="580">
        <v>0</v>
      </c>
      <c r="R101" s="580">
        <v>0</v>
      </c>
      <c r="S101" s="580">
        <v>0</v>
      </c>
      <c r="T101" s="843">
        <v>0</v>
      </c>
      <c r="U101" s="580">
        <v>0</v>
      </c>
      <c r="V101" s="580">
        <v>0</v>
      </c>
      <c r="W101" s="580">
        <v>0</v>
      </c>
      <c r="X101" s="580">
        <v>0</v>
      </c>
      <c r="Y101" s="139"/>
      <c r="Z101" s="35"/>
      <c r="AA101" s="139"/>
      <c r="AB101" s="139"/>
    </row>
    <row r="102" spans="1:33" s="562" customFormat="1">
      <c r="A102" s="80">
        <v>5</v>
      </c>
      <c r="B102" s="669" t="s">
        <v>25</v>
      </c>
      <c r="C102" s="35"/>
      <c r="D102" s="139"/>
      <c r="E102" s="139"/>
      <c r="F102" s="139"/>
      <c r="G102" s="139"/>
      <c r="H102" s="139"/>
      <c r="I102" s="139"/>
      <c r="J102" s="139"/>
      <c r="K102" s="139"/>
      <c r="L102" s="139"/>
      <c r="M102" s="139"/>
      <c r="N102" s="139"/>
      <c r="O102" s="139"/>
      <c r="P102" s="139"/>
      <c r="Q102" s="139"/>
      <c r="R102" s="139"/>
      <c r="S102" s="139"/>
      <c r="T102" s="823"/>
      <c r="U102" s="139"/>
      <c r="V102" s="139"/>
      <c r="W102" s="139"/>
      <c r="X102" s="139"/>
      <c r="Y102" s="139"/>
      <c r="Z102" s="35"/>
      <c r="AA102" s="139"/>
      <c r="AB102" s="139"/>
    </row>
    <row r="103" spans="1:33" s="562" customFormat="1">
      <c r="A103" s="80"/>
      <c r="B103" s="583" t="s">
        <v>30</v>
      </c>
      <c r="C103" s="621">
        <f>SUM(D103:S103)+T102/100</f>
        <v>0</v>
      </c>
      <c r="D103" s="584">
        <v>0</v>
      </c>
      <c r="E103" s="584">
        <v>0</v>
      </c>
      <c r="F103" s="584">
        <v>0</v>
      </c>
      <c r="G103" s="584">
        <v>0</v>
      </c>
      <c r="H103" s="584">
        <v>0</v>
      </c>
      <c r="I103" s="584">
        <v>0</v>
      </c>
      <c r="J103" s="584">
        <v>0</v>
      </c>
      <c r="K103" s="584">
        <v>0</v>
      </c>
      <c r="L103" s="584">
        <v>0</v>
      </c>
      <c r="M103" s="584">
        <v>0</v>
      </c>
      <c r="N103" s="584">
        <v>0</v>
      </c>
      <c r="O103" s="584">
        <v>0</v>
      </c>
      <c r="P103" s="584">
        <v>0</v>
      </c>
      <c r="Q103" s="584">
        <v>0</v>
      </c>
      <c r="R103" s="584">
        <v>0</v>
      </c>
      <c r="S103" s="584">
        <v>0</v>
      </c>
      <c r="T103" s="845">
        <v>0</v>
      </c>
      <c r="U103" s="584">
        <v>0.08</v>
      </c>
      <c r="V103" s="584">
        <v>0.22999999999999998</v>
      </c>
      <c r="W103" s="584">
        <v>0.18999999999999997</v>
      </c>
      <c r="X103" s="584">
        <v>0.5</v>
      </c>
      <c r="Y103" s="139"/>
      <c r="Z103" s="35"/>
      <c r="AA103" s="139"/>
      <c r="AB103" s="139"/>
    </row>
    <row r="104" spans="1:33" s="562" customFormat="1">
      <c r="A104" s="80"/>
      <c r="B104" s="585" t="s">
        <v>32</v>
      </c>
      <c r="C104" s="622">
        <f>SUM(D104:T104)</f>
        <v>0</v>
      </c>
      <c r="D104" s="586">
        <v>0</v>
      </c>
      <c r="E104" s="586">
        <v>0</v>
      </c>
      <c r="F104" s="586">
        <v>0</v>
      </c>
      <c r="G104" s="586">
        <v>0</v>
      </c>
      <c r="H104" s="586">
        <v>0</v>
      </c>
      <c r="I104" s="586">
        <v>0</v>
      </c>
      <c r="J104" s="586">
        <v>0</v>
      </c>
      <c r="K104" s="586">
        <v>0</v>
      </c>
      <c r="L104" s="586">
        <v>0</v>
      </c>
      <c r="M104" s="586">
        <v>0</v>
      </c>
      <c r="N104" s="586">
        <v>0</v>
      </c>
      <c r="O104" s="139"/>
      <c r="P104" s="139"/>
      <c r="Q104" s="139"/>
      <c r="R104" s="139"/>
      <c r="S104" s="139"/>
      <c r="T104" s="823"/>
      <c r="U104" s="139"/>
      <c r="V104" s="139"/>
      <c r="W104" s="139"/>
      <c r="X104" s="139"/>
      <c r="Y104" s="139"/>
      <c r="Z104" s="35"/>
      <c r="AA104" s="139"/>
      <c r="AB104" s="139"/>
    </row>
    <row r="105" spans="1:33" s="562" customFormat="1">
      <c r="A105" s="80"/>
      <c r="B105" s="587" t="s">
        <v>91</v>
      </c>
      <c r="C105" s="105">
        <f>SUM(D105:T105)</f>
        <v>0</v>
      </c>
      <c r="D105" s="588">
        <v>0</v>
      </c>
      <c r="E105" s="588">
        <v>0</v>
      </c>
      <c r="F105" s="588">
        <v>0</v>
      </c>
      <c r="G105" s="588">
        <v>0</v>
      </c>
      <c r="H105" s="588">
        <v>0</v>
      </c>
      <c r="I105" s="588">
        <v>0</v>
      </c>
      <c r="J105" s="588">
        <v>0</v>
      </c>
      <c r="K105" s="588">
        <v>0</v>
      </c>
      <c r="L105" s="588">
        <v>0</v>
      </c>
      <c r="M105" s="588">
        <v>0</v>
      </c>
      <c r="N105" s="588">
        <v>0</v>
      </c>
      <c r="O105" s="139"/>
      <c r="P105" s="139"/>
      <c r="Q105" s="139"/>
      <c r="R105" s="139"/>
      <c r="S105" s="139"/>
      <c r="T105" s="823"/>
      <c r="U105" s="139"/>
      <c r="V105" s="139"/>
      <c r="W105" s="139"/>
      <c r="X105" s="139"/>
      <c r="Y105" s="139"/>
      <c r="Z105" s="35"/>
      <c r="AA105" s="139"/>
      <c r="AB105" s="139"/>
    </row>
    <row r="106" spans="1:33" s="562" customFormat="1" ht="15" thickBot="1">
      <c r="A106" s="81"/>
      <c r="B106" s="597" t="s">
        <v>282</v>
      </c>
      <c r="C106" s="43"/>
      <c r="D106" s="41"/>
      <c r="E106" s="41"/>
      <c r="F106" s="41"/>
      <c r="G106" s="41"/>
      <c r="H106" s="41"/>
      <c r="I106" s="41"/>
      <c r="J106" s="41"/>
      <c r="K106" s="598"/>
      <c r="L106" s="598"/>
      <c r="M106" s="598"/>
      <c r="N106" s="598"/>
      <c r="O106" s="598"/>
      <c r="P106" s="598"/>
      <c r="Q106" s="598"/>
      <c r="R106" s="598"/>
      <c r="S106" s="598"/>
      <c r="T106" s="855">
        <v>0</v>
      </c>
      <c r="U106" s="599">
        <v>0</v>
      </c>
      <c r="V106" s="599">
        <v>0</v>
      </c>
      <c r="W106" s="599">
        <v>0</v>
      </c>
      <c r="X106" s="599">
        <v>0</v>
      </c>
      <c r="Y106" s="599">
        <v>0</v>
      </c>
      <c r="Z106" s="599">
        <v>0</v>
      </c>
      <c r="AA106" s="599">
        <v>0</v>
      </c>
      <c r="AB106" s="599">
        <v>7.4999999999999997E-3</v>
      </c>
      <c r="AC106" s="599">
        <v>2.1499999999999998E-2</v>
      </c>
      <c r="AD106" s="599">
        <v>2.1499999999999998E-2</v>
      </c>
      <c r="AE106" s="599">
        <v>2.1499999999999998E-2</v>
      </c>
    </row>
    <row r="107" spans="1:33">
      <c r="A107" s="246"/>
      <c r="B107" s="600" t="s">
        <v>59</v>
      </c>
      <c r="C107" s="682">
        <f>C14</f>
        <v>0.75704613899613893</v>
      </c>
      <c r="D107" s="32"/>
      <c r="E107" s="601">
        <f>E16</f>
        <v>0</v>
      </c>
      <c r="F107" s="601">
        <f t="shared" ref="F107:Z107" si="23">F16</f>
        <v>0</v>
      </c>
      <c r="G107" s="601">
        <f t="shared" si="23"/>
        <v>0</v>
      </c>
      <c r="H107" s="601">
        <f t="shared" si="23"/>
        <v>0</v>
      </c>
      <c r="I107" s="601">
        <f t="shared" si="23"/>
        <v>0</v>
      </c>
      <c r="J107" s="601">
        <f t="shared" si="23"/>
        <v>0</v>
      </c>
      <c r="K107" s="601">
        <f t="shared" si="23"/>
        <v>0</v>
      </c>
      <c r="L107" s="601">
        <f t="shared" si="23"/>
        <v>0</v>
      </c>
      <c r="M107" s="601">
        <f t="shared" si="23"/>
        <v>0</v>
      </c>
      <c r="N107" s="601">
        <f t="shared" si="23"/>
        <v>0</v>
      </c>
      <c r="O107" s="601">
        <f t="shared" si="23"/>
        <v>0</v>
      </c>
      <c r="P107" s="601">
        <f t="shared" si="23"/>
        <v>0</v>
      </c>
      <c r="Q107" s="601">
        <f t="shared" si="23"/>
        <v>0</v>
      </c>
      <c r="R107" s="601">
        <f t="shared" si="23"/>
        <v>0</v>
      </c>
      <c r="S107" s="601">
        <f t="shared" si="23"/>
        <v>0</v>
      </c>
      <c r="T107" s="856">
        <f t="shared" si="23"/>
        <v>1.2855000000000005E-2</v>
      </c>
      <c r="U107" s="601">
        <f t="shared" si="23"/>
        <v>1.2855000000000005E-2</v>
      </c>
      <c r="V107" s="601">
        <f t="shared" si="23"/>
        <v>2.2855E-2</v>
      </c>
      <c r="W107" s="601">
        <f t="shared" si="23"/>
        <v>0</v>
      </c>
      <c r="X107" s="601">
        <f t="shared" si="23"/>
        <v>0</v>
      </c>
      <c r="Y107" s="601">
        <f t="shared" si="23"/>
        <v>0</v>
      </c>
      <c r="Z107" s="602">
        <f t="shared" si="23"/>
        <v>0</v>
      </c>
      <c r="AA107" s="602">
        <f t="shared" ref="AA107:AE107" si="24">AA16</f>
        <v>0</v>
      </c>
      <c r="AB107" s="602">
        <f t="shared" si="24"/>
        <v>0</v>
      </c>
      <c r="AC107" s="602">
        <f t="shared" si="24"/>
        <v>0</v>
      </c>
      <c r="AD107" s="602">
        <f t="shared" si="24"/>
        <v>0</v>
      </c>
      <c r="AE107" s="602">
        <f t="shared" si="24"/>
        <v>0</v>
      </c>
      <c r="AG107" s="683">
        <f t="shared" ref="AG107:AG113" si="25">100%-C107-SUM(D107:Z107)</f>
        <v>0.19438886100386105</v>
      </c>
    </row>
    <row r="108" spans="1:33">
      <c r="A108" s="80"/>
      <c r="B108" s="603" t="s">
        <v>10</v>
      </c>
      <c r="C108" s="605">
        <f>C33</f>
        <v>0.93879168136853708</v>
      </c>
      <c r="D108" s="139"/>
      <c r="E108" s="37">
        <f>E35</f>
        <v>0</v>
      </c>
      <c r="F108" s="37">
        <f t="shared" ref="F108:Z108" si="26">F35</f>
        <v>0</v>
      </c>
      <c r="G108" s="37">
        <f t="shared" si="26"/>
        <v>0</v>
      </c>
      <c r="H108" s="37">
        <f t="shared" si="26"/>
        <v>0</v>
      </c>
      <c r="I108" s="37">
        <f t="shared" si="26"/>
        <v>0</v>
      </c>
      <c r="J108" s="37">
        <f t="shared" si="26"/>
        <v>0</v>
      </c>
      <c r="K108" s="37">
        <f t="shared" si="26"/>
        <v>0</v>
      </c>
      <c r="L108" s="37">
        <f t="shared" si="26"/>
        <v>0</v>
      </c>
      <c r="M108" s="37">
        <f t="shared" si="26"/>
        <v>0</v>
      </c>
      <c r="N108" s="37">
        <f t="shared" si="26"/>
        <v>0</v>
      </c>
      <c r="O108" s="37">
        <f t="shared" si="26"/>
        <v>0</v>
      </c>
      <c r="P108" s="37">
        <f t="shared" si="26"/>
        <v>0</v>
      </c>
      <c r="Q108" s="37">
        <f t="shared" si="26"/>
        <v>0</v>
      </c>
      <c r="R108" s="37">
        <f t="shared" si="26"/>
        <v>0</v>
      </c>
      <c r="S108" s="37">
        <f t="shared" si="26"/>
        <v>0</v>
      </c>
      <c r="T108" s="817">
        <f t="shared" si="26"/>
        <v>4.4649999999999967E-3</v>
      </c>
      <c r="U108" s="37">
        <f t="shared" si="26"/>
        <v>2.6789999999999978E-3</v>
      </c>
      <c r="V108" s="37">
        <f t="shared" si="26"/>
        <v>1.7859999999999987E-3</v>
      </c>
      <c r="W108" s="37">
        <f t="shared" si="26"/>
        <v>0</v>
      </c>
      <c r="X108" s="37">
        <f t="shared" si="26"/>
        <v>0</v>
      </c>
      <c r="Y108" s="37">
        <f t="shared" si="26"/>
        <v>0</v>
      </c>
      <c r="Z108" s="604">
        <f t="shared" si="26"/>
        <v>0</v>
      </c>
      <c r="AA108" s="604">
        <f t="shared" ref="AA108:AE108" si="27">AA35</f>
        <v>0</v>
      </c>
      <c r="AB108" s="604">
        <f t="shared" si="27"/>
        <v>0</v>
      </c>
      <c r="AC108" s="604">
        <f t="shared" si="27"/>
        <v>0</v>
      </c>
      <c r="AD108" s="604">
        <f t="shared" si="27"/>
        <v>0</v>
      </c>
      <c r="AE108" s="604">
        <f t="shared" si="27"/>
        <v>0</v>
      </c>
      <c r="AG108" s="683">
        <f t="shared" si="25"/>
        <v>5.2278318631462928E-2</v>
      </c>
    </row>
    <row r="109" spans="1:33">
      <c r="A109" s="80"/>
      <c r="B109" s="603" t="s">
        <v>17</v>
      </c>
      <c r="C109" s="537">
        <f>C89</f>
        <v>0.45479543726751898</v>
      </c>
      <c r="D109" s="139"/>
      <c r="E109" s="37">
        <f>E91</f>
        <v>0</v>
      </c>
      <c r="F109" s="37">
        <f t="shared" ref="F109:Z109" si="28">F91</f>
        <v>0</v>
      </c>
      <c r="G109" s="37">
        <f t="shared" si="28"/>
        <v>0</v>
      </c>
      <c r="H109" s="37">
        <f t="shared" si="28"/>
        <v>0</v>
      </c>
      <c r="I109" s="37">
        <f t="shared" si="28"/>
        <v>0</v>
      </c>
      <c r="J109" s="37">
        <f t="shared" si="28"/>
        <v>0</v>
      </c>
      <c r="K109" s="37">
        <f t="shared" si="28"/>
        <v>0</v>
      </c>
      <c r="L109" s="37">
        <f t="shared" si="28"/>
        <v>0</v>
      </c>
      <c r="M109" s="37">
        <f t="shared" si="28"/>
        <v>0</v>
      </c>
      <c r="N109" s="37">
        <f t="shared" si="28"/>
        <v>0</v>
      </c>
      <c r="O109" s="37">
        <f t="shared" si="28"/>
        <v>0</v>
      </c>
      <c r="P109" s="37">
        <f t="shared" si="28"/>
        <v>0</v>
      </c>
      <c r="Q109" s="37">
        <f t="shared" si="28"/>
        <v>0</v>
      </c>
      <c r="R109" s="37">
        <f t="shared" si="28"/>
        <v>0</v>
      </c>
      <c r="S109" s="37">
        <f t="shared" si="28"/>
        <v>0</v>
      </c>
      <c r="T109" s="817">
        <f t="shared" si="28"/>
        <v>2.9302999999999996E-2</v>
      </c>
      <c r="U109" s="37">
        <f t="shared" si="28"/>
        <v>2.1693000000000004E-2</v>
      </c>
      <c r="V109" s="37">
        <f t="shared" si="28"/>
        <v>2.1109500000000003E-2</v>
      </c>
      <c r="W109" s="37">
        <f t="shared" si="28"/>
        <v>1.4539500000000002E-2</v>
      </c>
      <c r="X109" s="37">
        <f t="shared" si="28"/>
        <v>1.9386000000000004E-2</v>
      </c>
      <c r="Y109" s="37">
        <f t="shared" si="28"/>
        <v>1.4539500000000002E-2</v>
      </c>
      <c r="Z109" s="604">
        <f t="shared" si="28"/>
        <v>9.693000000000002E-3</v>
      </c>
      <c r="AA109" s="604">
        <f t="shared" ref="AA109:AE109" si="29">AA91</f>
        <v>9.693000000000002E-3</v>
      </c>
      <c r="AB109" s="604">
        <f t="shared" si="29"/>
        <v>9.693000000000002E-3</v>
      </c>
      <c r="AC109" s="604">
        <f t="shared" si="29"/>
        <v>0</v>
      </c>
      <c r="AD109" s="604">
        <f t="shared" si="29"/>
        <v>0</v>
      </c>
      <c r="AE109" s="604">
        <f t="shared" si="29"/>
        <v>0</v>
      </c>
      <c r="AG109" s="683">
        <f t="shared" si="25"/>
        <v>0.4149410627324811</v>
      </c>
    </row>
    <row r="110" spans="1:33">
      <c r="A110" s="80"/>
      <c r="B110" s="603" t="s">
        <v>19</v>
      </c>
      <c r="C110" s="605">
        <f>C60</f>
        <v>0.22864017320905133</v>
      </c>
      <c r="D110" s="139"/>
      <c r="E110" s="37">
        <f>E62</f>
        <v>0</v>
      </c>
      <c r="F110" s="37">
        <f t="shared" ref="F110:Z110" si="30">F62</f>
        <v>0</v>
      </c>
      <c r="G110" s="37">
        <f t="shared" si="30"/>
        <v>0</v>
      </c>
      <c r="H110" s="37">
        <f t="shared" si="30"/>
        <v>0</v>
      </c>
      <c r="I110" s="37">
        <f t="shared" si="30"/>
        <v>0</v>
      </c>
      <c r="J110" s="37">
        <f t="shared" si="30"/>
        <v>0</v>
      </c>
      <c r="K110" s="37">
        <f t="shared" si="30"/>
        <v>0</v>
      </c>
      <c r="L110" s="37">
        <f t="shared" si="30"/>
        <v>0</v>
      </c>
      <c r="M110" s="37">
        <f t="shared" si="30"/>
        <v>0</v>
      </c>
      <c r="N110" s="37">
        <f t="shared" si="30"/>
        <v>0</v>
      </c>
      <c r="O110" s="37">
        <f t="shared" si="30"/>
        <v>0</v>
      </c>
      <c r="P110" s="37">
        <f t="shared" si="30"/>
        <v>0</v>
      </c>
      <c r="Q110" s="37">
        <f t="shared" si="30"/>
        <v>0</v>
      </c>
      <c r="R110" s="37">
        <f t="shared" si="30"/>
        <v>0</v>
      </c>
      <c r="S110" s="37">
        <f t="shared" si="30"/>
        <v>0</v>
      </c>
      <c r="T110" s="817">
        <f t="shared" si="30"/>
        <v>4.0360000000000007E-2</v>
      </c>
      <c r="U110" s="37">
        <f t="shared" si="30"/>
        <v>4.2390000000000004E-2</v>
      </c>
      <c r="V110" s="37">
        <f t="shared" si="30"/>
        <v>4.5710000000000001E-2</v>
      </c>
      <c r="W110" s="37">
        <f t="shared" si="30"/>
        <v>4.8250000000000001E-2</v>
      </c>
      <c r="X110" s="37">
        <f t="shared" si="30"/>
        <v>3.9529999999999996E-2</v>
      </c>
      <c r="Y110" s="37">
        <f t="shared" si="30"/>
        <v>4.0718000000000004E-2</v>
      </c>
      <c r="Z110" s="604">
        <f t="shared" si="30"/>
        <v>3.0415000000000005E-2</v>
      </c>
      <c r="AA110" s="604">
        <f t="shared" ref="AA110:AE110" si="31">AA62</f>
        <v>2.0567000000000002E-2</v>
      </c>
      <c r="AB110" s="604">
        <f t="shared" si="31"/>
        <v>1.8204000000000005E-2</v>
      </c>
      <c r="AC110" s="604">
        <f t="shared" si="31"/>
        <v>3.7660000000000007E-3</v>
      </c>
      <c r="AD110" s="604">
        <f t="shared" si="31"/>
        <v>6.0000000000000006E-4</v>
      </c>
      <c r="AE110" s="604">
        <f t="shared" si="31"/>
        <v>1E-3</v>
      </c>
      <c r="AG110" s="683">
        <f t="shared" si="25"/>
        <v>0.48398682679094868</v>
      </c>
    </row>
    <row r="111" spans="1:33">
      <c r="A111" s="80"/>
      <c r="B111" s="603" t="s">
        <v>263</v>
      </c>
      <c r="C111" s="605"/>
      <c r="D111" s="139"/>
      <c r="E111" s="37"/>
      <c r="F111" s="37"/>
      <c r="G111" s="37"/>
      <c r="H111" s="37"/>
      <c r="I111" s="37"/>
      <c r="J111" s="37"/>
      <c r="K111" s="37"/>
      <c r="L111" s="37"/>
      <c r="M111" s="37"/>
      <c r="N111" s="37"/>
      <c r="O111" s="37"/>
      <c r="P111" s="37"/>
      <c r="Q111" s="37"/>
      <c r="R111" s="37"/>
      <c r="S111" s="37"/>
      <c r="T111" s="817"/>
      <c r="U111" s="37"/>
      <c r="V111" s="37"/>
      <c r="W111" s="37"/>
      <c r="X111" s="37"/>
      <c r="Y111" s="37"/>
      <c r="Z111" s="604"/>
      <c r="AA111" s="604"/>
      <c r="AB111" s="604"/>
      <c r="AC111" s="604"/>
      <c r="AD111" s="604"/>
      <c r="AE111" s="604"/>
      <c r="AG111" s="683">
        <f t="shared" si="25"/>
        <v>1</v>
      </c>
    </row>
    <row r="112" spans="1:33">
      <c r="A112" s="80"/>
      <c r="B112" s="603" t="s">
        <v>25</v>
      </c>
      <c r="C112" s="605">
        <f>C104</f>
        <v>0</v>
      </c>
      <c r="D112" s="139"/>
      <c r="E112" s="37">
        <f>E106</f>
        <v>0</v>
      </c>
      <c r="F112" s="37">
        <f t="shared" ref="F112:Z112" si="32">F106</f>
        <v>0</v>
      </c>
      <c r="G112" s="37">
        <f t="shared" si="32"/>
        <v>0</v>
      </c>
      <c r="H112" s="37">
        <f t="shared" si="32"/>
        <v>0</v>
      </c>
      <c r="I112" s="37">
        <f t="shared" si="32"/>
        <v>0</v>
      </c>
      <c r="J112" s="37">
        <f t="shared" si="32"/>
        <v>0</v>
      </c>
      <c r="K112" s="37">
        <f t="shared" si="32"/>
        <v>0</v>
      </c>
      <c r="L112" s="37">
        <f t="shared" si="32"/>
        <v>0</v>
      </c>
      <c r="M112" s="37">
        <f t="shared" si="32"/>
        <v>0</v>
      </c>
      <c r="N112" s="37">
        <f t="shared" si="32"/>
        <v>0</v>
      </c>
      <c r="O112" s="37">
        <f t="shared" si="32"/>
        <v>0</v>
      </c>
      <c r="P112" s="37">
        <f t="shared" si="32"/>
        <v>0</v>
      </c>
      <c r="Q112" s="37">
        <f t="shared" si="32"/>
        <v>0</v>
      </c>
      <c r="R112" s="37">
        <f t="shared" si="32"/>
        <v>0</v>
      </c>
      <c r="S112" s="37">
        <f t="shared" si="32"/>
        <v>0</v>
      </c>
      <c r="T112" s="817">
        <f t="shared" si="32"/>
        <v>0</v>
      </c>
      <c r="U112" s="37">
        <f t="shared" si="32"/>
        <v>0</v>
      </c>
      <c r="V112" s="37">
        <f t="shared" si="32"/>
        <v>0</v>
      </c>
      <c r="W112" s="37">
        <f t="shared" si="32"/>
        <v>0</v>
      </c>
      <c r="X112" s="37">
        <f t="shared" si="32"/>
        <v>0</v>
      </c>
      <c r="Y112" s="37">
        <f t="shared" si="32"/>
        <v>0</v>
      </c>
      <c r="Z112" s="604">
        <f t="shared" si="32"/>
        <v>0</v>
      </c>
      <c r="AA112" s="604">
        <f t="shared" ref="AA112:AE112" si="33">AA106</f>
        <v>0</v>
      </c>
      <c r="AB112" s="604">
        <f t="shared" si="33"/>
        <v>7.4999999999999997E-3</v>
      </c>
      <c r="AC112" s="604">
        <f t="shared" si="33"/>
        <v>2.1499999999999998E-2</v>
      </c>
      <c r="AD112" s="604">
        <f t="shared" si="33"/>
        <v>2.1499999999999998E-2</v>
      </c>
      <c r="AE112" s="604">
        <f t="shared" si="33"/>
        <v>2.1499999999999998E-2</v>
      </c>
      <c r="AG112" s="683">
        <f t="shared" si="25"/>
        <v>1</v>
      </c>
    </row>
    <row r="113" spans="1:33" ht="15" thickBot="1">
      <c r="A113" s="81"/>
      <c r="B113" s="606" t="s">
        <v>132</v>
      </c>
      <c r="C113" s="41"/>
      <c r="D113" s="41"/>
      <c r="E113" s="607">
        <f>SUM(E107:E112)</f>
        <v>0</v>
      </c>
      <c r="F113" s="607">
        <f t="shared" ref="F113:Z113" si="34">SUM(F107:F112)</f>
        <v>0</v>
      </c>
      <c r="G113" s="607">
        <f t="shared" si="34"/>
        <v>0</v>
      </c>
      <c r="H113" s="607">
        <f t="shared" si="34"/>
        <v>0</v>
      </c>
      <c r="I113" s="607">
        <f t="shared" si="34"/>
        <v>0</v>
      </c>
      <c r="J113" s="607">
        <f t="shared" si="34"/>
        <v>0</v>
      </c>
      <c r="K113" s="607">
        <f t="shared" si="34"/>
        <v>0</v>
      </c>
      <c r="L113" s="607">
        <f t="shared" si="34"/>
        <v>0</v>
      </c>
      <c r="M113" s="607">
        <f t="shared" si="34"/>
        <v>0</v>
      </c>
      <c r="N113" s="607">
        <f t="shared" si="34"/>
        <v>0</v>
      </c>
      <c r="O113" s="607">
        <f t="shared" si="34"/>
        <v>0</v>
      </c>
      <c r="P113" s="607">
        <f t="shared" si="34"/>
        <v>0</v>
      </c>
      <c r="Q113" s="607">
        <f t="shared" si="34"/>
        <v>0</v>
      </c>
      <c r="R113" s="607">
        <f t="shared" si="34"/>
        <v>0</v>
      </c>
      <c r="S113" s="607">
        <f t="shared" si="34"/>
        <v>0</v>
      </c>
      <c r="T113" s="857">
        <f t="shared" si="34"/>
        <v>8.6983000000000005E-2</v>
      </c>
      <c r="U113" s="607">
        <f t="shared" si="34"/>
        <v>7.9617000000000021E-2</v>
      </c>
      <c r="V113" s="607">
        <f t="shared" si="34"/>
        <v>9.14605E-2</v>
      </c>
      <c r="W113" s="607">
        <f t="shared" si="34"/>
        <v>6.2789499999999998E-2</v>
      </c>
      <c r="X113" s="607">
        <f t="shared" si="34"/>
        <v>5.8915999999999996E-2</v>
      </c>
      <c r="Y113" s="607">
        <f t="shared" si="34"/>
        <v>5.5257500000000008E-2</v>
      </c>
      <c r="Z113" s="607">
        <f t="shared" si="34"/>
        <v>4.0108000000000005E-2</v>
      </c>
      <c r="AA113" s="607">
        <f t="shared" ref="AA113:AE113" si="35">SUM(AA107:AA112)</f>
        <v>3.0260000000000002E-2</v>
      </c>
      <c r="AB113" s="607">
        <f t="shared" si="35"/>
        <v>3.5397000000000005E-2</v>
      </c>
      <c r="AC113" s="607">
        <f t="shared" si="35"/>
        <v>2.5266E-2</v>
      </c>
      <c r="AD113" s="607">
        <f t="shared" si="35"/>
        <v>2.2099999999999998E-2</v>
      </c>
      <c r="AE113" s="607">
        <f t="shared" si="35"/>
        <v>2.2499999999999999E-2</v>
      </c>
      <c r="AG113" s="683">
        <f t="shared" si="25"/>
        <v>0.52486849999999996</v>
      </c>
    </row>
    <row r="118" spans="1:33">
      <c r="A118" s="1162" t="s">
        <v>2226</v>
      </c>
      <c r="B118" s="132" t="s">
        <v>1</v>
      </c>
      <c r="C118" s="724">
        <f>D1</f>
        <v>45292</v>
      </c>
      <c r="D118" s="724">
        <f t="shared" ref="D118:Y118" si="36">E1</f>
        <v>45323</v>
      </c>
      <c r="E118" s="724">
        <f t="shared" si="36"/>
        <v>45352</v>
      </c>
      <c r="F118" s="724">
        <f t="shared" si="36"/>
        <v>45383</v>
      </c>
      <c r="G118" s="724">
        <f t="shared" si="36"/>
        <v>45413</v>
      </c>
      <c r="H118" s="724">
        <f t="shared" si="36"/>
        <v>45444</v>
      </c>
      <c r="I118" s="724">
        <f t="shared" si="36"/>
        <v>45474</v>
      </c>
      <c r="J118" s="724">
        <f t="shared" si="36"/>
        <v>45505</v>
      </c>
      <c r="K118" s="724">
        <f t="shared" si="36"/>
        <v>45536</v>
      </c>
      <c r="L118" s="724">
        <f t="shared" si="36"/>
        <v>45566</v>
      </c>
      <c r="M118" s="724">
        <f t="shared" si="36"/>
        <v>45597</v>
      </c>
      <c r="N118" s="724">
        <f t="shared" si="36"/>
        <v>45627</v>
      </c>
      <c r="O118" s="724">
        <f t="shared" si="36"/>
        <v>45658</v>
      </c>
      <c r="P118" s="724">
        <f t="shared" si="36"/>
        <v>45689</v>
      </c>
      <c r="Q118" s="724">
        <f t="shared" si="36"/>
        <v>45717</v>
      </c>
      <c r="R118" s="724">
        <f t="shared" si="36"/>
        <v>45748</v>
      </c>
      <c r="S118" s="724">
        <f t="shared" si="36"/>
        <v>45778</v>
      </c>
      <c r="T118" s="724">
        <f t="shared" si="36"/>
        <v>45809</v>
      </c>
      <c r="U118" s="724">
        <f t="shared" si="36"/>
        <v>45839</v>
      </c>
      <c r="V118" s="724">
        <f t="shared" si="36"/>
        <v>45870</v>
      </c>
      <c r="W118" s="724">
        <f t="shared" si="36"/>
        <v>45901</v>
      </c>
      <c r="X118" s="724">
        <f t="shared" si="36"/>
        <v>45931</v>
      </c>
      <c r="Y118" s="724">
        <f t="shared" si="36"/>
        <v>45962</v>
      </c>
      <c r="Z118" s="1084">
        <f>Y118+31</f>
        <v>45993</v>
      </c>
      <c r="AA118" s="1084">
        <f t="shared" ref="AA118:AB118" si="37">Z118+31</f>
        <v>46024</v>
      </c>
      <c r="AB118" s="1084">
        <f t="shared" si="37"/>
        <v>46055</v>
      </c>
    </row>
    <row r="119" spans="1:33">
      <c r="A119" s="1162"/>
      <c r="B119" s="132" t="s">
        <v>30</v>
      </c>
      <c r="C119" s="1085">
        <f>D13</f>
        <v>0</v>
      </c>
      <c r="D119" s="1085">
        <f t="shared" ref="D119:Y119" si="38">E13</f>
        <v>0</v>
      </c>
      <c r="E119" s="1085">
        <f t="shared" si="38"/>
        <v>9.9932818532818546E-2</v>
      </c>
      <c r="F119" s="1085">
        <f t="shared" si="38"/>
        <v>7.1512934362934377E-2</v>
      </c>
      <c r="G119" s="1085">
        <f t="shared" si="38"/>
        <v>0.12951505791505794</v>
      </c>
      <c r="H119" s="1085">
        <f t="shared" si="38"/>
        <v>0.11996312741312744</v>
      </c>
      <c r="I119" s="1085">
        <f t="shared" si="38"/>
        <v>0.13898262548262549</v>
      </c>
      <c r="J119" s="1085">
        <f t="shared" si="38"/>
        <v>0.13082895752895751</v>
      </c>
      <c r="K119" s="1085">
        <f t="shared" si="38"/>
        <v>0.10642857142857143</v>
      </c>
      <c r="L119" s="1085">
        <f t="shared" si="38"/>
        <v>7.7112548262548264E-2</v>
      </c>
      <c r="M119" s="1085">
        <f t="shared" si="38"/>
        <v>1.8867953667953671E-2</v>
      </c>
      <c r="N119" s="1085">
        <f t="shared" si="38"/>
        <v>0.1067554054054054</v>
      </c>
      <c r="O119" s="1085">
        <f t="shared" si="38"/>
        <v>0</v>
      </c>
      <c r="P119" s="1085">
        <f t="shared" si="38"/>
        <v>0</v>
      </c>
      <c r="Q119" s="1085">
        <f t="shared" si="38"/>
        <v>0</v>
      </c>
      <c r="R119" s="1085">
        <f t="shared" si="38"/>
        <v>0</v>
      </c>
      <c r="S119" s="1085">
        <f t="shared" si="38"/>
        <v>0</v>
      </c>
      <c r="T119" s="1085">
        <f t="shared" si="38"/>
        <v>0</v>
      </c>
      <c r="U119" s="1085">
        <f t="shared" si="38"/>
        <v>0</v>
      </c>
      <c r="V119" s="1085">
        <f t="shared" si="38"/>
        <v>0</v>
      </c>
      <c r="W119" s="1085">
        <f t="shared" si="38"/>
        <v>0</v>
      </c>
      <c r="X119" s="1085">
        <f t="shared" si="38"/>
        <v>0</v>
      </c>
      <c r="Y119" s="1085">
        <f t="shared" si="38"/>
        <v>0</v>
      </c>
      <c r="Z119" s="1085">
        <f t="shared" ref="Z119:AB119" si="39">AA13</f>
        <v>0</v>
      </c>
      <c r="AA119" s="1085">
        <f t="shared" si="39"/>
        <v>0</v>
      </c>
      <c r="AB119" s="1085">
        <f t="shared" si="39"/>
        <v>0</v>
      </c>
    </row>
    <row r="120" spans="1:33">
      <c r="A120" s="1162"/>
      <c r="B120" s="132" t="s">
        <v>31</v>
      </c>
      <c r="C120" s="1085">
        <f>C119</f>
        <v>0</v>
      </c>
      <c r="D120" s="1085">
        <f>C120+D119</f>
        <v>0</v>
      </c>
      <c r="E120" s="1085">
        <f t="shared" ref="E120:Y120" si="40">D120+E119</f>
        <v>9.9932818532818546E-2</v>
      </c>
      <c r="F120" s="1085">
        <f t="shared" si="40"/>
        <v>0.17144575289575292</v>
      </c>
      <c r="G120" s="1085">
        <f t="shared" si="40"/>
        <v>0.30096081081081083</v>
      </c>
      <c r="H120" s="1085">
        <f t="shared" si="40"/>
        <v>0.42092393822393825</v>
      </c>
      <c r="I120" s="1085">
        <f t="shared" si="40"/>
        <v>0.55990656370656378</v>
      </c>
      <c r="J120" s="1085">
        <f t="shared" si="40"/>
        <v>0.69073552123552129</v>
      </c>
      <c r="K120" s="1085">
        <f t="shared" si="40"/>
        <v>0.79716409266409272</v>
      </c>
      <c r="L120" s="1085">
        <f t="shared" si="40"/>
        <v>0.87427664092664092</v>
      </c>
      <c r="M120" s="1085">
        <f t="shared" si="40"/>
        <v>0.89314459459459461</v>
      </c>
      <c r="N120" s="1085">
        <f t="shared" si="40"/>
        <v>0.99990000000000001</v>
      </c>
      <c r="O120" s="1085">
        <f t="shared" si="40"/>
        <v>0.99990000000000001</v>
      </c>
      <c r="P120" s="1085">
        <f t="shared" si="40"/>
        <v>0.99990000000000001</v>
      </c>
      <c r="Q120" s="1085">
        <f t="shared" si="40"/>
        <v>0.99990000000000001</v>
      </c>
      <c r="R120" s="1085">
        <f t="shared" si="40"/>
        <v>0.99990000000000001</v>
      </c>
      <c r="S120" s="1085">
        <f t="shared" si="40"/>
        <v>0.99990000000000001</v>
      </c>
      <c r="T120" s="1085">
        <f t="shared" si="40"/>
        <v>0.99990000000000001</v>
      </c>
      <c r="U120" s="1085">
        <f t="shared" si="40"/>
        <v>0.99990000000000001</v>
      </c>
      <c r="V120" s="1085">
        <f t="shared" si="40"/>
        <v>0.99990000000000001</v>
      </c>
      <c r="W120" s="1085">
        <f t="shared" si="40"/>
        <v>0.99990000000000001</v>
      </c>
      <c r="X120" s="1085">
        <f t="shared" si="40"/>
        <v>0.99990000000000001</v>
      </c>
      <c r="Y120" s="1085">
        <f t="shared" si="40"/>
        <v>0.99990000000000001</v>
      </c>
      <c r="Z120" s="1085">
        <f t="shared" ref="Z120" si="41">Y120+Z119</f>
        <v>0.99990000000000001</v>
      </c>
      <c r="AA120" s="1085">
        <f t="shared" ref="AA120" si="42">Z120+AA119</f>
        <v>0.99990000000000001</v>
      </c>
      <c r="AB120" s="1085">
        <f t="shared" ref="AB120" si="43">AA120+AB119</f>
        <v>0.99990000000000001</v>
      </c>
    </row>
    <row r="121" spans="1:33">
      <c r="A121" s="1162"/>
      <c r="B121" s="132" t="s">
        <v>32</v>
      </c>
      <c r="C121" s="1086">
        <f>D14</f>
        <v>0</v>
      </c>
      <c r="D121" s="1086">
        <f t="shared" ref="D121:Y121" si="44">E14</f>
        <v>0</v>
      </c>
      <c r="E121" s="1086">
        <f t="shared" si="44"/>
        <v>4.9966409266409273E-2</v>
      </c>
      <c r="F121" s="1086">
        <f t="shared" si="44"/>
        <v>0.14454208494208495</v>
      </c>
      <c r="G121" s="1086">
        <f t="shared" si="44"/>
        <v>6.6155791505791525E-2</v>
      </c>
      <c r="H121" s="1086">
        <f t="shared" si="44"/>
        <v>9.0532432432432433E-2</v>
      </c>
      <c r="I121" s="1086">
        <f t="shared" si="44"/>
        <v>0.13642200772200772</v>
      </c>
      <c r="J121" s="1086">
        <f t="shared" si="44"/>
        <v>5.6812741312741319E-2</v>
      </c>
      <c r="K121" s="1086">
        <f t="shared" si="44"/>
        <v>7.6903667953667945E-2</v>
      </c>
      <c r="L121" s="1086">
        <f t="shared" si="44"/>
        <v>2.2469691119691118E-2</v>
      </c>
      <c r="M121" s="1086">
        <f t="shared" si="44"/>
        <v>7.2944787644787651E-2</v>
      </c>
      <c r="N121" s="1086">
        <f t="shared" si="44"/>
        <v>5.3571428571428572E-3</v>
      </c>
      <c r="O121" s="1086">
        <f t="shared" si="44"/>
        <v>1.2112548262548263E-2</v>
      </c>
      <c r="P121" s="1086">
        <f t="shared" si="44"/>
        <v>8.0357142857142867E-3</v>
      </c>
      <c r="Q121" s="1086">
        <f t="shared" si="44"/>
        <v>1.4791119691119695E-2</v>
      </c>
      <c r="R121" s="1086">
        <f t="shared" si="44"/>
        <v>0</v>
      </c>
      <c r="S121" s="1086">
        <f t="shared" si="44"/>
        <v>0</v>
      </c>
      <c r="T121" s="1086">
        <f t="shared" si="44"/>
        <v>0</v>
      </c>
      <c r="U121" s="1086">
        <f t="shared" si="44"/>
        <v>0</v>
      </c>
      <c r="V121" s="1086">
        <f t="shared" si="44"/>
        <v>0</v>
      </c>
      <c r="W121" s="1086">
        <f t="shared" si="44"/>
        <v>0</v>
      </c>
      <c r="X121" s="1086">
        <f t="shared" si="44"/>
        <v>0</v>
      </c>
      <c r="Y121" s="1086">
        <f t="shared" si="44"/>
        <v>0</v>
      </c>
      <c r="Z121" s="1086">
        <f t="shared" ref="Z121:AB121" si="45">AA14</f>
        <v>0</v>
      </c>
      <c r="AA121" s="1086">
        <f t="shared" si="45"/>
        <v>0</v>
      </c>
      <c r="AB121" s="1086">
        <f t="shared" si="45"/>
        <v>0</v>
      </c>
    </row>
    <row r="122" spans="1:33">
      <c r="A122" s="1162"/>
      <c r="B122" s="132" t="s">
        <v>33</v>
      </c>
      <c r="C122" s="1085">
        <f>C121</f>
        <v>0</v>
      </c>
      <c r="D122" s="1085">
        <f>C122+D121</f>
        <v>0</v>
      </c>
      <c r="E122" s="1085">
        <f t="shared" ref="E122" si="46">D122+E121</f>
        <v>4.9966409266409273E-2</v>
      </c>
      <c r="F122" s="1085">
        <f t="shared" ref="F122" si="47">E122+F121</f>
        <v>0.19450849420849423</v>
      </c>
      <c r="G122" s="1085">
        <f t="shared" ref="G122" si="48">F122+G121</f>
        <v>0.26066428571428574</v>
      </c>
      <c r="H122" s="1085">
        <f t="shared" ref="H122" si="49">G122+H121</f>
        <v>0.35119671814671816</v>
      </c>
      <c r="I122" s="1085">
        <f t="shared" ref="I122" si="50">H122+I121</f>
        <v>0.4876187258687259</v>
      </c>
      <c r="J122" s="1085">
        <f t="shared" ref="J122" si="51">I122+J121</f>
        <v>0.54443146718146718</v>
      </c>
      <c r="K122" s="1085">
        <f t="shared" ref="K122" si="52">J122+K121</f>
        <v>0.62133513513513516</v>
      </c>
      <c r="L122" s="1085">
        <f t="shared" ref="L122" si="53">K122+L121</f>
        <v>0.64380482625482627</v>
      </c>
      <c r="M122" s="1085">
        <f t="shared" ref="M122" si="54">L122+M121</f>
        <v>0.71674961389961389</v>
      </c>
      <c r="N122" s="1085">
        <f t="shared" ref="N122" si="55">M122+N121</f>
        <v>0.72210675675675673</v>
      </c>
      <c r="O122" s="1085">
        <f t="shared" ref="O122" si="56">N122+O121</f>
        <v>0.73421930501930499</v>
      </c>
      <c r="P122" s="1085">
        <f t="shared" ref="P122" si="57">O122+P121</f>
        <v>0.74225501930501925</v>
      </c>
      <c r="Q122" s="1085">
        <f t="shared" ref="Q122" si="58">P122+Q121</f>
        <v>0.75704613899613893</v>
      </c>
      <c r="R122" s="1085">
        <f t="shared" ref="R122" si="59">Q122+R121</f>
        <v>0.75704613899613893</v>
      </c>
      <c r="S122" s="1085">
        <f t="shared" ref="S122" si="60">R122+S121</f>
        <v>0.75704613899613893</v>
      </c>
      <c r="T122" s="1085">
        <f t="shared" ref="T122" si="61">S122+T121</f>
        <v>0.75704613899613893</v>
      </c>
      <c r="U122" s="1085">
        <f t="shared" ref="U122" si="62">T122+U121</f>
        <v>0.75704613899613893</v>
      </c>
      <c r="V122" s="1085">
        <f t="shared" ref="V122" si="63">U122+V121</f>
        <v>0.75704613899613893</v>
      </c>
      <c r="W122" s="1085">
        <f t="shared" ref="W122" si="64">V122+W121</f>
        <v>0.75704613899613893</v>
      </c>
      <c r="X122" s="1085">
        <f t="shared" ref="X122" si="65">W122+X121</f>
        <v>0.75704613899613893</v>
      </c>
      <c r="Y122" s="1085">
        <f t="shared" ref="Y122" si="66">X122+Y121</f>
        <v>0.75704613899613893</v>
      </c>
      <c r="Z122" s="1085">
        <f t="shared" ref="Z122" si="67">Y122+Z121</f>
        <v>0.75704613899613893</v>
      </c>
      <c r="AA122" s="1085">
        <f t="shared" ref="AA122" si="68">Z122+AA121</f>
        <v>0.75704613899613893</v>
      </c>
      <c r="AB122" s="1085">
        <f t="shared" ref="AB122" si="69">AA122+AB121</f>
        <v>0.75704613899613893</v>
      </c>
    </row>
    <row r="123" spans="1:33">
      <c r="A123" s="1162"/>
      <c r="B123" s="132" t="s">
        <v>34</v>
      </c>
      <c r="C123" s="1085">
        <v>0</v>
      </c>
      <c r="D123" s="1085">
        <f t="shared" ref="D123:AB123" si="70">E16</f>
        <v>0</v>
      </c>
      <c r="E123" s="1085">
        <f t="shared" si="70"/>
        <v>0</v>
      </c>
      <c r="F123" s="1085">
        <f t="shared" si="70"/>
        <v>0</v>
      </c>
      <c r="G123" s="1085">
        <f t="shared" si="70"/>
        <v>0</v>
      </c>
      <c r="H123" s="1085">
        <f t="shared" si="70"/>
        <v>0</v>
      </c>
      <c r="I123" s="1085">
        <f t="shared" si="70"/>
        <v>0</v>
      </c>
      <c r="J123" s="1085">
        <f t="shared" si="70"/>
        <v>0</v>
      </c>
      <c r="K123" s="1085">
        <f t="shared" si="70"/>
        <v>0</v>
      </c>
      <c r="L123" s="1085">
        <f t="shared" si="70"/>
        <v>0</v>
      </c>
      <c r="M123" s="1085">
        <f t="shared" si="70"/>
        <v>0</v>
      </c>
      <c r="N123" s="1085">
        <f t="shared" si="70"/>
        <v>0</v>
      </c>
      <c r="O123" s="1085">
        <f t="shared" si="70"/>
        <v>0</v>
      </c>
      <c r="P123" s="1085">
        <f t="shared" si="70"/>
        <v>0</v>
      </c>
      <c r="Q123" s="1085">
        <f t="shared" si="70"/>
        <v>0</v>
      </c>
      <c r="R123" s="1085">
        <f t="shared" si="70"/>
        <v>0</v>
      </c>
      <c r="S123" s="1085">
        <f t="shared" si="70"/>
        <v>1.2855000000000005E-2</v>
      </c>
      <c r="T123" s="1085">
        <f t="shared" si="70"/>
        <v>1.2855000000000005E-2</v>
      </c>
      <c r="U123" s="1085">
        <f t="shared" si="70"/>
        <v>2.2855E-2</v>
      </c>
      <c r="V123" s="1085">
        <f t="shared" si="70"/>
        <v>0</v>
      </c>
      <c r="W123" s="1085">
        <f t="shared" si="70"/>
        <v>0</v>
      </c>
      <c r="X123" s="1085">
        <f t="shared" si="70"/>
        <v>0</v>
      </c>
      <c r="Y123" s="1085">
        <f t="shared" si="70"/>
        <v>0</v>
      </c>
      <c r="Z123" s="1085">
        <f t="shared" si="70"/>
        <v>0</v>
      </c>
      <c r="AA123" s="1085">
        <f t="shared" si="70"/>
        <v>0</v>
      </c>
      <c r="AB123" s="1085">
        <f t="shared" si="70"/>
        <v>0</v>
      </c>
    </row>
    <row r="124" spans="1:33">
      <c r="A124" s="1162"/>
      <c r="B124" s="132" t="s">
        <v>35</v>
      </c>
      <c r="C124" s="1085">
        <f>C123</f>
        <v>0</v>
      </c>
      <c r="D124" s="1085">
        <f>C124+D123</f>
        <v>0</v>
      </c>
      <c r="E124" s="1085">
        <f t="shared" ref="E124" si="71">D124+E123</f>
        <v>0</v>
      </c>
      <c r="F124" s="1085">
        <f t="shared" ref="F124" si="72">E124+F123</f>
        <v>0</v>
      </c>
      <c r="G124" s="1085">
        <f t="shared" ref="G124" si="73">F124+G123</f>
        <v>0</v>
      </c>
      <c r="H124" s="1085">
        <f t="shared" ref="H124" si="74">G124+H123</f>
        <v>0</v>
      </c>
      <c r="I124" s="1085">
        <f t="shared" ref="I124" si="75">H124+I123</f>
        <v>0</v>
      </c>
      <c r="J124" s="1085">
        <f t="shared" ref="J124" si="76">I124+J123</f>
        <v>0</v>
      </c>
      <c r="K124" s="1085">
        <f t="shared" ref="K124" si="77">J124+K123</f>
        <v>0</v>
      </c>
      <c r="L124" s="1085">
        <f t="shared" ref="L124" si="78">K124+L123</f>
        <v>0</v>
      </c>
      <c r="M124" s="1085">
        <f t="shared" ref="M124" si="79">L124+M123</f>
        <v>0</v>
      </c>
      <c r="N124" s="1085">
        <f t="shared" ref="N124" si="80">M124+N123</f>
        <v>0</v>
      </c>
      <c r="O124" s="1085">
        <f t="shared" ref="O124" si="81">N124+O123</f>
        <v>0</v>
      </c>
      <c r="P124" s="1085">
        <f t="shared" ref="P124" si="82">O124+P123</f>
        <v>0</v>
      </c>
      <c r="Q124" s="1085">
        <f t="shared" ref="Q124" si="83">P124+Q123</f>
        <v>0</v>
      </c>
      <c r="R124" s="1085">
        <f t="shared" ref="R124" si="84">Q124+R123</f>
        <v>0</v>
      </c>
      <c r="S124" s="1085">
        <f t="shared" ref="S124" si="85">R124+S123</f>
        <v>1.2855000000000005E-2</v>
      </c>
      <c r="T124" s="1085">
        <f t="shared" ref="T124" si="86">S124+T123</f>
        <v>2.5710000000000011E-2</v>
      </c>
      <c r="U124" s="1085">
        <f t="shared" ref="U124" si="87">T124+U123</f>
        <v>4.8565000000000011E-2</v>
      </c>
      <c r="V124" s="1085">
        <f t="shared" ref="V124" si="88">U124+V123</f>
        <v>4.8565000000000011E-2</v>
      </c>
      <c r="W124" s="1085">
        <f t="shared" ref="W124" si="89">V124+W123</f>
        <v>4.8565000000000011E-2</v>
      </c>
      <c r="X124" s="1085">
        <f t="shared" ref="X124" si="90">W124+X123</f>
        <v>4.8565000000000011E-2</v>
      </c>
      <c r="Y124" s="1085">
        <f t="shared" ref="Y124" si="91">X124+Y123</f>
        <v>4.8565000000000011E-2</v>
      </c>
      <c r="Z124" s="1085">
        <f t="shared" ref="Z124" si="92">Y124+Z123</f>
        <v>4.8565000000000011E-2</v>
      </c>
      <c r="AA124" s="1085">
        <f t="shared" ref="AA124" si="93">Z124+AA123</f>
        <v>4.8565000000000011E-2</v>
      </c>
      <c r="AB124" s="1085">
        <f t="shared" ref="AB124" si="94">AA124+AB123</f>
        <v>4.8565000000000011E-2</v>
      </c>
    </row>
    <row r="126" spans="1:33">
      <c r="A126" s="1162" t="s">
        <v>2227</v>
      </c>
      <c r="B126" s="132" t="s">
        <v>1</v>
      </c>
      <c r="C126" s="724">
        <f>D1</f>
        <v>45292</v>
      </c>
      <c r="D126" s="724">
        <f t="shared" ref="D126:Y126" si="95">E1</f>
        <v>45323</v>
      </c>
      <c r="E126" s="724">
        <f t="shared" si="95"/>
        <v>45352</v>
      </c>
      <c r="F126" s="724">
        <f t="shared" si="95"/>
        <v>45383</v>
      </c>
      <c r="G126" s="724">
        <f t="shared" si="95"/>
        <v>45413</v>
      </c>
      <c r="H126" s="724">
        <f t="shared" si="95"/>
        <v>45444</v>
      </c>
      <c r="I126" s="724">
        <f t="shared" si="95"/>
        <v>45474</v>
      </c>
      <c r="J126" s="724">
        <f t="shared" si="95"/>
        <v>45505</v>
      </c>
      <c r="K126" s="724">
        <f t="shared" si="95"/>
        <v>45536</v>
      </c>
      <c r="L126" s="724">
        <f t="shared" si="95"/>
        <v>45566</v>
      </c>
      <c r="M126" s="724">
        <f t="shared" si="95"/>
        <v>45597</v>
      </c>
      <c r="N126" s="724">
        <f t="shared" si="95"/>
        <v>45627</v>
      </c>
      <c r="O126" s="724">
        <f t="shared" si="95"/>
        <v>45658</v>
      </c>
      <c r="P126" s="724">
        <f t="shared" si="95"/>
        <v>45689</v>
      </c>
      <c r="Q126" s="724">
        <f t="shared" si="95"/>
        <v>45717</v>
      </c>
      <c r="R126" s="724">
        <f t="shared" si="95"/>
        <v>45748</v>
      </c>
      <c r="S126" s="724">
        <f t="shared" si="95"/>
        <v>45778</v>
      </c>
      <c r="T126" s="724">
        <f t="shared" si="95"/>
        <v>45809</v>
      </c>
      <c r="U126" s="724">
        <f t="shared" si="95"/>
        <v>45839</v>
      </c>
      <c r="V126" s="724">
        <f t="shared" si="95"/>
        <v>45870</v>
      </c>
      <c r="W126" s="724">
        <f t="shared" si="95"/>
        <v>45901</v>
      </c>
      <c r="X126" s="724">
        <f t="shared" si="95"/>
        <v>45931</v>
      </c>
      <c r="Y126" s="724">
        <f t="shared" si="95"/>
        <v>45962</v>
      </c>
      <c r="Z126" s="1084">
        <f>Y126+31</f>
        <v>45993</v>
      </c>
      <c r="AA126" s="1084">
        <f t="shared" ref="AA126:AB126" si="96">Z126+31</f>
        <v>46024</v>
      </c>
      <c r="AB126" s="1084">
        <f t="shared" si="96"/>
        <v>46055</v>
      </c>
    </row>
    <row r="127" spans="1:33">
      <c r="A127" s="1162"/>
      <c r="B127" s="132" t="s">
        <v>30</v>
      </c>
      <c r="C127" s="1085">
        <f>D32</f>
        <v>0</v>
      </c>
      <c r="D127" s="1085">
        <f t="shared" ref="D127:Y127" si="97">E32</f>
        <v>5.0155763239875398E-3</v>
      </c>
      <c r="E127" s="1085">
        <f t="shared" si="97"/>
        <v>4.4704049844236766E-2</v>
      </c>
      <c r="F127" s="1085">
        <f t="shared" si="97"/>
        <v>1.6573208722741435E-2</v>
      </c>
      <c r="G127" s="1085">
        <f t="shared" si="97"/>
        <v>7.566656472929166E-2</v>
      </c>
      <c r="H127" s="1085">
        <f t="shared" si="97"/>
        <v>6.3375688221560048E-2</v>
      </c>
      <c r="I127" s="1085">
        <f t="shared" si="97"/>
        <v>7.3057802750141232E-2</v>
      </c>
      <c r="J127" s="1085">
        <f t="shared" si="97"/>
        <v>0.11321844869222933</v>
      </c>
      <c r="K127" s="1085">
        <f t="shared" si="97"/>
        <v>0.11228873516297487</v>
      </c>
      <c r="L127" s="1085">
        <f t="shared" si="97"/>
        <v>0.17353663055437685</v>
      </c>
      <c r="M127" s="1085">
        <f t="shared" si="97"/>
        <v>0.16261756951634701</v>
      </c>
      <c r="N127" s="1085">
        <f t="shared" si="97"/>
        <v>0.10941950937755754</v>
      </c>
      <c r="O127" s="1085">
        <f t="shared" si="97"/>
        <v>3.2300815836758076E-2</v>
      </c>
      <c r="P127" s="1085">
        <f t="shared" si="97"/>
        <v>1.8425400267797744E-2</v>
      </c>
      <c r="Q127" s="1085">
        <f t="shared" si="97"/>
        <v>0</v>
      </c>
      <c r="R127" s="1085">
        <f t="shared" si="97"/>
        <v>0</v>
      </c>
      <c r="S127" s="1085">
        <f t="shared" si="97"/>
        <v>0</v>
      </c>
      <c r="T127" s="1085">
        <f t="shared" si="97"/>
        <v>0</v>
      </c>
      <c r="U127" s="1085">
        <f t="shared" si="97"/>
        <v>0</v>
      </c>
      <c r="V127" s="1085">
        <f t="shared" si="97"/>
        <v>0</v>
      </c>
      <c r="W127" s="1085">
        <f t="shared" si="97"/>
        <v>0</v>
      </c>
      <c r="X127" s="1085">
        <f t="shared" si="97"/>
        <v>0</v>
      </c>
      <c r="Y127" s="1085">
        <f t="shared" si="97"/>
        <v>0</v>
      </c>
      <c r="Z127" s="1085">
        <f t="shared" ref="Z127:AB127" si="98">AA32</f>
        <v>0</v>
      </c>
      <c r="AA127" s="1085">
        <f t="shared" si="98"/>
        <v>0</v>
      </c>
      <c r="AB127" s="1085">
        <f t="shared" si="98"/>
        <v>0</v>
      </c>
    </row>
    <row r="128" spans="1:33">
      <c r="A128" s="1162"/>
      <c r="B128" s="132" t="s">
        <v>31</v>
      </c>
      <c r="C128" s="1085">
        <f>C127</f>
        <v>0</v>
      </c>
      <c r="D128" s="1085">
        <f>C128+D127</f>
        <v>5.0155763239875398E-3</v>
      </c>
      <c r="E128" s="1085">
        <f t="shared" ref="E128" si="99">D128+E127</f>
        <v>4.9719626168224305E-2</v>
      </c>
      <c r="F128" s="1085">
        <f t="shared" ref="F128" si="100">E128+F127</f>
        <v>6.6292834890965741E-2</v>
      </c>
      <c r="G128" s="1085">
        <f t="shared" ref="G128" si="101">F128+G127</f>
        <v>0.14195939962025739</v>
      </c>
      <c r="H128" s="1085">
        <f t="shared" ref="H128" si="102">G128+H127</f>
        <v>0.20533508784181742</v>
      </c>
      <c r="I128" s="1085">
        <f t="shared" ref="I128" si="103">H128+I127</f>
        <v>0.27839289059195865</v>
      </c>
      <c r="J128" s="1085">
        <f t="shared" ref="J128" si="104">I128+J127</f>
        <v>0.39161133928418801</v>
      </c>
      <c r="K128" s="1085">
        <f t="shared" ref="K128" si="105">J128+K127</f>
        <v>0.50390007444716289</v>
      </c>
      <c r="L128" s="1085">
        <f t="shared" ref="L128" si="106">K128+L127</f>
        <v>0.67743670500153974</v>
      </c>
      <c r="M128" s="1085">
        <f t="shared" ref="M128" si="107">L128+M127</f>
        <v>0.84005427451788672</v>
      </c>
      <c r="N128" s="1085">
        <f t="shared" ref="N128" si="108">M128+N127</f>
        <v>0.94947378389544423</v>
      </c>
      <c r="O128" s="1085">
        <f t="shared" ref="O128" si="109">N128+O127</f>
        <v>0.98177459973220227</v>
      </c>
      <c r="P128" s="1085">
        <f t="shared" ref="P128" si="110">O128+P127</f>
        <v>1.0002</v>
      </c>
      <c r="Q128" s="1085">
        <f t="shared" ref="Q128" si="111">P128+Q127</f>
        <v>1.0002</v>
      </c>
      <c r="R128" s="1085">
        <f t="shared" ref="R128" si="112">Q128+R127</f>
        <v>1.0002</v>
      </c>
      <c r="S128" s="1085">
        <f t="shared" ref="S128" si="113">R128+S127</f>
        <v>1.0002</v>
      </c>
      <c r="T128" s="1085">
        <f t="shared" ref="T128" si="114">S128+T127</f>
        <v>1.0002</v>
      </c>
      <c r="U128" s="1085">
        <f t="shared" ref="U128" si="115">T128+U127</f>
        <v>1.0002</v>
      </c>
      <c r="V128" s="1085">
        <f t="shared" ref="V128" si="116">U128+V127</f>
        <v>1.0002</v>
      </c>
      <c r="W128" s="1085">
        <f t="shared" ref="W128" si="117">V128+W127</f>
        <v>1.0002</v>
      </c>
      <c r="X128" s="1085">
        <f t="shared" ref="X128" si="118">W128+X127</f>
        <v>1.0002</v>
      </c>
      <c r="Y128" s="1085">
        <f t="shared" ref="Y128" si="119">X128+Y127</f>
        <v>1.0002</v>
      </c>
      <c r="Z128" s="1085">
        <f t="shared" ref="Z128" si="120">Y128+Z127</f>
        <v>1.0002</v>
      </c>
      <c r="AA128" s="1085">
        <f t="shared" ref="AA128" si="121">Z128+AA127</f>
        <v>1.0002</v>
      </c>
      <c r="AB128" s="1085">
        <f t="shared" ref="AB128" si="122">AA128+AB127</f>
        <v>1.0002</v>
      </c>
    </row>
    <row r="129" spans="1:32">
      <c r="A129" s="1162"/>
      <c r="B129" s="132" t="s">
        <v>32</v>
      </c>
      <c r="C129" s="1086">
        <f>D33</f>
        <v>0</v>
      </c>
      <c r="D129" s="1086">
        <f t="shared" ref="D129:Y129" si="123">E33</f>
        <v>0</v>
      </c>
      <c r="E129" s="1086">
        <f t="shared" si="123"/>
        <v>5.9090303128498417E-2</v>
      </c>
      <c r="F129" s="1086">
        <f t="shared" si="123"/>
        <v>2.8915430310703854E-2</v>
      </c>
      <c r="G129" s="1086">
        <f t="shared" si="123"/>
        <v>3.126869014820715E-2</v>
      </c>
      <c r="H129" s="1086">
        <f t="shared" si="123"/>
        <v>5.2407922529537763E-2</v>
      </c>
      <c r="I129" s="1086">
        <f t="shared" si="123"/>
        <v>0.1196076529762812</v>
      </c>
      <c r="J129" s="1086">
        <f t="shared" si="123"/>
        <v>4.9777929863217961E-2</v>
      </c>
      <c r="K129" s="1086">
        <f t="shared" si="123"/>
        <v>9.7689223010910736E-2</v>
      </c>
      <c r="L129" s="1086">
        <f t="shared" si="123"/>
        <v>5.9904126012314048E-2</v>
      </c>
      <c r="M129" s="1086">
        <f t="shared" si="123"/>
        <v>7.9079675657731413E-2</v>
      </c>
      <c r="N129" s="1086">
        <f t="shared" si="123"/>
        <v>0.13160970996853358</v>
      </c>
      <c r="O129" s="1086">
        <f t="shared" si="123"/>
        <v>7.9013298990462721E-2</v>
      </c>
      <c r="P129" s="1086">
        <f t="shared" si="123"/>
        <v>6.8079770104574638E-2</v>
      </c>
      <c r="Q129" s="1086">
        <f t="shared" si="123"/>
        <v>3.144004543013116E-2</v>
      </c>
      <c r="R129" s="1086">
        <f t="shared" si="123"/>
        <v>5.0907903237432432E-2</v>
      </c>
      <c r="S129" s="1086">
        <f t="shared" si="123"/>
        <v>0</v>
      </c>
      <c r="T129" s="1086">
        <f t="shared" si="123"/>
        <v>0</v>
      </c>
      <c r="U129" s="1086">
        <f t="shared" si="123"/>
        <v>0</v>
      </c>
      <c r="V129" s="1086">
        <f t="shared" si="123"/>
        <v>0</v>
      </c>
      <c r="W129" s="1086">
        <f t="shared" si="123"/>
        <v>0</v>
      </c>
      <c r="X129" s="1086">
        <f t="shared" si="123"/>
        <v>0</v>
      </c>
      <c r="Y129" s="1086">
        <f t="shared" si="123"/>
        <v>0</v>
      </c>
      <c r="Z129" s="1086">
        <f t="shared" ref="Z129:AB129" si="124">AA33</f>
        <v>0</v>
      </c>
      <c r="AA129" s="1086">
        <f t="shared" si="124"/>
        <v>0</v>
      </c>
      <c r="AB129" s="1086">
        <f t="shared" si="124"/>
        <v>0</v>
      </c>
    </row>
    <row r="130" spans="1:32">
      <c r="A130" s="1162"/>
      <c r="B130" s="132" t="s">
        <v>33</v>
      </c>
      <c r="C130" s="1085">
        <f>C129</f>
        <v>0</v>
      </c>
      <c r="D130" s="1085">
        <f>C130+D129</f>
        <v>0</v>
      </c>
      <c r="E130" s="1085">
        <f t="shared" ref="E130" si="125">D130+E129</f>
        <v>5.9090303128498417E-2</v>
      </c>
      <c r="F130" s="1085">
        <f t="shared" ref="F130" si="126">E130+F129</f>
        <v>8.8005733439202274E-2</v>
      </c>
      <c r="G130" s="1085">
        <f t="shared" ref="G130" si="127">F130+G129</f>
        <v>0.11927442358740942</v>
      </c>
      <c r="H130" s="1085">
        <f t="shared" ref="H130" si="128">G130+H129</f>
        <v>0.17168234611694719</v>
      </c>
      <c r="I130" s="1085">
        <f t="shared" ref="I130" si="129">H130+I129</f>
        <v>0.29128999909322839</v>
      </c>
      <c r="J130" s="1085">
        <f t="shared" ref="J130" si="130">I130+J129</f>
        <v>0.34106792895644633</v>
      </c>
      <c r="K130" s="1085">
        <f t="shared" ref="K130" si="131">J130+K129</f>
        <v>0.4387571519673571</v>
      </c>
      <c r="L130" s="1085">
        <f t="shared" ref="L130" si="132">K130+L129</f>
        <v>0.49866127797967114</v>
      </c>
      <c r="M130" s="1085">
        <f t="shared" ref="M130" si="133">L130+M129</f>
        <v>0.57774095363740252</v>
      </c>
      <c r="N130" s="1085">
        <f t="shared" ref="N130" si="134">M130+N129</f>
        <v>0.70935066360593613</v>
      </c>
      <c r="O130" s="1085">
        <f t="shared" ref="O130" si="135">N130+O129</f>
        <v>0.78836396259639885</v>
      </c>
      <c r="P130" s="1085">
        <f t="shared" ref="P130" si="136">O130+P129</f>
        <v>0.85644373270097351</v>
      </c>
      <c r="Q130" s="1085">
        <f t="shared" ref="Q130" si="137">P130+Q129</f>
        <v>0.88788377813110464</v>
      </c>
      <c r="R130" s="1085">
        <f t="shared" ref="R130" si="138">Q130+R129</f>
        <v>0.93879168136853708</v>
      </c>
      <c r="S130" s="1085">
        <f t="shared" ref="S130" si="139">R130+S129</f>
        <v>0.93879168136853708</v>
      </c>
      <c r="T130" s="1085">
        <f t="shared" ref="T130" si="140">S130+T129</f>
        <v>0.93879168136853708</v>
      </c>
      <c r="U130" s="1085">
        <f t="shared" ref="U130" si="141">T130+U129</f>
        <v>0.93879168136853708</v>
      </c>
      <c r="V130" s="1085">
        <f t="shared" ref="V130" si="142">U130+V129</f>
        <v>0.93879168136853708</v>
      </c>
      <c r="W130" s="1085">
        <f t="shared" ref="W130" si="143">V130+W129</f>
        <v>0.93879168136853708</v>
      </c>
      <c r="X130" s="1085">
        <f t="shared" ref="X130" si="144">W130+X129</f>
        <v>0.93879168136853708</v>
      </c>
      <c r="Y130" s="1085">
        <f t="shared" ref="Y130" si="145">X130+Y129</f>
        <v>0.93879168136853708</v>
      </c>
      <c r="Z130" s="1085">
        <f t="shared" ref="Z130" si="146">Y130+Z129</f>
        <v>0.93879168136853708</v>
      </c>
      <c r="AA130" s="1085">
        <f t="shared" ref="AA130" si="147">Z130+AA129</f>
        <v>0.93879168136853708</v>
      </c>
      <c r="AB130" s="1085">
        <f t="shared" ref="AB130" si="148">AA130+AB129</f>
        <v>0.93879168136853708</v>
      </c>
    </row>
    <row r="131" spans="1:32">
      <c r="A131" s="1162"/>
      <c r="B131" s="132" t="s">
        <v>34</v>
      </c>
      <c r="C131" s="1085">
        <v>0</v>
      </c>
      <c r="D131" s="1085">
        <f t="shared" ref="D131:AB131" si="149">E35</f>
        <v>0</v>
      </c>
      <c r="E131" s="1085">
        <f t="shared" si="149"/>
        <v>0</v>
      </c>
      <c r="F131" s="1085">
        <f t="shared" si="149"/>
        <v>0</v>
      </c>
      <c r="G131" s="1085">
        <f t="shared" si="149"/>
        <v>0</v>
      </c>
      <c r="H131" s="1085">
        <f t="shared" si="149"/>
        <v>0</v>
      </c>
      <c r="I131" s="1085">
        <f t="shared" si="149"/>
        <v>0</v>
      </c>
      <c r="J131" s="1085">
        <f t="shared" si="149"/>
        <v>0</v>
      </c>
      <c r="K131" s="1085">
        <f t="shared" si="149"/>
        <v>0</v>
      </c>
      <c r="L131" s="1085">
        <f t="shared" si="149"/>
        <v>0</v>
      </c>
      <c r="M131" s="1085">
        <f t="shared" si="149"/>
        <v>0</v>
      </c>
      <c r="N131" s="1085">
        <f t="shared" si="149"/>
        <v>0</v>
      </c>
      <c r="O131" s="1085">
        <f t="shared" si="149"/>
        <v>0</v>
      </c>
      <c r="P131" s="1085">
        <f t="shared" si="149"/>
        <v>0</v>
      </c>
      <c r="Q131" s="1085">
        <f t="shared" si="149"/>
        <v>0</v>
      </c>
      <c r="R131" s="1085">
        <f t="shared" si="149"/>
        <v>0</v>
      </c>
      <c r="S131" s="1085">
        <f t="shared" si="149"/>
        <v>4.4649999999999967E-3</v>
      </c>
      <c r="T131" s="1085">
        <f t="shared" si="149"/>
        <v>2.6789999999999978E-3</v>
      </c>
      <c r="U131" s="1085">
        <f t="shared" si="149"/>
        <v>1.7859999999999987E-3</v>
      </c>
      <c r="V131" s="1085">
        <f t="shared" si="149"/>
        <v>0</v>
      </c>
      <c r="W131" s="1085">
        <f t="shared" si="149"/>
        <v>0</v>
      </c>
      <c r="X131" s="1085">
        <f t="shared" si="149"/>
        <v>0</v>
      </c>
      <c r="Y131" s="1085">
        <f t="shared" si="149"/>
        <v>0</v>
      </c>
      <c r="Z131" s="1085">
        <f t="shared" si="149"/>
        <v>0</v>
      </c>
      <c r="AA131" s="1085">
        <f t="shared" si="149"/>
        <v>0</v>
      </c>
      <c r="AB131" s="1085">
        <f t="shared" si="149"/>
        <v>0</v>
      </c>
    </row>
    <row r="132" spans="1:32">
      <c r="A132" s="1162"/>
      <c r="B132" s="132" t="s">
        <v>35</v>
      </c>
      <c r="C132" s="1085">
        <f>C131</f>
        <v>0</v>
      </c>
      <c r="D132" s="1085">
        <f>C132+D131</f>
        <v>0</v>
      </c>
      <c r="E132" s="1085">
        <f t="shared" ref="E132" si="150">D132+E131</f>
        <v>0</v>
      </c>
      <c r="F132" s="1085">
        <f t="shared" ref="F132" si="151">E132+F131</f>
        <v>0</v>
      </c>
      <c r="G132" s="1085">
        <f t="shared" ref="G132" si="152">F132+G131</f>
        <v>0</v>
      </c>
      <c r="H132" s="1085">
        <f t="shared" ref="H132" si="153">G132+H131</f>
        <v>0</v>
      </c>
      <c r="I132" s="1085">
        <f t="shared" ref="I132" si="154">H132+I131</f>
        <v>0</v>
      </c>
      <c r="J132" s="1085">
        <f t="shared" ref="J132" si="155">I132+J131</f>
        <v>0</v>
      </c>
      <c r="K132" s="1085">
        <f t="shared" ref="K132" si="156">J132+K131</f>
        <v>0</v>
      </c>
      <c r="L132" s="1085">
        <f t="shared" ref="L132" si="157">K132+L131</f>
        <v>0</v>
      </c>
      <c r="M132" s="1085">
        <f t="shared" ref="M132" si="158">L132+M131</f>
        <v>0</v>
      </c>
      <c r="N132" s="1085">
        <f t="shared" ref="N132" si="159">M132+N131</f>
        <v>0</v>
      </c>
      <c r="O132" s="1085">
        <f t="shared" ref="O132" si="160">N132+O131</f>
        <v>0</v>
      </c>
      <c r="P132" s="1085">
        <f t="shared" ref="P132" si="161">O132+P131</f>
        <v>0</v>
      </c>
      <c r="Q132" s="1085">
        <f t="shared" ref="Q132" si="162">P132+Q131</f>
        <v>0</v>
      </c>
      <c r="R132" s="1085">
        <f t="shared" ref="R132" si="163">Q132+R131</f>
        <v>0</v>
      </c>
      <c r="S132" s="1085">
        <f t="shared" ref="S132" si="164">R132+S131</f>
        <v>4.4649999999999967E-3</v>
      </c>
      <c r="T132" s="1085">
        <f t="shared" ref="T132" si="165">S132+T131</f>
        <v>7.1439999999999941E-3</v>
      </c>
      <c r="U132" s="1085">
        <f t="shared" ref="U132" si="166">T132+U131</f>
        <v>8.9299999999999935E-3</v>
      </c>
      <c r="V132" s="1085">
        <f t="shared" ref="V132" si="167">U132+V131</f>
        <v>8.9299999999999935E-3</v>
      </c>
      <c r="W132" s="1085">
        <f t="shared" ref="W132" si="168">V132+W131</f>
        <v>8.9299999999999935E-3</v>
      </c>
      <c r="X132" s="1085">
        <f t="shared" ref="X132" si="169">W132+X131</f>
        <v>8.9299999999999935E-3</v>
      </c>
      <c r="Y132" s="1085">
        <f t="shared" ref="Y132" si="170">X132+Y131</f>
        <v>8.9299999999999935E-3</v>
      </c>
      <c r="Z132" s="1085">
        <f t="shared" ref="Z132" si="171">Y132+Z131</f>
        <v>8.9299999999999935E-3</v>
      </c>
      <c r="AA132" s="1085">
        <f t="shared" ref="AA132" si="172">Z132+AA131</f>
        <v>8.9299999999999935E-3</v>
      </c>
      <c r="AB132" s="1085">
        <f t="shared" ref="AB132" si="173">AA132+AB131</f>
        <v>8.9299999999999935E-3</v>
      </c>
    </row>
    <row r="134" spans="1:32">
      <c r="A134" s="1162" t="s">
        <v>2228</v>
      </c>
      <c r="B134" s="132" t="s">
        <v>1</v>
      </c>
      <c r="C134" s="724">
        <f>C126</f>
        <v>45292</v>
      </c>
      <c r="D134" s="724">
        <f t="shared" ref="D134:Y134" si="174">D126</f>
        <v>45323</v>
      </c>
      <c r="E134" s="724">
        <f t="shared" si="174"/>
        <v>45352</v>
      </c>
      <c r="F134" s="724">
        <f t="shared" si="174"/>
        <v>45383</v>
      </c>
      <c r="G134" s="724">
        <f t="shared" si="174"/>
        <v>45413</v>
      </c>
      <c r="H134" s="724">
        <f t="shared" si="174"/>
        <v>45444</v>
      </c>
      <c r="I134" s="724">
        <f t="shared" si="174"/>
        <v>45474</v>
      </c>
      <c r="J134" s="724">
        <f t="shared" si="174"/>
        <v>45505</v>
      </c>
      <c r="K134" s="724">
        <f t="shared" si="174"/>
        <v>45536</v>
      </c>
      <c r="L134" s="724">
        <f t="shared" si="174"/>
        <v>45566</v>
      </c>
      <c r="M134" s="724">
        <f t="shared" si="174"/>
        <v>45597</v>
      </c>
      <c r="N134" s="724">
        <f t="shared" si="174"/>
        <v>45627</v>
      </c>
      <c r="O134" s="724">
        <f t="shared" si="174"/>
        <v>45658</v>
      </c>
      <c r="P134" s="724">
        <f t="shared" si="174"/>
        <v>45689</v>
      </c>
      <c r="Q134" s="724">
        <f t="shared" si="174"/>
        <v>45717</v>
      </c>
      <c r="R134" s="724">
        <f t="shared" si="174"/>
        <v>45748</v>
      </c>
      <c r="S134" s="724">
        <f t="shared" si="174"/>
        <v>45778</v>
      </c>
      <c r="T134" s="724">
        <f t="shared" si="174"/>
        <v>45809</v>
      </c>
      <c r="U134" s="724">
        <f t="shared" si="174"/>
        <v>45839</v>
      </c>
      <c r="V134" s="724">
        <f t="shared" si="174"/>
        <v>45870</v>
      </c>
      <c r="W134" s="724">
        <f t="shared" si="174"/>
        <v>45901</v>
      </c>
      <c r="X134" s="724">
        <f t="shared" si="174"/>
        <v>45931</v>
      </c>
      <c r="Y134" s="724">
        <f t="shared" si="174"/>
        <v>45962</v>
      </c>
      <c r="Z134" s="1084">
        <f>Y134+31</f>
        <v>45993</v>
      </c>
      <c r="AA134" s="1084">
        <f t="shared" ref="AA134:AB134" si="175">Z134+31</f>
        <v>46024</v>
      </c>
      <c r="AB134" s="1084">
        <f t="shared" si="175"/>
        <v>46055</v>
      </c>
      <c r="AC134" s="1084">
        <f t="shared" ref="AC134" si="176">AB134+31</f>
        <v>46086</v>
      </c>
      <c r="AD134" s="1084">
        <f t="shared" ref="AD134" si="177">AC134+31</f>
        <v>46117</v>
      </c>
      <c r="AE134" s="1084"/>
      <c r="AF134" s="1084"/>
    </row>
    <row r="135" spans="1:32">
      <c r="A135" s="1162"/>
      <c r="B135" s="132" t="s">
        <v>30</v>
      </c>
      <c r="C135" s="1085">
        <f>D88</f>
        <v>0</v>
      </c>
      <c r="D135" s="1085">
        <f t="shared" ref="D135:Y135" si="178">E88</f>
        <v>0</v>
      </c>
      <c r="E135" s="1085">
        <f t="shared" si="178"/>
        <v>0</v>
      </c>
      <c r="F135" s="1085">
        <f t="shared" si="178"/>
        <v>0</v>
      </c>
      <c r="G135" s="1085">
        <f t="shared" si="178"/>
        <v>1.2524226804123712E-3</v>
      </c>
      <c r="H135" s="1085">
        <f t="shared" si="178"/>
        <v>1.3069909531829066E-3</v>
      </c>
      <c r="I135" s="1085">
        <f t="shared" si="178"/>
        <v>1.4882087104895244E-3</v>
      </c>
      <c r="J135" s="1085">
        <f t="shared" si="178"/>
        <v>3.487881658640668E-2</v>
      </c>
      <c r="K135" s="1085">
        <f t="shared" si="178"/>
        <v>7.026443762818739E-2</v>
      </c>
      <c r="L135" s="1085">
        <f t="shared" si="178"/>
        <v>9.4339274176186858E-2</v>
      </c>
      <c r="M135" s="1085">
        <f t="shared" si="178"/>
        <v>0.12005889741528472</v>
      </c>
      <c r="N135" s="1085">
        <f t="shared" si="178"/>
        <v>0.11214025999376304</v>
      </c>
      <c r="O135" s="1085">
        <f t="shared" si="178"/>
        <v>0.13890383475236212</v>
      </c>
      <c r="P135" s="1085">
        <f t="shared" si="178"/>
        <v>0.1220623258143564</v>
      </c>
      <c r="Q135" s="1085">
        <f t="shared" si="178"/>
        <v>9.3663348078810812E-2</v>
      </c>
      <c r="R135" s="1085">
        <f t="shared" si="178"/>
        <v>7.9001487421583153E-2</v>
      </c>
      <c r="S135" s="1085">
        <f t="shared" si="178"/>
        <v>6.8386045142109178E-2</v>
      </c>
      <c r="T135" s="1085">
        <f t="shared" si="178"/>
        <v>3.8516516093629161E-2</v>
      </c>
      <c r="U135" s="1085">
        <f t="shared" si="178"/>
        <v>2.3777134553235706E-2</v>
      </c>
      <c r="V135" s="1085">
        <f t="shared" si="178"/>
        <v>0</v>
      </c>
      <c r="W135" s="1085">
        <f t="shared" si="178"/>
        <v>0</v>
      </c>
      <c r="X135" s="1085">
        <f t="shared" si="178"/>
        <v>0</v>
      </c>
      <c r="Y135" s="1085">
        <f t="shared" si="178"/>
        <v>0</v>
      </c>
      <c r="Z135" s="1085">
        <f t="shared" ref="Z135:AB135" si="179">AA88</f>
        <v>0</v>
      </c>
      <c r="AA135" s="1085">
        <f t="shared" si="179"/>
        <v>0</v>
      </c>
      <c r="AB135" s="1085">
        <f t="shared" si="179"/>
        <v>0</v>
      </c>
      <c r="AC135" s="1085">
        <f t="shared" ref="AC135" si="180">AD88</f>
        <v>0</v>
      </c>
      <c r="AD135" s="1085">
        <f t="shared" ref="AD135" si="181">AE88</f>
        <v>0</v>
      </c>
      <c r="AE135" s="1085"/>
      <c r="AF135" s="1085"/>
    </row>
    <row r="136" spans="1:32">
      <c r="A136" s="1162"/>
      <c r="B136" s="132" t="s">
        <v>31</v>
      </c>
      <c r="C136" s="1085">
        <f>C135</f>
        <v>0</v>
      </c>
      <c r="D136" s="1085">
        <f>C136+D135</f>
        <v>0</v>
      </c>
      <c r="E136" s="1085">
        <f t="shared" ref="E136" si="182">D136+E135</f>
        <v>0</v>
      </c>
      <c r="F136" s="1085">
        <f t="shared" ref="F136" si="183">E136+F135</f>
        <v>0</v>
      </c>
      <c r="G136" s="1085">
        <f t="shared" ref="G136" si="184">F136+G135</f>
        <v>1.2524226804123712E-3</v>
      </c>
      <c r="H136" s="1085">
        <f t="shared" ref="H136" si="185">G136+H135</f>
        <v>2.5594136335952778E-3</v>
      </c>
      <c r="I136" s="1085">
        <f t="shared" ref="I136" si="186">H136+I135</f>
        <v>4.0476223440848022E-3</v>
      </c>
      <c r="J136" s="1085">
        <f t="shared" ref="J136" si="187">I136+J135</f>
        <v>3.8926438930491483E-2</v>
      </c>
      <c r="K136" s="1085">
        <f t="shared" ref="K136" si="188">J136+K135</f>
        <v>0.10919087655867887</v>
      </c>
      <c r="L136" s="1085">
        <f t="shared" ref="L136" si="189">K136+L135</f>
        <v>0.20353015073486574</v>
      </c>
      <c r="M136" s="1085">
        <f t="shared" ref="M136" si="190">L136+M135</f>
        <v>0.32358904815015044</v>
      </c>
      <c r="N136" s="1085">
        <f t="shared" ref="N136" si="191">M136+N135</f>
        <v>0.43572930814391347</v>
      </c>
      <c r="O136" s="1085">
        <f t="shared" ref="O136" si="192">N136+O135</f>
        <v>0.57463314289627565</v>
      </c>
      <c r="P136" s="1085">
        <f t="shared" ref="P136" si="193">O136+P135</f>
        <v>0.69669546871063204</v>
      </c>
      <c r="Q136" s="1085">
        <f t="shared" ref="Q136" si="194">P136+Q135</f>
        <v>0.79035881678944286</v>
      </c>
      <c r="R136" s="1085">
        <f t="shared" ref="R136" si="195">Q136+R135</f>
        <v>0.86936030421102606</v>
      </c>
      <c r="S136" s="1085">
        <f t="shared" ref="S136" si="196">R136+S135</f>
        <v>0.93774634935313528</v>
      </c>
      <c r="T136" s="1085">
        <f t="shared" ref="T136" si="197">S136+T135</f>
        <v>0.97626286544676444</v>
      </c>
      <c r="U136" s="1085">
        <f t="shared" ref="U136" si="198">T136+U135</f>
        <v>1.00004</v>
      </c>
      <c r="V136" s="1085">
        <f t="shared" ref="V136" si="199">U136+V135</f>
        <v>1.00004</v>
      </c>
      <c r="W136" s="1085">
        <f t="shared" ref="W136" si="200">V136+W135</f>
        <v>1.00004</v>
      </c>
      <c r="X136" s="1085">
        <f t="shared" ref="X136" si="201">W136+X135</f>
        <v>1.00004</v>
      </c>
      <c r="Y136" s="1085">
        <f t="shared" ref="Y136" si="202">X136+Y135</f>
        <v>1.00004</v>
      </c>
      <c r="Z136" s="1085">
        <f t="shared" ref="Z136" si="203">Y136+Z135</f>
        <v>1.00004</v>
      </c>
      <c r="AA136" s="1085">
        <f t="shared" ref="AA136" si="204">Z136+AA135</f>
        <v>1.00004</v>
      </c>
      <c r="AB136" s="1085">
        <f t="shared" ref="AB136" si="205">AA136+AB135</f>
        <v>1.00004</v>
      </c>
      <c r="AC136" s="1085">
        <f t="shared" ref="AC136" si="206">AB136+AC135</f>
        <v>1.00004</v>
      </c>
      <c r="AD136" s="1085">
        <f t="shared" ref="AD136" si="207">AC136+AD135</f>
        <v>1.00004</v>
      </c>
      <c r="AE136" s="1085"/>
      <c r="AF136" s="1085"/>
    </row>
    <row r="137" spans="1:32">
      <c r="A137" s="1162"/>
      <c r="B137" s="132" t="s">
        <v>32</v>
      </c>
      <c r="C137" s="1086">
        <f>D89</f>
        <v>0</v>
      </c>
      <c r="D137" s="1086">
        <f t="shared" ref="D137:Y137" si="208">E89</f>
        <v>0</v>
      </c>
      <c r="E137" s="1086">
        <f t="shared" si="208"/>
        <v>0</v>
      </c>
      <c r="F137" s="1086">
        <f t="shared" si="208"/>
        <v>1.5948453608247425E-4</v>
      </c>
      <c r="G137" s="1086">
        <f t="shared" si="208"/>
        <v>5.4881443298969077E-4</v>
      </c>
      <c r="H137" s="1086">
        <f t="shared" si="208"/>
        <v>4.9252577319587631E-4</v>
      </c>
      <c r="I137" s="1086">
        <f t="shared" si="208"/>
        <v>6.9164547537227949E-3</v>
      </c>
      <c r="J137" s="1086">
        <f t="shared" si="208"/>
        <v>5.8821506300114554E-3</v>
      </c>
      <c r="K137" s="1086">
        <f t="shared" si="208"/>
        <v>8.6802226995036272E-2</v>
      </c>
      <c r="L137" s="1086">
        <f t="shared" si="208"/>
        <v>4.8913174875906837E-2</v>
      </c>
      <c r="M137" s="1086">
        <f t="shared" si="208"/>
        <v>4.9004685538887115E-2</v>
      </c>
      <c r="N137" s="1086">
        <f t="shared" si="208"/>
        <v>2.0771165304966806E-2</v>
      </c>
      <c r="O137" s="1086">
        <f t="shared" si="208"/>
        <v>3.3034061717811931E-2</v>
      </c>
      <c r="P137" s="1086">
        <f t="shared" si="208"/>
        <v>9.7364490344340748E-2</v>
      </c>
      <c r="Q137" s="1086">
        <f t="shared" si="208"/>
        <v>3.0383470483377178E-2</v>
      </c>
      <c r="R137" s="1086">
        <f t="shared" si="208"/>
        <v>7.4522731881189741E-2</v>
      </c>
      <c r="S137" s="1086">
        <f t="shared" si="208"/>
        <v>0</v>
      </c>
      <c r="T137" s="1086">
        <f t="shared" si="208"/>
        <v>0</v>
      </c>
      <c r="U137" s="1086">
        <f t="shared" si="208"/>
        <v>0</v>
      </c>
      <c r="V137" s="1086">
        <f t="shared" si="208"/>
        <v>0</v>
      </c>
      <c r="W137" s="1086">
        <f t="shared" si="208"/>
        <v>0</v>
      </c>
      <c r="X137" s="1086">
        <f t="shared" si="208"/>
        <v>0</v>
      </c>
      <c r="Y137" s="1086">
        <f t="shared" si="208"/>
        <v>0</v>
      </c>
      <c r="Z137" s="1086">
        <f t="shared" ref="Z137:AB137" si="209">AA89</f>
        <v>0</v>
      </c>
      <c r="AA137" s="1086">
        <f t="shared" si="209"/>
        <v>0</v>
      </c>
      <c r="AB137" s="1086">
        <f t="shared" si="209"/>
        <v>0</v>
      </c>
      <c r="AC137" s="1086">
        <f t="shared" ref="AC137" si="210">AD89</f>
        <v>0</v>
      </c>
      <c r="AD137" s="1086">
        <f t="shared" ref="AD137" si="211">AE89</f>
        <v>0</v>
      </c>
      <c r="AE137" s="1086"/>
      <c r="AF137" s="1086"/>
    </row>
    <row r="138" spans="1:32">
      <c r="A138" s="1162"/>
      <c r="B138" s="132" t="s">
        <v>33</v>
      </c>
      <c r="C138" s="1085">
        <f>C137</f>
        <v>0</v>
      </c>
      <c r="D138" s="1085">
        <f>C138+D137</f>
        <v>0</v>
      </c>
      <c r="E138" s="1085">
        <f t="shared" ref="E138" si="212">D138+E137</f>
        <v>0</v>
      </c>
      <c r="F138" s="1085">
        <f t="shared" ref="F138" si="213">E138+F137</f>
        <v>1.5948453608247425E-4</v>
      </c>
      <c r="G138" s="1085">
        <f t="shared" ref="G138" si="214">F138+G137</f>
        <v>7.0829896907216496E-4</v>
      </c>
      <c r="H138" s="1085">
        <f t="shared" ref="H138" si="215">G138+H137</f>
        <v>1.2008247422680414E-3</v>
      </c>
      <c r="I138" s="1085">
        <f t="shared" ref="I138" si="216">H138+I137</f>
        <v>8.1172794959908368E-3</v>
      </c>
      <c r="J138" s="1085">
        <f t="shared" ref="J138" si="217">I138+J137</f>
        <v>1.3999430126002292E-2</v>
      </c>
      <c r="K138" s="1085">
        <f t="shared" ref="K138" si="218">J138+K137</f>
        <v>0.10080165712103856</v>
      </c>
      <c r="L138" s="1085">
        <f t="shared" ref="L138" si="219">K138+L137</f>
        <v>0.14971483199694541</v>
      </c>
      <c r="M138" s="1085">
        <f t="shared" ref="M138" si="220">L138+M137</f>
        <v>0.19871951753583253</v>
      </c>
      <c r="N138" s="1085">
        <f t="shared" ref="N138" si="221">M138+N137</f>
        <v>0.21949068284079934</v>
      </c>
      <c r="O138" s="1085">
        <f t="shared" ref="O138" si="222">N138+O137</f>
        <v>0.25252474455861129</v>
      </c>
      <c r="P138" s="1085">
        <f t="shared" ref="P138" si="223">O138+P137</f>
        <v>0.34988923490295204</v>
      </c>
      <c r="Q138" s="1085">
        <f t="shared" ref="Q138" si="224">P138+Q137</f>
        <v>0.38027270538632924</v>
      </c>
      <c r="R138" s="1085">
        <f t="shared" ref="R138" si="225">Q138+R137</f>
        <v>0.45479543726751898</v>
      </c>
      <c r="S138" s="1085">
        <f t="shared" ref="S138" si="226">R138+S137</f>
        <v>0.45479543726751898</v>
      </c>
      <c r="T138" s="1085">
        <f t="shared" ref="T138" si="227">S138+T137</f>
        <v>0.45479543726751898</v>
      </c>
      <c r="U138" s="1085">
        <f t="shared" ref="U138" si="228">T138+U137</f>
        <v>0.45479543726751898</v>
      </c>
      <c r="V138" s="1085">
        <f t="shared" ref="V138" si="229">U138+V137</f>
        <v>0.45479543726751898</v>
      </c>
      <c r="W138" s="1085">
        <f t="shared" ref="W138" si="230">V138+W137</f>
        <v>0.45479543726751898</v>
      </c>
      <c r="X138" s="1085">
        <f t="shared" ref="X138" si="231">W138+X137</f>
        <v>0.45479543726751898</v>
      </c>
      <c r="Y138" s="1085">
        <f t="shared" ref="Y138" si="232">X138+Y137</f>
        <v>0.45479543726751898</v>
      </c>
      <c r="Z138" s="1085">
        <f t="shared" ref="Z138" si="233">Y138+Z137</f>
        <v>0.45479543726751898</v>
      </c>
      <c r="AA138" s="1085">
        <f t="shared" ref="AA138" si="234">Z138+AA137</f>
        <v>0.45479543726751898</v>
      </c>
      <c r="AB138" s="1085">
        <f t="shared" ref="AB138" si="235">AA138+AB137</f>
        <v>0.45479543726751898</v>
      </c>
      <c r="AC138" s="1085">
        <f t="shared" ref="AC138" si="236">AB138+AC137</f>
        <v>0.45479543726751898</v>
      </c>
      <c r="AD138" s="1085">
        <f t="shared" ref="AD138" si="237">AC138+AD137</f>
        <v>0.45479543726751898</v>
      </c>
      <c r="AE138" s="1085"/>
      <c r="AF138" s="1085"/>
    </row>
    <row r="139" spans="1:32">
      <c r="A139" s="1162"/>
      <c r="B139" s="132" t="s">
        <v>34</v>
      </c>
      <c r="C139" s="1085">
        <v>0</v>
      </c>
      <c r="D139" s="1085">
        <f t="shared" ref="D139:AB139" si="238">E91</f>
        <v>0</v>
      </c>
      <c r="E139" s="1085">
        <f t="shared" si="238"/>
        <v>0</v>
      </c>
      <c r="F139" s="1085">
        <f t="shared" si="238"/>
        <v>0</v>
      </c>
      <c r="G139" s="1085">
        <f t="shared" si="238"/>
        <v>0</v>
      </c>
      <c r="H139" s="1085">
        <f t="shared" si="238"/>
        <v>0</v>
      </c>
      <c r="I139" s="1085">
        <f t="shared" si="238"/>
        <v>0</v>
      </c>
      <c r="J139" s="1085">
        <f t="shared" si="238"/>
        <v>0</v>
      </c>
      <c r="K139" s="1085">
        <f t="shared" si="238"/>
        <v>0</v>
      </c>
      <c r="L139" s="1085">
        <f t="shared" si="238"/>
        <v>0</v>
      </c>
      <c r="M139" s="1085">
        <f t="shared" si="238"/>
        <v>0</v>
      </c>
      <c r="N139" s="1085">
        <f t="shared" si="238"/>
        <v>0</v>
      </c>
      <c r="O139" s="1085">
        <f t="shared" si="238"/>
        <v>0</v>
      </c>
      <c r="P139" s="1085">
        <f t="shared" si="238"/>
        <v>0</v>
      </c>
      <c r="Q139" s="1085">
        <f t="shared" si="238"/>
        <v>0</v>
      </c>
      <c r="R139" s="1085">
        <f t="shared" si="238"/>
        <v>0</v>
      </c>
      <c r="S139" s="1085">
        <f t="shared" si="238"/>
        <v>2.9302999999999996E-2</v>
      </c>
      <c r="T139" s="1085">
        <f t="shared" si="238"/>
        <v>2.1693000000000004E-2</v>
      </c>
      <c r="U139" s="1085">
        <f t="shared" si="238"/>
        <v>2.1109500000000003E-2</v>
      </c>
      <c r="V139" s="1085">
        <f t="shared" si="238"/>
        <v>1.4539500000000002E-2</v>
      </c>
      <c r="W139" s="1085">
        <f t="shared" si="238"/>
        <v>1.9386000000000004E-2</v>
      </c>
      <c r="X139" s="1085">
        <f t="shared" si="238"/>
        <v>1.4539500000000002E-2</v>
      </c>
      <c r="Y139" s="1085">
        <f t="shared" si="238"/>
        <v>9.693000000000002E-3</v>
      </c>
      <c r="Z139" s="1085">
        <f t="shared" si="238"/>
        <v>9.693000000000002E-3</v>
      </c>
      <c r="AA139" s="1085">
        <f t="shared" si="238"/>
        <v>9.693000000000002E-3</v>
      </c>
      <c r="AB139" s="1085">
        <f t="shared" si="238"/>
        <v>0</v>
      </c>
      <c r="AC139" s="1085">
        <f t="shared" ref="AC139" si="239">AD91</f>
        <v>0</v>
      </c>
      <c r="AD139" s="1085">
        <f t="shared" ref="AD139" si="240">AE91</f>
        <v>0</v>
      </c>
      <c r="AE139" s="1085"/>
      <c r="AF139" s="1085"/>
    </row>
    <row r="140" spans="1:32">
      <c r="A140" s="1162"/>
      <c r="B140" s="132" t="s">
        <v>35</v>
      </c>
      <c r="C140" s="1085">
        <f>C139</f>
        <v>0</v>
      </c>
      <c r="D140" s="1085">
        <f>C140+D139</f>
        <v>0</v>
      </c>
      <c r="E140" s="1085">
        <f t="shared" ref="E140" si="241">D140+E139</f>
        <v>0</v>
      </c>
      <c r="F140" s="1085">
        <f t="shared" ref="F140" si="242">E140+F139</f>
        <v>0</v>
      </c>
      <c r="G140" s="1085">
        <f t="shared" ref="G140" si="243">F140+G139</f>
        <v>0</v>
      </c>
      <c r="H140" s="1085">
        <f t="shared" ref="H140" si="244">G140+H139</f>
        <v>0</v>
      </c>
      <c r="I140" s="1085">
        <f t="shared" ref="I140" si="245">H140+I139</f>
        <v>0</v>
      </c>
      <c r="J140" s="1085">
        <f t="shared" ref="J140" si="246">I140+J139</f>
        <v>0</v>
      </c>
      <c r="K140" s="1085">
        <f t="shared" ref="K140" si="247">J140+K139</f>
        <v>0</v>
      </c>
      <c r="L140" s="1085">
        <f t="shared" ref="L140" si="248">K140+L139</f>
        <v>0</v>
      </c>
      <c r="M140" s="1085">
        <f t="shared" ref="M140" si="249">L140+M139</f>
        <v>0</v>
      </c>
      <c r="N140" s="1085">
        <f t="shared" ref="N140" si="250">M140+N139</f>
        <v>0</v>
      </c>
      <c r="O140" s="1085">
        <f t="shared" ref="O140" si="251">N140+O139</f>
        <v>0</v>
      </c>
      <c r="P140" s="1085">
        <f t="shared" ref="P140" si="252">O140+P139</f>
        <v>0</v>
      </c>
      <c r="Q140" s="1085">
        <f t="shared" ref="Q140" si="253">P140+Q139</f>
        <v>0</v>
      </c>
      <c r="R140" s="1085">
        <f t="shared" ref="R140" si="254">Q140+R139</f>
        <v>0</v>
      </c>
      <c r="S140" s="1085">
        <f t="shared" ref="S140" si="255">R140+S139</f>
        <v>2.9302999999999996E-2</v>
      </c>
      <c r="T140" s="1085">
        <f t="shared" ref="T140" si="256">S140+T139</f>
        <v>5.0996E-2</v>
      </c>
      <c r="U140" s="1085">
        <f t="shared" ref="U140" si="257">T140+U139</f>
        <v>7.2105500000000003E-2</v>
      </c>
      <c r="V140" s="1085">
        <f t="shared" ref="V140" si="258">U140+V139</f>
        <v>8.6645E-2</v>
      </c>
      <c r="W140" s="1085">
        <f t="shared" ref="W140" si="259">V140+W139</f>
        <v>0.106031</v>
      </c>
      <c r="X140" s="1085">
        <f t="shared" ref="X140" si="260">W140+X139</f>
        <v>0.1205705</v>
      </c>
      <c r="Y140" s="1085">
        <f t="shared" ref="Y140" si="261">X140+Y139</f>
        <v>0.1302635</v>
      </c>
      <c r="Z140" s="1085">
        <f t="shared" ref="Z140" si="262">Y140+Z139</f>
        <v>0.13995650000000001</v>
      </c>
      <c r="AA140" s="1085">
        <f t="shared" ref="AA140" si="263">Z140+AA139</f>
        <v>0.14964950000000002</v>
      </c>
      <c r="AB140" s="1085">
        <f t="shared" ref="AB140" si="264">AA140+AB139</f>
        <v>0.14964950000000002</v>
      </c>
      <c r="AC140" s="1085">
        <f t="shared" ref="AC140" si="265">AB140+AC139</f>
        <v>0.14964950000000002</v>
      </c>
      <c r="AD140" s="1085">
        <f t="shared" ref="AD140" si="266">AC140+AD139</f>
        <v>0.14964950000000002</v>
      </c>
      <c r="AE140" s="1085"/>
      <c r="AF140" s="1085"/>
    </row>
    <row r="141" spans="1:32">
      <c r="B141" s="564"/>
      <c r="C141" s="564"/>
      <c r="D141" s="564"/>
      <c r="E141" s="564"/>
      <c r="F141" s="564"/>
      <c r="G141" s="564"/>
      <c r="H141" s="564"/>
      <c r="I141" s="564"/>
      <c r="J141" s="564"/>
      <c r="K141" s="564"/>
      <c r="L141" s="564"/>
      <c r="M141" s="564"/>
      <c r="N141" s="564"/>
      <c r="O141" s="564"/>
      <c r="P141" s="564"/>
      <c r="Q141" s="564"/>
      <c r="R141" s="564"/>
      <c r="U141" s="564"/>
      <c r="V141" s="564"/>
      <c r="W141" s="564"/>
      <c r="X141" s="564"/>
      <c r="Y141" s="564"/>
    </row>
    <row r="142" spans="1:32">
      <c r="A142" s="1162" t="s">
        <v>2229</v>
      </c>
      <c r="B142" s="132" t="s">
        <v>1</v>
      </c>
      <c r="C142" s="724">
        <f>C134</f>
        <v>45292</v>
      </c>
      <c r="D142" s="724">
        <f t="shared" ref="D142:Y142" si="267">D134</f>
        <v>45323</v>
      </c>
      <c r="E142" s="724">
        <f t="shared" si="267"/>
        <v>45352</v>
      </c>
      <c r="F142" s="724">
        <f t="shared" si="267"/>
        <v>45383</v>
      </c>
      <c r="G142" s="724">
        <f t="shared" si="267"/>
        <v>45413</v>
      </c>
      <c r="H142" s="724">
        <f t="shared" si="267"/>
        <v>45444</v>
      </c>
      <c r="I142" s="724">
        <f t="shared" si="267"/>
        <v>45474</v>
      </c>
      <c r="J142" s="724">
        <f t="shared" si="267"/>
        <v>45505</v>
      </c>
      <c r="K142" s="724">
        <f t="shared" si="267"/>
        <v>45536</v>
      </c>
      <c r="L142" s="724">
        <f t="shared" si="267"/>
        <v>45566</v>
      </c>
      <c r="M142" s="724">
        <f t="shared" si="267"/>
        <v>45597</v>
      </c>
      <c r="N142" s="724">
        <f t="shared" si="267"/>
        <v>45627</v>
      </c>
      <c r="O142" s="724">
        <f t="shared" si="267"/>
        <v>45658</v>
      </c>
      <c r="P142" s="724">
        <f t="shared" si="267"/>
        <v>45689</v>
      </c>
      <c r="Q142" s="724">
        <f t="shared" si="267"/>
        <v>45717</v>
      </c>
      <c r="R142" s="724">
        <f t="shared" si="267"/>
        <v>45748</v>
      </c>
      <c r="S142" s="724">
        <f t="shared" si="267"/>
        <v>45778</v>
      </c>
      <c r="T142" s="724">
        <f t="shared" si="267"/>
        <v>45809</v>
      </c>
      <c r="U142" s="724">
        <f t="shared" si="267"/>
        <v>45839</v>
      </c>
      <c r="V142" s="724">
        <f t="shared" si="267"/>
        <v>45870</v>
      </c>
      <c r="W142" s="724">
        <f t="shared" si="267"/>
        <v>45901</v>
      </c>
      <c r="X142" s="724">
        <f t="shared" si="267"/>
        <v>45931</v>
      </c>
      <c r="Y142" s="724">
        <f t="shared" si="267"/>
        <v>45962</v>
      </c>
      <c r="Z142" s="1084">
        <f>Y142+31</f>
        <v>45993</v>
      </c>
      <c r="AA142" s="1084">
        <f t="shared" ref="AA142:AB142" si="268">Z142+31</f>
        <v>46024</v>
      </c>
      <c r="AB142" s="1084">
        <f t="shared" si="268"/>
        <v>46055</v>
      </c>
      <c r="AC142" s="1084">
        <f t="shared" ref="AC142" si="269">AB142+31</f>
        <v>46086</v>
      </c>
      <c r="AD142" s="1084">
        <f t="shared" ref="AD142" si="270">AC142+31</f>
        <v>46117</v>
      </c>
      <c r="AE142" s="1084"/>
      <c r="AF142" s="1084"/>
    </row>
    <row r="143" spans="1:32">
      <c r="A143" s="1162"/>
      <c r="B143" s="132" t="s">
        <v>30</v>
      </c>
      <c r="C143" s="1085">
        <f>D59</f>
        <v>0</v>
      </c>
      <c r="D143" s="1085">
        <f t="shared" ref="D143:Y143" si="271">E59</f>
        <v>0</v>
      </c>
      <c r="E143" s="1085">
        <f t="shared" si="271"/>
        <v>3.0114046316249139E-3</v>
      </c>
      <c r="F143" s="1085">
        <f t="shared" si="271"/>
        <v>4.4744494099187666E-3</v>
      </c>
      <c r="G143" s="1085">
        <f t="shared" si="271"/>
        <v>1.6541698812383946E-3</v>
      </c>
      <c r="H143" s="1085">
        <f t="shared" si="271"/>
        <v>3.4802411211781515E-3</v>
      </c>
      <c r="I143" s="1085">
        <f t="shared" si="271"/>
        <v>1.3839376435649158E-2</v>
      </c>
      <c r="J143" s="1085">
        <f t="shared" si="271"/>
        <v>1.6445276418977129E-2</v>
      </c>
      <c r="K143" s="1085">
        <f t="shared" si="271"/>
        <v>1.8378344798671557E-2</v>
      </c>
      <c r="L143" s="1085">
        <f t="shared" si="271"/>
        <v>2.0620294831835716E-2</v>
      </c>
      <c r="M143" s="1085">
        <f t="shared" si="271"/>
        <v>2.6276673854467764E-2</v>
      </c>
      <c r="N143" s="1085">
        <f t="shared" si="271"/>
        <v>3.1574964399576438E-2</v>
      </c>
      <c r="O143" s="1085">
        <f t="shared" si="271"/>
        <v>6.1430475281370127E-2</v>
      </c>
      <c r="P143" s="1085">
        <f t="shared" si="271"/>
        <v>7.7712784746530011E-2</v>
      </c>
      <c r="Q143" s="1085">
        <f t="shared" si="271"/>
        <v>7.8112966232403255E-2</v>
      </c>
      <c r="R143" s="1085">
        <f t="shared" si="271"/>
        <v>9.064808120171243E-2</v>
      </c>
      <c r="S143" s="1085">
        <f t="shared" si="271"/>
        <v>0.10437474152059224</v>
      </c>
      <c r="T143" s="1085">
        <f t="shared" si="271"/>
        <v>0.11798860827333597</v>
      </c>
      <c r="U143" s="1085">
        <f t="shared" si="271"/>
        <v>0.12370444490128969</v>
      </c>
      <c r="V143" s="1085">
        <f t="shared" si="271"/>
        <v>9.7867584908863103E-2</v>
      </c>
      <c r="W143" s="1085">
        <f t="shared" si="271"/>
        <v>6.5862026799330106E-2</v>
      </c>
      <c r="X143" s="1085">
        <f t="shared" si="271"/>
        <v>3.9077643487579979E-2</v>
      </c>
      <c r="Y143" s="1085">
        <f t="shared" si="271"/>
        <v>3.5352143057154153E-3</v>
      </c>
      <c r="Z143" s="1085">
        <f t="shared" ref="Z143:AB143" si="272">AA59</f>
        <v>0</v>
      </c>
      <c r="AA143" s="1085">
        <f t="shared" si="272"/>
        <v>0</v>
      </c>
      <c r="AB143" s="1085">
        <f t="shared" si="272"/>
        <v>0</v>
      </c>
      <c r="AC143" s="1085">
        <f t="shared" ref="AC143" si="273">AD59</f>
        <v>0</v>
      </c>
      <c r="AD143" s="1085">
        <f t="shared" ref="AD143" si="274">AE59</f>
        <v>0</v>
      </c>
      <c r="AE143" s="1085"/>
      <c r="AF143" s="1085"/>
    </row>
    <row r="144" spans="1:32">
      <c r="A144" s="1162"/>
      <c r="B144" s="132" t="s">
        <v>31</v>
      </c>
      <c r="C144" s="1085">
        <f>C143</f>
        <v>0</v>
      </c>
      <c r="D144" s="1085">
        <f>C144+D143</f>
        <v>0</v>
      </c>
      <c r="E144" s="1085">
        <f t="shared" ref="E144" si="275">D144+E143</f>
        <v>3.0114046316249139E-3</v>
      </c>
      <c r="F144" s="1085">
        <f t="shared" ref="F144" si="276">E144+F143</f>
        <v>7.4858540415436801E-3</v>
      </c>
      <c r="G144" s="1085">
        <f t="shared" ref="G144" si="277">F144+G143</f>
        <v>9.1400239227820753E-3</v>
      </c>
      <c r="H144" s="1085">
        <f t="shared" ref="H144" si="278">G144+H143</f>
        <v>1.2620265043960226E-2</v>
      </c>
      <c r="I144" s="1085">
        <f t="shared" ref="I144" si="279">H144+I143</f>
        <v>2.6459641479609386E-2</v>
      </c>
      <c r="J144" s="1085">
        <f t="shared" ref="J144" si="280">I144+J143</f>
        <v>4.2904917898586512E-2</v>
      </c>
      <c r="K144" s="1085">
        <f t="shared" ref="K144" si="281">J144+K143</f>
        <v>6.1283262697258069E-2</v>
      </c>
      <c r="L144" s="1085">
        <f t="shared" ref="L144" si="282">K144+L143</f>
        <v>8.1903557529093785E-2</v>
      </c>
      <c r="M144" s="1085">
        <f t="shared" ref="M144" si="283">L144+M143</f>
        <v>0.10818023138356155</v>
      </c>
      <c r="N144" s="1085">
        <f t="shared" ref="N144" si="284">M144+N143</f>
        <v>0.139755195783138</v>
      </c>
      <c r="O144" s="1085">
        <f t="shared" ref="O144" si="285">N144+O143</f>
        <v>0.20118567106450813</v>
      </c>
      <c r="P144" s="1085">
        <f t="shared" ref="P144" si="286">O144+P143</f>
        <v>0.27889845581103812</v>
      </c>
      <c r="Q144" s="1085">
        <f t="shared" ref="Q144" si="287">P144+Q143</f>
        <v>0.35701142204344138</v>
      </c>
      <c r="R144" s="1085">
        <f t="shared" ref="R144" si="288">Q144+R143</f>
        <v>0.4476595032451538</v>
      </c>
      <c r="S144" s="1085">
        <f t="shared" ref="S144" si="289">R144+S143</f>
        <v>0.55203424476574603</v>
      </c>
      <c r="T144" s="1085">
        <f t="shared" ref="T144" si="290">S144+T143</f>
        <v>0.67002285303908204</v>
      </c>
      <c r="U144" s="1085">
        <f t="shared" ref="U144" si="291">T144+U143</f>
        <v>0.79372729794037178</v>
      </c>
      <c r="V144" s="1085">
        <f t="shared" ref="V144" si="292">U144+V143</f>
        <v>0.89159488284923483</v>
      </c>
      <c r="W144" s="1085">
        <f t="shared" ref="W144" si="293">V144+W143</f>
        <v>0.95745690964856489</v>
      </c>
      <c r="X144" s="1085">
        <f t="shared" ref="X144" si="294">W144+X143</f>
        <v>0.99653455313614492</v>
      </c>
      <c r="Y144" s="1085">
        <f t="shared" ref="Y144" si="295">X144+Y143</f>
        <v>1.0000697674418604</v>
      </c>
      <c r="Z144" s="1085">
        <f t="shared" ref="Z144" si="296">Y144+Z143</f>
        <v>1.0000697674418604</v>
      </c>
      <c r="AA144" s="1085">
        <f t="shared" ref="AA144" si="297">Z144+AA143</f>
        <v>1.0000697674418604</v>
      </c>
      <c r="AB144" s="1085">
        <f t="shared" ref="AB144" si="298">AA144+AB143</f>
        <v>1.0000697674418604</v>
      </c>
      <c r="AC144" s="1085">
        <f t="shared" ref="AC144" si="299">AB144+AC143</f>
        <v>1.0000697674418604</v>
      </c>
      <c r="AD144" s="1085">
        <f t="shared" ref="AD144" si="300">AC144+AD143</f>
        <v>1.0000697674418604</v>
      </c>
      <c r="AE144" s="1085"/>
      <c r="AF144" s="1085"/>
    </row>
    <row r="145" spans="1:32">
      <c r="A145" s="1162"/>
      <c r="B145" s="132" t="s">
        <v>32</v>
      </c>
      <c r="C145" s="1086">
        <f>D60</f>
        <v>0</v>
      </c>
      <c r="D145" s="1086">
        <f t="shared" ref="D145:Y145" si="301">E60</f>
        <v>0</v>
      </c>
      <c r="E145" s="1086">
        <f t="shared" si="301"/>
        <v>3.6760404853142001E-3</v>
      </c>
      <c r="F145" s="1086">
        <f t="shared" si="301"/>
        <v>9.0001362020128532E-3</v>
      </c>
      <c r="G145" s="1086">
        <f t="shared" si="301"/>
        <v>7.4985746528165283E-3</v>
      </c>
      <c r="H145" s="1086">
        <f t="shared" si="301"/>
        <v>4.7606346500910415E-3</v>
      </c>
      <c r="I145" s="1086">
        <f t="shared" si="301"/>
        <v>1.3034766329723091E-2</v>
      </c>
      <c r="J145" s="1086">
        <f t="shared" si="301"/>
        <v>1.502620330254654E-2</v>
      </c>
      <c r="K145" s="1086">
        <f t="shared" si="301"/>
        <v>1.5029243263310548E-2</v>
      </c>
      <c r="L145" s="1086">
        <f t="shared" si="301"/>
        <v>1.7796280626549518E-2</v>
      </c>
      <c r="M145" s="1086">
        <f t="shared" si="301"/>
        <v>1.7920381450489752E-2</v>
      </c>
      <c r="N145" s="1086">
        <f t="shared" si="301"/>
        <v>2.1868871426851053E-2</v>
      </c>
      <c r="O145" s="1086">
        <f t="shared" si="301"/>
        <v>3.4479236973688453E-2</v>
      </c>
      <c r="P145" s="1086">
        <f t="shared" si="301"/>
        <v>2.8278596509922847E-2</v>
      </c>
      <c r="Q145" s="1086">
        <f t="shared" si="301"/>
        <v>1.8726091282178971E-2</v>
      </c>
      <c r="R145" s="1086">
        <f t="shared" si="301"/>
        <v>2.0643926562727434E-2</v>
      </c>
      <c r="S145" s="1086">
        <f t="shared" si="301"/>
        <v>9.0118949082850495E-4</v>
      </c>
      <c r="T145" s="1086">
        <f t="shared" si="301"/>
        <v>0</v>
      </c>
      <c r="U145" s="1086">
        <f t="shared" si="301"/>
        <v>0</v>
      </c>
      <c r="V145" s="1086">
        <f t="shared" si="301"/>
        <v>0</v>
      </c>
      <c r="W145" s="1086">
        <f t="shared" si="301"/>
        <v>0</v>
      </c>
      <c r="X145" s="1086">
        <f t="shared" si="301"/>
        <v>0</v>
      </c>
      <c r="Y145" s="1086">
        <f t="shared" si="301"/>
        <v>0</v>
      </c>
      <c r="Z145" s="1086">
        <f t="shared" ref="Z145:AB145" si="302">AA60</f>
        <v>0</v>
      </c>
      <c r="AA145" s="1086">
        <f t="shared" si="302"/>
        <v>0</v>
      </c>
      <c r="AB145" s="1086">
        <f t="shared" si="302"/>
        <v>0</v>
      </c>
      <c r="AC145" s="1086">
        <f t="shared" ref="AC145" si="303">AD60</f>
        <v>0</v>
      </c>
      <c r="AD145" s="1086">
        <f t="shared" ref="AD145" si="304">AE60</f>
        <v>0</v>
      </c>
      <c r="AE145" s="1086"/>
      <c r="AF145" s="1086"/>
    </row>
    <row r="146" spans="1:32">
      <c r="A146" s="1162"/>
      <c r="B146" s="132" t="s">
        <v>33</v>
      </c>
      <c r="C146" s="1085">
        <f>C145</f>
        <v>0</v>
      </c>
      <c r="D146" s="1085">
        <f>C146+D145</f>
        <v>0</v>
      </c>
      <c r="E146" s="1085">
        <f t="shared" ref="E146" si="305">D146+E145</f>
        <v>3.6760404853142001E-3</v>
      </c>
      <c r="F146" s="1085">
        <f t="shared" ref="F146" si="306">E146+F145</f>
        <v>1.2676176687327054E-2</v>
      </c>
      <c r="G146" s="1085">
        <f t="shared" ref="G146" si="307">F146+G145</f>
        <v>2.0174751340143581E-2</v>
      </c>
      <c r="H146" s="1085">
        <f t="shared" ref="H146" si="308">G146+H145</f>
        <v>2.4935385990234621E-2</v>
      </c>
      <c r="I146" s="1085">
        <f t="shared" ref="I146" si="309">H146+I145</f>
        <v>3.7970152319957713E-2</v>
      </c>
      <c r="J146" s="1085">
        <f t="shared" ref="J146" si="310">I146+J145</f>
        <v>5.2996355622504251E-2</v>
      </c>
      <c r="K146" s="1085">
        <f t="shared" ref="K146" si="311">J146+K145</f>
        <v>6.8025598885814803E-2</v>
      </c>
      <c r="L146" s="1085">
        <f t="shared" ref="L146" si="312">K146+L145</f>
        <v>8.5821879512364321E-2</v>
      </c>
      <c r="M146" s="1085">
        <f t="shared" ref="M146" si="313">L146+M145</f>
        <v>0.10374226096285408</v>
      </c>
      <c r="N146" s="1085">
        <f t="shared" ref="N146" si="314">M146+N145</f>
        <v>0.12561113238970512</v>
      </c>
      <c r="O146" s="1085">
        <f t="shared" ref="O146" si="315">N146+O145</f>
        <v>0.16009036936339358</v>
      </c>
      <c r="P146" s="1085">
        <f t="shared" ref="P146" si="316">O146+P145</f>
        <v>0.18836896587331642</v>
      </c>
      <c r="Q146" s="1085">
        <f t="shared" ref="Q146" si="317">P146+Q145</f>
        <v>0.20709505715549539</v>
      </c>
      <c r="R146" s="1085">
        <f t="shared" ref="R146" si="318">Q146+R145</f>
        <v>0.22773898371822282</v>
      </c>
      <c r="S146" s="1085">
        <f t="shared" ref="S146" si="319">R146+S145</f>
        <v>0.22864017320905133</v>
      </c>
      <c r="T146" s="1085">
        <f t="shared" ref="T146" si="320">S146+T145</f>
        <v>0.22864017320905133</v>
      </c>
      <c r="U146" s="1085">
        <f t="shared" ref="U146" si="321">T146+U145</f>
        <v>0.22864017320905133</v>
      </c>
      <c r="V146" s="1085">
        <f t="shared" ref="V146" si="322">U146+V145</f>
        <v>0.22864017320905133</v>
      </c>
      <c r="W146" s="1085">
        <f t="shared" ref="W146" si="323">V146+W145</f>
        <v>0.22864017320905133</v>
      </c>
      <c r="X146" s="1085">
        <f t="shared" ref="X146" si="324">W146+X145</f>
        <v>0.22864017320905133</v>
      </c>
      <c r="Y146" s="1085">
        <f t="shared" ref="Y146" si="325">X146+Y145</f>
        <v>0.22864017320905133</v>
      </c>
      <c r="Z146" s="1085">
        <f t="shared" ref="Z146" si="326">Y146+Z145</f>
        <v>0.22864017320905133</v>
      </c>
      <c r="AA146" s="1085">
        <f t="shared" ref="AA146" si="327">Z146+AA145</f>
        <v>0.22864017320905133</v>
      </c>
      <c r="AB146" s="1085">
        <f t="shared" ref="AB146" si="328">AA146+AB145</f>
        <v>0.22864017320905133</v>
      </c>
      <c r="AC146" s="1085">
        <f t="shared" ref="AC146" si="329">AB146+AC145</f>
        <v>0.22864017320905133</v>
      </c>
      <c r="AD146" s="1085">
        <f t="shared" ref="AD146" si="330">AC146+AD145</f>
        <v>0.22864017320905133</v>
      </c>
      <c r="AE146" s="1085"/>
      <c r="AF146" s="1085"/>
    </row>
    <row r="147" spans="1:32">
      <c r="A147" s="1162"/>
      <c r="B147" s="132" t="s">
        <v>34</v>
      </c>
      <c r="C147" s="1085">
        <v>0</v>
      </c>
      <c r="D147" s="1085">
        <f t="shared" ref="D147:AB147" si="331">E62</f>
        <v>0</v>
      </c>
      <c r="E147" s="1085">
        <f t="shared" si="331"/>
        <v>0</v>
      </c>
      <c r="F147" s="1085">
        <f t="shared" si="331"/>
        <v>0</v>
      </c>
      <c r="G147" s="1085">
        <f t="shared" si="331"/>
        <v>0</v>
      </c>
      <c r="H147" s="1085">
        <f t="shared" si="331"/>
        <v>0</v>
      </c>
      <c r="I147" s="1085">
        <f t="shared" si="331"/>
        <v>0</v>
      </c>
      <c r="J147" s="1085">
        <f t="shared" si="331"/>
        <v>0</v>
      </c>
      <c r="K147" s="1085">
        <f t="shared" si="331"/>
        <v>0</v>
      </c>
      <c r="L147" s="1085">
        <f t="shared" si="331"/>
        <v>0</v>
      </c>
      <c r="M147" s="1085">
        <f t="shared" si="331"/>
        <v>0</v>
      </c>
      <c r="N147" s="1085">
        <f t="shared" si="331"/>
        <v>0</v>
      </c>
      <c r="O147" s="1085">
        <f t="shared" si="331"/>
        <v>0</v>
      </c>
      <c r="P147" s="1085">
        <f t="shared" si="331"/>
        <v>0</v>
      </c>
      <c r="Q147" s="1085">
        <f t="shared" si="331"/>
        <v>0</v>
      </c>
      <c r="R147" s="1085">
        <f t="shared" si="331"/>
        <v>0</v>
      </c>
      <c r="S147" s="1085">
        <f t="shared" si="331"/>
        <v>4.0360000000000007E-2</v>
      </c>
      <c r="T147" s="1085">
        <f t="shared" si="331"/>
        <v>4.2390000000000004E-2</v>
      </c>
      <c r="U147" s="1085">
        <f t="shared" si="331"/>
        <v>4.5710000000000001E-2</v>
      </c>
      <c r="V147" s="1085">
        <f t="shared" si="331"/>
        <v>4.8250000000000001E-2</v>
      </c>
      <c r="W147" s="1085">
        <f t="shared" si="331"/>
        <v>3.9529999999999996E-2</v>
      </c>
      <c r="X147" s="1085">
        <f t="shared" si="331"/>
        <v>4.0718000000000004E-2</v>
      </c>
      <c r="Y147" s="1085">
        <f t="shared" si="331"/>
        <v>3.0415000000000005E-2</v>
      </c>
      <c r="Z147" s="1085">
        <f t="shared" si="331"/>
        <v>2.0567000000000002E-2</v>
      </c>
      <c r="AA147" s="1085">
        <f t="shared" si="331"/>
        <v>1.8204000000000005E-2</v>
      </c>
      <c r="AB147" s="1085">
        <f t="shared" si="331"/>
        <v>3.7660000000000007E-3</v>
      </c>
      <c r="AC147" s="1085">
        <f t="shared" ref="AC147" si="332">AD62</f>
        <v>6.0000000000000006E-4</v>
      </c>
      <c r="AD147" s="1085">
        <f t="shared" ref="AD147" si="333">AE62</f>
        <v>1E-3</v>
      </c>
      <c r="AE147" s="1085"/>
      <c r="AF147" s="1085"/>
    </row>
    <row r="148" spans="1:32">
      <c r="A148" s="1162"/>
      <c r="B148" s="132" t="s">
        <v>35</v>
      </c>
      <c r="C148" s="1085">
        <f>C147</f>
        <v>0</v>
      </c>
      <c r="D148" s="1085">
        <f>C148+D147</f>
        <v>0</v>
      </c>
      <c r="E148" s="1085">
        <f t="shared" ref="E148" si="334">D148+E147</f>
        <v>0</v>
      </c>
      <c r="F148" s="1085">
        <f t="shared" ref="F148" si="335">E148+F147</f>
        <v>0</v>
      </c>
      <c r="G148" s="1085">
        <f t="shared" ref="G148" si="336">F148+G147</f>
        <v>0</v>
      </c>
      <c r="H148" s="1085">
        <f t="shared" ref="H148" si="337">G148+H147</f>
        <v>0</v>
      </c>
      <c r="I148" s="1085">
        <f t="shared" ref="I148" si="338">H148+I147</f>
        <v>0</v>
      </c>
      <c r="J148" s="1085">
        <f t="shared" ref="J148" si="339">I148+J147</f>
        <v>0</v>
      </c>
      <c r="K148" s="1085">
        <f t="shared" ref="K148" si="340">J148+K147</f>
        <v>0</v>
      </c>
      <c r="L148" s="1085">
        <f t="shared" ref="L148" si="341">K148+L147</f>
        <v>0</v>
      </c>
      <c r="M148" s="1085">
        <f t="shared" ref="M148" si="342">L148+M147</f>
        <v>0</v>
      </c>
      <c r="N148" s="1085">
        <f t="shared" ref="N148" si="343">M148+N147</f>
        <v>0</v>
      </c>
      <c r="O148" s="1085">
        <f t="shared" ref="O148" si="344">N148+O147</f>
        <v>0</v>
      </c>
      <c r="P148" s="1085">
        <f t="shared" ref="P148" si="345">O148+P147</f>
        <v>0</v>
      </c>
      <c r="Q148" s="1085">
        <f t="shared" ref="Q148" si="346">P148+Q147</f>
        <v>0</v>
      </c>
      <c r="R148" s="1085">
        <f t="shared" ref="R148" si="347">Q148+R147</f>
        <v>0</v>
      </c>
      <c r="S148" s="1085">
        <f t="shared" ref="S148" si="348">R148+S147</f>
        <v>4.0360000000000007E-2</v>
      </c>
      <c r="T148" s="1085">
        <f t="shared" ref="T148" si="349">S148+T147</f>
        <v>8.2750000000000018E-2</v>
      </c>
      <c r="U148" s="1085">
        <f t="shared" ref="U148" si="350">T148+U147</f>
        <v>0.12846000000000002</v>
      </c>
      <c r="V148" s="1085">
        <f t="shared" ref="V148" si="351">U148+V147</f>
        <v>0.17671000000000003</v>
      </c>
      <c r="W148" s="1085">
        <f t="shared" ref="W148" si="352">V148+W147</f>
        <v>0.21624000000000004</v>
      </c>
      <c r="X148" s="1085">
        <f t="shared" ref="X148" si="353">W148+X147</f>
        <v>0.25695800000000002</v>
      </c>
      <c r="Y148" s="1085">
        <f t="shared" ref="Y148" si="354">X148+Y147</f>
        <v>0.28737300000000005</v>
      </c>
      <c r="Z148" s="1085">
        <f t="shared" ref="Z148" si="355">Y148+Z147</f>
        <v>0.30794000000000005</v>
      </c>
      <c r="AA148" s="1085">
        <f t="shared" ref="AA148" si="356">Z148+AA147</f>
        <v>0.32614400000000004</v>
      </c>
      <c r="AB148" s="1085">
        <f t="shared" ref="AB148" si="357">AA148+AB147</f>
        <v>0.32991000000000004</v>
      </c>
      <c r="AC148" s="1085">
        <f t="shared" ref="AC148" si="358">AB148+AC147</f>
        <v>0.33051000000000003</v>
      </c>
      <c r="AD148" s="1085">
        <f t="shared" ref="AD148" si="359">AC148+AD147</f>
        <v>0.33151000000000003</v>
      </c>
      <c r="AE148" s="1085"/>
      <c r="AF148" s="1085"/>
    </row>
    <row r="150" spans="1:32">
      <c r="A150" s="1162" t="s">
        <v>25</v>
      </c>
      <c r="B150" s="132" t="s">
        <v>1</v>
      </c>
      <c r="C150" s="724">
        <f>C142</f>
        <v>45292</v>
      </c>
      <c r="D150" s="724">
        <f t="shared" ref="D150:Y150" si="360">D142</f>
        <v>45323</v>
      </c>
      <c r="E150" s="724">
        <f t="shared" si="360"/>
        <v>45352</v>
      </c>
      <c r="F150" s="724">
        <f t="shared" si="360"/>
        <v>45383</v>
      </c>
      <c r="G150" s="724">
        <f t="shared" si="360"/>
        <v>45413</v>
      </c>
      <c r="H150" s="724">
        <f t="shared" si="360"/>
        <v>45444</v>
      </c>
      <c r="I150" s="724">
        <f t="shared" si="360"/>
        <v>45474</v>
      </c>
      <c r="J150" s="724">
        <f t="shared" si="360"/>
        <v>45505</v>
      </c>
      <c r="K150" s="724">
        <f t="shared" si="360"/>
        <v>45536</v>
      </c>
      <c r="L150" s="724">
        <f t="shared" si="360"/>
        <v>45566</v>
      </c>
      <c r="M150" s="724">
        <f t="shared" si="360"/>
        <v>45597</v>
      </c>
      <c r="N150" s="724">
        <f t="shared" si="360"/>
        <v>45627</v>
      </c>
      <c r="O150" s="724">
        <f t="shared" si="360"/>
        <v>45658</v>
      </c>
      <c r="P150" s="724">
        <f t="shared" si="360"/>
        <v>45689</v>
      </c>
      <c r="Q150" s="724">
        <f t="shared" si="360"/>
        <v>45717</v>
      </c>
      <c r="R150" s="724">
        <f t="shared" si="360"/>
        <v>45748</v>
      </c>
      <c r="S150" s="724">
        <f t="shared" si="360"/>
        <v>45778</v>
      </c>
      <c r="T150" s="724">
        <f t="shared" si="360"/>
        <v>45809</v>
      </c>
      <c r="U150" s="724">
        <f t="shared" si="360"/>
        <v>45839</v>
      </c>
      <c r="V150" s="724">
        <f t="shared" si="360"/>
        <v>45870</v>
      </c>
      <c r="W150" s="724">
        <f t="shared" si="360"/>
        <v>45901</v>
      </c>
      <c r="X150" s="724">
        <f t="shared" si="360"/>
        <v>45931</v>
      </c>
      <c r="Y150" s="724">
        <f t="shared" si="360"/>
        <v>45962</v>
      </c>
      <c r="Z150" s="1084">
        <f>Y150+31</f>
        <v>45993</v>
      </c>
      <c r="AA150" s="1084">
        <f t="shared" ref="AA150:AB150" si="361">Z150+31</f>
        <v>46024</v>
      </c>
      <c r="AB150" s="1084">
        <f t="shared" si="361"/>
        <v>46055</v>
      </c>
      <c r="AC150" s="1084">
        <f t="shared" ref="AC150" si="362">AB150+31</f>
        <v>46086</v>
      </c>
      <c r="AD150" s="1084">
        <f t="shared" ref="AD150" si="363">AC150+31</f>
        <v>46117</v>
      </c>
    </row>
    <row r="151" spans="1:32">
      <c r="A151" s="1162"/>
      <c r="B151" s="132" t="s">
        <v>30</v>
      </c>
      <c r="C151" s="1085">
        <f>D103</f>
        <v>0</v>
      </c>
      <c r="D151" s="1085">
        <f t="shared" ref="D151:Y151" si="364">E103</f>
        <v>0</v>
      </c>
      <c r="E151" s="1085">
        <f t="shared" si="364"/>
        <v>0</v>
      </c>
      <c r="F151" s="1085">
        <f t="shared" si="364"/>
        <v>0</v>
      </c>
      <c r="G151" s="1085">
        <f t="shared" si="364"/>
        <v>0</v>
      </c>
      <c r="H151" s="1085">
        <f t="shared" si="364"/>
        <v>0</v>
      </c>
      <c r="I151" s="1085">
        <f t="shared" si="364"/>
        <v>0</v>
      </c>
      <c r="J151" s="1085">
        <f t="shared" si="364"/>
        <v>0</v>
      </c>
      <c r="K151" s="1085">
        <f t="shared" si="364"/>
        <v>0</v>
      </c>
      <c r="L151" s="1085">
        <f t="shared" si="364"/>
        <v>0</v>
      </c>
      <c r="M151" s="1085">
        <f t="shared" si="364"/>
        <v>0</v>
      </c>
      <c r="N151" s="1085">
        <f t="shared" si="364"/>
        <v>0</v>
      </c>
      <c r="O151" s="1085">
        <f t="shared" si="364"/>
        <v>0</v>
      </c>
      <c r="P151" s="1085">
        <f t="shared" si="364"/>
        <v>0</v>
      </c>
      <c r="Q151" s="1085">
        <f t="shared" si="364"/>
        <v>0</v>
      </c>
      <c r="R151" s="1085">
        <f t="shared" si="364"/>
        <v>0</v>
      </c>
      <c r="S151" s="1085">
        <f t="shared" si="364"/>
        <v>0</v>
      </c>
      <c r="T151" s="1085">
        <f t="shared" si="364"/>
        <v>0.08</v>
      </c>
      <c r="U151" s="1085">
        <f t="shared" si="364"/>
        <v>0.22999999999999998</v>
      </c>
      <c r="V151" s="1085">
        <f t="shared" si="364"/>
        <v>0.18999999999999997</v>
      </c>
      <c r="W151" s="1085">
        <f t="shared" si="364"/>
        <v>0.5</v>
      </c>
      <c r="X151" s="1085">
        <f t="shared" si="364"/>
        <v>0</v>
      </c>
      <c r="Y151" s="1085">
        <f t="shared" si="364"/>
        <v>0</v>
      </c>
      <c r="Z151" s="1085">
        <f t="shared" ref="Z151:AB151" si="365">AA103</f>
        <v>0</v>
      </c>
      <c r="AA151" s="1085">
        <f t="shared" si="365"/>
        <v>0</v>
      </c>
      <c r="AB151" s="1085">
        <f t="shared" si="365"/>
        <v>0</v>
      </c>
      <c r="AC151" s="1085">
        <f t="shared" ref="AC151" si="366">AD103</f>
        <v>0</v>
      </c>
      <c r="AD151" s="1085">
        <f t="shared" ref="AD151" si="367">AE103</f>
        <v>0</v>
      </c>
    </row>
    <row r="152" spans="1:32">
      <c r="A152" s="1162"/>
      <c r="B152" s="132" t="s">
        <v>31</v>
      </c>
      <c r="C152" s="1085">
        <f>C151</f>
        <v>0</v>
      </c>
      <c r="D152" s="1085">
        <f>C152+D151</f>
        <v>0</v>
      </c>
      <c r="E152" s="1085">
        <f t="shared" ref="E152" si="368">D152+E151</f>
        <v>0</v>
      </c>
      <c r="F152" s="1085">
        <f t="shared" ref="F152" si="369">E152+F151</f>
        <v>0</v>
      </c>
      <c r="G152" s="1085">
        <f t="shared" ref="G152" si="370">F152+G151</f>
        <v>0</v>
      </c>
      <c r="H152" s="1085">
        <f t="shared" ref="H152" si="371">G152+H151</f>
        <v>0</v>
      </c>
      <c r="I152" s="1085">
        <f t="shared" ref="I152" si="372">H152+I151</f>
        <v>0</v>
      </c>
      <c r="J152" s="1085">
        <f t="shared" ref="J152" si="373">I152+J151</f>
        <v>0</v>
      </c>
      <c r="K152" s="1085">
        <f t="shared" ref="K152" si="374">J152+K151</f>
        <v>0</v>
      </c>
      <c r="L152" s="1085">
        <f t="shared" ref="L152" si="375">K152+L151</f>
        <v>0</v>
      </c>
      <c r="M152" s="1085">
        <f t="shared" ref="M152" si="376">L152+M151</f>
        <v>0</v>
      </c>
      <c r="N152" s="1085">
        <f t="shared" ref="N152" si="377">M152+N151</f>
        <v>0</v>
      </c>
      <c r="O152" s="1085">
        <f t="shared" ref="O152" si="378">N152+O151</f>
        <v>0</v>
      </c>
      <c r="P152" s="1085">
        <f t="shared" ref="P152" si="379">O152+P151</f>
        <v>0</v>
      </c>
      <c r="Q152" s="1085">
        <f t="shared" ref="Q152" si="380">P152+Q151</f>
        <v>0</v>
      </c>
      <c r="R152" s="1085">
        <f t="shared" ref="R152" si="381">Q152+R151</f>
        <v>0</v>
      </c>
      <c r="S152" s="1085">
        <f t="shared" ref="S152" si="382">R152+S151</f>
        <v>0</v>
      </c>
      <c r="T152" s="1085">
        <f t="shared" ref="T152" si="383">S152+T151</f>
        <v>0.08</v>
      </c>
      <c r="U152" s="1085">
        <f t="shared" ref="U152" si="384">T152+U151</f>
        <v>0.31</v>
      </c>
      <c r="V152" s="1085">
        <f t="shared" ref="V152" si="385">U152+V151</f>
        <v>0.5</v>
      </c>
      <c r="W152" s="1085">
        <f t="shared" ref="W152" si="386">V152+W151</f>
        <v>1</v>
      </c>
      <c r="X152" s="1085">
        <f t="shared" ref="X152" si="387">W152+X151</f>
        <v>1</v>
      </c>
      <c r="Y152" s="1085">
        <f t="shared" ref="Y152" si="388">X152+Y151</f>
        <v>1</v>
      </c>
      <c r="Z152" s="1085">
        <f t="shared" ref="Z152" si="389">Y152+Z151</f>
        <v>1</v>
      </c>
      <c r="AA152" s="1085">
        <f t="shared" ref="AA152" si="390">Z152+AA151</f>
        <v>1</v>
      </c>
      <c r="AB152" s="1085">
        <f t="shared" ref="AB152" si="391">AA152+AB151</f>
        <v>1</v>
      </c>
      <c r="AC152" s="1085">
        <f t="shared" ref="AC152" si="392">AB152+AC151</f>
        <v>1</v>
      </c>
      <c r="AD152" s="1085">
        <f t="shared" ref="AD152" si="393">AC152+AD151</f>
        <v>1</v>
      </c>
    </row>
    <row r="153" spans="1:32">
      <c r="A153" s="1162"/>
      <c r="B153" s="132" t="s">
        <v>32</v>
      </c>
      <c r="C153" s="1086">
        <f>D104</f>
        <v>0</v>
      </c>
      <c r="D153" s="1086">
        <f t="shared" ref="D153:Y153" si="394">E104</f>
        <v>0</v>
      </c>
      <c r="E153" s="1086">
        <f t="shared" si="394"/>
        <v>0</v>
      </c>
      <c r="F153" s="1086">
        <f t="shared" si="394"/>
        <v>0</v>
      </c>
      <c r="G153" s="1086">
        <f t="shared" si="394"/>
        <v>0</v>
      </c>
      <c r="H153" s="1086">
        <f t="shared" si="394"/>
        <v>0</v>
      </c>
      <c r="I153" s="1086">
        <f t="shared" si="394"/>
        <v>0</v>
      </c>
      <c r="J153" s="1086">
        <f t="shared" si="394"/>
        <v>0</v>
      </c>
      <c r="K153" s="1086">
        <f t="shared" si="394"/>
        <v>0</v>
      </c>
      <c r="L153" s="1086">
        <f t="shared" si="394"/>
        <v>0</v>
      </c>
      <c r="M153" s="1086">
        <f t="shared" si="394"/>
        <v>0</v>
      </c>
      <c r="N153" s="1086">
        <f t="shared" si="394"/>
        <v>0</v>
      </c>
      <c r="O153" s="1086">
        <f t="shared" si="394"/>
        <v>0</v>
      </c>
      <c r="P153" s="1086">
        <f t="shared" si="394"/>
        <v>0</v>
      </c>
      <c r="Q153" s="1086">
        <f t="shared" si="394"/>
        <v>0</v>
      </c>
      <c r="R153" s="1086">
        <f t="shared" si="394"/>
        <v>0</v>
      </c>
      <c r="S153" s="1086">
        <f t="shared" si="394"/>
        <v>0</v>
      </c>
      <c r="T153" s="1086">
        <f t="shared" si="394"/>
        <v>0</v>
      </c>
      <c r="U153" s="1086">
        <f t="shared" si="394"/>
        <v>0</v>
      </c>
      <c r="V153" s="1086">
        <f t="shared" si="394"/>
        <v>0</v>
      </c>
      <c r="W153" s="1086">
        <f t="shared" si="394"/>
        <v>0</v>
      </c>
      <c r="X153" s="1086">
        <f t="shared" si="394"/>
        <v>0</v>
      </c>
      <c r="Y153" s="1086">
        <f t="shared" si="394"/>
        <v>0</v>
      </c>
      <c r="Z153" s="1086">
        <f t="shared" ref="Z153:AB153" si="395">AA104</f>
        <v>0</v>
      </c>
      <c r="AA153" s="1086">
        <f t="shared" si="395"/>
        <v>0</v>
      </c>
      <c r="AB153" s="1086">
        <f t="shared" si="395"/>
        <v>0</v>
      </c>
      <c r="AC153" s="1086">
        <f t="shared" ref="AC153" si="396">AD104</f>
        <v>0</v>
      </c>
      <c r="AD153" s="1086">
        <f t="shared" ref="AD153" si="397">AE104</f>
        <v>0</v>
      </c>
    </row>
    <row r="154" spans="1:32">
      <c r="A154" s="1162"/>
      <c r="B154" s="132" t="s">
        <v>33</v>
      </c>
      <c r="C154" s="1085">
        <f>C153</f>
        <v>0</v>
      </c>
      <c r="D154" s="1085">
        <f>C154+D153</f>
        <v>0</v>
      </c>
      <c r="E154" s="1085">
        <f t="shared" ref="E154" si="398">D154+E153</f>
        <v>0</v>
      </c>
      <c r="F154" s="1085">
        <f t="shared" ref="F154" si="399">E154+F153</f>
        <v>0</v>
      </c>
      <c r="G154" s="1085">
        <f t="shared" ref="G154" si="400">F154+G153</f>
        <v>0</v>
      </c>
      <c r="H154" s="1085">
        <f t="shared" ref="H154" si="401">G154+H153</f>
        <v>0</v>
      </c>
      <c r="I154" s="1085">
        <f t="shared" ref="I154" si="402">H154+I153</f>
        <v>0</v>
      </c>
      <c r="J154" s="1085">
        <f t="shared" ref="J154" si="403">I154+J153</f>
        <v>0</v>
      </c>
      <c r="K154" s="1085">
        <f t="shared" ref="K154" si="404">J154+K153</f>
        <v>0</v>
      </c>
      <c r="L154" s="1085">
        <f t="shared" ref="L154" si="405">K154+L153</f>
        <v>0</v>
      </c>
      <c r="M154" s="1085">
        <f t="shared" ref="M154" si="406">L154+M153</f>
        <v>0</v>
      </c>
      <c r="N154" s="1085">
        <f t="shared" ref="N154" si="407">M154+N153</f>
        <v>0</v>
      </c>
      <c r="O154" s="1085">
        <f t="shared" ref="O154" si="408">N154+O153</f>
        <v>0</v>
      </c>
      <c r="P154" s="1085">
        <f t="shared" ref="P154" si="409">O154+P153</f>
        <v>0</v>
      </c>
      <c r="Q154" s="1085">
        <f t="shared" ref="Q154" si="410">P154+Q153</f>
        <v>0</v>
      </c>
      <c r="R154" s="1085">
        <f t="shared" ref="R154" si="411">Q154+R153</f>
        <v>0</v>
      </c>
      <c r="S154" s="1085">
        <f t="shared" ref="S154" si="412">R154+S153</f>
        <v>0</v>
      </c>
      <c r="T154" s="1085">
        <f t="shared" ref="T154" si="413">S154+T153</f>
        <v>0</v>
      </c>
      <c r="U154" s="1085">
        <f t="shared" ref="U154" si="414">T154+U153</f>
        <v>0</v>
      </c>
      <c r="V154" s="1085">
        <f t="shared" ref="V154" si="415">U154+V153</f>
        <v>0</v>
      </c>
      <c r="W154" s="1085">
        <f t="shared" ref="W154" si="416">V154+W153</f>
        <v>0</v>
      </c>
      <c r="X154" s="1085">
        <f t="shared" ref="X154" si="417">W154+X153</f>
        <v>0</v>
      </c>
      <c r="Y154" s="1085">
        <f t="shared" ref="Y154" si="418">X154+Y153</f>
        <v>0</v>
      </c>
      <c r="Z154" s="1085">
        <f t="shared" ref="Z154" si="419">Y154+Z153</f>
        <v>0</v>
      </c>
      <c r="AA154" s="1085">
        <f t="shared" ref="AA154" si="420">Z154+AA153</f>
        <v>0</v>
      </c>
      <c r="AB154" s="1085">
        <f t="shared" ref="AB154" si="421">AA154+AB153</f>
        <v>0</v>
      </c>
      <c r="AC154" s="1085">
        <f t="shared" ref="AC154" si="422">AB154+AC153</f>
        <v>0</v>
      </c>
      <c r="AD154" s="1085">
        <f t="shared" ref="AD154" si="423">AC154+AD153</f>
        <v>0</v>
      </c>
    </row>
    <row r="155" spans="1:32">
      <c r="A155" s="1162"/>
      <c r="B155" s="132" t="s">
        <v>34</v>
      </c>
      <c r="C155" s="1085">
        <f>D106</f>
        <v>0</v>
      </c>
      <c r="D155" s="1085">
        <f t="shared" ref="D155:AB155" si="424">E106</f>
        <v>0</v>
      </c>
      <c r="E155" s="1085">
        <f t="shared" si="424"/>
        <v>0</v>
      </c>
      <c r="F155" s="1085">
        <f t="shared" si="424"/>
        <v>0</v>
      </c>
      <c r="G155" s="1085">
        <f t="shared" si="424"/>
        <v>0</v>
      </c>
      <c r="H155" s="1085">
        <f t="shared" si="424"/>
        <v>0</v>
      </c>
      <c r="I155" s="1085">
        <f t="shared" si="424"/>
        <v>0</v>
      </c>
      <c r="J155" s="1085">
        <f t="shared" si="424"/>
        <v>0</v>
      </c>
      <c r="K155" s="1085">
        <f t="shared" si="424"/>
        <v>0</v>
      </c>
      <c r="L155" s="1085">
        <f t="shared" si="424"/>
        <v>0</v>
      </c>
      <c r="M155" s="1085">
        <f t="shared" si="424"/>
        <v>0</v>
      </c>
      <c r="N155" s="1085">
        <f t="shared" si="424"/>
        <v>0</v>
      </c>
      <c r="O155" s="1085">
        <f t="shared" si="424"/>
        <v>0</v>
      </c>
      <c r="P155" s="1085">
        <f t="shared" si="424"/>
        <v>0</v>
      </c>
      <c r="Q155" s="1085">
        <f t="shared" si="424"/>
        <v>0</v>
      </c>
      <c r="R155" s="1085">
        <f t="shared" si="424"/>
        <v>0</v>
      </c>
      <c r="S155" s="1085">
        <f t="shared" si="424"/>
        <v>0</v>
      </c>
      <c r="T155" s="1085">
        <f t="shared" si="424"/>
        <v>0</v>
      </c>
      <c r="U155" s="1085">
        <f t="shared" si="424"/>
        <v>0</v>
      </c>
      <c r="V155" s="1085">
        <f t="shared" si="424"/>
        <v>0</v>
      </c>
      <c r="W155" s="1085">
        <f t="shared" si="424"/>
        <v>0</v>
      </c>
      <c r="X155" s="1085">
        <f t="shared" si="424"/>
        <v>0</v>
      </c>
      <c r="Y155" s="1085">
        <f t="shared" si="424"/>
        <v>0</v>
      </c>
      <c r="Z155" s="1085">
        <f t="shared" si="424"/>
        <v>0</v>
      </c>
      <c r="AA155" s="1085">
        <f t="shared" si="424"/>
        <v>7.4999999999999997E-3</v>
      </c>
      <c r="AB155" s="1085">
        <f t="shared" si="424"/>
        <v>2.1499999999999998E-2</v>
      </c>
      <c r="AC155" s="1085">
        <f t="shared" ref="AC155" si="425">AD106</f>
        <v>2.1499999999999998E-2</v>
      </c>
      <c r="AD155" s="1085">
        <f t="shared" ref="AD155" si="426">AE106</f>
        <v>2.1499999999999998E-2</v>
      </c>
    </row>
    <row r="156" spans="1:32">
      <c r="A156" s="1162"/>
      <c r="B156" s="132" t="s">
        <v>35</v>
      </c>
      <c r="C156" s="1085">
        <f>C155</f>
        <v>0</v>
      </c>
      <c r="D156" s="1085">
        <f>C156+D155</f>
        <v>0</v>
      </c>
      <c r="E156" s="1085">
        <f t="shared" ref="E156" si="427">D156+E155</f>
        <v>0</v>
      </c>
      <c r="F156" s="1085">
        <f t="shared" ref="F156" si="428">E156+F155</f>
        <v>0</v>
      </c>
      <c r="G156" s="1085">
        <f t="shared" ref="G156" si="429">F156+G155</f>
        <v>0</v>
      </c>
      <c r="H156" s="1085">
        <f t="shared" ref="H156" si="430">G156+H155</f>
        <v>0</v>
      </c>
      <c r="I156" s="1085">
        <f t="shared" ref="I156" si="431">H156+I155</f>
        <v>0</v>
      </c>
      <c r="J156" s="1085">
        <f t="shared" ref="J156" si="432">I156+J155</f>
        <v>0</v>
      </c>
      <c r="K156" s="1085">
        <f t="shared" ref="K156" si="433">J156+K155</f>
        <v>0</v>
      </c>
      <c r="L156" s="1085">
        <f t="shared" ref="L156" si="434">K156+L155</f>
        <v>0</v>
      </c>
      <c r="M156" s="1085">
        <f t="shared" ref="M156" si="435">L156+M155</f>
        <v>0</v>
      </c>
      <c r="N156" s="1085">
        <f t="shared" ref="N156" si="436">M156+N155</f>
        <v>0</v>
      </c>
      <c r="O156" s="1085">
        <f t="shared" ref="O156" si="437">N156+O155</f>
        <v>0</v>
      </c>
      <c r="P156" s="1085">
        <f t="shared" ref="P156" si="438">O156+P155</f>
        <v>0</v>
      </c>
      <c r="Q156" s="1085">
        <f t="shared" ref="Q156" si="439">P156+Q155</f>
        <v>0</v>
      </c>
      <c r="R156" s="1085">
        <f t="shared" ref="R156" si="440">Q156+R155</f>
        <v>0</v>
      </c>
      <c r="S156" s="1085">
        <f t="shared" ref="S156" si="441">R156+S155</f>
        <v>0</v>
      </c>
      <c r="T156" s="1085">
        <f t="shared" ref="T156" si="442">S156+T155</f>
        <v>0</v>
      </c>
      <c r="U156" s="1085">
        <f t="shared" ref="U156" si="443">T156+U155</f>
        <v>0</v>
      </c>
      <c r="V156" s="1085">
        <f t="shared" ref="V156" si="444">U156+V155</f>
        <v>0</v>
      </c>
      <c r="W156" s="1085">
        <f t="shared" ref="W156" si="445">V156+W155</f>
        <v>0</v>
      </c>
      <c r="X156" s="1085">
        <f t="shared" ref="X156" si="446">W156+X155</f>
        <v>0</v>
      </c>
      <c r="Y156" s="1085">
        <f t="shared" ref="Y156" si="447">X156+Y155</f>
        <v>0</v>
      </c>
      <c r="Z156" s="1085">
        <f t="shared" ref="Z156" si="448">Y156+Z155</f>
        <v>0</v>
      </c>
      <c r="AA156" s="1085">
        <f t="shared" ref="AA156" si="449">Z156+AA155</f>
        <v>7.4999999999999997E-3</v>
      </c>
      <c r="AB156" s="1085">
        <f t="shared" ref="AB156" si="450">AA156+AB155</f>
        <v>2.8999999999999998E-2</v>
      </c>
      <c r="AC156" s="1085">
        <f t="shared" ref="AC156" si="451">AB156+AC155</f>
        <v>5.0499999999999996E-2</v>
      </c>
      <c r="AD156" s="1085">
        <f t="shared" ref="AD156" si="452">AC156+AD155</f>
        <v>7.1999999999999995E-2</v>
      </c>
    </row>
  </sheetData>
  <mergeCells count="5">
    <mergeCell ref="A118:A124"/>
    <mergeCell ref="A126:A132"/>
    <mergeCell ref="A134:A140"/>
    <mergeCell ref="A142:A148"/>
    <mergeCell ref="A150:A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897C5-C65E-4771-91FD-B74D8F48EEF9}">
  <sheetPr>
    <tabColor theme="8" tint="0.39997558519241921"/>
  </sheetPr>
  <dimension ref="A1:K743"/>
  <sheetViews>
    <sheetView zoomScale="70" zoomScaleNormal="70" workbookViewId="0">
      <pane ySplit="1" topLeftCell="A347" activePane="bottomLeft" state="frozen"/>
      <selection activeCell="D18" sqref="D18"/>
      <selection pane="bottomLeft" activeCell="C21" sqref="C21"/>
    </sheetView>
  </sheetViews>
  <sheetFormatPr defaultColWidth="8.81640625" defaultRowHeight="15.5"/>
  <cols>
    <col min="1" max="1" width="25.54296875" style="970" bestFit="1" customWidth="1"/>
    <col min="2" max="2" width="31.1796875" style="970" customWidth="1"/>
    <col min="3" max="3" width="50.81640625" style="971" customWidth="1"/>
    <col min="4" max="4" width="12.7265625" style="964" customWidth="1"/>
    <col min="5" max="6" width="16.453125" style="972" customWidth="1"/>
    <col min="7" max="7" width="12.7265625" style="964" customWidth="1"/>
    <col min="8" max="11" width="16.453125" style="972" customWidth="1"/>
    <col min="12" max="16384" width="8.81640625" style="964"/>
  </cols>
  <sheetData>
    <row r="1" spans="1:11" s="952" customFormat="1" ht="31">
      <c r="A1" s="949" t="s">
        <v>1</v>
      </c>
      <c r="B1" s="949" t="s">
        <v>375</v>
      </c>
      <c r="C1" s="950" t="s">
        <v>376</v>
      </c>
      <c r="D1" s="950" t="s">
        <v>377</v>
      </c>
      <c r="E1" s="951" t="s">
        <v>95</v>
      </c>
      <c r="F1" s="951" t="s">
        <v>96</v>
      </c>
      <c r="G1" s="950" t="s">
        <v>378</v>
      </c>
      <c r="H1" s="951" t="s">
        <v>379</v>
      </c>
      <c r="I1" s="951" t="s">
        <v>380</v>
      </c>
      <c r="J1" s="951" t="s">
        <v>148</v>
      </c>
      <c r="K1" s="951" t="s">
        <v>381</v>
      </c>
    </row>
    <row r="2" spans="1:11" s="957" customFormat="1">
      <c r="A2" s="953"/>
      <c r="B2" s="953"/>
      <c r="C2" s="1087" t="s">
        <v>382</v>
      </c>
      <c r="D2" s="955">
        <v>631</v>
      </c>
      <c r="E2" s="956">
        <v>45353</v>
      </c>
      <c r="F2" s="956">
        <v>45983</v>
      </c>
      <c r="G2" s="955">
        <v>702</v>
      </c>
      <c r="H2" s="956">
        <v>45352</v>
      </c>
      <c r="I2" s="956"/>
      <c r="J2" s="956">
        <v>45352</v>
      </c>
      <c r="K2" s="956">
        <v>46053</v>
      </c>
    </row>
    <row r="3" spans="1:11" s="957" customFormat="1">
      <c r="A3" s="953" t="s">
        <v>383</v>
      </c>
      <c r="B3" s="953"/>
      <c r="C3" s="954"/>
      <c r="D3" s="955">
        <v>606</v>
      </c>
      <c r="E3" s="956">
        <v>45353</v>
      </c>
      <c r="F3" s="956">
        <v>45958</v>
      </c>
      <c r="G3" s="955">
        <v>671</v>
      </c>
      <c r="H3" s="956">
        <v>45353</v>
      </c>
      <c r="I3" s="956"/>
      <c r="J3" s="956">
        <v>45353</v>
      </c>
      <c r="K3" s="956">
        <v>46023</v>
      </c>
    </row>
    <row r="4" spans="1:11" s="957" customFormat="1">
      <c r="A4" s="953" t="s">
        <v>5</v>
      </c>
      <c r="B4" s="958" t="s">
        <v>384</v>
      </c>
      <c r="C4" s="954"/>
      <c r="D4" s="955">
        <v>176</v>
      </c>
      <c r="E4" s="956">
        <v>45356</v>
      </c>
      <c r="F4" s="956">
        <v>45531</v>
      </c>
      <c r="G4" s="955">
        <v>176</v>
      </c>
      <c r="H4" s="956">
        <v>45356</v>
      </c>
      <c r="I4" s="956">
        <v>45531</v>
      </c>
      <c r="J4" s="956">
        <v>45356</v>
      </c>
      <c r="K4" s="956">
        <v>45531</v>
      </c>
    </row>
    <row r="5" spans="1:11" s="957" customFormat="1" ht="31">
      <c r="A5" s="953" t="s">
        <v>5</v>
      </c>
      <c r="B5" s="958" t="s">
        <v>385</v>
      </c>
      <c r="C5" s="954"/>
      <c r="D5" s="955">
        <v>166</v>
      </c>
      <c r="E5" s="956">
        <v>45532</v>
      </c>
      <c r="F5" s="956">
        <v>45697</v>
      </c>
      <c r="G5" s="955">
        <v>96</v>
      </c>
      <c r="H5" s="956">
        <v>45532</v>
      </c>
      <c r="I5" s="956"/>
      <c r="J5" s="956">
        <v>45532</v>
      </c>
      <c r="K5" s="956">
        <v>45627</v>
      </c>
    </row>
    <row r="6" spans="1:11">
      <c r="A6" s="959"/>
      <c r="B6" s="960"/>
      <c r="C6" s="961" t="s">
        <v>386</v>
      </c>
      <c r="D6" s="962">
        <v>1</v>
      </c>
      <c r="E6" s="963">
        <v>45532</v>
      </c>
      <c r="F6" s="963">
        <v>45532</v>
      </c>
      <c r="G6" s="962">
        <v>1</v>
      </c>
      <c r="H6" s="963">
        <v>45532</v>
      </c>
      <c r="I6" s="963">
        <v>45532</v>
      </c>
      <c r="J6" s="963">
        <v>45532</v>
      </c>
      <c r="K6" s="963">
        <v>45532</v>
      </c>
    </row>
    <row r="7" spans="1:11">
      <c r="A7" s="959"/>
      <c r="B7" s="960"/>
      <c r="C7" s="961" t="s">
        <v>387</v>
      </c>
      <c r="D7" s="962">
        <v>1</v>
      </c>
      <c r="E7" s="963">
        <v>45532</v>
      </c>
      <c r="F7" s="963">
        <v>45532</v>
      </c>
      <c r="G7" s="962">
        <v>1</v>
      </c>
      <c r="H7" s="963">
        <v>45532</v>
      </c>
      <c r="I7" s="963">
        <v>45532</v>
      </c>
      <c r="J7" s="963">
        <v>45532</v>
      </c>
      <c r="K7" s="963">
        <v>45532</v>
      </c>
    </row>
    <row r="8" spans="1:11">
      <c r="A8" s="959"/>
      <c r="B8" s="960"/>
      <c r="C8" s="961" t="s">
        <v>388</v>
      </c>
      <c r="D8" s="962">
        <v>20</v>
      </c>
      <c r="E8" s="963">
        <v>45678</v>
      </c>
      <c r="F8" s="963">
        <v>45697</v>
      </c>
      <c r="G8" s="962">
        <v>7</v>
      </c>
      <c r="H8" s="963">
        <v>45621</v>
      </c>
      <c r="I8" s="963">
        <v>45627</v>
      </c>
      <c r="J8" s="963">
        <v>45621</v>
      </c>
      <c r="K8" s="963">
        <v>45627</v>
      </c>
    </row>
    <row r="9" spans="1:11" s="957" customFormat="1">
      <c r="A9" s="953" t="s">
        <v>5</v>
      </c>
      <c r="B9" s="958" t="s">
        <v>389</v>
      </c>
      <c r="C9" s="954" t="s">
        <v>390</v>
      </c>
      <c r="D9" s="955">
        <v>30</v>
      </c>
      <c r="E9" s="956">
        <v>45698</v>
      </c>
      <c r="F9" s="956">
        <v>45727</v>
      </c>
      <c r="G9" s="955">
        <v>30</v>
      </c>
      <c r="H9" s="956"/>
      <c r="I9" s="956"/>
      <c r="J9" s="956">
        <v>45748</v>
      </c>
      <c r="K9" s="956">
        <v>45777</v>
      </c>
    </row>
    <row r="10" spans="1:11" s="957" customFormat="1" ht="31">
      <c r="A10" s="953" t="s">
        <v>5</v>
      </c>
      <c r="B10" s="958" t="s">
        <v>391</v>
      </c>
      <c r="C10" s="954" t="s">
        <v>392</v>
      </c>
      <c r="D10" s="955">
        <v>30</v>
      </c>
      <c r="E10" s="956">
        <v>45728</v>
      </c>
      <c r="F10" s="956">
        <v>45757</v>
      </c>
      <c r="G10" s="955">
        <v>30</v>
      </c>
      <c r="H10" s="956"/>
      <c r="I10" s="956"/>
      <c r="J10" s="956">
        <v>45778</v>
      </c>
      <c r="K10" s="956">
        <v>45807</v>
      </c>
    </row>
    <row r="11" spans="1:11" s="957" customFormat="1">
      <c r="A11" s="953"/>
      <c r="B11" s="1088"/>
      <c r="C11" s="1089"/>
      <c r="D11" s="1090"/>
      <c r="E11" s="1091">
        <f>MIN(E13:E105)</f>
        <v>45354</v>
      </c>
      <c r="F11" s="1091">
        <f>MAX(F13:F105)</f>
        <v>45783</v>
      </c>
      <c r="G11" s="1090">
        <f>F11-E11</f>
        <v>429</v>
      </c>
      <c r="H11" s="1091">
        <f>MIN(H13:H105)</f>
        <v>45354</v>
      </c>
      <c r="I11" s="1091">
        <f>MAX(I13:I105)</f>
        <v>45679</v>
      </c>
      <c r="J11" s="1091"/>
      <c r="K11" s="1091">
        <f>MAX(K13:K105)</f>
        <v>45853</v>
      </c>
    </row>
    <row r="12" spans="1:11" s="957" customFormat="1">
      <c r="A12" s="965" t="s">
        <v>393</v>
      </c>
      <c r="B12" s="966" t="s">
        <v>394</v>
      </c>
      <c r="C12" s="967" t="s">
        <v>395</v>
      </c>
      <c r="D12" s="955">
        <v>2</v>
      </c>
      <c r="E12" s="956">
        <v>45393</v>
      </c>
      <c r="F12" s="956">
        <v>45394</v>
      </c>
      <c r="G12" s="955">
        <v>2</v>
      </c>
      <c r="H12" s="956"/>
      <c r="I12" s="956"/>
      <c r="J12" s="956">
        <v>45393</v>
      </c>
      <c r="K12" s="956">
        <v>45394</v>
      </c>
    </row>
    <row r="13" spans="1:11" s="957" customFormat="1">
      <c r="A13" s="965" t="s">
        <v>393</v>
      </c>
      <c r="B13" s="966" t="s">
        <v>396</v>
      </c>
      <c r="C13" s="967"/>
      <c r="D13" s="955">
        <v>361</v>
      </c>
      <c r="E13" s="956">
        <v>45354</v>
      </c>
      <c r="F13" s="956">
        <v>45714</v>
      </c>
      <c r="G13" s="955">
        <v>431</v>
      </c>
      <c r="H13" s="956">
        <v>45354</v>
      </c>
      <c r="I13" s="956"/>
      <c r="J13" s="956">
        <v>45354</v>
      </c>
      <c r="K13" s="956">
        <v>45784</v>
      </c>
    </row>
    <row r="14" spans="1:11">
      <c r="A14" s="959"/>
      <c r="B14" s="960"/>
      <c r="C14" s="961" t="s">
        <v>397</v>
      </c>
      <c r="D14" s="962">
        <v>81</v>
      </c>
      <c r="E14" s="963">
        <v>45399</v>
      </c>
      <c r="F14" s="963">
        <v>45479</v>
      </c>
      <c r="G14" s="962">
        <v>81</v>
      </c>
      <c r="H14" s="963">
        <v>45399</v>
      </c>
      <c r="I14" s="963">
        <v>45479</v>
      </c>
      <c r="J14" s="963">
        <v>45399</v>
      </c>
      <c r="K14" s="963">
        <v>45479</v>
      </c>
    </row>
    <row r="15" spans="1:11">
      <c r="A15" s="959"/>
      <c r="B15" s="960"/>
      <c r="C15" s="961" t="s">
        <v>398</v>
      </c>
      <c r="D15" s="962">
        <v>224</v>
      </c>
      <c r="E15" s="963">
        <v>45458</v>
      </c>
      <c r="F15" s="963">
        <v>45681</v>
      </c>
      <c r="G15" s="962">
        <v>294</v>
      </c>
      <c r="H15" s="963">
        <v>45458</v>
      </c>
      <c r="I15" s="963"/>
      <c r="J15" s="963">
        <v>45458</v>
      </c>
      <c r="K15" s="963">
        <v>45751</v>
      </c>
    </row>
    <row r="16" spans="1:11">
      <c r="A16" s="959"/>
      <c r="B16" s="960"/>
      <c r="C16" s="961" t="s">
        <v>248</v>
      </c>
      <c r="D16" s="962">
        <v>290</v>
      </c>
      <c r="E16" s="963">
        <v>45396</v>
      </c>
      <c r="F16" s="963">
        <v>45685</v>
      </c>
      <c r="G16" s="962">
        <v>360</v>
      </c>
      <c r="H16" s="963">
        <v>45396</v>
      </c>
      <c r="I16" s="963">
        <v>45551</v>
      </c>
      <c r="J16" s="963">
        <v>45396</v>
      </c>
      <c r="K16" s="963">
        <v>45755</v>
      </c>
    </row>
    <row r="17" spans="1:11">
      <c r="A17" s="959"/>
      <c r="B17" s="960"/>
      <c r="C17" s="961" t="s">
        <v>249</v>
      </c>
      <c r="D17" s="962">
        <v>132</v>
      </c>
      <c r="E17" s="963">
        <v>45418</v>
      </c>
      <c r="F17" s="963">
        <v>45549</v>
      </c>
      <c r="G17" s="962">
        <v>132</v>
      </c>
      <c r="H17" s="963">
        <v>45418</v>
      </c>
      <c r="I17" s="963">
        <v>45549</v>
      </c>
      <c r="J17" s="963">
        <v>45418</v>
      </c>
      <c r="K17" s="963">
        <v>45549</v>
      </c>
    </row>
    <row r="18" spans="1:11">
      <c r="A18" s="959"/>
      <c r="B18" s="960"/>
      <c r="C18" s="961" t="s">
        <v>250</v>
      </c>
      <c r="D18" s="962">
        <v>325</v>
      </c>
      <c r="E18" s="963">
        <v>45354</v>
      </c>
      <c r="F18" s="963">
        <v>45678</v>
      </c>
      <c r="G18" s="962">
        <v>395</v>
      </c>
      <c r="H18" s="963">
        <v>45354</v>
      </c>
      <c r="I18" s="963">
        <v>45551</v>
      </c>
      <c r="J18" s="963">
        <v>45354</v>
      </c>
      <c r="K18" s="963">
        <v>45748</v>
      </c>
    </row>
    <row r="19" spans="1:11">
      <c r="A19" s="959"/>
      <c r="B19" s="960"/>
      <c r="C19" s="961" t="s">
        <v>399</v>
      </c>
      <c r="D19" s="962">
        <v>1</v>
      </c>
      <c r="E19" s="963">
        <v>45549</v>
      </c>
      <c r="F19" s="963">
        <v>45549</v>
      </c>
      <c r="G19" s="962">
        <v>1</v>
      </c>
      <c r="H19" s="963">
        <v>45549</v>
      </c>
      <c r="I19" s="963">
        <v>45549</v>
      </c>
      <c r="J19" s="963">
        <v>45549</v>
      </c>
      <c r="K19" s="963">
        <v>45549</v>
      </c>
    </row>
    <row r="20" spans="1:11">
      <c r="A20" s="959"/>
      <c r="B20" s="960"/>
      <c r="C20" s="961" t="s">
        <v>251</v>
      </c>
      <c r="D20" s="962">
        <v>150</v>
      </c>
      <c r="E20" s="963">
        <v>45547</v>
      </c>
      <c r="F20" s="963">
        <v>45696</v>
      </c>
      <c r="G20" s="962">
        <v>220</v>
      </c>
      <c r="H20" s="963">
        <v>45547</v>
      </c>
      <c r="I20" s="963"/>
      <c r="J20" s="963">
        <v>45547</v>
      </c>
      <c r="K20" s="963">
        <v>45766</v>
      </c>
    </row>
    <row r="21" spans="1:11">
      <c r="A21" s="959"/>
      <c r="B21" s="960"/>
      <c r="C21" s="961" t="s">
        <v>252</v>
      </c>
      <c r="D21" s="962">
        <v>1</v>
      </c>
      <c r="E21" s="963">
        <v>45549</v>
      </c>
      <c r="F21" s="963">
        <v>45549</v>
      </c>
      <c r="G21" s="962">
        <v>1</v>
      </c>
      <c r="H21" s="963">
        <v>45549</v>
      </c>
      <c r="I21" s="963">
        <v>45549</v>
      </c>
      <c r="J21" s="963">
        <v>45549</v>
      </c>
      <c r="K21" s="963">
        <v>45549</v>
      </c>
    </row>
    <row r="22" spans="1:11">
      <c r="A22" s="959"/>
      <c r="B22" s="960"/>
      <c r="C22" s="961" t="s">
        <v>253</v>
      </c>
      <c r="D22" s="962">
        <v>244</v>
      </c>
      <c r="E22" s="963">
        <v>45441</v>
      </c>
      <c r="F22" s="963">
        <v>45684</v>
      </c>
      <c r="G22" s="962">
        <v>314</v>
      </c>
      <c r="H22" s="963">
        <v>45441</v>
      </c>
      <c r="I22" s="963">
        <v>45441</v>
      </c>
      <c r="J22" s="963">
        <v>45441</v>
      </c>
      <c r="K22" s="963">
        <v>45754</v>
      </c>
    </row>
    <row r="23" spans="1:11">
      <c r="A23" s="959"/>
      <c r="B23" s="960"/>
      <c r="C23" s="961" t="s">
        <v>254</v>
      </c>
      <c r="D23" s="962">
        <v>313</v>
      </c>
      <c r="E23" s="963">
        <v>45373</v>
      </c>
      <c r="F23" s="963">
        <v>45685</v>
      </c>
      <c r="G23" s="962">
        <v>379</v>
      </c>
      <c r="H23" s="963">
        <v>45373</v>
      </c>
      <c r="I23" s="963">
        <v>45380</v>
      </c>
      <c r="J23" s="963">
        <v>45373</v>
      </c>
      <c r="K23" s="963">
        <v>45751</v>
      </c>
    </row>
    <row r="24" spans="1:11">
      <c r="A24" s="959"/>
      <c r="B24" s="960"/>
      <c r="C24" s="961" t="s">
        <v>255</v>
      </c>
      <c r="D24" s="962">
        <v>329</v>
      </c>
      <c r="E24" s="963">
        <v>45377</v>
      </c>
      <c r="F24" s="963">
        <v>45705</v>
      </c>
      <c r="G24" s="962">
        <v>372</v>
      </c>
      <c r="H24" s="963">
        <v>45377</v>
      </c>
      <c r="I24" s="963">
        <v>45576</v>
      </c>
      <c r="J24" s="963">
        <v>45377</v>
      </c>
      <c r="K24" s="963">
        <v>45748</v>
      </c>
    </row>
    <row r="25" spans="1:11">
      <c r="A25" s="959"/>
      <c r="B25" s="960"/>
      <c r="C25" s="961" t="s">
        <v>256</v>
      </c>
      <c r="D25" s="962">
        <v>318</v>
      </c>
      <c r="E25" s="963">
        <v>45375</v>
      </c>
      <c r="F25" s="963">
        <v>45692</v>
      </c>
      <c r="G25" s="962">
        <v>378</v>
      </c>
      <c r="H25" s="963">
        <v>45375</v>
      </c>
      <c r="I25" s="963">
        <v>45380</v>
      </c>
      <c r="J25" s="963">
        <v>45375</v>
      </c>
      <c r="K25" s="963">
        <v>45752</v>
      </c>
    </row>
    <row r="26" spans="1:11">
      <c r="A26" s="959"/>
      <c r="B26" s="960"/>
      <c r="C26" s="961" t="s">
        <v>257</v>
      </c>
      <c r="D26" s="962">
        <v>297</v>
      </c>
      <c r="E26" s="963">
        <v>45373</v>
      </c>
      <c r="F26" s="963">
        <v>45669</v>
      </c>
      <c r="G26" s="962">
        <v>297</v>
      </c>
      <c r="H26" s="963">
        <v>45373</v>
      </c>
      <c r="I26" s="963">
        <v>45669</v>
      </c>
      <c r="J26" s="963">
        <v>45373</v>
      </c>
      <c r="K26" s="963">
        <v>45669</v>
      </c>
    </row>
    <row r="27" spans="1:11">
      <c r="A27" s="959"/>
      <c r="B27" s="960"/>
      <c r="C27" s="961" t="s">
        <v>258</v>
      </c>
      <c r="D27" s="962">
        <v>319</v>
      </c>
      <c r="E27" s="963">
        <v>45376</v>
      </c>
      <c r="F27" s="963">
        <v>45694</v>
      </c>
      <c r="G27" s="962">
        <v>382</v>
      </c>
      <c r="H27" s="963">
        <v>45376</v>
      </c>
      <c r="I27" s="963">
        <v>45380</v>
      </c>
      <c r="J27" s="963">
        <v>45376</v>
      </c>
      <c r="K27" s="963">
        <v>45757</v>
      </c>
    </row>
    <row r="28" spans="1:11">
      <c r="A28" s="959"/>
      <c r="B28" s="960"/>
      <c r="C28" s="961" t="s">
        <v>259</v>
      </c>
      <c r="D28" s="962">
        <v>217</v>
      </c>
      <c r="E28" s="963">
        <v>45469</v>
      </c>
      <c r="F28" s="963">
        <v>45685</v>
      </c>
      <c r="G28" s="962">
        <v>287</v>
      </c>
      <c r="H28" s="963">
        <v>45469</v>
      </c>
      <c r="I28" s="963">
        <v>45600</v>
      </c>
      <c r="J28" s="963">
        <v>45469</v>
      </c>
      <c r="K28" s="963">
        <v>45755</v>
      </c>
    </row>
    <row r="29" spans="1:11">
      <c r="A29" s="959"/>
      <c r="B29" s="960"/>
      <c r="C29" s="961" t="s">
        <v>260</v>
      </c>
      <c r="D29" s="962">
        <v>313</v>
      </c>
      <c r="E29" s="963">
        <v>45379</v>
      </c>
      <c r="F29" s="963">
        <v>45691</v>
      </c>
      <c r="G29" s="962">
        <v>377</v>
      </c>
      <c r="H29" s="963">
        <v>45379</v>
      </c>
      <c r="I29" s="963">
        <v>45384</v>
      </c>
      <c r="J29" s="963">
        <v>45379</v>
      </c>
      <c r="K29" s="963">
        <v>45755</v>
      </c>
    </row>
    <row r="30" spans="1:11">
      <c r="A30" s="959"/>
      <c r="B30" s="960"/>
      <c r="C30" s="961" t="s">
        <v>261</v>
      </c>
      <c r="D30" s="962">
        <v>326</v>
      </c>
      <c r="E30" s="963">
        <v>45377</v>
      </c>
      <c r="F30" s="963">
        <v>45702</v>
      </c>
      <c r="G30" s="962">
        <v>396</v>
      </c>
      <c r="H30" s="963">
        <v>45377</v>
      </c>
      <c r="I30" s="963">
        <v>45380</v>
      </c>
      <c r="J30" s="963">
        <v>45377</v>
      </c>
      <c r="K30" s="963">
        <v>45772</v>
      </c>
    </row>
    <row r="31" spans="1:11">
      <c r="A31" s="959"/>
      <c r="B31" s="960"/>
      <c r="C31" s="961" t="s">
        <v>262</v>
      </c>
      <c r="D31" s="962">
        <v>184</v>
      </c>
      <c r="E31" s="963">
        <v>45531</v>
      </c>
      <c r="F31" s="963">
        <v>45714</v>
      </c>
      <c r="G31" s="962">
        <v>254</v>
      </c>
      <c r="H31" s="963">
        <v>45531</v>
      </c>
      <c r="I31" s="963"/>
      <c r="J31" s="963">
        <v>45531</v>
      </c>
      <c r="K31" s="963">
        <v>45784</v>
      </c>
    </row>
    <row r="32" spans="1:11">
      <c r="A32" s="959"/>
      <c r="B32" s="960"/>
      <c r="C32" s="961" t="s">
        <v>400</v>
      </c>
      <c r="D32" s="962">
        <v>42</v>
      </c>
      <c r="E32" s="963">
        <v>45643</v>
      </c>
      <c r="F32" s="963">
        <v>45684</v>
      </c>
      <c r="G32" s="962">
        <v>112</v>
      </c>
      <c r="H32" s="963">
        <v>45643</v>
      </c>
      <c r="I32" s="963"/>
      <c r="J32" s="963">
        <v>45643</v>
      </c>
      <c r="K32" s="963">
        <v>45754</v>
      </c>
    </row>
    <row r="33" spans="1:11">
      <c r="A33" s="959"/>
      <c r="B33" s="960"/>
      <c r="C33" s="961" t="s">
        <v>401</v>
      </c>
      <c r="D33" s="962">
        <v>164</v>
      </c>
      <c r="E33" s="963">
        <v>45516</v>
      </c>
      <c r="F33" s="963">
        <v>45679</v>
      </c>
      <c r="G33" s="962">
        <v>164</v>
      </c>
      <c r="H33" s="963">
        <v>45516</v>
      </c>
      <c r="I33" s="963">
        <v>45679</v>
      </c>
      <c r="J33" s="963">
        <v>45516</v>
      </c>
      <c r="K33" s="963">
        <v>45679</v>
      </c>
    </row>
    <row r="34" spans="1:11" s="957" customFormat="1">
      <c r="A34" s="965" t="s">
        <v>393</v>
      </c>
      <c r="B34" s="966" t="s">
        <v>402</v>
      </c>
      <c r="C34" s="967"/>
      <c r="D34" s="955">
        <v>411</v>
      </c>
      <c r="E34" s="956">
        <v>45373</v>
      </c>
      <c r="F34" s="956">
        <v>45783</v>
      </c>
      <c r="G34" s="955">
        <v>481</v>
      </c>
      <c r="H34" s="956">
        <v>45373</v>
      </c>
      <c r="I34" s="956"/>
      <c r="J34" s="956">
        <v>45373</v>
      </c>
      <c r="K34" s="956">
        <v>45853</v>
      </c>
    </row>
    <row r="35" spans="1:11">
      <c r="A35" s="959"/>
      <c r="B35" s="960"/>
      <c r="C35" s="961" t="s">
        <v>397</v>
      </c>
      <c r="D35" s="962">
        <v>5</v>
      </c>
      <c r="E35" s="963">
        <v>45458</v>
      </c>
      <c r="F35" s="963">
        <v>45462</v>
      </c>
      <c r="G35" s="962">
        <v>5</v>
      </c>
      <c r="H35" s="963">
        <v>45458</v>
      </c>
      <c r="I35" s="963">
        <v>45462</v>
      </c>
      <c r="J35" s="963">
        <v>45458</v>
      </c>
      <c r="K35" s="963">
        <v>45462</v>
      </c>
    </row>
    <row r="36" spans="1:11">
      <c r="A36" s="959"/>
      <c r="B36" s="960"/>
      <c r="C36" s="961" t="s">
        <v>398</v>
      </c>
      <c r="D36" s="962">
        <v>225</v>
      </c>
      <c r="E36" s="963">
        <v>45458</v>
      </c>
      <c r="F36" s="963">
        <v>45682</v>
      </c>
      <c r="G36" s="962">
        <v>295</v>
      </c>
      <c r="H36" s="963">
        <v>45458</v>
      </c>
      <c r="I36" s="963"/>
      <c r="J36" s="963">
        <v>45458</v>
      </c>
      <c r="K36" s="963">
        <v>45752</v>
      </c>
    </row>
    <row r="37" spans="1:11">
      <c r="A37" s="959"/>
      <c r="B37" s="960"/>
      <c r="C37" s="961" t="s">
        <v>248</v>
      </c>
      <c r="D37" s="962">
        <v>156</v>
      </c>
      <c r="E37" s="963">
        <v>45396</v>
      </c>
      <c r="F37" s="963">
        <v>45551</v>
      </c>
      <c r="G37" s="962">
        <v>156</v>
      </c>
      <c r="H37" s="963">
        <v>45396</v>
      </c>
      <c r="I37" s="963">
        <v>45551</v>
      </c>
      <c r="J37" s="963">
        <v>45396</v>
      </c>
      <c r="K37" s="963">
        <v>45551</v>
      </c>
    </row>
    <row r="38" spans="1:11">
      <c r="A38" s="959"/>
      <c r="B38" s="960"/>
      <c r="C38" s="961" t="s">
        <v>249</v>
      </c>
      <c r="D38" s="962">
        <v>1</v>
      </c>
      <c r="E38" s="963">
        <v>45549</v>
      </c>
      <c r="F38" s="963">
        <v>45549</v>
      </c>
      <c r="G38" s="962">
        <v>1</v>
      </c>
      <c r="H38" s="963">
        <v>45549</v>
      </c>
      <c r="I38" s="963">
        <v>45549</v>
      </c>
      <c r="J38" s="963">
        <v>45549</v>
      </c>
      <c r="K38" s="963">
        <v>45549</v>
      </c>
    </row>
    <row r="39" spans="1:11">
      <c r="A39" s="959"/>
      <c r="B39" s="960"/>
      <c r="C39" s="961" t="s">
        <v>250</v>
      </c>
      <c r="D39" s="962">
        <v>43</v>
      </c>
      <c r="E39" s="963">
        <v>45674</v>
      </c>
      <c r="F39" s="963">
        <v>45716</v>
      </c>
      <c r="G39" s="962">
        <v>113</v>
      </c>
      <c r="H39" s="963">
        <v>45674</v>
      </c>
      <c r="I39" s="963"/>
      <c r="J39" s="963">
        <v>45674</v>
      </c>
      <c r="K39" s="963">
        <v>45786</v>
      </c>
    </row>
    <row r="40" spans="1:11">
      <c r="A40" s="959"/>
      <c r="B40" s="960"/>
      <c r="C40" s="961" t="s">
        <v>399</v>
      </c>
      <c r="D40" s="962">
        <v>1</v>
      </c>
      <c r="E40" s="963">
        <v>45549</v>
      </c>
      <c r="F40" s="963">
        <v>45549</v>
      </c>
      <c r="G40" s="962">
        <v>1</v>
      </c>
      <c r="H40" s="963">
        <v>45549</v>
      </c>
      <c r="I40" s="963">
        <v>45549</v>
      </c>
      <c r="J40" s="963">
        <v>45549</v>
      </c>
      <c r="K40" s="963">
        <v>45549</v>
      </c>
    </row>
    <row r="41" spans="1:11">
      <c r="A41" s="959"/>
      <c r="B41" s="960"/>
      <c r="C41" s="961" t="s">
        <v>251</v>
      </c>
      <c r="D41" s="962">
        <v>149</v>
      </c>
      <c r="E41" s="963">
        <v>45600</v>
      </c>
      <c r="F41" s="963">
        <v>45748</v>
      </c>
      <c r="G41" s="962">
        <v>187</v>
      </c>
      <c r="H41" s="963">
        <v>45600</v>
      </c>
      <c r="I41" s="963"/>
      <c r="J41" s="963">
        <v>45600</v>
      </c>
      <c r="K41" s="963">
        <v>45786</v>
      </c>
    </row>
    <row r="42" spans="1:11">
      <c r="A42" s="959"/>
      <c r="B42" s="960"/>
      <c r="C42" s="961" t="s">
        <v>252</v>
      </c>
      <c r="D42" s="962">
        <v>1</v>
      </c>
      <c r="E42" s="963">
        <v>45549</v>
      </c>
      <c r="F42" s="963">
        <v>45549</v>
      </c>
      <c r="G42" s="962">
        <v>1</v>
      </c>
      <c r="H42" s="963">
        <v>45549</v>
      </c>
      <c r="I42" s="963">
        <v>45549</v>
      </c>
      <c r="J42" s="963">
        <v>45549</v>
      </c>
      <c r="K42" s="963">
        <v>45549</v>
      </c>
    </row>
    <row r="43" spans="1:11">
      <c r="A43" s="959"/>
      <c r="B43" s="960"/>
      <c r="C43" s="961" t="s">
        <v>253</v>
      </c>
      <c r="D43" s="962">
        <v>1</v>
      </c>
      <c r="E43" s="963">
        <v>45441</v>
      </c>
      <c r="F43" s="963">
        <v>45441</v>
      </c>
      <c r="G43" s="962">
        <v>1</v>
      </c>
      <c r="H43" s="963">
        <v>45441</v>
      </c>
      <c r="I43" s="963">
        <v>45441</v>
      </c>
      <c r="J43" s="963">
        <v>45441</v>
      </c>
      <c r="K43" s="963">
        <v>45441</v>
      </c>
    </row>
    <row r="44" spans="1:11">
      <c r="A44" s="959"/>
      <c r="B44" s="960"/>
      <c r="C44" s="961" t="s">
        <v>254</v>
      </c>
      <c r="D44" s="962">
        <v>8</v>
      </c>
      <c r="E44" s="963">
        <v>45373</v>
      </c>
      <c r="F44" s="963">
        <v>45380</v>
      </c>
      <c r="G44" s="962">
        <v>8</v>
      </c>
      <c r="H44" s="963">
        <v>45373</v>
      </c>
      <c r="I44" s="963">
        <v>45380</v>
      </c>
      <c r="J44" s="963">
        <v>45373</v>
      </c>
      <c r="K44" s="963">
        <v>45380</v>
      </c>
    </row>
    <row r="45" spans="1:11">
      <c r="A45" s="959"/>
      <c r="B45" s="960"/>
      <c r="C45" s="961" t="s">
        <v>255</v>
      </c>
      <c r="D45" s="962">
        <v>1</v>
      </c>
      <c r="E45" s="963">
        <v>45377</v>
      </c>
      <c r="F45" s="963">
        <v>45377</v>
      </c>
      <c r="G45" s="962">
        <v>1</v>
      </c>
      <c r="H45" s="963">
        <v>45377</v>
      </c>
      <c r="I45" s="963">
        <v>45377</v>
      </c>
      <c r="J45" s="963">
        <v>45377</v>
      </c>
      <c r="K45" s="963">
        <v>45377</v>
      </c>
    </row>
    <row r="46" spans="1:11">
      <c r="A46" s="959"/>
      <c r="B46" s="960"/>
      <c r="C46" s="961" t="s">
        <v>256</v>
      </c>
      <c r="D46" s="962">
        <v>6</v>
      </c>
      <c r="E46" s="963">
        <v>45375</v>
      </c>
      <c r="F46" s="963">
        <v>45380</v>
      </c>
      <c r="G46" s="962">
        <v>6</v>
      </c>
      <c r="H46" s="963">
        <v>45375</v>
      </c>
      <c r="I46" s="963">
        <v>45380</v>
      </c>
      <c r="J46" s="963">
        <v>45375</v>
      </c>
      <c r="K46" s="963">
        <v>45380</v>
      </c>
    </row>
    <row r="47" spans="1:11">
      <c r="A47" s="959"/>
      <c r="B47" s="960"/>
      <c r="C47" s="961" t="s">
        <v>257</v>
      </c>
      <c r="D47" s="962">
        <v>44</v>
      </c>
      <c r="E47" s="963">
        <v>45373</v>
      </c>
      <c r="F47" s="963">
        <v>45416</v>
      </c>
      <c r="G47" s="962">
        <v>44</v>
      </c>
      <c r="H47" s="963">
        <v>45373</v>
      </c>
      <c r="I47" s="963">
        <v>45416</v>
      </c>
      <c r="J47" s="963">
        <v>45373</v>
      </c>
      <c r="K47" s="963">
        <v>45416</v>
      </c>
    </row>
    <row r="48" spans="1:11">
      <c r="A48" s="959"/>
      <c r="B48" s="960"/>
      <c r="C48" s="961" t="s">
        <v>258</v>
      </c>
      <c r="D48" s="962">
        <v>5</v>
      </c>
      <c r="E48" s="963">
        <v>45376</v>
      </c>
      <c r="F48" s="963">
        <v>45380</v>
      </c>
      <c r="G48" s="962">
        <v>5</v>
      </c>
      <c r="H48" s="963">
        <v>45376</v>
      </c>
      <c r="I48" s="963">
        <v>45380</v>
      </c>
      <c r="J48" s="963">
        <v>45376</v>
      </c>
      <c r="K48" s="963">
        <v>45380</v>
      </c>
    </row>
    <row r="49" spans="1:11">
      <c r="A49" s="959"/>
      <c r="B49" s="960"/>
      <c r="C49" s="961" t="s">
        <v>259</v>
      </c>
      <c r="D49" s="962">
        <v>26</v>
      </c>
      <c r="E49" s="963">
        <v>45575</v>
      </c>
      <c r="F49" s="963">
        <v>45600</v>
      </c>
      <c r="G49" s="962">
        <v>26</v>
      </c>
      <c r="H49" s="963">
        <v>45575</v>
      </c>
      <c r="I49" s="963">
        <v>45600</v>
      </c>
      <c r="J49" s="963">
        <v>45575</v>
      </c>
      <c r="K49" s="963">
        <v>45600</v>
      </c>
    </row>
    <row r="50" spans="1:11">
      <c r="A50" s="959"/>
      <c r="B50" s="960"/>
      <c r="C50" s="961" t="s">
        <v>260</v>
      </c>
      <c r="D50" s="962">
        <v>6</v>
      </c>
      <c r="E50" s="963">
        <v>45379</v>
      </c>
      <c r="F50" s="963">
        <v>45384</v>
      </c>
      <c r="G50" s="962">
        <v>6</v>
      </c>
      <c r="H50" s="963">
        <v>45379</v>
      </c>
      <c r="I50" s="963">
        <v>45384</v>
      </c>
      <c r="J50" s="963">
        <v>45379</v>
      </c>
      <c r="K50" s="963">
        <v>45384</v>
      </c>
    </row>
    <row r="51" spans="1:11">
      <c r="A51" s="959"/>
      <c r="B51" s="960"/>
      <c r="C51" s="961" t="s">
        <v>261</v>
      </c>
      <c r="D51" s="962">
        <v>4</v>
      </c>
      <c r="E51" s="963">
        <v>45377</v>
      </c>
      <c r="F51" s="963">
        <v>45380</v>
      </c>
      <c r="G51" s="962">
        <v>4</v>
      </c>
      <c r="H51" s="963">
        <v>45377</v>
      </c>
      <c r="I51" s="963">
        <v>45380</v>
      </c>
      <c r="J51" s="963">
        <v>45377</v>
      </c>
      <c r="K51" s="963">
        <v>45380</v>
      </c>
    </row>
    <row r="52" spans="1:11">
      <c r="A52" s="959"/>
      <c r="B52" s="960"/>
      <c r="C52" s="961" t="s">
        <v>262</v>
      </c>
      <c r="D52" s="962">
        <v>24</v>
      </c>
      <c r="E52" s="963">
        <v>45760</v>
      </c>
      <c r="F52" s="963">
        <v>45783</v>
      </c>
      <c r="G52" s="962">
        <v>24</v>
      </c>
      <c r="H52" s="963"/>
      <c r="I52" s="963"/>
      <c r="J52" s="963">
        <v>45830</v>
      </c>
      <c r="K52" s="963">
        <v>45853</v>
      </c>
    </row>
    <row r="53" spans="1:11" s="957" customFormat="1">
      <c r="A53" s="965" t="s">
        <v>393</v>
      </c>
      <c r="B53" s="966" t="s">
        <v>403</v>
      </c>
      <c r="C53" s="967"/>
      <c r="D53" s="955">
        <v>392</v>
      </c>
      <c r="E53" s="956">
        <v>45371</v>
      </c>
      <c r="F53" s="956">
        <v>45762</v>
      </c>
      <c r="G53" s="955">
        <v>438</v>
      </c>
      <c r="H53" s="956">
        <v>45371</v>
      </c>
      <c r="I53" s="956"/>
      <c r="J53" s="956">
        <v>45371</v>
      </c>
      <c r="K53" s="956">
        <v>45808</v>
      </c>
    </row>
    <row r="54" spans="1:11">
      <c r="A54" s="959"/>
      <c r="B54" s="960"/>
      <c r="C54" s="961" t="s">
        <v>397</v>
      </c>
      <c r="D54" s="962">
        <v>313</v>
      </c>
      <c r="E54" s="963">
        <v>45371</v>
      </c>
      <c r="F54" s="963">
        <v>45683</v>
      </c>
      <c r="G54" s="962">
        <v>383</v>
      </c>
      <c r="H54" s="963">
        <v>45371</v>
      </c>
      <c r="I54" s="963">
        <v>45678</v>
      </c>
      <c r="J54" s="963">
        <v>45371</v>
      </c>
      <c r="K54" s="963">
        <v>45753</v>
      </c>
    </row>
    <row r="55" spans="1:11">
      <c r="A55" s="959"/>
      <c r="B55" s="960"/>
      <c r="C55" s="961" t="s">
        <v>398</v>
      </c>
      <c r="D55" s="962">
        <v>53</v>
      </c>
      <c r="E55" s="963">
        <v>45657</v>
      </c>
      <c r="F55" s="963">
        <v>45709</v>
      </c>
      <c r="G55" s="962">
        <v>123</v>
      </c>
      <c r="H55" s="963">
        <v>45657</v>
      </c>
      <c r="I55" s="963"/>
      <c r="J55" s="963">
        <v>45657</v>
      </c>
      <c r="K55" s="963">
        <v>45779</v>
      </c>
    </row>
    <row r="56" spans="1:11">
      <c r="A56" s="959"/>
      <c r="B56" s="960"/>
      <c r="C56" s="961" t="s">
        <v>248</v>
      </c>
      <c r="D56" s="962">
        <v>31</v>
      </c>
      <c r="E56" s="963">
        <v>45545</v>
      </c>
      <c r="F56" s="963">
        <v>45575</v>
      </c>
      <c r="G56" s="962">
        <v>228</v>
      </c>
      <c r="H56" s="963">
        <v>45551</v>
      </c>
      <c r="I56" s="963"/>
      <c r="J56" s="963">
        <v>45551</v>
      </c>
      <c r="K56" s="963">
        <v>45778</v>
      </c>
    </row>
    <row r="57" spans="1:11">
      <c r="A57" s="959"/>
      <c r="B57" s="960"/>
      <c r="C57" s="961" t="s">
        <v>249</v>
      </c>
      <c r="D57" s="962">
        <v>1</v>
      </c>
      <c r="E57" s="963">
        <v>45549</v>
      </c>
      <c r="F57" s="963">
        <v>45549</v>
      </c>
      <c r="G57" s="962">
        <v>1</v>
      </c>
      <c r="H57" s="963">
        <v>45549</v>
      </c>
      <c r="I57" s="963"/>
      <c r="J57" s="963">
        <v>45549</v>
      </c>
      <c r="K57" s="963">
        <v>45549</v>
      </c>
    </row>
    <row r="58" spans="1:11">
      <c r="A58" s="959"/>
      <c r="B58" s="960"/>
      <c r="C58" s="961" t="s">
        <v>250</v>
      </c>
      <c r="D58" s="962">
        <v>151</v>
      </c>
      <c r="E58" s="963">
        <v>45549</v>
      </c>
      <c r="F58" s="963">
        <v>45699</v>
      </c>
      <c r="G58" s="962">
        <v>221</v>
      </c>
      <c r="H58" s="963">
        <v>45549</v>
      </c>
      <c r="I58" s="963">
        <v>45549</v>
      </c>
      <c r="J58" s="963">
        <v>45549</v>
      </c>
      <c r="K58" s="963">
        <v>45769</v>
      </c>
    </row>
    <row r="59" spans="1:11">
      <c r="A59" s="959"/>
      <c r="B59" s="960"/>
      <c r="C59" s="961" t="s">
        <v>399</v>
      </c>
      <c r="D59" s="962">
        <v>160</v>
      </c>
      <c r="E59" s="963">
        <v>45549</v>
      </c>
      <c r="F59" s="963">
        <v>45708</v>
      </c>
      <c r="G59" s="962">
        <v>230</v>
      </c>
      <c r="H59" s="963">
        <v>45549</v>
      </c>
      <c r="I59" s="963">
        <v>45549</v>
      </c>
      <c r="J59" s="963">
        <v>45549</v>
      </c>
      <c r="K59" s="963">
        <v>45778</v>
      </c>
    </row>
    <row r="60" spans="1:11">
      <c r="A60" s="959"/>
      <c r="B60" s="960"/>
      <c r="C60" s="961" t="s">
        <v>251</v>
      </c>
      <c r="D60" s="962">
        <v>179</v>
      </c>
      <c r="E60" s="963">
        <v>45547</v>
      </c>
      <c r="F60" s="963">
        <v>45725</v>
      </c>
      <c r="G60" s="962">
        <v>238</v>
      </c>
      <c r="H60" s="963">
        <v>45547</v>
      </c>
      <c r="I60" s="963"/>
      <c r="J60" s="963">
        <v>45547</v>
      </c>
      <c r="K60" s="963">
        <v>45784</v>
      </c>
    </row>
    <row r="61" spans="1:11">
      <c r="A61" s="959"/>
      <c r="B61" s="960"/>
      <c r="C61" s="961" t="s">
        <v>252</v>
      </c>
      <c r="D61" s="962">
        <v>144</v>
      </c>
      <c r="E61" s="963">
        <v>45549</v>
      </c>
      <c r="F61" s="963">
        <v>45692</v>
      </c>
      <c r="G61" s="962">
        <v>214</v>
      </c>
      <c r="H61" s="963">
        <v>45549</v>
      </c>
      <c r="I61" s="963"/>
      <c r="J61" s="963">
        <v>45549</v>
      </c>
      <c r="K61" s="963">
        <v>45762</v>
      </c>
    </row>
    <row r="62" spans="1:11">
      <c r="A62" s="959"/>
      <c r="B62" s="960"/>
      <c r="C62" s="961" t="s">
        <v>253</v>
      </c>
      <c r="D62" s="962">
        <v>202</v>
      </c>
      <c r="E62" s="963">
        <v>45456</v>
      </c>
      <c r="F62" s="963">
        <v>45657</v>
      </c>
      <c r="G62" s="962">
        <v>202</v>
      </c>
      <c r="H62" s="963">
        <v>45456</v>
      </c>
      <c r="I62" s="963">
        <v>45657</v>
      </c>
      <c r="J62" s="963">
        <v>45456</v>
      </c>
      <c r="K62" s="963">
        <v>45657</v>
      </c>
    </row>
    <row r="63" spans="1:11">
      <c r="A63" s="959"/>
      <c r="B63" s="960"/>
      <c r="C63" s="961" t="s">
        <v>254</v>
      </c>
      <c r="D63" s="962">
        <v>6</v>
      </c>
      <c r="E63" s="963">
        <v>45439</v>
      </c>
      <c r="F63" s="963">
        <v>45444</v>
      </c>
      <c r="G63" s="962">
        <v>6</v>
      </c>
      <c r="H63" s="963">
        <v>45439</v>
      </c>
      <c r="I63" s="963">
        <v>45444</v>
      </c>
      <c r="J63" s="963">
        <v>45439</v>
      </c>
      <c r="K63" s="963">
        <v>45444</v>
      </c>
    </row>
    <row r="64" spans="1:11">
      <c r="A64" s="959"/>
      <c r="B64" s="960"/>
      <c r="C64" s="961" t="s">
        <v>255</v>
      </c>
      <c r="D64" s="962">
        <v>130</v>
      </c>
      <c r="E64" s="963">
        <v>45395</v>
      </c>
      <c r="F64" s="963">
        <v>45524</v>
      </c>
      <c r="G64" s="962">
        <v>130</v>
      </c>
      <c r="H64" s="963">
        <v>45395</v>
      </c>
      <c r="I64" s="963">
        <v>45524</v>
      </c>
      <c r="J64" s="963">
        <v>45395</v>
      </c>
      <c r="K64" s="963">
        <v>45524</v>
      </c>
    </row>
    <row r="65" spans="1:11">
      <c r="A65" s="959"/>
      <c r="B65" s="960"/>
      <c r="C65" s="961" t="s">
        <v>256</v>
      </c>
      <c r="D65" s="962">
        <v>101</v>
      </c>
      <c r="E65" s="963">
        <v>45398</v>
      </c>
      <c r="F65" s="963">
        <v>45498</v>
      </c>
      <c r="G65" s="962">
        <v>101</v>
      </c>
      <c r="H65" s="963">
        <v>45398</v>
      </c>
      <c r="I65" s="963">
        <v>45498</v>
      </c>
      <c r="J65" s="963">
        <v>45398</v>
      </c>
      <c r="K65" s="963">
        <v>45498</v>
      </c>
    </row>
    <row r="66" spans="1:11">
      <c r="A66" s="959"/>
      <c r="B66" s="960"/>
      <c r="C66" s="961" t="s">
        <v>257</v>
      </c>
      <c r="D66" s="962">
        <v>1</v>
      </c>
      <c r="E66" s="963">
        <v>45421</v>
      </c>
      <c r="F66" s="963">
        <v>45421</v>
      </c>
      <c r="G66" s="962">
        <v>1</v>
      </c>
      <c r="H66" s="963">
        <v>45421</v>
      </c>
      <c r="I66" s="963">
        <v>45421</v>
      </c>
      <c r="J66" s="963">
        <v>45421</v>
      </c>
      <c r="K66" s="963">
        <v>45421</v>
      </c>
    </row>
    <row r="67" spans="1:11">
      <c r="A67" s="959"/>
      <c r="B67" s="960"/>
      <c r="C67" s="961" t="s">
        <v>258</v>
      </c>
      <c r="D67" s="962">
        <v>9</v>
      </c>
      <c r="E67" s="963">
        <v>45496</v>
      </c>
      <c r="F67" s="963">
        <v>45504</v>
      </c>
      <c r="G67" s="962">
        <v>9</v>
      </c>
      <c r="H67" s="963">
        <v>45496</v>
      </c>
      <c r="I67" s="963">
        <v>45504</v>
      </c>
      <c r="J67" s="963">
        <v>45496</v>
      </c>
      <c r="K67" s="963">
        <v>45504</v>
      </c>
    </row>
    <row r="68" spans="1:11">
      <c r="A68" s="959"/>
      <c r="B68" s="960"/>
      <c r="C68" s="961" t="s">
        <v>259</v>
      </c>
      <c r="D68" s="962">
        <v>102</v>
      </c>
      <c r="E68" s="963">
        <v>45600</v>
      </c>
      <c r="F68" s="963">
        <v>45701</v>
      </c>
      <c r="G68" s="962">
        <v>172</v>
      </c>
      <c r="H68" s="963">
        <v>45600</v>
      </c>
      <c r="I68" s="963"/>
      <c r="J68" s="963">
        <v>45600</v>
      </c>
      <c r="K68" s="963">
        <v>45771</v>
      </c>
    </row>
    <row r="69" spans="1:11">
      <c r="A69" s="959"/>
      <c r="B69" s="960"/>
      <c r="C69" s="961" t="s">
        <v>260</v>
      </c>
      <c r="D69" s="962">
        <v>226</v>
      </c>
      <c r="E69" s="963">
        <v>45470</v>
      </c>
      <c r="F69" s="963">
        <v>45695</v>
      </c>
      <c r="G69" s="962">
        <v>296</v>
      </c>
      <c r="H69" s="963">
        <v>45470</v>
      </c>
      <c r="I69" s="963"/>
      <c r="J69" s="963">
        <v>45470</v>
      </c>
      <c r="K69" s="963">
        <v>45765</v>
      </c>
    </row>
    <row r="70" spans="1:11">
      <c r="A70" s="959"/>
      <c r="B70" s="960"/>
      <c r="C70" s="961" t="s">
        <v>261</v>
      </c>
      <c r="D70" s="962">
        <v>106</v>
      </c>
      <c r="E70" s="963">
        <v>45427</v>
      </c>
      <c r="F70" s="963">
        <v>45532</v>
      </c>
      <c r="G70" s="962">
        <v>106</v>
      </c>
      <c r="H70" s="963">
        <v>45427</v>
      </c>
      <c r="I70" s="963">
        <v>45532</v>
      </c>
      <c r="J70" s="963">
        <v>45427</v>
      </c>
      <c r="K70" s="963">
        <v>45532</v>
      </c>
    </row>
    <row r="71" spans="1:11">
      <c r="A71" s="959"/>
      <c r="B71" s="960"/>
      <c r="C71" s="961" t="s">
        <v>262</v>
      </c>
      <c r="D71" s="962">
        <v>24</v>
      </c>
      <c r="E71" s="963">
        <v>45715</v>
      </c>
      <c r="F71" s="963">
        <v>45738</v>
      </c>
      <c r="G71" s="962">
        <v>24</v>
      </c>
      <c r="H71" s="963"/>
      <c r="I71" s="963"/>
      <c r="J71" s="963">
        <v>45785</v>
      </c>
      <c r="K71" s="963">
        <v>45808</v>
      </c>
    </row>
    <row r="72" spans="1:11">
      <c r="A72" s="959"/>
      <c r="B72" s="960"/>
      <c r="C72" s="961" t="s">
        <v>400</v>
      </c>
      <c r="D72" s="962">
        <v>8</v>
      </c>
      <c r="E72" s="963">
        <v>45755</v>
      </c>
      <c r="F72" s="963">
        <v>45762</v>
      </c>
      <c r="G72" s="962">
        <v>7</v>
      </c>
      <c r="H72" s="963">
        <v>45643</v>
      </c>
      <c r="I72" s="963"/>
      <c r="J72" s="963">
        <v>45797</v>
      </c>
      <c r="K72" s="963">
        <v>45803</v>
      </c>
    </row>
    <row r="73" spans="1:11" s="957" customFormat="1">
      <c r="A73" s="965" t="s">
        <v>393</v>
      </c>
      <c r="B73" s="968" t="s">
        <v>404</v>
      </c>
      <c r="C73" s="967"/>
      <c r="D73" s="955">
        <v>364</v>
      </c>
      <c r="E73" s="956">
        <v>45399</v>
      </c>
      <c r="F73" s="956">
        <v>45762</v>
      </c>
      <c r="G73" s="955">
        <v>434</v>
      </c>
      <c r="H73" s="956">
        <v>45399</v>
      </c>
      <c r="I73" s="956"/>
      <c r="J73" s="956">
        <v>45399</v>
      </c>
      <c r="K73" s="956">
        <v>45832</v>
      </c>
    </row>
    <row r="74" spans="1:11">
      <c r="A74" s="959"/>
      <c r="B74" s="960"/>
      <c r="C74" s="961" t="s">
        <v>397</v>
      </c>
      <c r="D74" s="962">
        <v>294</v>
      </c>
      <c r="E74" s="963">
        <v>45399</v>
      </c>
      <c r="F74" s="963">
        <v>45692</v>
      </c>
      <c r="G74" s="962">
        <v>364</v>
      </c>
      <c r="H74" s="963">
        <v>45399</v>
      </c>
      <c r="I74" s="963"/>
      <c r="J74" s="963">
        <v>45399</v>
      </c>
      <c r="K74" s="963">
        <v>45762</v>
      </c>
    </row>
    <row r="75" spans="1:11">
      <c r="A75" s="959"/>
      <c r="B75" s="960"/>
      <c r="C75" s="961" t="s">
        <v>398</v>
      </c>
      <c r="D75" s="962">
        <v>49</v>
      </c>
      <c r="E75" s="963">
        <v>45688</v>
      </c>
      <c r="F75" s="963">
        <v>45736</v>
      </c>
      <c r="G75" s="962">
        <v>112</v>
      </c>
      <c r="H75" s="963">
        <v>45688</v>
      </c>
      <c r="I75" s="963"/>
      <c r="J75" s="963">
        <v>45688</v>
      </c>
      <c r="K75" s="963">
        <v>45799</v>
      </c>
    </row>
    <row r="76" spans="1:11">
      <c r="A76" s="959"/>
      <c r="B76" s="960"/>
      <c r="C76" s="961" t="s">
        <v>248</v>
      </c>
      <c r="D76" s="962">
        <v>17</v>
      </c>
      <c r="E76" s="963">
        <v>45576</v>
      </c>
      <c r="F76" s="963">
        <v>45592</v>
      </c>
      <c r="G76" s="962">
        <v>17</v>
      </c>
      <c r="H76" s="963"/>
      <c r="I76" s="963"/>
      <c r="J76" s="963">
        <v>45779</v>
      </c>
      <c r="K76" s="963">
        <v>45795</v>
      </c>
    </row>
    <row r="77" spans="1:11">
      <c r="A77" s="959"/>
      <c r="B77" s="960"/>
      <c r="C77" s="961" t="s">
        <v>249</v>
      </c>
      <c r="D77" s="962">
        <v>143</v>
      </c>
      <c r="E77" s="963">
        <v>45549</v>
      </c>
      <c r="F77" s="963">
        <v>45691</v>
      </c>
      <c r="G77" s="962">
        <v>213</v>
      </c>
      <c r="H77" s="963">
        <v>45549</v>
      </c>
      <c r="I77" s="963"/>
      <c r="J77" s="963">
        <v>45549</v>
      </c>
      <c r="K77" s="963">
        <v>45761</v>
      </c>
    </row>
    <row r="78" spans="1:11">
      <c r="A78" s="959"/>
      <c r="B78" s="960"/>
      <c r="C78" s="961" t="s">
        <v>250</v>
      </c>
      <c r="D78" s="962">
        <v>74</v>
      </c>
      <c r="E78" s="963">
        <v>45658</v>
      </c>
      <c r="F78" s="963">
        <v>45731</v>
      </c>
      <c r="G78" s="962">
        <v>144</v>
      </c>
      <c r="H78" s="963">
        <v>45658</v>
      </c>
      <c r="I78" s="963"/>
      <c r="J78" s="963">
        <v>45658</v>
      </c>
      <c r="K78" s="963">
        <v>45801</v>
      </c>
    </row>
    <row r="79" spans="1:11">
      <c r="A79" s="959"/>
      <c r="B79" s="960"/>
      <c r="C79" s="961" t="s">
        <v>399</v>
      </c>
      <c r="D79" s="962">
        <v>92</v>
      </c>
      <c r="E79" s="963">
        <v>45657</v>
      </c>
      <c r="F79" s="963">
        <v>45748</v>
      </c>
      <c r="G79" s="962">
        <v>162</v>
      </c>
      <c r="H79" s="963">
        <v>45657</v>
      </c>
      <c r="I79" s="963"/>
      <c r="J79" s="963">
        <v>45657</v>
      </c>
      <c r="K79" s="963">
        <v>45818</v>
      </c>
    </row>
    <row r="80" spans="1:11">
      <c r="A80" s="959"/>
      <c r="B80" s="960"/>
      <c r="C80" s="961" t="s">
        <v>251</v>
      </c>
      <c r="D80" s="962">
        <v>19</v>
      </c>
      <c r="E80" s="963">
        <v>45707</v>
      </c>
      <c r="F80" s="963">
        <v>45725</v>
      </c>
      <c r="G80" s="962">
        <v>19</v>
      </c>
      <c r="H80" s="963"/>
      <c r="I80" s="963"/>
      <c r="J80" s="963">
        <v>45766</v>
      </c>
      <c r="K80" s="963">
        <v>45784</v>
      </c>
    </row>
    <row r="81" spans="1:11">
      <c r="A81" s="959"/>
      <c r="B81" s="960"/>
      <c r="C81" s="961" t="s">
        <v>252</v>
      </c>
      <c r="D81" s="962">
        <v>55</v>
      </c>
      <c r="E81" s="963">
        <v>45657</v>
      </c>
      <c r="F81" s="963">
        <v>45711</v>
      </c>
      <c r="G81" s="962">
        <v>125</v>
      </c>
      <c r="H81" s="963">
        <v>45657</v>
      </c>
      <c r="I81" s="963"/>
      <c r="J81" s="963">
        <v>45657</v>
      </c>
      <c r="K81" s="963">
        <v>45781</v>
      </c>
    </row>
    <row r="82" spans="1:11">
      <c r="A82" s="959"/>
      <c r="B82" s="960"/>
      <c r="C82" s="961" t="s">
        <v>253</v>
      </c>
      <c r="D82" s="962">
        <v>212</v>
      </c>
      <c r="E82" s="963">
        <v>45502</v>
      </c>
      <c r="F82" s="963">
        <v>45713</v>
      </c>
      <c r="G82" s="962">
        <v>212</v>
      </c>
      <c r="H82" s="963">
        <v>45502</v>
      </c>
      <c r="I82" s="963"/>
      <c r="J82" s="963">
        <v>45502</v>
      </c>
      <c r="K82" s="963">
        <v>45713</v>
      </c>
    </row>
    <row r="83" spans="1:11">
      <c r="A83" s="959"/>
      <c r="B83" s="960"/>
      <c r="C83" s="961" t="s">
        <v>254</v>
      </c>
      <c r="D83" s="962">
        <v>164</v>
      </c>
      <c r="E83" s="963">
        <v>45502</v>
      </c>
      <c r="F83" s="963">
        <v>45665</v>
      </c>
      <c r="G83" s="962">
        <v>249</v>
      </c>
      <c r="H83" s="963">
        <v>45502</v>
      </c>
      <c r="I83" s="963"/>
      <c r="J83" s="963">
        <v>45502</v>
      </c>
      <c r="K83" s="963">
        <v>45750</v>
      </c>
    </row>
    <row r="84" spans="1:11">
      <c r="A84" s="959"/>
      <c r="B84" s="960"/>
      <c r="C84" s="961" t="s">
        <v>255</v>
      </c>
      <c r="D84" s="962">
        <v>140</v>
      </c>
      <c r="E84" s="963">
        <v>45502</v>
      </c>
      <c r="F84" s="963">
        <v>45641</v>
      </c>
      <c r="G84" s="962">
        <v>140</v>
      </c>
      <c r="H84" s="963">
        <v>45502</v>
      </c>
      <c r="I84" s="963"/>
      <c r="J84" s="963">
        <v>45502</v>
      </c>
      <c r="K84" s="963">
        <v>45641</v>
      </c>
    </row>
    <row r="85" spans="1:11">
      <c r="A85" s="959"/>
      <c r="B85" s="960"/>
      <c r="C85" s="961" t="s">
        <v>256</v>
      </c>
      <c r="D85" s="962">
        <v>177</v>
      </c>
      <c r="E85" s="963">
        <v>45502</v>
      </c>
      <c r="F85" s="963">
        <v>45678</v>
      </c>
      <c r="G85" s="962">
        <v>247</v>
      </c>
      <c r="H85" s="963">
        <v>45502</v>
      </c>
      <c r="I85" s="963"/>
      <c r="J85" s="963">
        <v>45502</v>
      </c>
      <c r="K85" s="963">
        <v>45748</v>
      </c>
    </row>
    <row r="86" spans="1:11">
      <c r="A86" s="959"/>
      <c r="B86" s="960"/>
      <c r="C86" s="961" t="s">
        <v>257</v>
      </c>
      <c r="D86" s="962">
        <v>73</v>
      </c>
      <c r="E86" s="963">
        <v>45600</v>
      </c>
      <c r="F86" s="963">
        <v>45672</v>
      </c>
      <c r="G86" s="962">
        <v>73</v>
      </c>
      <c r="H86" s="963">
        <v>45600</v>
      </c>
      <c r="I86" s="963"/>
      <c r="J86" s="963">
        <v>45600</v>
      </c>
      <c r="K86" s="963">
        <v>45672</v>
      </c>
    </row>
    <row r="87" spans="1:11">
      <c r="A87" s="959"/>
      <c r="B87" s="960"/>
      <c r="C87" s="961" t="s">
        <v>258</v>
      </c>
      <c r="D87" s="962">
        <v>83</v>
      </c>
      <c r="E87" s="963">
        <v>45602</v>
      </c>
      <c r="F87" s="963">
        <v>45684</v>
      </c>
      <c r="G87" s="962">
        <v>153</v>
      </c>
      <c r="H87" s="963">
        <v>45602</v>
      </c>
      <c r="I87" s="963"/>
      <c r="J87" s="963">
        <v>45602</v>
      </c>
      <c r="K87" s="963">
        <v>45754</v>
      </c>
    </row>
    <row r="88" spans="1:11">
      <c r="A88" s="959"/>
      <c r="B88" s="960"/>
      <c r="C88" s="961" t="s">
        <v>259</v>
      </c>
      <c r="D88" s="962">
        <v>137</v>
      </c>
      <c r="E88" s="963">
        <v>45601</v>
      </c>
      <c r="F88" s="963">
        <v>45737</v>
      </c>
      <c r="G88" s="962">
        <v>193</v>
      </c>
      <c r="H88" s="963">
        <v>45601</v>
      </c>
      <c r="I88" s="963"/>
      <c r="J88" s="963">
        <v>45601</v>
      </c>
      <c r="K88" s="963">
        <v>45793</v>
      </c>
    </row>
    <row r="89" spans="1:11">
      <c r="A89" s="959"/>
      <c r="B89" s="960"/>
      <c r="C89" s="961" t="s">
        <v>260</v>
      </c>
      <c r="D89" s="962">
        <v>134</v>
      </c>
      <c r="E89" s="963">
        <v>45606</v>
      </c>
      <c r="F89" s="963">
        <v>45739</v>
      </c>
      <c r="G89" s="962">
        <v>204</v>
      </c>
      <c r="H89" s="963">
        <v>45606</v>
      </c>
      <c r="I89" s="963"/>
      <c r="J89" s="963">
        <v>45606</v>
      </c>
      <c r="K89" s="963">
        <v>45809</v>
      </c>
    </row>
    <row r="90" spans="1:11">
      <c r="A90" s="959"/>
      <c r="B90" s="960"/>
      <c r="C90" s="961" t="s">
        <v>261</v>
      </c>
      <c r="D90" s="962">
        <v>43</v>
      </c>
      <c r="E90" s="963">
        <v>45604</v>
      </c>
      <c r="F90" s="963">
        <v>45646</v>
      </c>
      <c r="G90" s="962">
        <v>43</v>
      </c>
      <c r="H90" s="963">
        <v>45604</v>
      </c>
      <c r="I90" s="963"/>
      <c r="J90" s="963">
        <v>45604</v>
      </c>
      <c r="K90" s="963">
        <v>45646</v>
      </c>
    </row>
    <row r="91" spans="1:11">
      <c r="A91" s="959"/>
      <c r="B91" s="960"/>
      <c r="C91" s="961" t="s">
        <v>262</v>
      </c>
      <c r="D91" s="962">
        <v>24</v>
      </c>
      <c r="E91" s="963">
        <v>45739</v>
      </c>
      <c r="F91" s="963">
        <v>45762</v>
      </c>
      <c r="G91" s="962">
        <v>24</v>
      </c>
      <c r="H91" s="963"/>
      <c r="I91" s="963"/>
      <c r="J91" s="963">
        <v>45809</v>
      </c>
      <c r="K91" s="963">
        <v>45832</v>
      </c>
    </row>
    <row r="92" spans="1:11">
      <c r="A92" s="965" t="s">
        <v>393</v>
      </c>
      <c r="B92" s="965" t="s">
        <v>405</v>
      </c>
      <c r="C92" s="967"/>
      <c r="D92" s="955">
        <v>185</v>
      </c>
      <c r="E92" s="956">
        <v>45578</v>
      </c>
      <c r="F92" s="956">
        <v>45762</v>
      </c>
      <c r="G92" s="955">
        <v>434</v>
      </c>
      <c r="H92" s="956">
        <v>45399</v>
      </c>
      <c r="I92" s="956"/>
      <c r="J92" s="956">
        <v>45399</v>
      </c>
      <c r="K92" s="956">
        <v>45832</v>
      </c>
    </row>
    <row r="93" spans="1:11" s="957" customFormat="1">
      <c r="A93" s="965" t="s">
        <v>393</v>
      </c>
      <c r="B93" s="965" t="s">
        <v>406</v>
      </c>
      <c r="C93" s="967"/>
      <c r="D93" s="955">
        <v>96</v>
      </c>
      <c r="E93" s="956">
        <v>45612</v>
      </c>
      <c r="F93" s="956">
        <v>45707</v>
      </c>
      <c r="G93" s="955">
        <v>159</v>
      </c>
      <c r="H93" s="956">
        <v>45612</v>
      </c>
      <c r="I93" s="956"/>
      <c r="J93" s="956">
        <v>45612</v>
      </c>
      <c r="K93" s="956">
        <v>45770</v>
      </c>
    </row>
    <row r="94" spans="1:11">
      <c r="A94" s="959"/>
      <c r="B94" s="959"/>
      <c r="C94" s="961" t="s">
        <v>407</v>
      </c>
      <c r="D94" s="962">
        <v>80</v>
      </c>
      <c r="E94" s="963">
        <v>45612</v>
      </c>
      <c r="F94" s="963">
        <v>45691</v>
      </c>
      <c r="G94" s="962">
        <v>150</v>
      </c>
      <c r="H94" s="963">
        <v>45612</v>
      </c>
      <c r="I94" s="963"/>
      <c r="J94" s="963">
        <v>45612</v>
      </c>
      <c r="K94" s="963">
        <v>45761</v>
      </c>
    </row>
    <row r="95" spans="1:11">
      <c r="A95" s="959"/>
      <c r="B95" s="959"/>
      <c r="C95" s="961" t="s">
        <v>408</v>
      </c>
      <c r="D95" s="962">
        <v>82</v>
      </c>
      <c r="E95" s="963">
        <v>45612</v>
      </c>
      <c r="F95" s="963">
        <v>45693</v>
      </c>
      <c r="G95" s="962">
        <v>152</v>
      </c>
      <c r="H95" s="963">
        <v>45612</v>
      </c>
      <c r="I95" s="963"/>
      <c r="J95" s="963">
        <v>45612</v>
      </c>
      <c r="K95" s="963">
        <v>45763</v>
      </c>
    </row>
    <row r="96" spans="1:11">
      <c r="A96" s="959"/>
      <c r="B96" s="959"/>
      <c r="C96" s="961" t="s">
        <v>409</v>
      </c>
      <c r="D96" s="962">
        <v>80</v>
      </c>
      <c r="E96" s="963">
        <v>45612</v>
      </c>
      <c r="F96" s="963">
        <v>45691</v>
      </c>
      <c r="G96" s="962">
        <v>150</v>
      </c>
      <c r="H96" s="963">
        <v>45612</v>
      </c>
      <c r="I96" s="963"/>
      <c r="J96" s="963">
        <v>45612</v>
      </c>
      <c r="K96" s="963">
        <v>45761</v>
      </c>
    </row>
    <row r="97" spans="1:11">
      <c r="A97" s="959"/>
      <c r="B97" s="959"/>
      <c r="C97" s="961" t="s">
        <v>410</v>
      </c>
      <c r="D97" s="962">
        <v>80</v>
      </c>
      <c r="E97" s="963">
        <v>45612</v>
      </c>
      <c r="F97" s="963">
        <v>45691</v>
      </c>
      <c r="G97" s="962">
        <v>150</v>
      </c>
      <c r="H97" s="963">
        <v>45612</v>
      </c>
      <c r="I97" s="963"/>
      <c r="J97" s="963">
        <v>45612</v>
      </c>
      <c r="K97" s="963">
        <v>45761</v>
      </c>
    </row>
    <row r="98" spans="1:11">
      <c r="A98" s="959"/>
      <c r="B98" s="959"/>
      <c r="C98" s="961" t="s">
        <v>411</v>
      </c>
      <c r="D98" s="962">
        <v>80</v>
      </c>
      <c r="E98" s="963">
        <v>45612</v>
      </c>
      <c r="F98" s="963">
        <v>45691</v>
      </c>
      <c r="G98" s="962">
        <v>150</v>
      </c>
      <c r="H98" s="963">
        <v>45612</v>
      </c>
      <c r="I98" s="963"/>
      <c r="J98" s="963">
        <v>45612</v>
      </c>
      <c r="K98" s="963">
        <v>45761</v>
      </c>
    </row>
    <row r="99" spans="1:11">
      <c r="A99" s="959"/>
      <c r="B99" s="959"/>
      <c r="C99" s="961" t="s">
        <v>412</v>
      </c>
      <c r="D99" s="962">
        <v>80</v>
      </c>
      <c r="E99" s="963">
        <v>45612</v>
      </c>
      <c r="F99" s="963">
        <v>45691</v>
      </c>
      <c r="G99" s="962">
        <v>150</v>
      </c>
      <c r="H99" s="963">
        <v>45612</v>
      </c>
      <c r="I99" s="963"/>
      <c r="J99" s="963">
        <v>45612</v>
      </c>
      <c r="K99" s="963">
        <v>45761</v>
      </c>
    </row>
    <row r="100" spans="1:11">
      <c r="A100" s="959"/>
      <c r="B100" s="959"/>
      <c r="C100" s="961" t="s">
        <v>413</v>
      </c>
      <c r="D100" s="962">
        <v>70</v>
      </c>
      <c r="E100" s="963">
        <v>45631</v>
      </c>
      <c r="F100" s="963">
        <v>45700</v>
      </c>
      <c r="G100" s="962">
        <v>140</v>
      </c>
      <c r="H100" s="963">
        <v>45631</v>
      </c>
      <c r="I100" s="963"/>
      <c r="J100" s="963">
        <v>45631</v>
      </c>
      <c r="K100" s="963">
        <v>45770</v>
      </c>
    </row>
    <row r="101" spans="1:11">
      <c r="A101" s="959"/>
      <c r="B101" s="959"/>
      <c r="C101" s="961" t="s">
        <v>414</v>
      </c>
      <c r="D101" s="962">
        <v>80</v>
      </c>
      <c r="E101" s="963">
        <v>45612</v>
      </c>
      <c r="F101" s="963">
        <v>45691</v>
      </c>
      <c r="G101" s="962">
        <v>150</v>
      </c>
      <c r="H101" s="963">
        <v>45612</v>
      </c>
      <c r="I101" s="963"/>
      <c r="J101" s="963">
        <v>45612</v>
      </c>
      <c r="K101" s="963">
        <v>45761</v>
      </c>
    </row>
    <row r="102" spans="1:11">
      <c r="A102" s="959"/>
      <c r="B102" s="959"/>
      <c r="C102" s="961" t="s">
        <v>415</v>
      </c>
      <c r="D102" s="962">
        <v>19</v>
      </c>
      <c r="E102" s="963">
        <v>45687</v>
      </c>
      <c r="F102" s="963">
        <v>45705</v>
      </c>
      <c r="G102" s="962">
        <v>75</v>
      </c>
      <c r="H102" s="963">
        <v>45687</v>
      </c>
      <c r="I102" s="963"/>
      <c r="J102" s="963">
        <v>45687</v>
      </c>
      <c r="K102" s="963">
        <v>45761</v>
      </c>
    </row>
    <row r="103" spans="1:11">
      <c r="A103" s="959"/>
      <c r="B103" s="959"/>
      <c r="C103" s="961" t="s">
        <v>416</v>
      </c>
      <c r="D103" s="962">
        <v>73</v>
      </c>
      <c r="E103" s="963">
        <v>45612</v>
      </c>
      <c r="F103" s="963">
        <v>45684</v>
      </c>
      <c r="G103" s="962">
        <v>143</v>
      </c>
      <c r="H103" s="963">
        <v>45612</v>
      </c>
      <c r="I103" s="963"/>
      <c r="J103" s="963">
        <v>45612</v>
      </c>
      <c r="K103" s="963">
        <v>45754</v>
      </c>
    </row>
    <row r="104" spans="1:11">
      <c r="A104" s="959"/>
      <c r="B104" s="959"/>
      <c r="C104" s="961" t="s">
        <v>417</v>
      </c>
      <c r="D104" s="962">
        <v>73</v>
      </c>
      <c r="E104" s="963">
        <v>45612</v>
      </c>
      <c r="F104" s="963">
        <v>45684</v>
      </c>
      <c r="G104" s="962">
        <v>143</v>
      </c>
      <c r="H104" s="963">
        <v>45612</v>
      </c>
      <c r="I104" s="963"/>
      <c r="J104" s="963">
        <v>45612</v>
      </c>
      <c r="K104" s="963">
        <v>45754</v>
      </c>
    </row>
    <row r="105" spans="1:11">
      <c r="A105" s="959"/>
      <c r="B105" s="959"/>
      <c r="C105" s="961" t="s">
        <v>418</v>
      </c>
      <c r="D105" s="962">
        <v>21</v>
      </c>
      <c r="E105" s="963">
        <v>45687</v>
      </c>
      <c r="F105" s="963">
        <v>45707</v>
      </c>
      <c r="G105" s="962">
        <v>21</v>
      </c>
      <c r="H105" s="963"/>
      <c r="I105" s="963"/>
      <c r="J105" s="963">
        <v>45748</v>
      </c>
      <c r="K105" s="963">
        <v>45768</v>
      </c>
    </row>
    <row r="106" spans="1:11" s="957" customFormat="1">
      <c r="A106" s="965" t="s">
        <v>419</v>
      </c>
      <c r="B106" s="965" t="s">
        <v>420</v>
      </c>
      <c r="C106" s="967"/>
      <c r="D106" s="955">
        <v>369</v>
      </c>
      <c r="E106" s="956">
        <v>45354</v>
      </c>
      <c r="F106" s="956">
        <v>45722</v>
      </c>
      <c r="G106" s="955">
        <v>439</v>
      </c>
      <c r="H106" s="956">
        <v>45354</v>
      </c>
      <c r="I106" s="956"/>
      <c r="J106" s="956">
        <v>45354</v>
      </c>
      <c r="K106" s="956">
        <v>45792</v>
      </c>
    </row>
    <row r="107" spans="1:11">
      <c r="A107" s="959"/>
      <c r="B107" s="959"/>
      <c r="C107" s="961" t="s">
        <v>421</v>
      </c>
      <c r="D107" s="962">
        <v>1</v>
      </c>
      <c r="E107" s="963">
        <v>45719</v>
      </c>
      <c r="F107" s="963">
        <v>45719</v>
      </c>
      <c r="G107" s="962">
        <v>1</v>
      </c>
      <c r="H107" s="963">
        <v>45354</v>
      </c>
      <c r="I107" s="963">
        <v>45354</v>
      </c>
      <c r="J107" s="963">
        <v>45354</v>
      </c>
      <c r="K107" s="963">
        <v>45354</v>
      </c>
    </row>
    <row r="108" spans="1:11">
      <c r="A108" s="959"/>
      <c r="B108" s="959"/>
      <c r="C108" s="961" t="s">
        <v>422</v>
      </c>
      <c r="D108" s="962">
        <v>1</v>
      </c>
      <c r="E108" s="963">
        <v>45391</v>
      </c>
      <c r="F108" s="963">
        <v>45391</v>
      </c>
      <c r="G108" s="962">
        <v>1</v>
      </c>
      <c r="H108" s="963">
        <v>45391</v>
      </c>
      <c r="I108" s="963">
        <v>45391</v>
      </c>
      <c r="J108" s="963">
        <v>45391</v>
      </c>
      <c r="K108" s="963">
        <v>45391</v>
      </c>
    </row>
    <row r="109" spans="1:11">
      <c r="A109" s="959"/>
      <c r="B109" s="959"/>
      <c r="C109" s="961" t="s">
        <v>423</v>
      </c>
      <c r="D109" s="962">
        <v>1</v>
      </c>
      <c r="E109" s="963">
        <v>45719</v>
      </c>
      <c r="F109" s="963">
        <v>45719</v>
      </c>
      <c r="G109" s="962">
        <v>1</v>
      </c>
      <c r="H109" s="963">
        <v>45354</v>
      </c>
      <c r="I109" s="963">
        <v>45354</v>
      </c>
      <c r="J109" s="963">
        <v>45354</v>
      </c>
      <c r="K109" s="963">
        <v>45354</v>
      </c>
    </row>
    <row r="110" spans="1:11">
      <c r="A110" s="959"/>
      <c r="B110" s="959"/>
      <c r="C110" s="961" t="s">
        <v>424</v>
      </c>
      <c r="D110" s="962">
        <v>1</v>
      </c>
      <c r="E110" s="963">
        <v>45545</v>
      </c>
      <c r="F110" s="963">
        <v>45545</v>
      </c>
      <c r="G110" s="962">
        <v>1</v>
      </c>
      <c r="H110" s="963">
        <v>45545</v>
      </c>
      <c r="I110" s="963">
        <v>45545</v>
      </c>
      <c r="J110" s="963">
        <v>45545</v>
      </c>
      <c r="K110" s="963">
        <v>45545</v>
      </c>
    </row>
    <row r="111" spans="1:11">
      <c r="A111" s="959"/>
      <c r="B111" s="959"/>
      <c r="C111" s="961" t="s">
        <v>425</v>
      </c>
      <c r="D111" s="962">
        <v>1</v>
      </c>
      <c r="E111" s="963">
        <v>45491</v>
      </c>
      <c r="F111" s="963">
        <v>45491</v>
      </c>
      <c r="G111" s="962">
        <v>1</v>
      </c>
      <c r="H111" s="963">
        <v>45491</v>
      </c>
      <c r="I111" s="963">
        <v>45491</v>
      </c>
      <c r="J111" s="963">
        <v>45491</v>
      </c>
      <c r="K111" s="963">
        <v>45491</v>
      </c>
    </row>
    <row r="112" spans="1:11">
      <c r="A112" s="959"/>
      <c r="B112" s="959"/>
      <c r="C112" s="961" t="s">
        <v>426</v>
      </c>
      <c r="D112" s="962">
        <v>27</v>
      </c>
      <c r="E112" s="963">
        <v>45504</v>
      </c>
      <c r="F112" s="963">
        <v>45530</v>
      </c>
      <c r="G112" s="962">
        <v>1</v>
      </c>
      <c r="H112" s="963">
        <v>45504</v>
      </c>
      <c r="I112" s="963">
        <v>45504</v>
      </c>
      <c r="J112" s="963">
        <v>45504</v>
      </c>
      <c r="K112" s="963">
        <v>45504</v>
      </c>
    </row>
    <row r="113" spans="1:11">
      <c r="A113" s="959"/>
      <c r="B113" s="959"/>
      <c r="C113" s="961" t="s">
        <v>427</v>
      </c>
      <c r="D113" s="962">
        <v>33</v>
      </c>
      <c r="E113" s="963">
        <v>45434</v>
      </c>
      <c r="F113" s="963">
        <v>45466</v>
      </c>
      <c r="G113" s="962">
        <v>1</v>
      </c>
      <c r="H113" s="963">
        <v>45434</v>
      </c>
      <c r="I113" s="963">
        <v>45434</v>
      </c>
      <c r="J113" s="963">
        <v>45434</v>
      </c>
      <c r="K113" s="963">
        <v>45434</v>
      </c>
    </row>
    <row r="114" spans="1:11">
      <c r="A114" s="959"/>
      <c r="B114" s="959"/>
      <c r="C114" s="961" t="s">
        <v>428</v>
      </c>
      <c r="D114" s="962">
        <v>40</v>
      </c>
      <c r="E114" s="963">
        <v>45434</v>
      </c>
      <c r="F114" s="963">
        <v>45473</v>
      </c>
      <c r="G114" s="962">
        <v>1</v>
      </c>
      <c r="H114" s="963">
        <v>45434</v>
      </c>
      <c r="I114" s="963">
        <v>45434</v>
      </c>
      <c r="J114" s="963">
        <v>45434</v>
      </c>
      <c r="K114" s="963">
        <v>45434</v>
      </c>
    </row>
    <row r="115" spans="1:11">
      <c r="A115" s="959"/>
      <c r="B115" s="959"/>
      <c r="C115" s="961" t="s">
        <v>429</v>
      </c>
      <c r="D115" s="962">
        <v>44</v>
      </c>
      <c r="E115" s="963">
        <v>45454</v>
      </c>
      <c r="F115" s="963">
        <v>45497</v>
      </c>
      <c r="G115" s="962">
        <v>1</v>
      </c>
      <c r="H115" s="963">
        <v>45454</v>
      </c>
      <c r="I115" s="963">
        <v>45454</v>
      </c>
      <c r="J115" s="963">
        <v>45454</v>
      </c>
      <c r="K115" s="963">
        <v>45454</v>
      </c>
    </row>
    <row r="116" spans="1:11">
      <c r="A116" s="959"/>
      <c r="B116" s="959"/>
      <c r="C116" s="961" t="s">
        <v>430</v>
      </c>
      <c r="D116" s="962">
        <v>44</v>
      </c>
      <c r="E116" s="963">
        <v>45400</v>
      </c>
      <c r="F116" s="963">
        <v>45443</v>
      </c>
      <c r="G116" s="962">
        <v>1</v>
      </c>
      <c r="H116" s="963">
        <v>45400</v>
      </c>
      <c r="I116" s="963">
        <v>45400</v>
      </c>
      <c r="J116" s="963">
        <v>45400</v>
      </c>
      <c r="K116" s="963">
        <v>45400</v>
      </c>
    </row>
    <row r="117" spans="1:11">
      <c r="A117" s="959"/>
      <c r="B117" s="959"/>
      <c r="C117" s="961" t="s">
        <v>431</v>
      </c>
      <c r="D117" s="962">
        <v>43</v>
      </c>
      <c r="E117" s="963">
        <v>45411</v>
      </c>
      <c r="F117" s="963">
        <v>45453</v>
      </c>
      <c r="G117" s="962">
        <v>1</v>
      </c>
      <c r="H117" s="963">
        <v>45411</v>
      </c>
      <c r="I117" s="963">
        <v>45411</v>
      </c>
      <c r="J117" s="963">
        <v>45411</v>
      </c>
      <c r="K117" s="963">
        <v>45411</v>
      </c>
    </row>
    <row r="118" spans="1:11">
      <c r="A118" s="959"/>
      <c r="B118" s="959"/>
      <c r="C118" s="961" t="s">
        <v>104</v>
      </c>
      <c r="D118" s="962">
        <v>41</v>
      </c>
      <c r="E118" s="963">
        <v>45391</v>
      </c>
      <c r="F118" s="963">
        <v>45431</v>
      </c>
      <c r="G118" s="962">
        <v>1</v>
      </c>
      <c r="H118" s="963">
        <v>45391</v>
      </c>
      <c r="I118" s="963">
        <v>45391</v>
      </c>
      <c r="J118" s="963">
        <v>45391</v>
      </c>
      <c r="K118" s="963">
        <v>45391</v>
      </c>
    </row>
    <row r="119" spans="1:11">
      <c r="A119" s="959"/>
      <c r="B119" s="959"/>
      <c r="C119" s="961" t="s">
        <v>432</v>
      </c>
      <c r="D119" s="962">
        <v>42</v>
      </c>
      <c r="E119" s="963">
        <v>45391</v>
      </c>
      <c r="F119" s="963">
        <v>45432</v>
      </c>
      <c r="G119" s="962">
        <v>1</v>
      </c>
      <c r="H119" s="963">
        <v>45391</v>
      </c>
      <c r="I119" s="963">
        <v>45391</v>
      </c>
      <c r="J119" s="963">
        <v>45391</v>
      </c>
      <c r="K119" s="963">
        <v>45391</v>
      </c>
    </row>
    <row r="120" spans="1:11">
      <c r="A120" s="959"/>
      <c r="B120" s="959"/>
      <c r="C120" s="961" t="s">
        <v>433</v>
      </c>
      <c r="D120" s="962">
        <v>43</v>
      </c>
      <c r="E120" s="963">
        <v>45391</v>
      </c>
      <c r="F120" s="963">
        <v>45433</v>
      </c>
      <c r="G120" s="962">
        <v>1</v>
      </c>
      <c r="H120" s="963">
        <v>45391</v>
      </c>
      <c r="I120" s="963">
        <v>45391</v>
      </c>
      <c r="J120" s="963">
        <v>45391</v>
      </c>
      <c r="K120" s="963">
        <v>45391</v>
      </c>
    </row>
    <row r="121" spans="1:11">
      <c r="A121" s="959"/>
      <c r="B121" s="959"/>
      <c r="C121" s="961" t="s">
        <v>434</v>
      </c>
      <c r="D121" s="962">
        <v>1</v>
      </c>
      <c r="E121" s="963">
        <v>45391</v>
      </c>
      <c r="F121" s="963">
        <v>45391</v>
      </c>
      <c r="G121" s="962">
        <v>1</v>
      </c>
      <c r="H121" s="963">
        <v>45391</v>
      </c>
      <c r="I121" s="963">
        <v>45391</v>
      </c>
      <c r="J121" s="963">
        <v>45391</v>
      </c>
      <c r="K121" s="963">
        <v>45391</v>
      </c>
    </row>
    <row r="122" spans="1:11">
      <c r="A122" s="959"/>
      <c r="B122" s="959"/>
      <c r="C122" s="961" t="s">
        <v>435</v>
      </c>
      <c r="D122" s="962">
        <v>1</v>
      </c>
      <c r="E122" s="963"/>
      <c r="F122" s="963"/>
      <c r="G122" s="962">
        <v>1</v>
      </c>
      <c r="H122" s="963"/>
      <c r="I122" s="963"/>
      <c r="J122" s="963"/>
      <c r="K122" s="963"/>
    </row>
    <row r="123" spans="1:11">
      <c r="A123" s="959"/>
      <c r="B123" s="959"/>
      <c r="C123" s="961" t="s">
        <v>436</v>
      </c>
      <c r="D123" s="962">
        <v>1</v>
      </c>
      <c r="E123" s="963">
        <v>45510</v>
      </c>
      <c r="F123" s="963">
        <v>45510</v>
      </c>
      <c r="G123" s="962">
        <v>1</v>
      </c>
      <c r="H123" s="963">
        <v>45510</v>
      </c>
      <c r="I123" s="963">
        <v>45510</v>
      </c>
      <c r="J123" s="963">
        <v>45510</v>
      </c>
      <c r="K123" s="963">
        <v>45510</v>
      </c>
    </row>
    <row r="124" spans="1:11">
      <c r="A124" s="959"/>
      <c r="B124" s="959"/>
      <c r="C124" s="961" t="s">
        <v>437</v>
      </c>
      <c r="D124" s="962">
        <v>1</v>
      </c>
      <c r="E124" s="963"/>
      <c r="F124" s="963"/>
      <c r="G124" s="962">
        <v>1</v>
      </c>
      <c r="H124" s="963"/>
      <c r="I124" s="963"/>
      <c r="J124" s="963"/>
      <c r="K124" s="963"/>
    </row>
    <row r="125" spans="1:11">
      <c r="A125" s="959"/>
      <c r="B125" s="959"/>
      <c r="C125" s="961" t="s">
        <v>438</v>
      </c>
      <c r="D125" s="962">
        <v>1</v>
      </c>
      <c r="E125" s="963">
        <v>45394</v>
      </c>
      <c r="F125" s="963">
        <v>45394</v>
      </c>
      <c r="G125" s="962">
        <v>1</v>
      </c>
      <c r="H125" s="963">
        <v>45394</v>
      </c>
      <c r="I125" s="963">
        <v>45394</v>
      </c>
      <c r="J125" s="963">
        <v>45394</v>
      </c>
      <c r="K125" s="963">
        <v>45394</v>
      </c>
    </row>
    <row r="126" spans="1:11">
      <c r="A126" s="959"/>
      <c r="B126" s="959"/>
      <c r="C126" s="961" t="s">
        <v>439</v>
      </c>
      <c r="D126" s="962">
        <v>1</v>
      </c>
      <c r="E126" s="963">
        <v>45400</v>
      </c>
      <c r="F126" s="963">
        <v>45400</v>
      </c>
      <c r="G126" s="962">
        <v>1</v>
      </c>
      <c r="H126" s="963">
        <v>45400</v>
      </c>
      <c r="I126" s="963">
        <v>45400</v>
      </c>
      <c r="J126" s="963">
        <v>45400</v>
      </c>
      <c r="K126" s="963">
        <v>45400</v>
      </c>
    </row>
    <row r="127" spans="1:11">
      <c r="A127" s="959"/>
      <c r="B127" s="959"/>
      <c r="C127" s="961" t="s">
        <v>440</v>
      </c>
      <c r="D127" s="962">
        <v>1</v>
      </c>
      <c r="E127" s="963">
        <v>45588</v>
      </c>
      <c r="F127" s="963">
        <v>45588</v>
      </c>
      <c r="G127" s="962">
        <v>1</v>
      </c>
      <c r="H127" s="963">
        <v>45588</v>
      </c>
      <c r="I127" s="963">
        <v>45588</v>
      </c>
      <c r="J127" s="963">
        <v>45588</v>
      </c>
      <c r="K127" s="963">
        <v>45588</v>
      </c>
    </row>
    <row r="128" spans="1:11">
      <c r="A128" s="959"/>
      <c r="B128" s="959"/>
      <c r="C128" s="961" t="s">
        <v>441</v>
      </c>
      <c r="D128" s="962">
        <v>45</v>
      </c>
      <c r="E128" s="963">
        <v>45678</v>
      </c>
      <c r="F128" s="963">
        <v>45722</v>
      </c>
      <c r="G128" s="962">
        <v>45</v>
      </c>
      <c r="H128" s="963"/>
      <c r="I128" s="963"/>
      <c r="J128" s="963">
        <v>45748</v>
      </c>
      <c r="K128" s="963">
        <v>45792</v>
      </c>
    </row>
    <row r="129" spans="1:11">
      <c r="A129" s="959"/>
      <c r="B129" s="959"/>
      <c r="C129" s="961" t="s">
        <v>442</v>
      </c>
      <c r="D129" s="962">
        <v>1</v>
      </c>
      <c r="E129" s="963">
        <v>45529</v>
      </c>
      <c r="F129" s="963">
        <v>45529</v>
      </c>
      <c r="G129" s="962">
        <v>1</v>
      </c>
      <c r="H129" s="963">
        <v>45529</v>
      </c>
      <c r="I129" s="963">
        <v>45529</v>
      </c>
      <c r="J129" s="963">
        <v>45529</v>
      </c>
      <c r="K129" s="963">
        <v>45529</v>
      </c>
    </row>
    <row r="130" spans="1:11">
      <c r="A130" s="959"/>
      <c r="B130" s="959"/>
      <c r="C130" s="961" t="s">
        <v>443</v>
      </c>
      <c r="D130" s="962">
        <v>45</v>
      </c>
      <c r="E130" s="963">
        <v>45678</v>
      </c>
      <c r="F130" s="963">
        <v>45722</v>
      </c>
      <c r="G130" s="962">
        <v>45</v>
      </c>
      <c r="H130" s="963"/>
      <c r="I130" s="963"/>
      <c r="J130" s="963">
        <v>45748</v>
      </c>
      <c r="K130" s="963">
        <v>45792</v>
      </c>
    </row>
    <row r="131" spans="1:11">
      <c r="A131" s="959"/>
      <c r="B131" s="959"/>
      <c r="C131" s="961" t="s">
        <v>444</v>
      </c>
      <c r="D131" s="962">
        <v>1</v>
      </c>
      <c r="E131" s="963">
        <v>45532</v>
      </c>
      <c r="F131" s="963">
        <v>45532</v>
      </c>
      <c r="G131" s="962">
        <v>1</v>
      </c>
      <c r="H131" s="963">
        <v>45532</v>
      </c>
      <c r="I131" s="963">
        <v>45532</v>
      </c>
      <c r="J131" s="963">
        <v>45532</v>
      </c>
      <c r="K131" s="963">
        <v>45532</v>
      </c>
    </row>
    <row r="132" spans="1:11">
      <c r="A132" s="959"/>
      <c r="B132" s="959"/>
      <c r="C132" s="961" t="s">
        <v>445</v>
      </c>
      <c r="D132" s="962">
        <v>45</v>
      </c>
      <c r="E132" s="963">
        <v>45678</v>
      </c>
      <c r="F132" s="963">
        <v>45722</v>
      </c>
      <c r="G132" s="962">
        <v>45</v>
      </c>
      <c r="H132" s="963"/>
      <c r="I132" s="963"/>
      <c r="J132" s="963">
        <v>45748</v>
      </c>
      <c r="K132" s="963">
        <v>45792</v>
      </c>
    </row>
    <row r="133" spans="1:11">
      <c r="A133" s="959"/>
      <c r="B133" s="959"/>
      <c r="C133" s="961" t="s">
        <v>446</v>
      </c>
      <c r="D133" s="962">
        <v>1</v>
      </c>
      <c r="E133" s="963">
        <v>45504</v>
      </c>
      <c r="F133" s="963">
        <v>45504</v>
      </c>
      <c r="G133" s="962">
        <v>1</v>
      </c>
      <c r="H133" s="963">
        <v>45504</v>
      </c>
      <c r="I133" s="963">
        <v>45504</v>
      </c>
      <c r="J133" s="963">
        <v>45504</v>
      </c>
      <c r="K133" s="963">
        <v>45504</v>
      </c>
    </row>
    <row r="134" spans="1:11">
      <c r="A134" s="959"/>
      <c r="B134" s="959"/>
      <c r="C134" s="961" t="s">
        <v>447</v>
      </c>
      <c r="D134" s="962">
        <v>1</v>
      </c>
      <c r="E134" s="963">
        <v>45441</v>
      </c>
      <c r="F134" s="963">
        <v>45441</v>
      </c>
      <c r="G134" s="962">
        <v>1</v>
      </c>
      <c r="H134" s="963">
        <v>45441</v>
      </c>
      <c r="I134" s="963">
        <v>45441</v>
      </c>
      <c r="J134" s="963">
        <v>45441</v>
      </c>
      <c r="K134" s="963">
        <v>45441</v>
      </c>
    </row>
    <row r="135" spans="1:11">
      <c r="A135" s="959"/>
      <c r="B135" s="959"/>
      <c r="C135" s="961" t="s">
        <v>448</v>
      </c>
      <c r="D135" s="962">
        <v>1</v>
      </c>
      <c r="E135" s="963">
        <v>45441</v>
      </c>
      <c r="F135" s="963">
        <v>45441</v>
      </c>
      <c r="G135" s="962">
        <v>1</v>
      </c>
      <c r="H135" s="963">
        <v>45441</v>
      </c>
      <c r="I135" s="963">
        <v>45441</v>
      </c>
      <c r="J135" s="963">
        <v>45441</v>
      </c>
      <c r="K135" s="963">
        <v>45441</v>
      </c>
    </row>
    <row r="136" spans="1:11">
      <c r="A136" s="959"/>
      <c r="B136" s="959"/>
      <c r="C136" s="961" t="s">
        <v>449</v>
      </c>
      <c r="D136" s="962">
        <v>1</v>
      </c>
      <c r="E136" s="963">
        <v>45510</v>
      </c>
      <c r="F136" s="963">
        <v>45510</v>
      </c>
      <c r="G136" s="962">
        <v>1</v>
      </c>
      <c r="H136" s="963">
        <v>45510</v>
      </c>
      <c r="I136" s="963">
        <v>45510</v>
      </c>
      <c r="J136" s="963">
        <v>45510</v>
      </c>
      <c r="K136" s="963">
        <v>45510</v>
      </c>
    </row>
    <row r="137" spans="1:11">
      <c r="A137" s="959"/>
      <c r="B137" s="959"/>
      <c r="C137" s="961" t="s">
        <v>450</v>
      </c>
      <c r="D137" s="962">
        <v>20</v>
      </c>
      <c r="E137" s="963">
        <v>45678</v>
      </c>
      <c r="F137" s="963">
        <v>45697</v>
      </c>
      <c r="G137" s="962">
        <v>20</v>
      </c>
      <c r="H137" s="963"/>
      <c r="I137" s="963"/>
      <c r="J137" s="963">
        <v>45748</v>
      </c>
      <c r="K137" s="963">
        <v>45767</v>
      </c>
    </row>
    <row r="138" spans="1:11">
      <c r="A138" s="959"/>
      <c r="B138" s="959"/>
      <c r="C138" s="961" t="s">
        <v>451</v>
      </c>
      <c r="D138" s="962">
        <v>30</v>
      </c>
      <c r="E138" s="963">
        <v>45678</v>
      </c>
      <c r="F138" s="963">
        <v>45707</v>
      </c>
      <c r="G138" s="962">
        <v>30</v>
      </c>
      <c r="H138" s="963"/>
      <c r="I138" s="963"/>
      <c r="J138" s="963">
        <v>45748</v>
      </c>
      <c r="K138" s="963">
        <v>45777</v>
      </c>
    </row>
    <row r="139" spans="1:11">
      <c r="A139" s="959"/>
      <c r="B139" s="959"/>
      <c r="C139" s="961" t="s">
        <v>452</v>
      </c>
      <c r="D139" s="962">
        <v>1</v>
      </c>
      <c r="E139" s="963">
        <v>45354</v>
      </c>
      <c r="F139" s="963">
        <v>45354</v>
      </c>
      <c r="G139" s="962">
        <v>1</v>
      </c>
      <c r="H139" s="963">
        <v>45354</v>
      </c>
      <c r="I139" s="963">
        <v>45354</v>
      </c>
      <c r="J139" s="963">
        <v>45354</v>
      </c>
      <c r="K139" s="963">
        <v>45354</v>
      </c>
    </row>
    <row r="140" spans="1:11">
      <c r="A140" s="959"/>
      <c r="B140" s="959"/>
      <c r="C140" s="961" t="s">
        <v>453</v>
      </c>
      <c r="D140" s="962">
        <v>1</v>
      </c>
      <c r="E140" s="963">
        <v>45354</v>
      </c>
      <c r="F140" s="963">
        <v>45354</v>
      </c>
      <c r="G140" s="962">
        <v>1</v>
      </c>
      <c r="H140" s="963">
        <v>45354</v>
      </c>
      <c r="I140" s="963">
        <v>45354</v>
      </c>
      <c r="J140" s="963">
        <v>45354</v>
      </c>
      <c r="K140" s="963">
        <v>45354</v>
      </c>
    </row>
    <row r="141" spans="1:11">
      <c r="A141" s="959"/>
      <c r="B141" s="959"/>
      <c r="C141" s="961" t="s">
        <v>454</v>
      </c>
      <c r="D141" s="962">
        <v>1</v>
      </c>
      <c r="E141" s="963">
        <v>45391</v>
      </c>
      <c r="F141" s="963">
        <v>45391</v>
      </c>
      <c r="G141" s="962">
        <v>1</v>
      </c>
      <c r="H141" s="963">
        <v>45391</v>
      </c>
      <c r="I141" s="963">
        <v>45391</v>
      </c>
      <c r="J141" s="963">
        <v>45391</v>
      </c>
      <c r="K141" s="963">
        <v>45391</v>
      </c>
    </row>
    <row r="142" spans="1:11">
      <c r="A142" s="959"/>
      <c r="B142" s="959"/>
      <c r="C142" s="961" t="s">
        <v>455</v>
      </c>
      <c r="D142" s="962">
        <v>1</v>
      </c>
      <c r="E142" s="963">
        <v>45620</v>
      </c>
      <c r="F142" s="963">
        <v>45620</v>
      </c>
      <c r="G142" s="962">
        <v>1</v>
      </c>
      <c r="H142" s="963">
        <v>45620</v>
      </c>
      <c r="I142" s="963">
        <v>45620</v>
      </c>
      <c r="J142" s="963">
        <v>45620</v>
      </c>
      <c r="K142" s="963">
        <v>45620</v>
      </c>
    </row>
    <row r="143" spans="1:11">
      <c r="A143" s="959"/>
      <c r="B143" s="959"/>
      <c r="C143" s="961" t="s">
        <v>456</v>
      </c>
      <c r="D143" s="962">
        <v>1</v>
      </c>
      <c r="E143" s="963">
        <v>45488</v>
      </c>
      <c r="F143" s="963">
        <v>45488</v>
      </c>
      <c r="G143" s="962">
        <v>1</v>
      </c>
      <c r="H143" s="963">
        <v>45488</v>
      </c>
      <c r="I143" s="963">
        <v>45488</v>
      </c>
      <c r="J143" s="963">
        <v>45488</v>
      </c>
      <c r="K143" s="963">
        <v>45488</v>
      </c>
    </row>
    <row r="144" spans="1:11">
      <c r="A144" s="959"/>
      <c r="B144" s="959"/>
      <c r="C144" s="961" t="s">
        <v>457</v>
      </c>
      <c r="D144" s="962">
        <v>1</v>
      </c>
      <c r="E144" s="963">
        <v>45483</v>
      </c>
      <c r="F144" s="963">
        <v>45483</v>
      </c>
      <c r="G144" s="962">
        <v>1</v>
      </c>
      <c r="H144" s="963">
        <v>45483</v>
      </c>
      <c r="I144" s="963">
        <v>45483</v>
      </c>
      <c r="J144" s="963">
        <v>45483</v>
      </c>
      <c r="K144" s="963">
        <v>45483</v>
      </c>
    </row>
    <row r="145" spans="1:11">
      <c r="A145" s="959"/>
      <c r="B145" s="959"/>
      <c r="C145" s="961" t="s">
        <v>458</v>
      </c>
      <c r="D145" s="962">
        <v>1</v>
      </c>
      <c r="E145" s="963">
        <v>45483</v>
      </c>
      <c r="F145" s="963">
        <v>45483</v>
      </c>
      <c r="G145" s="962">
        <v>1</v>
      </c>
      <c r="H145" s="963">
        <v>45483</v>
      </c>
      <c r="I145" s="963">
        <v>45483</v>
      </c>
      <c r="J145" s="963">
        <v>45483</v>
      </c>
      <c r="K145" s="963">
        <v>45483</v>
      </c>
    </row>
    <row r="146" spans="1:11">
      <c r="A146" s="959"/>
      <c r="B146" s="959"/>
      <c r="C146" s="961" t="s">
        <v>459</v>
      </c>
      <c r="D146" s="962">
        <v>1</v>
      </c>
      <c r="E146" s="963">
        <v>45392</v>
      </c>
      <c r="F146" s="963">
        <v>45392</v>
      </c>
      <c r="G146" s="962">
        <v>1</v>
      </c>
      <c r="H146" s="963">
        <v>45392</v>
      </c>
      <c r="I146" s="963">
        <v>45392</v>
      </c>
      <c r="J146" s="963">
        <v>45392</v>
      </c>
      <c r="K146" s="963">
        <v>45392</v>
      </c>
    </row>
    <row r="147" spans="1:11">
      <c r="A147" s="959"/>
      <c r="B147" s="959"/>
      <c r="C147" s="961" t="s">
        <v>460</v>
      </c>
      <c r="D147" s="962">
        <v>1</v>
      </c>
      <c r="E147" s="963">
        <v>45392</v>
      </c>
      <c r="F147" s="963">
        <v>45392</v>
      </c>
      <c r="G147" s="962">
        <v>1</v>
      </c>
      <c r="H147" s="963">
        <v>45392</v>
      </c>
      <c r="I147" s="963">
        <v>45392</v>
      </c>
      <c r="J147" s="963">
        <v>45392</v>
      </c>
      <c r="K147" s="963">
        <v>45392</v>
      </c>
    </row>
    <row r="148" spans="1:11">
      <c r="A148" s="959"/>
      <c r="B148" s="959"/>
      <c r="C148" s="961" t="s">
        <v>461</v>
      </c>
      <c r="D148" s="962">
        <v>1</v>
      </c>
      <c r="E148" s="963">
        <v>45392</v>
      </c>
      <c r="F148" s="963">
        <v>45392</v>
      </c>
      <c r="G148" s="962">
        <v>1</v>
      </c>
      <c r="H148" s="963">
        <v>45392</v>
      </c>
      <c r="I148" s="963">
        <v>45392</v>
      </c>
      <c r="J148" s="963">
        <v>45392</v>
      </c>
      <c r="K148" s="963">
        <v>45392</v>
      </c>
    </row>
    <row r="149" spans="1:11">
      <c r="A149" s="959"/>
      <c r="B149" s="959"/>
      <c r="C149" s="961" t="s">
        <v>462</v>
      </c>
      <c r="D149" s="962">
        <v>1</v>
      </c>
      <c r="E149" s="963">
        <v>45392</v>
      </c>
      <c r="F149" s="963">
        <v>45392</v>
      </c>
      <c r="G149" s="962">
        <v>1</v>
      </c>
      <c r="H149" s="963">
        <v>45392</v>
      </c>
      <c r="I149" s="963">
        <v>45392</v>
      </c>
      <c r="J149" s="963">
        <v>45392</v>
      </c>
      <c r="K149" s="963">
        <v>45392</v>
      </c>
    </row>
    <row r="150" spans="1:11">
      <c r="A150" s="959"/>
      <c r="B150" s="959"/>
      <c r="C150" s="961" t="s">
        <v>463</v>
      </c>
      <c r="D150" s="962">
        <v>1</v>
      </c>
      <c r="E150" s="963">
        <v>45354</v>
      </c>
      <c r="F150" s="963">
        <v>45354</v>
      </c>
      <c r="G150" s="962">
        <v>1</v>
      </c>
      <c r="H150" s="963">
        <v>45354</v>
      </c>
      <c r="I150" s="963">
        <v>45354</v>
      </c>
      <c r="J150" s="963">
        <v>45354</v>
      </c>
      <c r="K150" s="963">
        <v>45354</v>
      </c>
    </row>
    <row r="151" spans="1:11">
      <c r="A151" s="959"/>
      <c r="B151" s="959"/>
      <c r="C151" s="961" t="s">
        <v>464</v>
      </c>
      <c r="D151" s="962">
        <v>1</v>
      </c>
      <c r="E151" s="963">
        <v>45354</v>
      </c>
      <c r="F151" s="963">
        <v>45354</v>
      </c>
      <c r="G151" s="962">
        <v>1</v>
      </c>
      <c r="H151" s="963">
        <v>45354</v>
      </c>
      <c r="I151" s="963">
        <v>45354</v>
      </c>
      <c r="J151" s="963">
        <v>45354</v>
      </c>
      <c r="K151" s="963">
        <v>45354</v>
      </c>
    </row>
    <row r="152" spans="1:11">
      <c r="A152" s="959"/>
      <c r="B152" s="959"/>
      <c r="C152" s="961" t="s">
        <v>465</v>
      </c>
      <c r="D152" s="962">
        <v>1</v>
      </c>
      <c r="E152" s="963"/>
      <c r="F152" s="963"/>
      <c r="G152" s="962">
        <v>1</v>
      </c>
      <c r="H152" s="963"/>
      <c r="I152" s="963"/>
      <c r="J152" s="963"/>
      <c r="K152" s="963"/>
    </row>
    <row r="153" spans="1:11">
      <c r="A153" s="959"/>
      <c r="B153" s="959"/>
      <c r="C153" s="961" t="s">
        <v>466</v>
      </c>
      <c r="D153" s="962">
        <v>1</v>
      </c>
      <c r="E153" s="963">
        <v>45389</v>
      </c>
      <c r="F153" s="963">
        <v>45389</v>
      </c>
      <c r="G153" s="962">
        <v>1</v>
      </c>
      <c r="H153" s="963">
        <v>45389</v>
      </c>
      <c r="I153" s="963">
        <v>45389</v>
      </c>
      <c r="J153" s="963">
        <v>45389</v>
      </c>
      <c r="K153" s="963">
        <v>45389</v>
      </c>
    </row>
    <row r="154" spans="1:11" ht="31">
      <c r="A154" s="959"/>
      <c r="B154" s="959"/>
      <c r="C154" s="961" t="s">
        <v>467</v>
      </c>
      <c r="D154" s="962">
        <v>1</v>
      </c>
      <c r="E154" s="963">
        <v>45488</v>
      </c>
      <c r="F154" s="963">
        <v>45488</v>
      </c>
      <c r="G154" s="962">
        <v>1</v>
      </c>
      <c r="H154" s="963">
        <v>45488</v>
      </c>
      <c r="I154" s="963">
        <v>45488</v>
      </c>
      <c r="J154" s="963">
        <v>45488</v>
      </c>
      <c r="K154" s="963">
        <v>45488</v>
      </c>
    </row>
    <row r="155" spans="1:11" ht="31">
      <c r="A155" s="959"/>
      <c r="B155" s="959"/>
      <c r="C155" s="961" t="s">
        <v>468</v>
      </c>
      <c r="D155" s="962">
        <v>1</v>
      </c>
      <c r="E155" s="963">
        <v>45392</v>
      </c>
      <c r="F155" s="963">
        <v>45392</v>
      </c>
      <c r="G155" s="962">
        <v>1</v>
      </c>
      <c r="H155" s="963">
        <v>45392</v>
      </c>
      <c r="I155" s="963">
        <v>45392</v>
      </c>
      <c r="J155" s="963">
        <v>45392</v>
      </c>
      <c r="K155" s="963">
        <v>45392</v>
      </c>
    </row>
    <row r="156" spans="1:11">
      <c r="A156" s="959"/>
      <c r="B156" s="959"/>
      <c r="C156" s="961" t="s">
        <v>469</v>
      </c>
      <c r="D156" s="962">
        <v>1</v>
      </c>
      <c r="E156" s="963">
        <v>45354</v>
      </c>
      <c r="F156" s="963">
        <v>45354</v>
      </c>
      <c r="G156" s="962">
        <v>1</v>
      </c>
      <c r="H156" s="963">
        <v>45354</v>
      </c>
      <c r="I156" s="963">
        <v>45354</v>
      </c>
      <c r="J156" s="963">
        <v>45354</v>
      </c>
      <c r="K156" s="963">
        <v>45354</v>
      </c>
    </row>
    <row r="157" spans="1:11">
      <c r="A157" s="959"/>
      <c r="B157" s="959"/>
      <c r="C157" s="961" t="s">
        <v>470</v>
      </c>
      <c r="D157" s="962">
        <v>1</v>
      </c>
      <c r="E157" s="963">
        <v>45354</v>
      </c>
      <c r="F157" s="963">
        <v>45354</v>
      </c>
      <c r="G157" s="962">
        <v>1</v>
      </c>
      <c r="H157" s="963">
        <v>45354</v>
      </c>
      <c r="I157" s="963">
        <v>45354</v>
      </c>
      <c r="J157" s="963">
        <v>45354</v>
      </c>
      <c r="K157" s="963">
        <v>45354</v>
      </c>
    </row>
    <row r="158" spans="1:11">
      <c r="A158" s="959"/>
      <c r="B158" s="959"/>
      <c r="C158" s="961" t="s">
        <v>471</v>
      </c>
      <c r="D158" s="962">
        <v>1</v>
      </c>
      <c r="E158" s="963">
        <v>45404</v>
      </c>
      <c r="F158" s="963">
        <v>45404</v>
      </c>
      <c r="G158" s="962">
        <v>1</v>
      </c>
      <c r="H158" s="963">
        <v>45404</v>
      </c>
      <c r="I158" s="963">
        <v>45404</v>
      </c>
      <c r="J158" s="963">
        <v>45404</v>
      </c>
      <c r="K158" s="963">
        <v>45404</v>
      </c>
    </row>
    <row r="159" spans="1:11">
      <c r="A159" s="959"/>
      <c r="B159" s="959"/>
      <c r="C159" s="961" t="s">
        <v>472</v>
      </c>
      <c r="D159" s="962">
        <v>1</v>
      </c>
      <c r="E159" s="963">
        <v>45404</v>
      </c>
      <c r="F159" s="963">
        <v>45404</v>
      </c>
      <c r="G159" s="962">
        <v>1</v>
      </c>
      <c r="H159" s="963">
        <v>45404</v>
      </c>
      <c r="I159" s="963">
        <v>45404</v>
      </c>
      <c r="J159" s="963">
        <v>45404</v>
      </c>
      <c r="K159" s="963">
        <v>45404</v>
      </c>
    </row>
    <row r="160" spans="1:11">
      <c r="A160" s="959"/>
      <c r="B160" s="959"/>
      <c r="C160" s="961" t="s">
        <v>473</v>
      </c>
      <c r="D160" s="962">
        <v>1</v>
      </c>
      <c r="E160" s="963">
        <v>45434</v>
      </c>
      <c r="F160" s="963">
        <v>45434</v>
      </c>
      <c r="G160" s="962">
        <v>1</v>
      </c>
      <c r="H160" s="963">
        <v>45434</v>
      </c>
      <c r="I160" s="963">
        <v>45434</v>
      </c>
      <c r="J160" s="963">
        <v>45434</v>
      </c>
      <c r="K160" s="963">
        <v>45434</v>
      </c>
    </row>
    <row r="161" spans="1:11">
      <c r="A161" s="959"/>
      <c r="B161" s="959"/>
      <c r="C161" s="961" t="s">
        <v>474</v>
      </c>
      <c r="D161" s="962">
        <v>1</v>
      </c>
      <c r="E161" s="963">
        <v>45498</v>
      </c>
      <c r="F161" s="963">
        <v>45498</v>
      </c>
      <c r="G161" s="962">
        <v>1</v>
      </c>
      <c r="H161" s="963">
        <v>45498</v>
      </c>
      <c r="I161" s="963">
        <v>45498</v>
      </c>
      <c r="J161" s="963">
        <v>45498</v>
      </c>
      <c r="K161" s="963">
        <v>45498</v>
      </c>
    </row>
    <row r="162" spans="1:11">
      <c r="A162" s="959"/>
      <c r="B162" s="959"/>
      <c r="C162" s="961" t="s">
        <v>475</v>
      </c>
      <c r="D162" s="962">
        <v>1</v>
      </c>
      <c r="E162" s="963">
        <v>45498</v>
      </c>
      <c r="F162" s="963">
        <v>45498</v>
      </c>
      <c r="G162" s="962">
        <v>1</v>
      </c>
      <c r="H162" s="963">
        <v>45498</v>
      </c>
      <c r="I162" s="963">
        <v>45498</v>
      </c>
      <c r="J162" s="963">
        <v>45498</v>
      </c>
      <c r="K162" s="963">
        <v>45498</v>
      </c>
    </row>
    <row r="163" spans="1:11">
      <c r="A163" s="959"/>
      <c r="B163" s="959"/>
      <c r="C163" s="961" t="s">
        <v>476</v>
      </c>
      <c r="D163" s="962">
        <v>1</v>
      </c>
      <c r="E163" s="963">
        <v>45447</v>
      </c>
      <c r="F163" s="963">
        <v>45447</v>
      </c>
      <c r="G163" s="962">
        <v>1</v>
      </c>
      <c r="H163" s="963">
        <v>45447</v>
      </c>
      <c r="I163" s="963">
        <v>45447</v>
      </c>
      <c r="J163" s="963">
        <v>45447</v>
      </c>
      <c r="K163" s="963">
        <v>45447</v>
      </c>
    </row>
    <row r="164" spans="1:11">
      <c r="A164" s="959"/>
      <c r="B164" s="959"/>
      <c r="C164" s="961" t="s">
        <v>477</v>
      </c>
      <c r="D164" s="962">
        <v>1</v>
      </c>
      <c r="E164" s="963">
        <v>45400</v>
      </c>
      <c r="F164" s="963">
        <v>45400</v>
      </c>
      <c r="G164" s="962">
        <v>1</v>
      </c>
      <c r="H164" s="963">
        <v>45400</v>
      </c>
      <c r="I164" s="963">
        <v>45400</v>
      </c>
      <c r="J164" s="963">
        <v>45400</v>
      </c>
      <c r="K164" s="963">
        <v>45400</v>
      </c>
    </row>
    <row r="165" spans="1:11">
      <c r="A165" s="959"/>
      <c r="B165" s="959"/>
      <c r="C165" s="961" t="s">
        <v>478</v>
      </c>
      <c r="D165" s="962">
        <v>1</v>
      </c>
      <c r="E165" s="963"/>
      <c r="F165" s="963"/>
      <c r="G165" s="962">
        <v>1</v>
      </c>
      <c r="H165" s="963"/>
      <c r="I165" s="963"/>
      <c r="J165" s="963"/>
      <c r="K165" s="963"/>
    </row>
    <row r="166" spans="1:11" s="957" customFormat="1">
      <c r="A166" s="965" t="s">
        <v>419</v>
      </c>
      <c r="B166" s="965" t="s">
        <v>479</v>
      </c>
      <c r="C166" s="967"/>
      <c r="D166" s="955">
        <v>345</v>
      </c>
      <c r="E166" s="956">
        <v>45393</v>
      </c>
      <c r="F166" s="956">
        <v>45737</v>
      </c>
      <c r="G166" s="955">
        <v>415</v>
      </c>
      <c r="H166" s="956">
        <v>45393</v>
      </c>
      <c r="I166" s="956"/>
      <c r="J166" s="956">
        <v>45393</v>
      </c>
      <c r="K166" s="956">
        <v>45807</v>
      </c>
    </row>
    <row r="167" spans="1:11">
      <c r="A167" s="959"/>
      <c r="B167" s="959"/>
      <c r="C167" s="961" t="s">
        <v>480</v>
      </c>
      <c r="D167" s="962">
        <v>1</v>
      </c>
      <c r="E167" s="963">
        <v>45393</v>
      </c>
      <c r="F167" s="963">
        <v>45393</v>
      </c>
      <c r="G167" s="962">
        <v>1</v>
      </c>
      <c r="H167" s="963">
        <v>45393</v>
      </c>
      <c r="I167" s="963">
        <v>45393</v>
      </c>
      <c r="J167" s="963">
        <v>45393</v>
      </c>
      <c r="K167" s="963">
        <v>45393</v>
      </c>
    </row>
    <row r="168" spans="1:11">
      <c r="A168" s="959"/>
      <c r="B168" s="959"/>
      <c r="C168" s="961" t="s">
        <v>481</v>
      </c>
      <c r="D168" s="962">
        <v>1</v>
      </c>
      <c r="E168" s="963">
        <v>45491</v>
      </c>
      <c r="F168" s="963">
        <v>45491</v>
      </c>
      <c r="G168" s="962">
        <v>1</v>
      </c>
      <c r="H168" s="963">
        <v>45491</v>
      </c>
      <c r="I168" s="963">
        <v>45491</v>
      </c>
      <c r="J168" s="963">
        <v>45491</v>
      </c>
      <c r="K168" s="963">
        <v>45491</v>
      </c>
    </row>
    <row r="169" spans="1:11">
      <c r="A169" s="959"/>
      <c r="B169" s="959"/>
      <c r="C169" s="961" t="s">
        <v>482</v>
      </c>
      <c r="D169" s="962">
        <v>1</v>
      </c>
      <c r="E169" s="963"/>
      <c r="F169" s="963"/>
      <c r="G169" s="962">
        <v>1</v>
      </c>
      <c r="H169" s="963"/>
      <c r="I169" s="963"/>
      <c r="J169" s="963"/>
      <c r="K169" s="963"/>
    </row>
    <row r="170" spans="1:11">
      <c r="A170" s="959"/>
      <c r="B170" s="959"/>
      <c r="C170" s="961" t="s">
        <v>483</v>
      </c>
      <c r="D170" s="962">
        <v>30</v>
      </c>
      <c r="E170" s="963">
        <v>45678</v>
      </c>
      <c r="F170" s="963">
        <v>45707</v>
      </c>
      <c r="G170" s="962">
        <v>30</v>
      </c>
      <c r="H170" s="963"/>
      <c r="I170" s="963"/>
      <c r="J170" s="963">
        <v>45748</v>
      </c>
      <c r="K170" s="963">
        <v>45777</v>
      </c>
    </row>
    <row r="171" spans="1:11">
      <c r="A171" s="959"/>
      <c r="B171" s="959"/>
      <c r="C171" s="961" t="s">
        <v>484</v>
      </c>
      <c r="D171" s="962">
        <v>1</v>
      </c>
      <c r="E171" s="963"/>
      <c r="F171" s="963"/>
      <c r="G171" s="962">
        <v>1</v>
      </c>
      <c r="H171" s="963"/>
      <c r="I171" s="963"/>
      <c r="J171" s="963"/>
      <c r="K171" s="963"/>
    </row>
    <row r="172" spans="1:11">
      <c r="A172" s="959"/>
      <c r="B172" s="959"/>
      <c r="C172" s="961" t="s">
        <v>485</v>
      </c>
      <c r="D172" s="962">
        <v>1</v>
      </c>
      <c r="E172" s="963">
        <v>45483</v>
      </c>
      <c r="F172" s="963">
        <v>45483</v>
      </c>
      <c r="G172" s="962">
        <v>1</v>
      </c>
      <c r="H172" s="963">
        <v>45483</v>
      </c>
      <c r="I172" s="963">
        <v>45483</v>
      </c>
      <c r="J172" s="963">
        <v>45483</v>
      </c>
      <c r="K172" s="963">
        <v>45483</v>
      </c>
    </row>
    <row r="173" spans="1:11">
      <c r="A173" s="959"/>
      <c r="B173" s="959"/>
      <c r="C173" s="961" t="s">
        <v>486</v>
      </c>
      <c r="D173" s="962">
        <v>1</v>
      </c>
      <c r="E173" s="963">
        <v>45561</v>
      </c>
      <c r="F173" s="963">
        <v>45561</v>
      </c>
      <c r="G173" s="962">
        <v>1</v>
      </c>
      <c r="H173" s="963">
        <v>45561</v>
      </c>
      <c r="I173" s="963">
        <v>45561</v>
      </c>
      <c r="J173" s="963">
        <v>45561</v>
      </c>
      <c r="K173" s="963">
        <v>45561</v>
      </c>
    </row>
    <row r="174" spans="1:11">
      <c r="A174" s="959"/>
      <c r="B174" s="959"/>
      <c r="C174" s="961" t="s">
        <v>487</v>
      </c>
      <c r="D174" s="962">
        <v>1</v>
      </c>
      <c r="E174" s="963">
        <v>45483</v>
      </c>
      <c r="F174" s="963">
        <v>45483</v>
      </c>
      <c r="G174" s="962">
        <v>1</v>
      </c>
      <c r="H174" s="963">
        <v>45483</v>
      </c>
      <c r="I174" s="963">
        <v>45483</v>
      </c>
      <c r="J174" s="963">
        <v>45483</v>
      </c>
      <c r="K174" s="963">
        <v>45483</v>
      </c>
    </row>
    <row r="175" spans="1:11">
      <c r="A175" s="959"/>
      <c r="B175" s="959"/>
      <c r="C175" s="961" t="s">
        <v>488</v>
      </c>
      <c r="D175" s="962">
        <v>1</v>
      </c>
      <c r="E175" s="963">
        <v>45552</v>
      </c>
      <c r="F175" s="963">
        <v>45552</v>
      </c>
      <c r="G175" s="962">
        <v>1</v>
      </c>
      <c r="H175" s="963">
        <v>45552</v>
      </c>
      <c r="I175" s="963">
        <v>45552</v>
      </c>
      <c r="J175" s="963">
        <v>45552</v>
      </c>
      <c r="K175" s="963">
        <v>45552</v>
      </c>
    </row>
    <row r="176" spans="1:11">
      <c r="A176" s="959"/>
      <c r="B176" s="959"/>
      <c r="C176" s="961" t="s">
        <v>489</v>
      </c>
      <c r="D176" s="962">
        <v>1</v>
      </c>
      <c r="E176" s="963">
        <v>45495</v>
      </c>
      <c r="F176" s="963">
        <v>45495</v>
      </c>
      <c r="G176" s="962">
        <v>1</v>
      </c>
      <c r="H176" s="963">
        <v>45495</v>
      </c>
      <c r="I176" s="963">
        <v>45495</v>
      </c>
      <c r="J176" s="963">
        <v>45495</v>
      </c>
      <c r="K176" s="963">
        <v>45495</v>
      </c>
    </row>
    <row r="177" spans="1:11">
      <c r="A177" s="959"/>
      <c r="B177" s="959"/>
      <c r="C177" s="961" t="s">
        <v>490</v>
      </c>
      <c r="D177" s="962">
        <v>1</v>
      </c>
      <c r="E177" s="963">
        <v>45544</v>
      </c>
      <c r="F177" s="963">
        <v>45544</v>
      </c>
      <c r="G177" s="962">
        <v>1</v>
      </c>
      <c r="H177" s="963">
        <v>45544</v>
      </c>
      <c r="I177" s="963">
        <v>45544</v>
      </c>
      <c r="J177" s="963">
        <v>45544</v>
      </c>
      <c r="K177" s="963">
        <v>45544</v>
      </c>
    </row>
    <row r="178" spans="1:11">
      <c r="A178" s="959"/>
      <c r="B178" s="959"/>
      <c r="C178" s="961" t="s">
        <v>442</v>
      </c>
      <c r="D178" s="962">
        <v>44</v>
      </c>
      <c r="E178" s="963">
        <v>45678</v>
      </c>
      <c r="F178" s="963">
        <v>45721</v>
      </c>
      <c r="G178" s="962">
        <v>44</v>
      </c>
      <c r="H178" s="963"/>
      <c r="I178" s="963"/>
      <c r="J178" s="963">
        <v>45748</v>
      </c>
      <c r="K178" s="963">
        <v>45791</v>
      </c>
    </row>
    <row r="179" spans="1:11">
      <c r="A179" s="959"/>
      <c r="B179" s="959"/>
      <c r="C179" s="961" t="s">
        <v>491</v>
      </c>
      <c r="D179" s="962">
        <v>30</v>
      </c>
      <c r="E179" s="963">
        <v>45678</v>
      </c>
      <c r="F179" s="963">
        <v>45707</v>
      </c>
      <c r="G179" s="962">
        <v>30</v>
      </c>
      <c r="H179" s="963"/>
      <c r="I179" s="963"/>
      <c r="J179" s="963">
        <v>45748</v>
      </c>
      <c r="K179" s="963">
        <v>45777</v>
      </c>
    </row>
    <row r="180" spans="1:11">
      <c r="A180" s="959"/>
      <c r="B180" s="959"/>
      <c r="C180" s="961" t="s">
        <v>492</v>
      </c>
      <c r="D180" s="962">
        <v>1</v>
      </c>
      <c r="E180" s="963"/>
      <c r="F180" s="963"/>
      <c r="G180" s="962">
        <v>1</v>
      </c>
      <c r="H180" s="963"/>
      <c r="I180" s="963"/>
      <c r="J180" s="963"/>
      <c r="K180" s="963"/>
    </row>
    <row r="181" spans="1:11">
      <c r="A181" s="959"/>
      <c r="B181" s="959"/>
      <c r="C181" s="961" t="s">
        <v>493</v>
      </c>
      <c r="D181" s="962">
        <v>60</v>
      </c>
      <c r="E181" s="963">
        <v>45678</v>
      </c>
      <c r="F181" s="963">
        <v>45737</v>
      </c>
      <c r="G181" s="962">
        <v>60</v>
      </c>
      <c r="H181" s="963"/>
      <c r="I181" s="963"/>
      <c r="J181" s="963">
        <v>45748</v>
      </c>
      <c r="K181" s="963">
        <v>45807</v>
      </c>
    </row>
    <row r="182" spans="1:11">
      <c r="A182" s="959"/>
      <c r="B182" s="959"/>
      <c r="C182" s="961" t="s">
        <v>494</v>
      </c>
      <c r="D182" s="962">
        <v>1</v>
      </c>
      <c r="E182" s="963">
        <v>45429</v>
      </c>
      <c r="F182" s="963">
        <v>45429</v>
      </c>
      <c r="G182" s="962">
        <v>1</v>
      </c>
      <c r="H182" s="963">
        <v>45429</v>
      </c>
      <c r="I182" s="963">
        <v>45429</v>
      </c>
      <c r="J182" s="963">
        <v>45429</v>
      </c>
      <c r="K182" s="963">
        <v>45429</v>
      </c>
    </row>
    <row r="183" spans="1:11">
      <c r="A183" s="959"/>
      <c r="B183" s="959"/>
      <c r="C183" s="961" t="s">
        <v>456</v>
      </c>
      <c r="D183" s="962">
        <v>1</v>
      </c>
      <c r="E183" s="963"/>
      <c r="F183" s="963"/>
      <c r="G183" s="962">
        <v>1</v>
      </c>
      <c r="H183" s="963"/>
      <c r="I183" s="963"/>
      <c r="J183" s="963"/>
      <c r="K183" s="963"/>
    </row>
    <row r="184" spans="1:11">
      <c r="A184" s="959"/>
      <c r="B184" s="959"/>
      <c r="C184" s="961" t="s">
        <v>495</v>
      </c>
      <c r="D184" s="962">
        <v>1</v>
      </c>
      <c r="E184" s="963"/>
      <c r="F184" s="963"/>
      <c r="G184" s="962">
        <v>1</v>
      </c>
      <c r="H184" s="963"/>
      <c r="I184" s="963"/>
      <c r="J184" s="963"/>
      <c r="K184" s="963"/>
    </row>
    <row r="185" spans="1:11" ht="31">
      <c r="A185" s="959"/>
      <c r="B185" s="959"/>
      <c r="C185" s="961" t="s">
        <v>467</v>
      </c>
      <c r="D185" s="962">
        <v>1</v>
      </c>
      <c r="E185" s="963">
        <v>45488</v>
      </c>
      <c r="F185" s="963">
        <v>45488</v>
      </c>
      <c r="G185" s="962">
        <v>1</v>
      </c>
      <c r="H185" s="963">
        <v>45488</v>
      </c>
      <c r="I185" s="963">
        <v>45488</v>
      </c>
      <c r="J185" s="963">
        <v>45488</v>
      </c>
      <c r="K185" s="963">
        <v>45488</v>
      </c>
    </row>
    <row r="186" spans="1:11">
      <c r="A186" s="959"/>
      <c r="B186" s="959"/>
      <c r="C186" s="961" t="s">
        <v>496</v>
      </c>
      <c r="D186" s="962">
        <v>1</v>
      </c>
      <c r="E186" s="963">
        <v>45488</v>
      </c>
      <c r="F186" s="963">
        <v>45488</v>
      </c>
      <c r="G186" s="962">
        <v>1</v>
      </c>
      <c r="H186" s="963">
        <v>45488</v>
      </c>
      <c r="I186" s="963">
        <v>45488</v>
      </c>
      <c r="J186" s="963">
        <v>45488</v>
      </c>
      <c r="K186" s="963">
        <v>45488</v>
      </c>
    </row>
    <row r="187" spans="1:11">
      <c r="A187" s="959"/>
      <c r="B187" s="959"/>
      <c r="C187" s="961" t="s">
        <v>497</v>
      </c>
      <c r="D187" s="962">
        <v>1</v>
      </c>
      <c r="E187" s="963">
        <v>45408</v>
      </c>
      <c r="F187" s="963">
        <v>45408</v>
      </c>
      <c r="G187" s="962">
        <v>1</v>
      </c>
      <c r="H187" s="963">
        <v>45408</v>
      </c>
      <c r="I187" s="963">
        <v>45408</v>
      </c>
      <c r="J187" s="963">
        <v>45408</v>
      </c>
      <c r="K187" s="963">
        <v>45408</v>
      </c>
    </row>
    <row r="188" spans="1:11">
      <c r="A188" s="959"/>
      <c r="B188" s="959"/>
      <c r="C188" s="961" t="s">
        <v>498</v>
      </c>
      <c r="D188" s="962">
        <v>1</v>
      </c>
      <c r="E188" s="963">
        <v>45435</v>
      </c>
      <c r="F188" s="963">
        <v>45435</v>
      </c>
      <c r="G188" s="962">
        <v>1</v>
      </c>
      <c r="H188" s="963">
        <v>45435</v>
      </c>
      <c r="I188" s="963">
        <v>45435</v>
      </c>
      <c r="J188" s="963">
        <v>45435</v>
      </c>
      <c r="K188" s="963">
        <v>45435</v>
      </c>
    </row>
    <row r="189" spans="1:11">
      <c r="A189" s="959"/>
      <c r="B189" s="959"/>
      <c r="C189" s="961" t="s">
        <v>499</v>
      </c>
      <c r="D189" s="962">
        <v>1</v>
      </c>
      <c r="E189" s="963">
        <v>45428</v>
      </c>
      <c r="F189" s="963">
        <v>45428</v>
      </c>
      <c r="G189" s="962">
        <v>1</v>
      </c>
      <c r="H189" s="963">
        <v>45428</v>
      </c>
      <c r="I189" s="963">
        <v>45428</v>
      </c>
      <c r="J189" s="963">
        <v>45428</v>
      </c>
      <c r="K189" s="963">
        <v>45428</v>
      </c>
    </row>
    <row r="190" spans="1:11">
      <c r="A190" s="959"/>
      <c r="B190" s="959"/>
      <c r="C190" s="961" t="s">
        <v>500</v>
      </c>
      <c r="D190" s="962">
        <v>1</v>
      </c>
      <c r="E190" s="963">
        <v>45517</v>
      </c>
      <c r="F190" s="963">
        <v>45517</v>
      </c>
      <c r="G190" s="962">
        <v>1</v>
      </c>
      <c r="H190" s="963">
        <v>45517</v>
      </c>
      <c r="I190" s="963">
        <v>45517</v>
      </c>
      <c r="J190" s="963">
        <v>45517</v>
      </c>
      <c r="K190" s="963">
        <v>45517</v>
      </c>
    </row>
    <row r="191" spans="1:11">
      <c r="A191" s="959"/>
      <c r="B191" s="959"/>
      <c r="C191" s="961" t="s">
        <v>501</v>
      </c>
      <c r="D191" s="962">
        <v>1</v>
      </c>
      <c r="E191" s="963">
        <v>45470</v>
      </c>
      <c r="F191" s="963">
        <v>45470</v>
      </c>
      <c r="G191" s="962">
        <v>1</v>
      </c>
      <c r="H191" s="963">
        <v>45470</v>
      </c>
      <c r="I191" s="963">
        <v>45470</v>
      </c>
      <c r="J191" s="963">
        <v>45470</v>
      </c>
      <c r="K191" s="963">
        <v>45470</v>
      </c>
    </row>
    <row r="192" spans="1:11">
      <c r="A192" s="959"/>
      <c r="B192" s="959"/>
      <c r="C192" s="961" t="s">
        <v>502</v>
      </c>
      <c r="D192" s="962">
        <v>1</v>
      </c>
      <c r="E192" s="963">
        <v>45418</v>
      </c>
      <c r="F192" s="963">
        <v>45418</v>
      </c>
      <c r="G192" s="962">
        <v>1</v>
      </c>
      <c r="H192" s="963">
        <v>45418</v>
      </c>
      <c r="I192" s="963">
        <v>45418</v>
      </c>
      <c r="J192" s="963">
        <v>45418</v>
      </c>
      <c r="K192" s="963">
        <v>45418</v>
      </c>
    </row>
    <row r="193" spans="1:11">
      <c r="A193" s="959"/>
      <c r="B193" s="959"/>
      <c r="C193" s="961" t="s">
        <v>503</v>
      </c>
      <c r="D193" s="962">
        <v>1</v>
      </c>
      <c r="E193" s="963">
        <v>45524</v>
      </c>
      <c r="F193" s="963">
        <v>45524</v>
      </c>
      <c r="G193" s="962">
        <v>1</v>
      </c>
      <c r="H193" s="963">
        <v>45524</v>
      </c>
      <c r="I193" s="963">
        <v>45524</v>
      </c>
      <c r="J193" s="963">
        <v>45524</v>
      </c>
      <c r="K193" s="963">
        <v>45524</v>
      </c>
    </row>
    <row r="194" spans="1:11">
      <c r="A194" s="959"/>
      <c r="B194" s="959"/>
      <c r="C194" s="961" t="s">
        <v>504</v>
      </c>
      <c r="D194" s="962">
        <v>40</v>
      </c>
      <c r="E194" s="963">
        <v>45678</v>
      </c>
      <c r="F194" s="963">
        <v>45717</v>
      </c>
      <c r="G194" s="962">
        <v>40</v>
      </c>
      <c r="H194" s="963"/>
      <c r="I194" s="963"/>
      <c r="J194" s="963">
        <v>45748</v>
      </c>
      <c r="K194" s="963">
        <v>45787</v>
      </c>
    </row>
    <row r="195" spans="1:11">
      <c r="A195" s="959"/>
      <c r="B195" s="959"/>
      <c r="C195" s="961" t="s">
        <v>505</v>
      </c>
      <c r="D195" s="962">
        <v>1</v>
      </c>
      <c r="E195" s="963"/>
      <c r="F195" s="963"/>
      <c r="G195" s="962">
        <v>1</v>
      </c>
      <c r="H195" s="963"/>
      <c r="I195" s="963"/>
      <c r="J195" s="963"/>
      <c r="K195" s="963"/>
    </row>
    <row r="196" spans="1:11">
      <c r="A196" s="959"/>
      <c r="B196" s="959"/>
      <c r="C196" s="961" t="s">
        <v>506</v>
      </c>
      <c r="D196" s="962">
        <v>45</v>
      </c>
      <c r="E196" s="963">
        <v>45678</v>
      </c>
      <c r="F196" s="963">
        <v>45722</v>
      </c>
      <c r="G196" s="962">
        <v>45</v>
      </c>
      <c r="H196" s="963"/>
      <c r="I196" s="963"/>
      <c r="J196" s="963">
        <v>45748</v>
      </c>
      <c r="K196" s="963">
        <v>45792</v>
      </c>
    </row>
    <row r="197" spans="1:11">
      <c r="A197" s="959"/>
      <c r="B197" s="959"/>
      <c r="C197" s="961" t="s">
        <v>507</v>
      </c>
      <c r="D197" s="962">
        <v>45</v>
      </c>
      <c r="E197" s="963">
        <v>45678</v>
      </c>
      <c r="F197" s="963">
        <v>45722</v>
      </c>
      <c r="G197" s="962">
        <v>45</v>
      </c>
      <c r="H197" s="963"/>
      <c r="I197" s="963"/>
      <c r="J197" s="963">
        <v>45748</v>
      </c>
      <c r="K197" s="963">
        <v>45792</v>
      </c>
    </row>
    <row r="198" spans="1:11">
      <c r="A198" s="959"/>
      <c r="B198" s="959"/>
      <c r="C198" s="961" t="s">
        <v>508</v>
      </c>
      <c r="D198" s="962">
        <v>1</v>
      </c>
      <c r="E198" s="963">
        <v>45447</v>
      </c>
      <c r="F198" s="963">
        <v>45447</v>
      </c>
      <c r="G198" s="962">
        <v>1</v>
      </c>
      <c r="H198" s="963">
        <v>45447</v>
      </c>
      <c r="I198" s="963">
        <v>45447</v>
      </c>
      <c r="J198" s="963">
        <v>45447</v>
      </c>
      <c r="K198" s="963">
        <v>45447</v>
      </c>
    </row>
    <row r="199" spans="1:11">
      <c r="A199" s="959"/>
      <c r="B199" s="959"/>
      <c r="C199" s="961" t="s">
        <v>509</v>
      </c>
      <c r="D199" s="962">
        <v>1</v>
      </c>
      <c r="E199" s="963">
        <v>45447</v>
      </c>
      <c r="F199" s="963">
        <v>45447</v>
      </c>
      <c r="G199" s="962">
        <v>1</v>
      </c>
      <c r="H199" s="963">
        <v>45447</v>
      </c>
      <c r="I199" s="963">
        <v>45447</v>
      </c>
      <c r="J199" s="963">
        <v>45447</v>
      </c>
      <c r="K199" s="963">
        <v>45447</v>
      </c>
    </row>
    <row r="200" spans="1:11">
      <c r="A200" s="959"/>
      <c r="B200" s="959"/>
      <c r="C200" s="961" t="s">
        <v>510</v>
      </c>
      <c r="D200" s="962">
        <v>1</v>
      </c>
      <c r="E200" s="963">
        <v>45622</v>
      </c>
      <c r="F200" s="963">
        <v>45622</v>
      </c>
      <c r="G200" s="962">
        <v>1</v>
      </c>
      <c r="H200" s="963">
        <v>45622</v>
      </c>
      <c r="I200" s="963">
        <v>45622</v>
      </c>
      <c r="J200" s="963">
        <v>45622</v>
      </c>
      <c r="K200" s="963">
        <v>45622</v>
      </c>
    </row>
    <row r="201" spans="1:11">
      <c r="A201" s="959"/>
      <c r="B201" s="959"/>
      <c r="C201" s="961" t="s">
        <v>511</v>
      </c>
      <c r="D201" s="962">
        <v>1</v>
      </c>
      <c r="E201" s="963">
        <v>45622</v>
      </c>
      <c r="F201" s="963">
        <v>45622</v>
      </c>
      <c r="G201" s="962">
        <v>1</v>
      </c>
      <c r="H201" s="963">
        <v>45622</v>
      </c>
      <c r="I201" s="963">
        <v>45622</v>
      </c>
      <c r="J201" s="963">
        <v>45622</v>
      </c>
      <c r="K201" s="963">
        <v>45622</v>
      </c>
    </row>
    <row r="202" spans="1:11">
      <c r="A202" s="959"/>
      <c r="B202" s="959"/>
      <c r="C202" s="961" t="s">
        <v>512</v>
      </c>
      <c r="D202" s="962">
        <v>30</v>
      </c>
      <c r="E202" s="963">
        <v>45678</v>
      </c>
      <c r="F202" s="963">
        <v>45707</v>
      </c>
      <c r="G202" s="962">
        <v>30</v>
      </c>
      <c r="H202" s="963"/>
      <c r="I202" s="963"/>
      <c r="J202" s="963">
        <v>45748</v>
      </c>
      <c r="K202" s="963">
        <v>45777</v>
      </c>
    </row>
    <row r="203" spans="1:11">
      <c r="A203" s="965" t="s">
        <v>419</v>
      </c>
      <c r="B203" s="965" t="s">
        <v>513</v>
      </c>
      <c r="C203" s="969"/>
      <c r="D203" s="955">
        <v>371</v>
      </c>
      <c r="E203" s="956">
        <v>45352</v>
      </c>
      <c r="F203" s="956">
        <v>45722</v>
      </c>
      <c r="G203" s="955">
        <v>441</v>
      </c>
      <c r="H203" s="963">
        <v>45352</v>
      </c>
      <c r="I203" s="963"/>
      <c r="J203" s="963">
        <v>45352</v>
      </c>
      <c r="K203" s="963">
        <v>45792</v>
      </c>
    </row>
    <row r="204" spans="1:11">
      <c r="A204" s="959"/>
      <c r="B204" s="959"/>
      <c r="C204" s="961" t="s">
        <v>514</v>
      </c>
      <c r="D204" s="962">
        <v>1</v>
      </c>
      <c r="E204" s="963">
        <v>45637</v>
      </c>
      <c r="F204" s="963">
        <v>45637</v>
      </c>
      <c r="G204" s="962">
        <v>1</v>
      </c>
      <c r="H204" s="963">
        <v>45637</v>
      </c>
      <c r="I204" s="963">
        <v>45637</v>
      </c>
      <c r="J204" s="963">
        <v>45637</v>
      </c>
      <c r="K204" s="963">
        <v>45637</v>
      </c>
    </row>
    <row r="205" spans="1:11">
      <c r="A205" s="959"/>
      <c r="B205" s="959"/>
      <c r="C205" s="961" t="s">
        <v>515</v>
      </c>
      <c r="D205" s="962">
        <v>1</v>
      </c>
      <c r="E205" s="963">
        <v>45573</v>
      </c>
      <c r="F205" s="963">
        <v>45573</v>
      </c>
      <c r="G205" s="962">
        <v>1</v>
      </c>
      <c r="H205" s="963">
        <v>45573</v>
      </c>
      <c r="I205" s="963">
        <v>45573</v>
      </c>
      <c r="J205" s="963">
        <v>45573</v>
      </c>
      <c r="K205" s="963">
        <v>45573</v>
      </c>
    </row>
    <row r="206" spans="1:11">
      <c r="A206" s="959"/>
      <c r="B206" s="959"/>
      <c r="C206" s="961" t="s">
        <v>516</v>
      </c>
      <c r="D206" s="962">
        <v>1</v>
      </c>
      <c r="E206" s="963">
        <v>45526</v>
      </c>
      <c r="F206" s="963">
        <v>45526</v>
      </c>
      <c r="G206" s="962">
        <v>1</v>
      </c>
      <c r="H206" s="963">
        <v>45526</v>
      </c>
      <c r="I206" s="963">
        <v>45526</v>
      </c>
      <c r="J206" s="963">
        <v>45526</v>
      </c>
      <c r="K206" s="963">
        <v>45526</v>
      </c>
    </row>
    <row r="207" spans="1:11">
      <c r="A207" s="959"/>
      <c r="B207" s="959"/>
      <c r="C207" s="961" t="s">
        <v>517</v>
      </c>
      <c r="D207" s="962">
        <v>1</v>
      </c>
      <c r="E207" s="963">
        <v>45617</v>
      </c>
      <c r="F207" s="963">
        <v>45617</v>
      </c>
      <c r="G207" s="962">
        <v>1</v>
      </c>
      <c r="H207" s="963">
        <v>45617</v>
      </c>
      <c r="I207" s="963">
        <v>45617</v>
      </c>
      <c r="J207" s="963">
        <v>45617</v>
      </c>
      <c r="K207" s="963">
        <v>45617</v>
      </c>
    </row>
    <row r="208" spans="1:11">
      <c r="A208" s="959"/>
      <c r="B208" s="959"/>
      <c r="C208" s="961" t="s">
        <v>518</v>
      </c>
      <c r="D208" s="962">
        <v>1</v>
      </c>
      <c r="E208" s="963">
        <v>45565</v>
      </c>
      <c r="F208" s="963">
        <v>45565</v>
      </c>
      <c r="G208" s="962">
        <v>1</v>
      </c>
      <c r="H208" s="963">
        <v>45565</v>
      </c>
      <c r="I208" s="963">
        <v>45565</v>
      </c>
      <c r="J208" s="963">
        <v>45565</v>
      </c>
      <c r="K208" s="963">
        <v>45565</v>
      </c>
    </row>
    <row r="209" spans="1:11">
      <c r="A209" s="959"/>
      <c r="B209" s="959"/>
      <c r="C209" s="961" t="s">
        <v>519</v>
      </c>
      <c r="D209" s="962">
        <v>14</v>
      </c>
      <c r="E209" s="963">
        <v>45678</v>
      </c>
      <c r="F209" s="963">
        <v>45691</v>
      </c>
      <c r="G209" s="962">
        <v>14</v>
      </c>
      <c r="H209" s="963"/>
      <c r="I209" s="963"/>
      <c r="J209" s="963">
        <v>45748</v>
      </c>
      <c r="K209" s="963">
        <v>45761</v>
      </c>
    </row>
    <row r="210" spans="1:11">
      <c r="A210" s="959"/>
      <c r="B210" s="959"/>
      <c r="C210" s="961" t="s">
        <v>520</v>
      </c>
      <c r="D210" s="962">
        <v>12</v>
      </c>
      <c r="E210" s="963">
        <v>45678</v>
      </c>
      <c r="F210" s="963">
        <v>45689</v>
      </c>
      <c r="G210" s="962">
        <v>21</v>
      </c>
      <c r="H210" s="963"/>
      <c r="I210" s="963"/>
      <c r="J210" s="963">
        <v>45690</v>
      </c>
      <c r="K210" s="963">
        <v>45710</v>
      </c>
    </row>
    <row r="211" spans="1:11">
      <c r="A211" s="959"/>
      <c r="B211" s="959"/>
      <c r="C211" s="961" t="s">
        <v>521</v>
      </c>
      <c r="D211" s="962">
        <v>14</v>
      </c>
      <c r="E211" s="963">
        <v>45678</v>
      </c>
      <c r="F211" s="963">
        <v>45691</v>
      </c>
      <c r="G211" s="962">
        <v>14</v>
      </c>
      <c r="H211" s="963"/>
      <c r="I211" s="963"/>
      <c r="J211" s="963">
        <v>45748</v>
      </c>
      <c r="K211" s="963">
        <v>45761</v>
      </c>
    </row>
    <row r="212" spans="1:11">
      <c r="A212" s="959"/>
      <c r="B212" s="959"/>
      <c r="C212" s="961" t="s">
        <v>522</v>
      </c>
      <c r="D212" s="962">
        <v>1</v>
      </c>
      <c r="E212" s="963">
        <v>45551</v>
      </c>
      <c r="F212" s="963">
        <v>45551</v>
      </c>
      <c r="G212" s="962">
        <v>1</v>
      </c>
      <c r="H212" s="963">
        <v>45551</v>
      </c>
      <c r="I212" s="963">
        <v>45551</v>
      </c>
      <c r="J212" s="963">
        <v>45551</v>
      </c>
      <c r="K212" s="963">
        <v>45551</v>
      </c>
    </row>
    <row r="213" spans="1:11">
      <c r="A213" s="959"/>
      <c r="B213" s="959"/>
      <c r="C213" s="961" t="s">
        <v>523</v>
      </c>
      <c r="D213" s="962">
        <v>10</v>
      </c>
      <c r="E213" s="963">
        <v>45678</v>
      </c>
      <c r="F213" s="963">
        <v>45687</v>
      </c>
      <c r="G213" s="962">
        <v>10</v>
      </c>
      <c r="H213" s="963"/>
      <c r="I213" s="963"/>
      <c r="J213" s="963">
        <v>45748</v>
      </c>
      <c r="K213" s="963">
        <v>45757</v>
      </c>
    </row>
    <row r="214" spans="1:11">
      <c r="A214" s="959"/>
      <c r="B214" s="959"/>
      <c r="C214" s="961" t="s">
        <v>524</v>
      </c>
      <c r="D214" s="962">
        <v>1</v>
      </c>
      <c r="E214" s="963">
        <v>45635</v>
      </c>
      <c r="F214" s="963">
        <v>45635</v>
      </c>
      <c r="G214" s="962">
        <v>1</v>
      </c>
      <c r="H214" s="963">
        <v>45635</v>
      </c>
      <c r="I214" s="963">
        <v>45635</v>
      </c>
      <c r="J214" s="963">
        <v>45635</v>
      </c>
      <c r="K214" s="963">
        <v>45635</v>
      </c>
    </row>
    <row r="215" spans="1:11">
      <c r="A215" s="959"/>
      <c r="B215" s="959"/>
      <c r="C215" s="961" t="s">
        <v>525</v>
      </c>
      <c r="D215" s="962">
        <v>15</v>
      </c>
      <c r="E215" s="963">
        <v>45678</v>
      </c>
      <c r="F215" s="963">
        <v>45692</v>
      </c>
      <c r="G215" s="962">
        <v>15</v>
      </c>
      <c r="H215" s="963"/>
      <c r="I215" s="963"/>
      <c r="J215" s="963">
        <v>45748</v>
      </c>
      <c r="K215" s="963">
        <v>45762</v>
      </c>
    </row>
    <row r="216" spans="1:11">
      <c r="A216" s="959"/>
      <c r="B216" s="959"/>
      <c r="C216" s="961" t="s">
        <v>526</v>
      </c>
      <c r="D216" s="962">
        <v>14</v>
      </c>
      <c r="E216" s="963">
        <v>45678</v>
      </c>
      <c r="F216" s="963">
        <v>45691</v>
      </c>
      <c r="G216" s="962">
        <v>14</v>
      </c>
      <c r="H216" s="963"/>
      <c r="I216" s="963"/>
      <c r="J216" s="963">
        <v>45748</v>
      </c>
      <c r="K216" s="963">
        <v>45761</v>
      </c>
    </row>
    <row r="217" spans="1:11" ht="31">
      <c r="A217" s="959"/>
      <c r="B217" s="959"/>
      <c r="C217" s="961" t="s">
        <v>527</v>
      </c>
      <c r="D217" s="962">
        <v>21</v>
      </c>
      <c r="E217" s="963">
        <v>45678</v>
      </c>
      <c r="F217" s="963">
        <v>45698</v>
      </c>
      <c r="G217" s="962">
        <v>21</v>
      </c>
      <c r="H217" s="963"/>
      <c r="I217" s="963"/>
      <c r="J217" s="963">
        <v>45748</v>
      </c>
      <c r="K217" s="963">
        <v>45768</v>
      </c>
    </row>
    <row r="218" spans="1:11">
      <c r="A218" s="959"/>
      <c r="B218" s="959"/>
      <c r="C218" s="961" t="s">
        <v>528</v>
      </c>
      <c r="D218" s="962">
        <v>21</v>
      </c>
      <c r="E218" s="963">
        <v>45678</v>
      </c>
      <c r="F218" s="963">
        <v>45698</v>
      </c>
      <c r="G218" s="962">
        <v>21</v>
      </c>
      <c r="H218" s="963"/>
      <c r="I218" s="963"/>
      <c r="J218" s="963">
        <v>45748</v>
      </c>
      <c r="K218" s="963">
        <v>45768</v>
      </c>
    </row>
    <row r="219" spans="1:11" ht="31">
      <c r="A219" s="959"/>
      <c r="B219" s="959"/>
      <c r="C219" s="961" t="s">
        <v>529</v>
      </c>
      <c r="D219" s="962">
        <v>14</v>
      </c>
      <c r="E219" s="963">
        <v>45678</v>
      </c>
      <c r="F219" s="963">
        <v>45691</v>
      </c>
      <c r="G219" s="962">
        <v>14</v>
      </c>
      <c r="H219" s="963"/>
      <c r="I219" s="963"/>
      <c r="J219" s="963">
        <v>45748</v>
      </c>
      <c r="K219" s="963">
        <v>45761</v>
      </c>
    </row>
    <row r="220" spans="1:11">
      <c r="A220" s="959"/>
      <c r="B220" s="959"/>
      <c r="C220" s="961" t="s">
        <v>530</v>
      </c>
      <c r="D220" s="962">
        <v>21</v>
      </c>
      <c r="E220" s="963">
        <v>45678</v>
      </c>
      <c r="F220" s="963">
        <v>45698</v>
      </c>
      <c r="G220" s="962">
        <v>21</v>
      </c>
      <c r="H220" s="963"/>
      <c r="I220" s="963"/>
      <c r="J220" s="963">
        <v>45748</v>
      </c>
      <c r="K220" s="963">
        <v>45768</v>
      </c>
    </row>
    <row r="221" spans="1:11">
      <c r="A221" s="959"/>
      <c r="B221" s="959"/>
      <c r="C221" s="961" t="s">
        <v>531</v>
      </c>
      <c r="D221" s="962">
        <v>1</v>
      </c>
      <c r="E221" s="963">
        <v>45551</v>
      </c>
      <c r="F221" s="963">
        <v>45551</v>
      </c>
      <c r="G221" s="962">
        <v>1</v>
      </c>
      <c r="H221" s="963">
        <v>45551</v>
      </c>
      <c r="I221" s="963">
        <v>45551</v>
      </c>
      <c r="J221" s="963">
        <v>45551</v>
      </c>
      <c r="K221" s="963">
        <v>45551</v>
      </c>
    </row>
    <row r="222" spans="1:11">
      <c r="A222" s="959"/>
      <c r="B222" s="959"/>
      <c r="C222" s="961" t="s">
        <v>532</v>
      </c>
      <c r="D222" s="962">
        <v>21</v>
      </c>
      <c r="E222" s="963">
        <v>45678</v>
      </c>
      <c r="F222" s="963">
        <v>45698</v>
      </c>
      <c r="G222" s="962">
        <v>21</v>
      </c>
      <c r="H222" s="963"/>
      <c r="I222" s="963"/>
      <c r="J222" s="963">
        <v>45748</v>
      </c>
      <c r="K222" s="963">
        <v>45768</v>
      </c>
    </row>
    <row r="223" spans="1:11">
      <c r="A223" s="959"/>
      <c r="B223" s="959"/>
      <c r="C223" s="961" t="s">
        <v>533</v>
      </c>
      <c r="D223" s="962">
        <v>1</v>
      </c>
      <c r="E223" s="963">
        <v>45573</v>
      </c>
      <c r="F223" s="963">
        <v>45573</v>
      </c>
      <c r="G223" s="962">
        <v>1</v>
      </c>
      <c r="H223" s="963">
        <v>45573</v>
      </c>
      <c r="I223" s="963">
        <v>45573</v>
      </c>
      <c r="J223" s="963">
        <v>45573</v>
      </c>
      <c r="K223" s="963">
        <v>45573</v>
      </c>
    </row>
    <row r="224" spans="1:11">
      <c r="A224" s="959"/>
      <c r="B224" s="959"/>
      <c r="C224" s="961" t="s">
        <v>534</v>
      </c>
      <c r="D224" s="962">
        <v>1</v>
      </c>
      <c r="E224" s="963">
        <v>45551</v>
      </c>
      <c r="F224" s="963">
        <v>45551</v>
      </c>
      <c r="G224" s="962">
        <v>1</v>
      </c>
      <c r="H224" s="963">
        <v>45551</v>
      </c>
      <c r="I224" s="963">
        <v>45551</v>
      </c>
      <c r="J224" s="963">
        <v>45551</v>
      </c>
      <c r="K224" s="963">
        <v>45551</v>
      </c>
    </row>
    <row r="225" spans="1:11">
      <c r="A225" s="959"/>
      <c r="B225" s="959"/>
      <c r="C225" s="961" t="s">
        <v>535</v>
      </c>
      <c r="D225" s="962">
        <v>1</v>
      </c>
      <c r="E225" s="963">
        <v>45566</v>
      </c>
      <c r="F225" s="963">
        <v>45566</v>
      </c>
      <c r="G225" s="962">
        <v>1</v>
      </c>
      <c r="H225" s="963">
        <v>45566</v>
      </c>
      <c r="I225" s="963">
        <v>45566</v>
      </c>
      <c r="J225" s="963">
        <v>45566</v>
      </c>
      <c r="K225" s="963">
        <v>45566</v>
      </c>
    </row>
    <row r="226" spans="1:11">
      <c r="A226" s="959"/>
      <c r="B226" s="959"/>
      <c r="C226" s="961" t="s">
        <v>536</v>
      </c>
      <c r="D226" s="962">
        <v>44</v>
      </c>
      <c r="E226" s="963">
        <v>45566</v>
      </c>
      <c r="F226" s="963">
        <v>45609</v>
      </c>
      <c r="G226" s="962">
        <v>44</v>
      </c>
      <c r="H226" s="963">
        <v>45566</v>
      </c>
      <c r="I226" s="963">
        <v>45609</v>
      </c>
      <c r="J226" s="963">
        <v>45566</v>
      </c>
      <c r="K226" s="963">
        <v>45609</v>
      </c>
    </row>
    <row r="227" spans="1:11">
      <c r="A227" s="959"/>
      <c r="B227" s="959"/>
      <c r="C227" s="961" t="s">
        <v>537</v>
      </c>
      <c r="D227" s="962">
        <v>14</v>
      </c>
      <c r="E227" s="963">
        <v>45678</v>
      </c>
      <c r="F227" s="963">
        <v>45691</v>
      </c>
      <c r="G227" s="962">
        <v>14</v>
      </c>
      <c r="H227" s="963"/>
      <c r="I227" s="963"/>
      <c r="J227" s="963">
        <v>45748</v>
      </c>
      <c r="K227" s="963">
        <v>45761</v>
      </c>
    </row>
    <row r="228" spans="1:11">
      <c r="A228" s="959"/>
      <c r="B228" s="959"/>
      <c r="C228" s="961" t="s">
        <v>538</v>
      </c>
      <c r="D228" s="962">
        <v>14</v>
      </c>
      <c r="E228" s="963">
        <v>45678</v>
      </c>
      <c r="F228" s="963">
        <v>45691</v>
      </c>
      <c r="G228" s="962">
        <v>14</v>
      </c>
      <c r="H228" s="963"/>
      <c r="I228" s="963"/>
      <c r="J228" s="963">
        <v>45748</v>
      </c>
      <c r="K228" s="963">
        <v>45761</v>
      </c>
    </row>
    <row r="229" spans="1:11">
      <c r="A229" s="959"/>
      <c r="B229" s="959"/>
      <c r="C229" s="961" t="s">
        <v>539</v>
      </c>
      <c r="D229" s="962">
        <v>14</v>
      </c>
      <c r="E229" s="963">
        <v>45678</v>
      </c>
      <c r="F229" s="963">
        <v>45691</v>
      </c>
      <c r="G229" s="962">
        <v>14</v>
      </c>
      <c r="H229" s="963"/>
      <c r="I229" s="963"/>
      <c r="J229" s="963">
        <v>45748</v>
      </c>
      <c r="K229" s="963">
        <v>45761</v>
      </c>
    </row>
    <row r="230" spans="1:11">
      <c r="A230" s="959"/>
      <c r="B230" s="959"/>
      <c r="C230" s="961" t="s">
        <v>540</v>
      </c>
      <c r="D230" s="962">
        <v>14</v>
      </c>
      <c r="E230" s="963">
        <v>45678</v>
      </c>
      <c r="F230" s="963">
        <v>45691</v>
      </c>
      <c r="G230" s="962">
        <v>14</v>
      </c>
      <c r="H230" s="963"/>
      <c r="I230" s="963"/>
      <c r="J230" s="963">
        <v>45748</v>
      </c>
      <c r="K230" s="963">
        <v>45761</v>
      </c>
    </row>
    <row r="231" spans="1:11">
      <c r="A231" s="959"/>
      <c r="B231" s="959"/>
      <c r="C231" s="961" t="s">
        <v>541</v>
      </c>
      <c r="D231" s="962">
        <v>14</v>
      </c>
      <c r="E231" s="963">
        <v>45678</v>
      </c>
      <c r="F231" s="963">
        <v>45691</v>
      </c>
      <c r="G231" s="962">
        <v>14</v>
      </c>
      <c r="H231" s="963"/>
      <c r="I231" s="963"/>
      <c r="J231" s="963">
        <v>45748</v>
      </c>
      <c r="K231" s="963">
        <v>45761</v>
      </c>
    </row>
    <row r="232" spans="1:11" ht="31">
      <c r="A232" s="959"/>
      <c r="B232" s="959"/>
      <c r="C232" s="961" t="s">
        <v>542</v>
      </c>
      <c r="D232" s="962">
        <v>1</v>
      </c>
      <c r="E232" s="963">
        <v>45555</v>
      </c>
      <c r="F232" s="963">
        <v>45555</v>
      </c>
      <c r="G232" s="962">
        <v>1</v>
      </c>
      <c r="H232" s="963">
        <v>45555</v>
      </c>
      <c r="I232" s="963">
        <v>45555</v>
      </c>
      <c r="J232" s="963">
        <v>45555</v>
      </c>
      <c r="K232" s="963">
        <v>45555</v>
      </c>
    </row>
    <row r="233" spans="1:11" ht="31">
      <c r="A233" s="959"/>
      <c r="B233" s="959"/>
      <c r="C233" s="961" t="s">
        <v>543</v>
      </c>
      <c r="D233" s="962">
        <v>1</v>
      </c>
      <c r="E233" s="963"/>
      <c r="F233" s="963"/>
      <c r="G233" s="962">
        <v>1</v>
      </c>
      <c r="H233" s="963"/>
      <c r="I233" s="963"/>
      <c r="J233" s="963"/>
      <c r="K233" s="963"/>
    </row>
    <row r="234" spans="1:11">
      <c r="A234" s="959"/>
      <c r="B234" s="959"/>
      <c r="C234" s="961" t="s">
        <v>544</v>
      </c>
      <c r="D234" s="962">
        <v>30</v>
      </c>
      <c r="E234" s="963">
        <v>45678</v>
      </c>
      <c r="F234" s="963">
        <v>45707</v>
      </c>
      <c r="G234" s="962">
        <v>4</v>
      </c>
      <c r="H234" s="963">
        <v>45687</v>
      </c>
      <c r="I234" s="963">
        <v>45690</v>
      </c>
      <c r="J234" s="963">
        <v>45687</v>
      </c>
      <c r="K234" s="963">
        <v>45690</v>
      </c>
    </row>
    <row r="235" spans="1:11">
      <c r="A235" s="959"/>
      <c r="B235" s="959"/>
      <c r="C235" s="961" t="s">
        <v>545</v>
      </c>
      <c r="D235" s="962">
        <v>45</v>
      </c>
      <c r="E235" s="963">
        <v>45678</v>
      </c>
      <c r="F235" s="963">
        <v>45722</v>
      </c>
      <c r="G235" s="962">
        <v>6</v>
      </c>
      <c r="H235" s="963">
        <v>45672</v>
      </c>
      <c r="I235" s="963">
        <v>45677</v>
      </c>
      <c r="J235" s="963">
        <v>45672</v>
      </c>
      <c r="K235" s="963">
        <v>45677</v>
      </c>
    </row>
    <row r="236" spans="1:11">
      <c r="A236" s="959"/>
      <c r="B236" s="959"/>
      <c r="C236" s="961" t="s">
        <v>546</v>
      </c>
      <c r="D236" s="962">
        <v>45</v>
      </c>
      <c r="E236" s="963">
        <v>45678</v>
      </c>
      <c r="F236" s="963">
        <v>45722</v>
      </c>
      <c r="G236" s="962">
        <v>45</v>
      </c>
      <c r="H236" s="963"/>
      <c r="I236" s="963"/>
      <c r="J236" s="963">
        <v>45748</v>
      </c>
      <c r="K236" s="963">
        <v>45792</v>
      </c>
    </row>
    <row r="237" spans="1:11">
      <c r="A237" s="959"/>
      <c r="B237" s="959"/>
      <c r="C237" s="961" t="s">
        <v>547</v>
      </c>
      <c r="D237" s="962">
        <v>45</v>
      </c>
      <c r="E237" s="963">
        <v>45678</v>
      </c>
      <c r="F237" s="963">
        <v>45722</v>
      </c>
      <c r="G237" s="962">
        <v>45</v>
      </c>
      <c r="H237" s="963"/>
      <c r="I237" s="963"/>
      <c r="J237" s="963">
        <v>45748</v>
      </c>
      <c r="K237" s="963">
        <v>45792</v>
      </c>
    </row>
    <row r="238" spans="1:11">
      <c r="A238" s="959"/>
      <c r="B238" s="959"/>
      <c r="C238" s="961" t="s">
        <v>548</v>
      </c>
      <c r="D238" s="962">
        <v>45</v>
      </c>
      <c r="E238" s="963">
        <v>45678</v>
      </c>
      <c r="F238" s="963">
        <v>45722</v>
      </c>
      <c r="G238" s="962">
        <v>45</v>
      </c>
      <c r="H238" s="963"/>
      <c r="I238" s="963"/>
      <c r="J238" s="963">
        <v>45748</v>
      </c>
      <c r="K238" s="963">
        <v>45792</v>
      </c>
    </row>
    <row r="239" spans="1:11">
      <c r="A239" s="959"/>
      <c r="B239" s="959"/>
      <c r="C239" s="961" t="s">
        <v>549</v>
      </c>
      <c r="D239" s="962">
        <v>45</v>
      </c>
      <c r="E239" s="963">
        <v>45678</v>
      </c>
      <c r="F239" s="963">
        <v>45722</v>
      </c>
      <c r="G239" s="962">
        <v>29</v>
      </c>
      <c r="H239" s="963"/>
      <c r="I239" s="963"/>
      <c r="J239" s="963">
        <v>45697</v>
      </c>
      <c r="K239" s="963">
        <v>45725</v>
      </c>
    </row>
    <row r="240" spans="1:11">
      <c r="A240" s="959"/>
      <c r="B240" s="959"/>
      <c r="C240" s="961" t="s">
        <v>550</v>
      </c>
      <c r="D240" s="962">
        <v>30</v>
      </c>
      <c r="E240" s="963">
        <v>45678</v>
      </c>
      <c r="F240" s="963">
        <v>45707</v>
      </c>
      <c r="G240" s="962">
        <v>30</v>
      </c>
      <c r="H240" s="963"/>
      <c r="I240" s="963"/>
      <c r="J240" s="963">
        <v>45748</v>
      </c>
      <c r="K240" s="963">
        <v>45777</v>
      </c>
    </row>
    <row r="241" spans="1:11">
      <c r="A241" s="959"/>
      <c r="B241" s="959"/>
      <c r="C241" s="961" t="s">
        <v>551</v>
      </c>
      <c r="D241" s="962">
        <v>10</v>
      </c>
      <c r="E241" s="963">
        <v>45678</v>
      </c>
      <c r="F241" s="963">
        <v>45687</v>
      </c>
      <c r="G241" s="962">
        <v>10</v>
      </c>
      <c r="H241" s="963"/>
      <c r="I241" s="963"/>
      <c r="J241" s="963">
        <v>45748</v>
      </c>
      <c r="K241" s="963">
        <v>45757</v>
      </c>
    </row>
    <row r="242" spans="1:11">
      <c r="A242" s="959"/>
      <c r="B242" s="959"/>
      <c r="C242" s="961" t="s">
        <v>552</v>
      </c>
      <c r="D242" s="962">
        <v>1</v>
      </c>
      <c r="E242" s="963">
        <v>45645</v>
      </c>
      <c r="F242" s="963">
        <v>45645</v>
      </c>
      <c r="G242" s="962">
        <v>1</v>
      </c>
      <c r="H242" s="963">
        <v>45645</v>
      </c>
      <c r="I242" s="963">
        <v>45645</v>
      </c>
      <c r="J242" s="963">
        <v>45645</v>
      </c>
      <c r="K242" s="963">
        <v>45645</v>
      </c>
    </row>
    <row r="243" spans="1:11">
      <c r="A243" s="959"/>
      <c r="B243" s="959"/>
      <c r="C243" s="961" t="s">
        <v>553</v>
      </c>
      <c r="D243" s="962">
        <v>14</v>
      </c>
      <c r="E243" s="963">
        <v>45678</v>
      </c>
      <c r="F243" s="963">
        <v>45691</v>
      </c>
      <c r="G243" s="962">
        <v>14</v>
      </c>
      <c r="H243" s="963"/>
      <c r="I243" s="963"/>
      <c r="J243" s="963">
        <v>45748</v>
      </c>
      <c r="K243" s="963">
        <v>45761</v>
      </c>
    </row>
    <row r="244" spans="1:11">
      <c r="A244" s="959"/>
      <c r="B244" s="959"/>
      <c r="C244" s="961" t="s">
        <v>554</v>
      </c>
      <c r="D244" s="962">
        <v>21</v>
      </c>
      <c r="E244" s="963">
        <v>45678</v>
      </c>
      <c r="F244" s="963">
        <v>45698</v>
      </c>
      <c r="G244" s="962">
        <v>21</v>
      </c>
      <c r="H244" s="963"/>
      <c r="I244" s="963"/>
      <c r="J244" s="963">
        <v>45748</v>
      </c>
      <c r="K244" s="963">
        <v>45768</v>
      </c>
    </row>
    <row r="245" spans="1:11">
      <c r="A245" s="959"/>
      <c r="B245" s="959"/>
      <c r="C245" s="961" t="s">
        <v>555</v>
      </c>
      <c r="D245" s="962">
        <v>30</v>
      </c>
      <c r="E245" s="963">
        <v>45678</v>
      </c>
      <c r="F245" s="963">
        <v>45707</v>
      </c>
      <c r="G245" s="962">
        <v>30</v>
      </c>
      <c r="H245" s="963"/>
      <c r="I245" s="963"/>
      <c r="J245" s="963">
        <v>45748</v>
      </c>
      <c r="K245" s="963">
        <v>45777</v>
      </c>
    </row>
    <row r="246" spans="1:11">
      <c r="A246" s="959"/>
      <c r="B246" s="959"/>
      <c r="C246" s="961" t="s">
        <v>556</v>
      </c>
      <c r="D246" s="962">
        <v>30</v>
      </c>
      <c r="E246" s="963">
        <v>45678</v>
      </c>
      <c r="F246" s="963">
        <v>45707</v>
      </c>
      <c r="G246" s="962">
        <v>30</v>
      </c>
      <c r="H246" s="963"/>
      <c r="I246" s="963"/>
      <c r="J246" s="963">
        <v>45748</v>
      </c>
      <c r="K246" s="963">
        <v>45777</v>
      </c>
    </row>
    <row r="247" spans="1:11">
      <c r="A247" s="959"/>
      <c r="B247" s="959"/>
      <c r="C247" s="961" t="s">
        <v>557</v>
      </c>
      <c r="D247" s="962">
        <v>45</v>
      </c>
      <c r="E247" s="963">
        <v>45678</v>
      </c>
      <c r="F247" s="963">
        <v>45722</v>
      </c>
      <c r="G247" s="962">
        <v>45</v>
      </c>
      <c r="H247" s="963"/>
      <c r="I247" s="963"/>
      <c r="J247" s="963">
        <v>45748</v>
      </c>
      <c r="K247" s="963">
        <v>45792</v>
      </c>
    </row>
    <row r="248" spans="1:11">
      <c r="A248" s="959"/>
      <c r="B248" s="959"/>
      <c r="C248" s="961" t="s">
        <v>558</v>
      </c>
      <c r="D248" s="962">
        <v>95</v>
      </c>
      <c r="E248" s="963">
        <v>45392</v>
      </c>
      <c r="F248" s="963">
        <v>45486</v>
      </c>
      <c r="G248" s="962">
        <v>1</v>
      </c>
      <c r="H248" s="963"/>
      <c r="I248" s="963"/>
      <c r="J248" s="963">
        <v>45392</v>
      </c>
      <c r="K248" s="963">
        <v>45392</v>
      </c>
    </row>
    <row r="249" spans="1:11" ht="31">
      <c r="A249" s="959"/>
      <c r="B249" s="959"/>
      <c r="C249" s="961" t="s">
        <v>559</v>
      </c>
      <c r="D249" s="962">
        <v>45</v>
      </c>
      <c r="E249" s="963">
        <v>45678</v>
      </c>
      <c r="F249" s="963">
        <v>45722</v>
      </c>
      <c r="G249" s="962">
        <v>1</v>
      </c>
      <c r="H249" s="963"/>
      <c r="I249" s="963"/>
      <c r="J249" s="963">
        <v>45720</v>
      </c>
      <c r="K249" s="963">
        <v>45720</v>
      </c>
    </row>
    <row r="250" spans="1:11">
      <c r="A250" s="959"/>
      <c r="B250" s="959"/>
      <c r="C250" s="961" t="s">
        <v>560</v>
      </c>
      <c r="D250" s="962">
        <v>1</v>
      </c>
      <c r="E250" s="963">
        <v>45534</v>
      </c>
      <c r="F250" s="963">
        <v>45534</v>
      </c>
      <c r="G250" s="962">
        <v>1</v>
      </c>
      <c r="H250" s="963"/>
      <c r="I250" s="963"/>
      <c r="J250" s="963">
        <v>45534</v>
      </c>
      <c r="K250" s="963">
        <v>45534</v>
      </c>
    </row>
    <row r="251" spans="1:11">
      <c r="A251" s="959"/>
      <c r="B251" s="959"/>
      <c r="C251" s="961" t="s">
        <v>561</v>
      </c>
      <c r="D251" s="962">
        <v>45</v>
      </c>
      <c r="E251" s="963">
        <v>45678</v>
      </c>
      <c r="F251" s="963">
        <v>45722</v>
      </c>
      <c r="G251" s="962">
        <v>45</v>
      </c>
      <c r="H251" s="963"/>
      <c r="I251" s="963"/>
      <c r="J251" s="963">
        <v>45748</v>
      </c>
      <c r="K251" s="963">
        <v>45792</v>
      </c>
    </row>
    <row r="252" spans="1:11">
      <c r="A252" s="959"/>
      <c r="B252" s="959"/>
      <c r="C252" s="961" t="s">
        <v>562</v>
      </c>
      <c r="D252" s="962">
        <v>30</v>
      </c>
      <c r="E252" s="963">
        <v>45678</v>
      </c>
      <c r="F252" s="963">
        <v>45707</v>
      </c>
      <c r="G252" s="962">
        <v>30</v>
      </c>
      <c r="H252" s="963"/>
      <c r="I252" s="963"/>
      <c r="J252" s="963">
        <v>45748</v>
      </c>
      <c r="K252" s="963">
        <v>45777</v>
      </c>
    </row>
    <row r="253" spans="1:11">
      <c r="A253" s="959"/>
      <c r="B253" s="959"/>
      <c r="C253" s="961" t="s">
        <v>563</v>
      </c>
      <c r="D253" s="962">
        <v>45</v>
      </c>
      <c r="E253" s="963">
        <v>45678</v>
      </c>
      <c r="F253" s="963">
        <v>45722</v>
      </c>
      <c r="G253" s="962">
        <v>45</v>
      </c>
      <c r="H253" s="963"/>
      <c r="I253" s="963"/>
      <c r="J253" s="963">
        <v>45748</v>
      </c>
      <c r="K253" s="963">
        <v>45792</v>
      </c>
    </row>
    <row r="254" spans="1:11">
      <c r="A254" s="959"/>
      <c r="B254" s="959"/>
      <c r="C254" s="961" t="s">
        <v>564</v>
      </c>
      <c r="D254" s="962">
        <v>1</v>
      </c>
      <c r="E254" s="963">
        <v>45497</v>
      </c>
      <c r="F254" s="963">
        <v>45497</v>
      </c>
      <c r="G254" s="962">
        <v>1</v>
      </c>
      <c r="H254" s="963">
        <v>45497</v>
      </c>
      <c r="I254" s="963">
        <v>45497</v>
      </c>
      <c r="J254" s="963">
        <v>45497</v>
      </c>
      <c r="K254" s="963">
        <v>45497</v>
      </c>
    </row>
    <row r="255" spans="1:11">
      <c r="A255" s="959"/>
      <c r="B255" s="959"/>
      <c r="C255" s="961" t="s">
        <v>406</v>
      </c>
      <c r="D255" s="962">
        <v>1</v>
      </c>
      <c r="E255" s="963"/>
      <c r="F255" s="963"/>
      <c r="G255" s="962">
        <v>1</v>
      </c>
      <c r="H255" s="963"/>
      <c r="I255" s="963"/>
      <c r="J255" s="963"/>
      <c r="K255" s="963"/>
    </row>
    <row r="256" spans="1:11">
      <c r="A256" s="959"/>
      <c r="B256" s="959"/>
      <c r="C256" s="961" t="s">
        <v>565</v>
      </c>
      <c r="D256" s="962">
        <v>88</v>
      </c>
      <c r="E256" s="963">
        <v>45352</v>
      </c>
      <c r="F256" s="963">
        <v>45439</v>
      </c>
      <c r="G256" s="962">
        <v>88</v>
      </c>
      <c r="H256" s="963">
        <v>45352</v>
      </c>
      <c r="I256" s="963">
        <v>45439</v>
      </c>
      <c r="J256" s="963">
        <v>45352</v>
      </c>
      <c r="K256" s="963">
        <v>45439</v>
      </c>
    </row>
    <row r="257" spans="1:11" s="957" customFormat="1">
      <c r="A257" s="965" t="s">
        <v>566</v>
      </c>
      <c r="B257" s="965" t="s">
        <v>420</v>
      </c>
      <c r="C257" s="967"/>
      <c r="D257" s="955">
        <v>416</v>
      </c>
      <c r="E257" s="956">
        <v>45352</v>
      </c>
      <c r="F257" s="956">
        <v>45767</v>
      </c>
      <c r="G257" s="955">
        <v>486</v>
      </c>
      <c r="H257" s="956">
        <v>45352</v>
      </c>
      <c r="I257" s="956"/>
      <c r="J257" s="956">
        <v>45352</v>
      </c>
      <c r="K257" s="956">
        <v>45837</v>
      </c>
    </row>
    <row r="258" spans="1:11">
      <c r="A258" s="959"/>
      <c r="B258" s="959"/>
      <c r="C258" s="961" t="s">
        <v>421</v>
      </c>
      <c r="D258" s="962">
        <v>66</v>
      </c>
      <c r="E258" s="963">
        <v>45523</v>
      </c>
      <c r="F258" s="963">
        <v>45588</v>
      </c>
      <c r="G258" s="962">
        <v>66</v>
      </c>
      <c r="H258" s="963">
        <v>45523</v>
      </c>
      <c r="I258" s="963">
        <v>45588</v>
      </c>
      <c r="J258" s="963">
        <v>45523</v>
      </c>
      <c r="K258" s="963">
        <v>45588</v>
      </c>
    </row>
    <row r="259" spans="1:11">
      <c r="A259" s="959"/>
      <c r="B259" s="959"/>
      <c r="C259" s="961" t="s">
        <v>422</v>
      </c>
      <c r="D259" s="962">
        <v>38</v>
      </c>
      <c r="E259" s="963">
        <v>45461</v>
      </c>
      <c r="F259" s="963">
        <v>45498</v>
      </c>
      <c r="G259" s="962">
        <v>38</v>
      </c>
      <c r="H259" s="963">
        <v>45461</v>
      </c>
      <c r="I259" s="963">
        <v>45498</v>
      </c>
      <c r="J259" s="963">
        <v>45461</v>
      </c>
      <c r="K259" s="963">
        <v>45498</v>
      </c>
    </row>
    <row r="260" spans="1:11">
      <c r="A260" s="959"/>
      <c r="B260" s="959"/>
      <c r="C260" s="961" t="s">
        <v>423</v>
      </c>
      <c r="D260" s="962">
        <v>44</v>
      </c>
      <c r="E260" s="963">
        <v>45391</v>
      </c>
      <c r="F260" s="963">
        <v>45434</v>
      </c>
      <c r="G260" s="962">
        <v>44</v>
      </c>
      <c r="H260" s="963">
        <v>45391</v>
      </c>
      <c r="I260" s="963">
        <v>45434</v>
      </c>
      <c r="J260" s="963">
        <v>45391</v>
      </c>
      <c r="K260" s="963">
        <v>45434</v>
      </c>
    </row>
    <row r="261" spans="1:11">
      <c r="A261" s="959"/>
      <c r="B261" s="959"/>
      <c r="C261" s="961" t="s">
        <v>424</v>
      </c>
      <c r="D261" s="962">
        <v>106</v>
      </c>
      <c r="E261" s="963">
        <v>45586</v>
      </c>
      <c r="F261" s="963">
        <v>45691</v>
      </c>
      <c r="G261" s="962">
        <v>176</v>
      </c>
      <c r="H261" s="963">
        <v>45586</v>
      </c>
      <c r="I261" s="963"/>
      <c r="J261" s="963">
        <v>45586</v>
      </c>
      <c r="K261" s="963">
        <v>45761</v>
      </c>
    </row>
    <row r="262" spans="1:11">
      <c r="A262" s="959"/>
      <c r="B262" s="959"/>
      <c r="C262" s="961" t="s">
        <v>425</v>
      </c>
      <c r="D262" s="962">
        <v>154</v>
      </c>
      <c r="E262" s="963">
        <v>45545</v>
      </c>
      <c r="F262" s="963">
        <v>45698</v>
      </c>
      <c r="G262" s="962">
        <v>224</v>
      </c>
      <c r="H262" s="963">
        <v>45545</v>
      </c>
      <c r="I262" s="963"/>
      <c r="J262" s="963">
        <v>45545</v>
      </c>
      <c r="K262" s="963">
        <v>45768</v>
      </c>
    </row>
    <row r="263" spans="1:11">
      <c r="A263" s="959"/>
      <c r="B263" s="959"/>
      <c r="C263" s="961" t="s">
        <v>426</v>
      </c>
      <c r="D263" s="962">
        <v>76</v>
      </c>
      <c r="E263" s="963">
        <v>45535</v>
      </c>
      <c r="F263" s="963">
        <v>45610</v>
      </c>
      <c r="G263" s="962">
        <v>76</v>
      </c>
      <c r="H263" s="963">
        <v>45535</v>
      </c>
      <c r="I263" s="963">
        <v>45610</v>
      </c>
      <c r="J263" s="963">
        <v>45535</v>
      </c>
      <c r="K263" s="963">
        <v>45610</v>
      </c>
    </row>
    <row r="264" spans="1:11">
      <c r="A264" s="959"/>
      <c r="B264" s="959"/>
      <c r="C264" s="961" t="s">
        <v>427</v>
      </c>
      <c r="D264" s="962">
        <v>64</v>
      </c>
      <c r="E264" s="963">
        <v>45466</v>
      </c>
      <c r="F264" s="963">
        <v>45529</v>
      </c>
      <c r="G264" s="962">
        <v>64</v>
      </c>
      <c r="H264" s="963">
        <v>45466</v>
      </c>
      <c r="I264" s="963">
        <v>45529</v>
      </c>
      <c r="J264" s="963">
        <v>45466</v>
      </c>
      <c r="K264" s="963">
        <v>45529</v>
      </c>
    </row>
    <row r="265" spans="1:11">
      <c r="A265" s="959"/>
      <c r="B265" s="959"/>
      <c r="C265" s="961" t="s">
        <v>428</v>
      </c>
      <c r="D265" s="962">
        <v>116</v>
      </c>
      <c r="E265" s="963">
        <v>45466</v>
      </c>
      <c r="F265" s="963">
        <v>45581</v>
      </c>
      <c r="G265" s="962">
        <v>116</v>
      </c>
      <c r="H265" s="963">
        <v>45466</v>
      </c>
      <c r="I265" s="963">
        <v>45581</v>
      </c>
      <c r="J265" s="963">
        <v>45466</v>
      </c>
      <c r="K265" s="963">
        <v>45581</v>
      </c>
    </row>
    <row r="266" spans="1:11">
      <c r="A266" s="959"/>
      <c r="B266" s="959"/>
      <c r="C266" s="961" t="s">
        <v>429</v>
      </c>
      <c r="D266" s="962">
        <v>85</v>
      </c>
      <c r="E266" s="963">
        <v>45497</v>
      </c>
      <c r="F266" s="963">
        <v>45581</v>
      </c>
      <c r="G266" s="962">
        <v>85</v>
      </c>
      <c r="H266" s="963">
        <v>45497</v>
      </c>
      <c r="I266" s="963">
        <v>45581</v>
      </c>
      <c r="J266" s="963">
        <v>45497</v>
      </c>
      <c r="K266" s="963">
        <v>45581</v>
      </c>
    </row>
    <row r="267" spans="1:11">
      <c r="A267" s="959"/>
      <c r="B267" s="959"/>
      <c r="C267" s="961" t="s">
        <v>430</v>
      </c>
      <c r="D267" s="962">
        <v>49</v>
      </c>
      <c r="E267" s="963">
        <v>45443</v>
      </c>
      <c r="F267" s="963">
        <v>45491</v>
      </c>
      <c r="G267" s="962">
        <v>49</v>
      </c>
      <c r="H267" s="963">
        <v>45443</v>
      </c>
      <c r="I267" s="963">
        <v>45491</v>
      </c>
      <c r="J267" s="963">
        <v>45443</v>
      </c>
      <c r="K267" s="963">
        <v>45491</v>
      </c>
    </row>
    <row r="268" spans="1:11">
      <c r="A268" s="959"/>
      <c r="B268" s="959"/>
      <c r="C268" s="961" t="s">
        <v>431</v>
      </c>
      <c r="D268" s="962">
        <v>246</v>
      </c>
      <c r="E268" s="963">
        <v>45453</v>
      </c>
      <c r="F268" s="963">
        <v>45698</v>
      </c>
      <c r="G268" s="962">
        <v>316</v>
      </c>
      <c r="H268" s="963">
        <v>45453</v>
      </c>
      <c r="I268" s="963"/>
      <c r="J268" s="963">
        <v>45453</v>
      </c>
      <c r="K268" s="963">
        <v>45768</v>
      </c>
    </row>
    <row r="269" spans="1:11">
      <c r="A269" s="959"/>
      <c r="B269" s="959"/>
      <c r="C269" s="961" t="s">
        <v>104</v>
      </c>
      <c r="D269" s="962">
        <v>68</v>
      </c>
      <c r="E269" s="963">
        <v>45431</v>
      </c>
      <c r="F269" s="963">
        <v>45498</v>
      </c>
      <c r="G269" s="962">
        <v>68</v>
      </c>
      <c r="H269" s="963">
        <v>45431</v>
      </c>
      <c r="I269" s="963">
        <v>45498</v>
      </c>
      <c r="J269" s="963">
        <v>45431</v>
      </c>
      <c r="K269" s="963">
        <v>45498</v>
      </c>
    </row>
    <row r="270" spans="1:11">
      <c r="A270" s="959"/>
      <c r="B270" s="959"/>
      <c r="C270" s="961" t="s">
        <v>432</v>
      </c>
      <c r="D270" s="962">
        <v>147</v>
      </c>
      <c r="E270" s="963">
        <v>45352</v>
      </c>
      <c r="F270" s="963">
        <v>45498</v>
      </c>
      <c r="G270" s="962">
        <v>147</v>
      </c>
      <c r="H270" s="963">
        <v>45352</v>
      </c>
      <c r="I270" s="963">
        <v>45498</v>
      </c>
      <c r="J270" s="963">
        <v>45352</v>
      </c>
      <c r="K270" s="963">
        <v>45498</v>
      </c>
    </row>
    <row r="271" spans="1:11">
      <c r="A271" s="959"/>
      <c r="B271" s="959"/>
      <c r="C271" s="961" t="s">
        <v>433</v>
      </c>
      <c r="D271" s="962">
        <v>92</v>
      </c>
      <c r="E271" s="963">
        <v>45433</v>
      </c>
      <c r="F271" s="963">
        <v>45524</v>
      </c>
      <c r="G271" s="962">
        <v>92</v>
      </c>
      <c r="H271" s="963">
        <v>45433</v>
      </c>
      <c r="I271" s="963">
        <v>45524</v>
      </c>
      <c r="J271" s="963">
        <v>45433</v>
      </c>
      <c r="K271" s="963">
        <v>45524</v>
      </c>
    </row>
    <row r="272" spans="1:11">
      <c r="A272" s="959"/>
      <c r="B272" s="959"/>
      <c r="C272" s="961" t="s">
        <v>434</v>
      </c>
      <c r="D272" s="962">
        <v>112</v>
      </c>
      <c r="E272" s="963">
        <v>45413</v>
      </c>
      <c r="F272" s="963">
        <v>45524</v>
      </c>
      <c r="G272" s="962">
        <v>112</v>
      </c>
      <c r="H272" s="963">
        <v>45413</v>
      </c>
      <c r="I272" s="963">
        <v>45524</v>
      </c>
      <c r="J272" s="963">
        <v>45413</v>
      </c>
      <c r="K272" s="963">
        <v>45524</v>
      </c>
    </row>
    <row r="273" spans="1:11">
      <c r="A273" s="959"/>
      <c r="B273" s="959"/>
      <c r="C273" s="961" t="s">
        <v>435</v>
      </c>
      <c r="D273" s="962">
        <v>1</v>
      </c>
      <c r="E273" s="963"/>
      <c r="F273" s="963"/>
      <c r="G273" s="962">
        <v>1</v>
      </c>
      <c r="H273" s="963"/>
      <c r="I273" s="963"/>
      <c r="J273" s="963"/>
      <c r="K273" s="963"/>
    </row>
    <row r="274" spans="1:11">
      <c r="A274" s="959"/>
      <c r="B274" s="959"/>
      <c r="C274" s="961" t="s">
        <v>436</v>
      </c>
      <c r="D274" s="962">
        <v>97</v>
      </c>
      <c r="E274" s="963">
        <v>45520</v>
      </c>
      <c r="F274" s="963">
        <v>45616</v>
      </c>
      <c r="G274" s="962">
        <v>97</v>
      </c>
      <c r="H274" s="963">
        <v>45520</v>
      </c>
      <c r="I274" s="963">
        <v>45616</v>
      </c>
      <c r="J274" s="963">
        <v>45520</v>
      </c>
      <c r="K274" s="963">
        <v>45616</v>
      </c>
    </row>
    <row r="275" spans="1:11">
      <c r="A275" s="959"/>
      <c r="B275" s="959"/>
      <c r="C275" s="961" t="s">
        <v>437</v>
      </c>
      <c r="D275" s="962">
        <v>1</v>
      </c>
      <c r="E275" s="963"/>
      <c r="F275" s="963"/>
      <c r="G275" s="962">
        <v>1</v>
      </c>
      <c r="H275" s="963"/>
      <c r="I275" s="963"/>
      <c r="J275" s="963"/>
      <c r="K275" s="963"/>
    </row>
    <row r="276" spans="1:11">
      <c r="A276" s="959"/>
      <c r="B276" s="959"/>
      <c r="C276" s="961" t="s">
        <v>438</v>
      </c>
      <c r="D276" s="962">
        <v>165</v>
      </c>
      <c r="E276" s="963">
        <v>45418</v>
      </c>
      <c r="F276" s="963">
        <v>45582</v>
      </c>
      <c r="G276" s="962">
        <v>165</v>
      </c>
      <c r="H276" s="963">
        <v>45418</v>
      </c>
      <c r="I276" s="963">
        <v>45582</v>
      </c>
      <c r="J276" s="963">
        <v>45418</v>
      </c>
      <c r="K276" s="963">
        <v>45582</v>
      </c>
    </row>
    <row r="277" spans="1:11">
      <c r="A277" s="959"/>
      <c r="B277" s="959"/>
      <c r="C277" s="961" t="s">
        <v>439</v>
      </c>
      <c r="D277" s="962">
        <v>191</v>
      </c>
      <c r="E277" s="963">
        <v>45420</v>
      </c>
      <c r="F277" s="963">
        <v>45610</v>
      </c>
      <c r="G277" s="962">
        <v>191</v>
      </c>
      <c r="H277" s="963">
        <v>45420</v>
      </c>
      <c r="I277" s="963">
        <v>45610</v>
      </c>
      <c r="J277" s="963">
        <v>45420</v>
      </c>
      <c r="K277" s="963">
        <v>45610</v>
      </c>
    </row>
    <row r="278" spans="1:11">
      <c r="A278" s="959"/>
      <c r="B278" s="959"/>
      <c r="C278" s="961" t="s">
        <v>440</v>
      </c>
      <c r="D278" s="962">
        <v>71</v>
      </c>
      <c r="E278" s="963">
        <v>45588</v>
      </c>
      <c r="F278" s="963">
        <v>45658</v>
      </c>
      <c r="G278" s="962">
        <v>71</v>
      </c>
      <c r="H278" s="963">
        <v>45588</v>
      </c>
      <c r="I278" s="963">
        <v>45658</v>
      </c>
      <c r="J278" s="963">
        <v>45588</v>
      </c>
      <c r="K278" s="963">
        <v>45658</v>
      </c>
    </row>
    <row r="279" spans="1:11">
      <c r="A279" s="959"/>
      <c r="B279" s="959"/>
      <c r="C279" s="961" t="s">
        <v>441</v>
      </c>
      <c r="D279" s="962">
        <v>45</v>
      </c>
      <c r="E279" s="963">
        <v>45723</v>
      </c>
      <c r="F279" s="963">
        <v>45767</v>
      </c>
      <c r="G279" s="962">
        <v>45</v>
      </c>
      <c r="H279" s="963"/>
      <c r="I279" s="963"/>
      <c r="J279" s="963">
        <v>45793</v>
      </c>
      <c r="K279" s="963">
        <v>45837</v>
      </c>
    </row>
    <row r="280" spans="1:11">
      <c r="A280" s="959"/>
      <c r="B280" s="959"/>
      <c r="C280" s="961" t="s">
        <v>442</v>
      </c>
      <c r="D280" s="962">
        <v>136</v>
      </c>
      <c r="E280" s="963">
        <v>45542</v>
      </c>
      <c r="F280" s="963">
        <v>45677</v>
      </c>
      <c r="G280" s="962">
        <v>136</v>
      </c>
      <c r="H280" s="963">
        <v>45542</v>
      </c>
      <c r="I280" s="963">
        <v>45677</v>
      </c>
      <c r="J280" s="963">
        <v>45542</v>
      </c>
      <c r="K280" s="963">
        <v>45677</v>
      </c>
    </row>
    <row r="281" spans="1:11">
      <c r="A281" s="959"/>
      <c r="B281" s="959"/>
      <c r="C281" s="961" t="s">
        <v>443</v>
      </c>
      <c r="D281" s="962">
        <v>45</v>
      </c>
      <c r="E281" s="963">
        <v>45723</v>
      </c>
      <c r="F281" s="963">
        <v>45767</v>
      </c>
      <c r="G281" s="962">
        <v>45</v>
      </c>
      <c r="H281" s="963"/>
      <c r="I281" s="963"/>
      <c r="J281" s="963">
        <v>45793</v>
      </c>
      <c r="K281" s="963">
        <v>45837</v>
      </c>
    </row>
    <row r="282" spans="1:11">
      <c r="A282" s="959"/>
      <c r="B282" s="959"/>
      <c r="C282" s="961" t="s">
        <v>444</v>
      </c>
      <c r="D282" s="962">
        <v>65</v>
      </c>
      <c r="E282" s="963">
        <v>45546</v>
      </c>
      <c r="F282" s="963">
        <v>45610</v>
      </c>
      <c r="G282" s="962">
        <v>65</v>
      </c>
      <c r="H282" s="963">
        <v>45546</v>
      </c>
      <c r="I282" s="963">
        <v>45610</v>
      </c>
      <c r="J282" s="963">
        <v>45546</v>
      </c>
      <c r="K282" s="963">
        <v>45610</v>
      </c>
    </row>
    <row r="283" spans="1:11">
      <c r="A283" s="959"/>
      <c r="B283" s="959"/>
      <c r="C283" s="961" t="s">
        <v>445</v>
      </c>
      <c r="D283" s="962">
        <v>45</v>
      </c>
      <c r="E283" s="963">
        <v>45723</v>
      </c>
      <c r="F283" s="963">
        <v>45767</v>
      </c>
      <c r="G283" s="962">
        <v>45</v>
      </c>
      <c r="H283" s="963"/>
      <c r="I283" s="963"/>
      <c r="J283" s="963">
        <v>45793</v>
      </c>
      <c r="K283" s="963">
        <v>45837</v>
      </c>
    </row>
    <row r="284" spans="1:11">
      <c r="A284" s="959"/>
      <c r="B284" s="959"/>
      <c r="C284" s="961" t="s">
        <v>446</v>
      </c>
      <c r="D284" s="962">
        <v>95</v>
      </c>
      <c r="E284" s="963">
        <v>45514</v>
      </c>
      <c r="F284" s="963">
        <v>45608</v>
      </c>
      <c r="G284" s="962">
        <v>95</v>
      </c>
      <c r="H284" s="963">
        <v>45514</v>
      </c>
      <c r="I284" s="963">
        <v>45608</v>
      </c>
      <c r="J284" s="963">
        <v>45514</v>
      </c>
      <c r="K284" s="963">
        <v>45608</v>
      </c>
    </row>
    <row r="285" spans="1:11">
      <c r="A285" s="959"/>
      <c r="B285" s="959"/>
      <c r="C285" s="961" t="s">
        <v>447</v>
      </c>
      <c r="D285" s="962">
        <v>132</v>
      </c>
      <c r="E285" s="963">
        <v>45485</v>
      </c>
      <c r="F285" s="963">
        <v>45616</v>
      </c>
      <c r="G285" s="962">
        <v>132</v>
      </c>
      <c r="H285" s="963">
        <v>45485</v>
      </c>
      <c r="I285" s="963">
        <v>45616</v>
      </c>
      <c r="J285" s="963">
        <v>45485</v>
      </c>
      <c r="K285" s="963">
        <v>45616</v>
      </c>
    </row>
    <row r="286" spans="1:11">
      <c r="A286" s="959"/>
      <c r="B286" s="959"/>
      <c r="C286" s="961" t="s">
        <v>448</v>
      </c>
      <c r="D286" s="962">
        <v>132</v>
      </c>
      <c r="E286" s="963">
        <v>45485</v>
      </c>
      <c r="F286" s="963">
        <v>45616</v>
      </c>
      <c r="G286" s="962">
        <v>132</v>
      </c>
      <c r="H286" s="963">
        <v>45485</v>
      </c>
      <c r="I286" s="963">
        <v>45616</v>
      </c>
      <c r="J286" s="963">
        <v>45485</v>
      </c>
      <c r="K286" s="963">
        <v>45616</v>
      </c>
    </row>
    <row r="287" spans="1:11">
      <c r="A287" s="959"/>
      <c r="B287" s="959"/>
      <c r="C287" s="961" t="s">
        <v>449</v>
      </c>
      <c r="D287" s="962">
        <v>166</v>
      </c>
      <c r="E287" s="963">
        <v>45526</v>
      </c>
      <c r="F287" s="963">
        <v>45691</v>
      </c>
      <c r="G287" s="962">
        <v>236</v>
      </c>
      <c r="H287" s="963">
        <v>45526</v>
      </c>
      <c r="I287" s="963"/>
      <c r="J287" s="963">
        <v>45526</v>
      </c>
      <c r="K287" s="963">
        <v>45761</v>
      </c>
    </row>
    <row r="288" spans="1:11">
      <c r="A288" s="959"/>
      <c r="B288" s="959"/>
      <c r="C288" s="961" t="s">
        <v>450</v>
      </c>
      <c r="D288" s="962">
        <v>45</v>
      </c>
      <c r="E288" s="963">
        <v>45698</v>
      </c>
      <c r="F288" s="963">
        <v>45742</v>
      </c>
      <c r="G288" s="962">
        <v>45</v>
      </c>
      <c r="H288" s="963"/>
      <c r="I288" s="963"/>
      <c r="J288" s="963">
        <v>45768</v>
      </c>
      <c r="K288" s="963">
        <v>45812</v>
      </c>
    </row>
    <row r="289" spans="1:11">
      <c r="A289" s="959"/>
      <c r="B289" s="959"/>
      <c r="C289" s="961" t="s">
        <v>451</v>
      </c>
      <c r="D289" s="962">
        <v>30</v>
      </c>
      <c r="E289" s="963">
        <v>45708</v>
      </c>
      <c r="F289" s="963">
        <v>45737</v>
      </c>
      <c r="G289" s="962">
        <v>30</v>
      </c>
      <c r="H289" s="963"/>
      <c r="I289" s="963"/>
      <c r="J289" s="963">
        <v>45778</v>
      </c>
      <c r="K289" s="963">
        <v>45807</v>
      </c>
    </row>
    <row r="290" spans="1:11">
      <c r="A290" s="959"/>
      <c r="B290" s="959"/>
      <c r="C290" s="961" t="s">
        <v>452</v>
      </c>
      <c r="D290" s="962">
        <v>135</v>
      </c>
      <c r="E290" s="963">
        <v>45412</v>
      </c>
      <c r="F290" s="963">
        <v>45546</v>
      </c>
      <c r="G290" s="962">
        <v>135</v>
      </c>
      <c r="H290" s="963">
        <v>45412</v>
      </c>
      <c r="I290" s="963">
        <v>45546</v>
      </c>
      <c r="J290" s="963">
        <v>45412</v>
      </c>
      <c r="K290" s="963">
        <v>45546</v>
      </c>
    </row>
    <row r="291" spans="1:11">
      <c r="A291" s="959"/>
      <c r="B291" s="959"/>
      <c r="C291" s="961" t="s">
        <v>453</v>
      </c>
      <c r="D291" s="962">
        <v>117</v>
      </c>
      <c r="E291" s="963">
        <v>45408</v>
      </c>
      <c r="F291" s="963">
        <v>45524</v>
      </c>
      <c r="G291" s="962">
        <v>117</v>
      </c>
      <c r="H291" s="963">
        <v>45408</v>
      </c>
      <c r="I291" s="963">
        <v>45524</v>
      </c>
      <c r="J291" s="963">
        <v>45408</v>
      </c>
      <c r="K291" s="963">
        <v>45524</v>
      </c>
    </row>
    <row r="292" spans="1:11">
      <c r="A292" s="959"/>
      <c r="B292" s="959"/>
      <c r="C292" s="961" t="s">
        <v>454</v>
      </c>
      <c r="D292" s="962">
        <v>71</v>
      </c>
      <c r="E292" s="963">
        <v>45420</v>
      </c>
      <c r="F292" s="963">
        <v>45490</v>
      </c>
      <c r="G292" s="962">
        <v>71</v>
      </c>
      <c r="H292" s="963">
        <v>45420</v>
      </c>
      <c r="I292" s="963">
        <v>45490</v>
      </c>
      <c r="J292" s="963">
        <v>45420</v>
      </c>
      <c r="K292" s="963">
        <v>45490</v>
      </c>
    </row>
    <row r="293" spans="1:11">
      <c r="A293" s="959"/>
      <c r="B293" s="959"/>
      <c r="C293" s="961" t="s">
        <v>455</v>
      </c>
      <c r="D293" s="962">
        <v>63</v>
      </c>
      <c r="E293" s="963">
        <v>45678</v>
      </c>
      <c r="F293" s="963">
        <v>45740</v>
      </c>
      <c r="G293" s="962">
        <v>63</v>
      </c>
      <c r="H293" s="963"/>
      <c r="I293" s="963"/>
      <c r="J293" s="963">
        <v>45748</v>
      </c>
      <c r="K293" s="963">
        <v>45810</v>
      </c>
    </row>
    <row r="294" spans="1:11">
      <c r="A294" s="959"/>
      <c r="B294" s="959"/>
      <c r="C294" s="961" t="s">
        <v>456</v>
      </c>
      <c r="D294" s="962">
        <v>143</v>
      </c>
      <c r="E294" s="963">
        <v>45565</v>
      </c>
      <c r="F294" s="963">
        <v>45707</v>
      </c>
      <c r="G294" s="962">
        <v>213</v>
      </c>
      <c r="H294" s="963">
        <v>45565</v>
      </c>
      <c r="I294" s="963"/>
      <c r="J294" s="963">
        <v>45565</v>
      </c>
      <c r="K294" s="963">
        <v>45777</v>
      </c>
    </row>
    <row r="295" spans="1:11">
      <c r="A295" s="959"/>
      <c r="B295" s="959"/>
      <c r="C295" s="961" t="s">
        <v>457</v>
      </c>
      <c r="D295" s="962">
        <v>156</v>
      </c>
      <c r="E295" s="963">
        <v>45552</v>
      </c>
      <c r="F295" s="963">
        <v>45707</v>
      </c>
      <c r="G295" s="962">
        <v>226</v>
      </c>
      <c r="H295" s="963">
        <v>45552</v>
      </c>
      <c r="I295" s="963"/>
      <c r="J295" s="963">
        <v>45552</v>
      </c>
      <c r="K295" s="963">
        <v>45777</v>
      </c>
    </row>
    <row r="296" spans="1:11">
      <c r="A296" s="959"/>
      <c r="B296" s="959"/>
      <c r="C296" s="961" t="s">
        <v>458</v>
      </c>
      <c r="D296" s="962">
        <v>156</v>
      </c>
      <c r="E296" s="963">
        <v>45552</v>
      </c>
      <c r="F296" s="963">
        <v>45707</v>
      </c>
      <c r="G296" s="962">
        <v>226</v>
      </c>
      <c r="H296" s="963">
        <v>45552</v>
      </c>
      <c r="I296" s="963"/>
      <c r="J296" s="963">
        <v>45552</v>
      </c>
      <c r="K296" s="963">
        <v>45777</v>
      </c>
    </row>
    <row r="297" spans="1:11">
      <c r="A297" s="959"/>
      <c r="B297" s="959"/>
      <c r="C297" s="961" t="s">
        <v>459</v>
      </c>
      <c r="D297" s="962">
        <v>116</v>
      </c>
      <c r="E297" s="963">
        <v>45495</v>
      </c>
      <c r="F297" s="963">
        <v>45610</v>
      </c>
      <c r="G297" s="962">
        <v>116</v>
      </c>
      <c r="H297" s="963">
        <v>45495</v>
      </c>
      <c r="I297" s="963">
        <v>45610</v>
      </c>
      <c r="J297" s="963">
        <v>45495</v>
      </c>
      <c r="K297" s="963">
        <v>45610</v>
      </c>
    </row>
    <row r="298" spans="1:11">
      <c r="A298" s="959"/>
      <c r="B298" s="959"/>
      <c r="C298" s="961" t="s">
        <v>460</v>
      </c>
      <c r="D298" s="962">
        <v>172</v>
      </c>
      <c r="E298" s="963">
        <v>45411</v>
      </c>
      <c r="F298" s="963">
        <v>45582</v>
      </c>
      <c r="G298" s="962">
        <v>172</v>
      </c>
      <c r="H298" s="963">
        <v>45411</v>
      </c>
      <c r="I298" s="963">
        <v>45582</v>
      </c>
      <c r="J298" s="963">
        <v>45411</v>
      </c>
      <c r="K298" s="963">
        <v>45582</v>
      </c>
    </row>
    <row r="299" spans="1:11">
      <c r="A299" s="959"/>
      <c r="B299" s="959"/>
      <c r="C299" s="961" t="s">
        <v>461</v>
      </c>
      <c r="D299" s="962">
        <v>179</v>
      </c>
      <c r="E299" s="963">
        <v>45404</v>
      </c>
      <c r="F299" s="963">
        <v>45582</v>
      </c>
      <c r="G299" s="962">
        <v>179</v>
      </c>
      <c r="H299" s="963">
        <v>45404</v>
      </c>
      <c r="I299" s="963">
        <v>45582</v>
      </c>
      <c r="J299" s="963">
        <v>45404</v>
      </c>
      <c r="K299" s="963">
        <v>45582</v>
      </c>
    </row>
    <row r="300" spans="1:11">
      <c r="A300" s="959"/>
      <c r="B300" s="959"/>
      <c r="C300" s="961" t="s">
        <v>462</v>
      </c>
      <c r="D300" s="962">
        <v>179</v>
      </c>
      <c r="E300" s="963">
        <v>45404</v>
      </c>
      <c r="F300" s="963">
        <v>45582</v>
      </c>
      <c r="G300" s="962">
        <v>179</v>
      </c>
      <c r="H300" s="963">
        <v>45404</v>
      </c>
      <c r="I300" s="963">
        <v>45582</v>
      </c>
      <c r="J300" s="963">
        <v>45404</v>
      </c>
      <c r="K300" s="963">
        <v>45582</v>
      </c>
    </row>
    <row r="301" spans="1:11">
      <c r="A301" s="959"/>
      <c r="B301" s="959"/>
      <c r="C301" s="961" t="s">
        <v>463</v>
      </c>
      <c r="D301" s="962">
        <v>348</v>
      </c>
      <c r="E301" s="963">
        <v>45360</v>
      </c>
      <c r="F301" s="963">
        <v>45707</v>
      </c>
      <c r="G301" s="962">
        <v>418</v>
      </c>
      <c r="H301" s="963">
        <v>45360</v>
      </c>
      <c r="I301" s="963"/>
      <c r="J301" s="963">
        <v>45360</v>
      </c>
      <c r="K301" s="963">
        <v>45777</v>
      </c>
    </row>
    <row r="302" spans="1:11">
      <c r="A302" s="959"/>
      <c r="B302" s="959"/>
      <c r="C302" s="961" t="s">
        <v>464</v>
      </c>
      <c r="D302" s="962">
        <v>278</v>
      </c>
      <c r="E302" s="963">
        <v>45410</v>
      </c>
      <c r="F302" s="963">
        <v>45687</v>
      </c>
      <c r="G302" s="962">
        <v>348</v>
      </c>
      <c r="H302" s="963">
        <v>45410</v>
      </c>
      <c r="I302" s="963"/>
      <c r="J302" s="963">
        <v>45410</v>
      </c>
      <c r="K302" s="963">
        <v>45757</v>
      </c>
    </row>
    <row r="303" spans="1:11">
      <c r="A303" s="959"/>
      <c r="B303" s="959"/>
      <c r="C303" s="961" t="s">
        <v>465</v>
      </c>
      <c r="D303" s="962">
        <v>1</v>
      </c>
      <c r="E303" s="963"/>
      <c r="F303" s="963"/>
      <c r="G303" s="962">
        <v>1</v>
      </c>
      <c r="H303" s="963"/>
      <c r="I303" s="963"/>
      <c r="J303" s="963"/>
      <c r="K303" s="963"/>
    </row>
    <row r="304" spans="1:11">
      <c r="A304" s="959"/>
      <c r="B304" s="959"/>
      <c r="C304" s="961" t="s">
        <v>466</v>
      </c>
      <c r="D304" s="962">
        <v>310</v>
      </c>
      <c r="E304" s="963">
        <v>45408</v>
      </c>
      <c r="F304" s="963">
        <v>45717</v>
      </c>
      <c r="G304" s="962">
        <v>380</v>
      </c>
      <c r="H304" s="963">
        <v>45408</v>
      </c>
      <c r="I304" s="963"/>
      <c r="J304" s="963">
        <v>45408</v>
      </c>
      <c r="K304" s="963">
        <v>45787</v>
      </c>
    </row>
    <row r="305" spans="1:11" ht="31">
      <c r="A305" s="959"/>
      <c r="B305" s="959"/>
      <c r="C305" s="961" t="s">
        <v>467</v>
      </c>
      <c r="D305" s="962">
        <v>224</v>
      </c>
      <c r="E305" s="963">
        <v>45514</v>
      </c>
      <c r="F305" s="963">
        <v>45737</v>
      </c>
      <c r="G305" s="962">
        <v>294</v>
      </c>
      <c r="H305" s="963">
        <v>45514</v>
      </c>
      <c r="I305" s="963"/>
      <c r="J305" s="963">
        <v>45514</v>
      </c>
      <c r="K305" s="963">
        <v>45807</v>
      </c>
    </row>
    <row r="306" spans="1:11" ht="31">
      <c r="A306" s="959"/>
      <c r="B306" s="959"/>
      <c r="C306" s="961" t="s">
        <v>468</v>
      </c>
      <c r="D306" s="962">
        <v>168</v>
      </c>
      <c r="E306" s="963">
        <v>45408</v>
      </c>
      <c r="F306" s="963">
        <v>45575</v>
      </c>
      <c r="G306" s="962">
        <v>168</v>
      </c>
      <c r="H306" s="963">
        <v>45408</v>
      </c>
      <c r="I306" s="963">
        <v>45575</v>
      </c>
      <c r="J306" s="963">
        <v>45408</v>
      </c>
      <c r="K306" s="963">
        <v>45575</v>
      </c>
    </row>
    <row r="307" spans="1:11">
      <c r="A307" s="959"/>
      <c r="B307" s="959"/>
      <c r="C307" s="961" t="s">
        <v>469</v>
      </c>
      <c r="D307" s="962">
        <v>159</v>
      </c>
      <c r="E307" s="963">
        <v>45411</v>
      </c>
      <c r="F307" s="963">
        <v>45569</v>
      </c>
      <c r="G307" s="962">
        <v>159</v>
      </c>
      <c r="H307" s="963">
        <v>45411</v>
      </c>
      <c r="I307" s="963">
        <v>45569</v>
      </c>
      <c r="J307" s="963">
        <v>45411</v>
      </c>
      <c r="K307" s="963">
        <v>45569</v>
      </c>
    </row>
    <row r="308" spans="1:11">
      <c r="A308" s="959"/>
      <c r="B308" s="959"/>
      <c r="C308" s="961" t="s">
        <v>470</v>
      </c>
      <c r="D308" s="962">
        <v>159</v>
      </c>
      <c r="E308" s="963">
        <v>45411</v>
      </c>
      <c r="F308" s="963">
        <v>45569</v>
      </c>
      <c r="G308" s="962">
        <v>159</v>
      </c>
      <c r="H308" s="963">
        <v>45411</v>
      </c>
      <c r="I308" s="963">
        <v>45569</v>
      </c>
      <c r="J308" s="963">
        <v>45411</v>
      </c>
      <c r="K308" s="963">
        <v>45569</v>
      </c>
    </row>
    <row r="309" spans="1:11">
      <c r="A309" s="959"/>
      <c r="B309" s="959"/>
      <c r="C309" s="961" t="s">
        <v>471</v>
      </c>
      <c r="D309" s="962">
        <v>148</v>
      </c>
      <c r="E309" s="963">
        <v>45412</v>
      </c>
      <c r="F309" s="963">
        <v>45559</v>
      </c>
      <c r="G309" s="962">
        <v>148</v>
      </c>
      <c r="H309" s="963">
        <v>45412</v>
      </c>
      <c r="I309" s="963">
        <v>45559</v>
      </c>
      <c r="J309" s="963">
        <v>45412</v>
      </c>
      <c r="K309" s="963">
        <v>45559</v>
      </c>
    </row>
    <row r="310" spans="1:11">
      <c r="A310" s="959"/>
      <c r="B310" s="959"/>
      <c r="C310" s="961" t="s">
        <v>472</v>
      </c>
      <c r="D310" s="962">
        <v>148</v>
      </c>
      <c r="E310" s="963">
        <v>45412</v>
      </c>
      <c r="F310" s="963">
        <v>45559</v>
      </c>
      <c r="G310" s="962">
        <v>148</v>
      </c>
      <c r="H310" s="963">
        <v>45412</v>
      </c>
      <c r="I310" s="963">
        <v>45559</v>
      </c>
      <c r="J310" s="963">
        <v>45412</v>
      </c>
      <c r="K310" s="963">
        <v>45559</v>
      </c>
    </row>
    <row r="311" spans="1:11">
      <c r="A311" s="959"/>
      <c r="B311" s="959"/>
      <c r="C311" s="961" t="s">
        <v>473</v>
      </c>
      <c r="D311" s="962">
        <v>139</v>
      </c>
      <c r="E311" s="963">
        <v>45443</v>
      </c>
      <c r="F311" s="963">
        <v>45581</v>
      </c>
      <c r="G311" s="962">
        <v>139</v>
      </c>
      <c r="H311" s="963">
        <v>45443</v>
      </c>
      <c r="I311" s="963">
        <v>45581</v>
      </c>
      <c r="J311" s="963">
        <v>45443</v>
      </c>
      <c r="K311" s="963">
        <v>45581</v>
      </c>
    </row>
    <row r="312" spans="1:11">
      <c r="A312" s="959"/>
      <c r="B312" s="959"/>
      <c r="C312" s="961" t="s">
        <v>474</v>
      </c>
      <c r="D312" s="962">
        <v>108</v>
      </c>
      <c r="E312" s="963">
        <v>45503</v>
      </c>
      <c r="F312" s="963">
        <v>45610</v>
      </c>
      <c r="G312" s="962">
        <v>108</v>
      </c>
      <c r="H312" s="963">
        <v>45503</v>
      </c>
      <c r="I312" s="963">
        <v>45610</v>
      </c>
      <c r="J312" s="963">
        <v>45503</v>
      </c>
      <c r="K312" s="963">
        <v>45610</v>
      </c>
    </row>
    <row r="313" spans="1:11">
      <c r="A313" s="959"/>
      <c r="B313" s="959"/>
      <c r="C313" s="961" t="s">
        <v>475</v>
      </c>
      <c r="D313" s="962">
        <v>108</v>
      </c>
      <c r="E313" s="963">
        <v>45503</v>
      </c>
      <c r="F313" s="963">
        <v>45610</v>
      </c>
      <c r="G313" s="962">
        <v>108</v>
      </c>
      <c r="H313" s="963">
        <v>45503</v>
      </c>
      <c r="I313" s="963">
        <v>45610</v>
      </c>
      <c r="J313" s="963">
        <v>45503</v>
      </c>
      <c r="K313" s="963">
        <v>45610</v>
      </c>
    </row>
    <row r="314" spans="1:11">
      <c r="A314" s="959"/>
      <c r="B314" s="959"/>
      <c r="C314" s="961" t="s">
        <v>476</v>
      </c>
      <c r="D314" s="962">
        <v>69</v>
      </c>
      <c r="E314" s="963">
        <v>45482</v>
      </c>
      <c r="F314" s="963">
        <v>45550</v>
      </c>
      <c r="G314" s="962">
        <v>69</v>
      </c>
      <c r="H314" s="963">
        <v>45482</v>
      </c>
      <c r="I314" s="963">
        <v>45550</v>
      </c>
      <c r="J314" s="963">
        <v>45482</v>
      </c>
      <c r="K314" s="963">
        <v>45550</v>
      </c>
    </row>
    <row r="315" spans="1:11">
      <c r="A315" s="959"/>
      <c r="B315" s="959"/>
      <c r="C315" s="961" t="s">
        <v>477</v>
      </c>
      <c r="D315" s="962">
        <v>121</v>
      </c>
      <c r="E315" s="963">
        <v>45453</v>
      </c>
      <c r="F315" s="963">
        <v>45573</v>
      </c>
      <c r="G315" s="962">
        <v>121</v>
      </c>
      <c r="H315" s="963">
        <v>45453</v>
      </c>
      <c r="I315" s="963">
        <v>45573</v>
      </c>
      <c r="J315" s="963">
        <v>45453</v>
      </c>
      <c r="K315" s="963">
        <v>45573</v>
      </c>
    </row>
    <row r="316" spans="1:11">
      <c r="A316" s="959"/>
      <c r="B316" s="959"/>
      <c r="C316" s="961" t="s">
        <v>478</v>
      </c>
      <c r="D316" s="962">
        <v>1</v>
      </c>
      <c r="E316" s="963"/>
      <c r="F316" s="963"/>
      <c r="G316" s="962">
        <v>1</v>
      </c>
      <c r="H316" s="963"/>
      <c r="I316" s="963"/>
      <c r="J316" s="963"/>
      <c r="K316" s="963"/>
    </row>
    <row r="317" spans="1:11" s="957" customFormat="1">
      <c r="A317" s="965" t="s">
        <v>566</v>
      </c>
      <c r="B317" s="965" t="s">
        <v>479</v>
      </c>
      <c r="C317" s="967"/>
      <c r="D317" s="955">
        <v>375</v>
      </c>
      <c r="E317" s="956">
        <v>45429</v>
      </c>
      <c r="F317" s="956">
        <v>45803</v>
      </c>
      <c r="G317" s="955">
        <v>445</v>
      </c>
      <c r="H317" s="956">
        <v>45429</v>
      </c>
      <c r="I317" s="956"/>
      <c r="J317" s="956">
        <v>45429</v>
      </c>
      <c r="K317" s="956">
        <v>45873</v>
      </c>
    </row>
    <row r="318" spans="1:11">
      <c r="A318" s="959"/>
      <c r="B318" s="959"/>
      <c r="C318" s="961" t="s">
        <v>480</v>
      </c>
      <c r="D318" s="962">
        <v>39</v>
      </c>
      <c r="E318" s="963">
        <v>45522</v>
      </c>
      <c r="F318" s="963">
        <v>45560</v>
      </c>
      <c r="G318" s="962">
        <v>39</v>
      </c>
      <c r="H318" s="963">
        <v>45522</v>
      </c>
      <c r="I318" s="963">
        <v>45560</v>
      </c>
      <c r="J318" s="963">
        <v>45522</v>
      </c>
      <c r="K318" s="963">
        <v>45560</v>
      </c>
    </row>
    <row r="319" spans="1:11">
      <c r="A319" s="959"/>
      <c r="B319" s="959"/>
      <c r="C319" s="961" t="s">
        <v>481</v>
      </c>
      <c r="D319" s="962">
        <v>155</v>
      </c>
      <c r="E319" s="963">
        <v>45573</v>
      </c>
      <c r="F319" s="963">
        <v>45727</v>
      </c>
      <c r="G319" s="962">
        <v>225</v>
      </c>
      <c r="H319" s="963">
        <v>45573</v>
      </c>
      <c r="I319" s="963"/>
      <c r="J319" s="963">
        <v>45573</v>
      </c>
      <c r="K319" s="963">
        <v>45797</v>
      </c>
    </row>
    <row r="320" spans="1:11">
      <c r="A320" s="959"/>
      <c r="B320" s="959"/>
      <c r="C320" s="961" t="s">
        <v>482</v>
      </c>
      <c r="D320" s="962">
        <v>1</v>
      </c>
      <c r="E320" s="963"/>
      <c r="F320" s="963"/>
      <c r="G320" s="962">
        <v>1</v>
      </c>
      <c r="H320" s="963"/>
      <c r="I320" s="963"/>
      <c r="J320" s="963"/>
      <c r="K320" s="963"/>
    </row>
    <row r="321" spans="1:11">
      <c r="A321" s="959"/>
      <c r="B321" s="959"/>
      <c r="C321" s="961" t="s">
        <v>483</v>
      </c>
      <c r="D321" s="962">
        <v>45</v>
      </c>
      <c r="E321" s="963">
        <v>45708</v>
      </c>
      <c r="F321" s="963">
        <v>45752</v>
      </c>
      <c r="G321" s="962">
        <v>45</v>
      </c>
      <c r="H321" s="963"/>
      <c r="I321" s="963"/>
      <c r="J321" s="963">
        <v>45778</v>
      </c>
      <c r="K321" s="963">
        <v>45822</v>
      </c>
    </row>
    <row r="322" spans="1:11">
      <c r="A322" s="959"/>
      <c r="B322" s="959"/>
      <c r="C322" s="961" t="s">
        <v>484</v>
      </c>
      <c r="D322" s="962">
        <v>1</v>
      </c>
      <c r="E322" s="963"/>
      <c r="F322" s="963"/>
      <c r="G322" s="962">
        <v>1</v>
      </c>
      <c r="H322" s="963"/>
      <c r="I322" s="963"/>
      <c r="J322" s="963"/>
      <c r="K322" s="963"/>
    </row>
    <row r="323" spans="1:11">
      <c r="A323" s="959"/>
      <c r="B323" s="959"/>
      <c r="C323" s="961" t="s">
        <v>485</v>
      </c>
      <c r="D323" s="962">
        <v>221</v>
      </c>
      <c r="E323" s="963">
        <v>45487</v>
      </c>
      <c r="F323" s="963">
        <v>45707</v>
      </c>
      <c r="G323" s="962">
        <v>291</v>
      </c>
      <c r="H323" s="963">
        <v>45487</v>
      </c>
      <c r="I323" s="963"/>
      <c r="J323" s="963">
        <v>45487</v>
      </c>
      <c r="K323" s="963">
        <v>45777</v>
      </c>
    </row>
    <row r="324" spans="1:11">
      <c r="A324" s="959"/>
      <c r="B324" s="959"/>
      <c r="C324" s="961" t="s">
        <v>486</v>
      </c>
      <c r="D324" s="962">
        <v>127</v>
      </c>
      <c r="E324" s="963">
        <v>45562</v>
      </c>
      <c r="F324" s="963">
        <v>45688</v>
      </c>
      <c r="G324" s="962">
        <v>197</v>
      </c>
      <c r="H324" s="963">
        <v>45562</v>
      </c>
      <c r="I324" s="963"/>
      <c r="J324" s="963">
        <v>45562</v>
      </c>
      <c r="K324" s="963">
        <v>45758</v>
      </c>
    </row>
    <row r="325" spans="1:11">
      <c r="A325" s="959"/>
      <c r="B325" s="959"/>
      <c r="C325" s="961" t="s">
        <v>487</v>
      </c>
      <c r="D325" s="962">
        <v>208</v>
      </c>
      <c r="E325" s="963">
        <v>45485</v>
      </c>
      <c r="F325" s="963">
        <v>45692</v>
      </c>
      <c r="G325" s="962">
        <v>278</v>
      </c>
      <c r="H325" s="963">
        <v>45485</v>
      </c>
      <c r="I325" s="963"/>
      <c r="J325" s="963">
        <v>45485</v>
      </c>
      <c r="K325" s="963">
        <v>45762</v>
      </c>
    </row>
    <row r="326" spans="1:11">
      <c r="A326" s="959"/>
      <c r="B326" s="959"/>
      <c r="C326" s="961" t="s">
        <v>488</v>
      </c>
      <c r="D326" s="962">
        <v>133</v>
      </c>
      <c r="E326" s="963">
        <v>45565</v>
      </c>
      <c r="F326" s="963">
        <v>45697</v>
      </c>
      <c r="G326" s="962">
        <v>203</v>
      </c>
      <c r="H326" s="963">
        <v>45565</v>
      </c>
      <c r="I326" s="963"/>
      <c r="J326" s="963">
        <v>45565</v>
      </c>
      <c r="K326" s="963">
        <v>45767</v>
      </c>
    </row>
    <row r="327" spans="1:11">
      <c r="A327" s="959"/>
      <c r="B327" s="959"/>
      <c r="C327" s="961" t="s">
        <v>489</v>
      </c>
      <c r="D327" s="962">
        <v>127</v>
      </c>
      <c r="E327" s="963">
        <v>45581</v>
      </c>
      <c r="F327" s="963">
        <v>45707</v>
      </c>
      <c r="G327" s="962">
        <v>197</v>
      </c>
      <c r="H327" s="963">
        <v>45581</v>
      </c>
      <c r="I327" s="963"/>
      <c r="J327" s="963">
        <v>45581</v>
      </c>
      <c r="K327" s="963">
        <v>45777</v>
      </c>
    </row>
    <row r="328" spans="1:11">
      <c r="A328" s="959"/>
      <c r="B328" s="959"/>
      <c r="C328" s="961" t="s">
        <v>490</v>
      </c>
      <c r="D328" s="962">
        <v>127</v>
      </c>
      <c r="E328" s="963">
        <v>45566</v>
      </c>
      <c r="F328" s="963">
        <v>45692</v>
      </c>
      <c r="G328" s="962">
        <v>197</v>
      </c>
      <c r="H328" s="963">
        <v>45566</v>
      </c>
      <c r="I328" s="963"/>
      <c r="J328" s="963">
        <v>45566</v>
      </c>
      <c r="K328" s="963">
        <v>45762</v>
      </c>
    </row>
    <row r="329" spans="1:11">
      <c r="A329" s="959"/>
      <c r="B329" s="959"/>
      <c r="C329" s="961" t="s">
        <v>442</v>
      </c>
      <c r="D329" s="962">
        <v>44</v>
      </c>
      <c r="E329" s="963">
        <v>45722</v>
      </c>
      <c r="F329" s="963">
        <v>45765</v>
      </c>
      <c r="G329" s="962">
        <v>44</v>
      </c>
      <c r="H329" s="963"/>
      <c r="I329" s="963"/>
      <c r="J329" s="963">
        <v>45792</v>
      </c>
      <c r="K329" s="963">
        <v>45835</v>
      </c>
    </row>
    <row r="330" spans="1:11">
      <c r="A330" s="959"/>
      <c r="B330" s="959"/>
      <c r="C330" s="961" t="s">
        <v>491</v>
      </c>
      <c r="D330" s="962">
        <v>45</v>
      </c>
      <c r="E330" s="963">
        <v>45708</v>
      </c>
      <c r="F330" s="963">
        <v>45752</v>
      </c>
      <c r="G330" s="962">
        <v>45</v>
      </c>
      <c r="H330" s="963"/>
      <c r="I330" s="963"/>
      <c r="J330" s="963">
        <v>45778</v>
      </c>
      <c r="K330" s="963">
        <v>45822</v>
      </c>
    </row>
    <row r="331" spans="1:11">
      <c r="A331" s="959"/>
      <c r="B331" s="959"/>
      <c r="C331" s="961" t="s">
        <v>492</v>
      </c>
      <c r="D331" s="962">
        <v>1</v>
      </c>
      <c r="E331" s="963"/>
      <c r="F331" s="963"/>
      <c r="G331" s="962">
        <v>1</v>
      </c>
      <c r="H331" s="963"/>
      <c r="I331" s="963"/>
      <c r="J331" s="963"/>
      <c r="K331" s="963"/>
    </row>
    <row r="332" spans="1:11">
      <c r="A332" s="959"/>
      <c r="B332" s="959"/>
      <c r="C332" s="961" t="s">
        <v>493</v>
      </c>
      <c r="D332" s="962">
        <v>60</v>
      </c>
      <c r="E332" s="963">
        <v>45738</v>
      </c>
      <c r="F332" s="963">
        <v>45797</v>
      </c>
      <c r="G332" s="962">
        <v>60</v>
      </c>
      <c r="H332" s="963"/>
      <c r="I332" s="963"/>
      <c r="J332" s="963">
        <v>45808</v>
      </c>
      <c r="K332" s="963">
        <v>45867</v>
      </c>
    </row>
    <row r="333" spans="1:11">
      <c r="A333" s="959"/>
      <c r="B333" s="959"/>
      <c r="C333" s="961" t="s">
        <v>494</v>
      </c>
      <c r="D333" s="962">
        <v>229</v>
      </c>
      <c r="E333" s="963">
        <v>45429</v>
      </c>
      <c r="F333" s="963">
        <v>45657</v>
      </c>
      <c r="G333" s="962">
        <v>329</v>
      </c>
      <c r="H333" s="963">
        <v>45429</v>
      </c>
      <c r="I333" s="963"/>
      <c r="J333" s="963">
        <v>45429</v>
      </c>
      <c r="K333" s="963">
        <v>45757</v>
      </c>
    </row>
    <row r="334" spans="1:11">
      <c r="A334" s="959"/>
      <c r="B334" s="959"/>
      <c r="C334" s="961" t="s">
        <v>456</v>
      </c>
      <c r="D334" s="962">
        <v>1</v>
      </c>
      <c r="E334" s="963"/>
      <c r="F334" s="963"/>
      <c r="G334" s="962">
        <v>1</v>
      </c>
      <c r="H334" s="963"/>
      <c r="I334" s="963"/>
      <c r="J334" s="963"/>
      <c r="K334" s="963"/>
    </row>
    <row r="335" spans="1:11">
      <c r="A335" s="959"/>
      <c r="B335" s="959"/>
      <c r="C335" s="961" t="s">
        <v>495</v>
      </c>
      <c r="D335" s="962">
        <v>1</v>
      </c>
      <c r="E335" s="963"/>
      <c r="F335" s="963"/>
      <c r="G335" s="962">
        <v>1</v>
      </c>
      <c r="H335" s="963"/>
      <c r="I335" s="963"/>
      <c r="J335" s="963"/>
      <c r="K335" s="963"/>
    </row>
    <row r="336" spans="1:11" ht="31">
      <c r="A336" s="959"/>
      <c r="B336" s="959"/>
      <c r="C336" s="961" t="s">
        <v>467</v>
      </c>
      <c r="D336" s="962">
        <v>113</v>
      </c>
      <c r="E336" s="963">
        <v>45595</v>
      </c>
      <c r="F336" s="963">
        <v>45707</v>
      </c>
      <c r="G336" s="962">
        <v>183</v>
      </c>
      <c r="H336" s="963">
        <v>45595</v>
      </c>
      <c r="I336" s="963"/>
      <c r="J336" s="963">
        <v>45595</v>
      </c>
      <c r="K336" s="963">
        <v>45777</v>
      </c>
    </row>
    <row r="337" spans="1:11">
      <c r="A337" s="959"/>
      <c r="B337" s="959"/>
      <c r="C337" s="961" t="s">
        <v>496</v>
      </c>
      <c r="D337" s="962">
        <v>87</v>
      </c>
      <c r="E337" s="963">
        <v>45601</v>
      </c>
      <c r="F337" s="963">
        <v>45687</v>
      </c>
      <c r="G337" s="962">
        <v>157</v>
      </c>
      <c r="H337" s="963">
        <v>45601</v>
      </c>
      <c r="I337" s="963"/>
      <c r="J337" s="963">
        <v>45601</v>
      </c>
      <c r="K337" s="963">
        <v>45757</v>
      </c>
    </row>
    <row r="338" spans="1:11">
      <c r="A338" s="959"/>
      <c r="B338" s="959"/>
      <c r="C338" s="961" t="s">
        <v>497</v>
      </c>
      <c r="D338" s="962">
        <v>90</v>
      </c>
      <c r="E338" s="963">
        <v>45488</v>
      </c>
      <c r="F338" s="963">
        <v>45577</v>
      </c>
      <c r="G338" s="962">
        <v>90</v>
      </c>
      <c r="H338" s="963">
        <v>45488</v>
      </c>
      <c r="I338" s="963">
        <v>45577</v>
      </c>
      <c r="J338" s="963">
        <v>45488</v>
      </c>
      <c r="K338" s="963">
        <v>45577</v>
      </c>
    </row>
    <row r="339" spans="1:11">
      <c r="A339" s="959"/>
      <c r="B339" s="959"/>
      <c r="C339" s="961" t="s">
        <v>498</v>
      </c>
      <c r="D339" s="962">
        <v>248</v>
      </c>
      <c r="E339" s="963">
        <v>45470</v>
      </c>
      <c r="F339" s="963">
        <v>45717</v>
      </c>
      <c r="G339" s="962">
        <v>318</v>
      </c>
      <c r="H339" s="963">
        <v>45470</v>
      </c>
      <c r="I339" s="963"/>
      <c r="J339" s="963">
        <v>45470</v>
      </c>
      <c r="K339" s="963">
        <v>45787</v>
      </c>
    </row>
    <row r="340" spans="1:11">
      <c r="A340" s="959"/>
      <c r="B340" s="959"/>
      <c r="C340" s="961" t="s">
        <v>499</v>
      </c>
      <c r="D340" s="962">
        <v>206</v>
      </c>
      <c r="E340" s="963">
        <v>45512</v>
      </c>
      <c r="F340" s="963">
        <v>45717</v>
      </c>
      <c r="G340" s="962">
        <v>276</v>
      </c>
      <c r="H340" s="963">
        <v>45512</v>
      </c>
      <c r="I340" s="963"/>
      <c r="J340" s="963">
        <v>45512</v>
      </c>
      <c r="K340" s="963">
        <v>45787</v>
      </c>
    </row>
    <row r="341" spans="1:11">
      <c r="A341" s="959"/>
      <c r="B341" s="959"/>
      <c r="C341" s="961" t="s">
        <v>500</v>
      </c>
      <c r="D341" s="962">
        <v>145</v>
      </c>
      <c r="E341" s="963">
        <v>45573</v>
      </c>
      <c r="F341" s="963">
        <v>45717</v>
      </c>
      <c r="G341" s="962">
        <v>215</v>
      </c>
      <c r="H341" s="963">
        <v>45573</v>
      </c>
      <c r="I341" s="963"/>
      <c r="J341" s="963">
        <v>45573</v>
      </c>
      <c r="K341" s="963">
        <v>45787</v>
      </c>
    </row>
    <row r="342" spans="1:11">
      <c r="A342" s="959"/>
      <c r="B342" s="959"/>
      <c r="C342" s="961" t="s">
        <v>501</v>
      </c>
      <c r="D342" s="962">
        <v>186</v>
      </c>
      <c r="E342" s="963">
        <v>45522</v>
      </c>
      <c r="F342" s="963">
        <v>45707</v>
      </c>
      <c r="G342" s="962">
        <v>256</v>
      </c>
      <c r="H342" s="963">
        <v>45522</v>
      </c>
      <c r="I342" s="963"/>
      <c r="J342" s="963">
        <v>45522</v>
      </c>
      <c r="K342" s="963">
        <v>45777</v>
      </c>
    </row>
    <row r="343" spans="1:11">
      <c r="A343" s="959"/>
      <c r="B343" s="959"/>
      <c r="C343" s="961" t="s">
        <v>502</v>
      </c>
      <c r="D343" s="962">
        <v>188</v>
      </c>
      <c r="E343" s="963">
        <v>45520</v>
      </c>
      <c r="F343" s="963">
        <v>45707</v>
      </c>
      <c r="G343" s="962">
        <v>258</v>
      </c>
      <c r="H343" s="963">
        <v>45520</v>
      </c>
      <c r="I343" s="963"/>
      <c r="J343" s="963">
        <v>45520</v>
      </c>
      <c r="K343" s="963">
        <v>45777</v>
      </c>
    </row>
    <row r="344" spans="1:11">
      <c r="A344" s="959"/>
      <c r="B344" s="959"/>
      <c r="C344" s="961" t="s">
        <v>503</v>
      </c>
      <c r="D344" s="962">
        <v>224</v>
      </c>
      <c r="E344" s="963">
        <v>45580</v>
      </c>
      <c r="F344" s="963">
        <v>45803</v>
      </c>
      <c r="G344" s="962">
        <v>294</v>
      </c>
      <c r="H344" s="963">
        <v>45580</v>
      </c>
      <c r="I344" s="963"/>
      <c r="J344" s="963">
        <v>45580</v>
      </c>
      <c r="K344" s="963">
        <v>45873</v>
      </c>
    </row>
    <row r="345" spans="1:11">
      <c r="A345" s="959"/>
      <c r="B345" s="959"/>
      <c r="C345" s="961" t="s">
        <v>504</v>
      </c>
      <c r="D345" s="962">
        <v>70</v>
      </c>
      <c r="E345" s="963">
        <v>45718</v>
      </c>
      <c r="F345" s="963">
        <v>45787</v>
      </c>
      <c r="G345" s="962">
        <v>70</v>
      </c>
      <c r="H345" s="963"/>
      <c r="I345" s="963"/>
      <c r="J345" s="963">
        <v>45788</v>
      </c>
      <c r="K345" s="963">
        <v>45857</v>
      </c>
    </row>
    <row r="346" spans="1:11">
      <c r="A346" s="959"/>
      <c r="B346" s="959"/>
      <c r="C346" s="961" t="s">
        <v>505</v>
      </c>
      <c r="D346" s="962">
        <v>1</v>
      </c>
      <c r="E346" s="963"/>
      <c r="F346" s="963"/>
      <c r="G346" s="962">
        <v>1</v>
      </c>
      <c r="H346" s="963"/>
      <c r="I346" s="963"/>
      <c r="J346" s="963"/>
      <c r="K346" s="963"/>
    </row>
    <row r="347" spans="1:11">
      <c r="A347" s="959"/>
      <c r="B347" s="959"/>
      <c r="C347" s="961" t="s">
        <v>506</v>
      </c>
      <c r="D347" s="962">
        <v>75</v>
      </c>
      <c r="E347" s="963">
        <v>45723</v>
      </c>
      <c r="F347" s="963">
        <v>45797</v>
      </c>
      <c r="G347" s="962">
        <v>75</v>
      </c>
      <c r="H347" s="963"/>
      <c r="I347" s="963"/>
      <c r="J347" s="963">
        <v>45793</v>
      </c>
      <c r="K347" s="963">
        <v>45867</v>
      </c>
    </row>
    <row r="348" spans="1:11">
      <c r="A348" s="959"/>
      <c r="B348" s="959"/>
      <c r="C348" s="961" t="s">
        <v>507</v>
      </c>
      <c r="D348" s="962">
        <v>75</v>
      </c>
      <c r="E348" s="963">
        <v>45723</v>
      </c>
      <c r="F348" s="963">
        <v>45797</v>
      </c>
      <c r="G348" s="962">
        <v>75</v>
      </c>
      <c r="H348" s="963"/>
      <c r="I348" s="963"/>
      <c r="J348" s="963">
        <v>45793</v>
      </c>
      <c r="K348" s="963">
        <v>45867</v>
      </c>
    </row>
    <row r="349" spans="1:11">
      <c r="A349" s="959"/>
      <c r="B349" s="959"/>
      <c r="C349" s="961" t="s">
        <v>508</v>
      </c>
      <c r="D349" s="962">
        <v>181</v>
      </c>
      <c r="E349" s="963">
        <v>45512</v>
      </c>
      <c r="F349" s="963">
        <v>45692</v>
      </c>
      <c r="G349" s="962">
        <v>251</v>
      </c>
      <c r="H349" s="963">
        <v>45512</v>
      </c>
      <c r="I349" s="963"/>
      <c r="J349" s="963">
        <v>45512</v>
      </c>
      <c r="K349" s="963">
        <v>45762</v>
      </c>
    </row>
    <row r="350" spans="1:11">
      <c r="A350" s="959"/>
      <c r="B350" s="959"/>
      <c r="C350" s="961" t="s">
        <v>509</v>
      </c>
      <c r="D350" s="962">
        <v>181</v>
      </c>
      <c r="E350" s="963">
        <v>45512</v>
      </c>
      <c r="F350" s="963">
        <v>45692</v>
      </c>
      <c r="G350" s="962">
        <v>251</v>
      </c>
      <c r="H350" s="963">
        <v>45512</v>
      </c>
      <c r="I350" s="963"/>
      <c r="J350" s="963">
        <v>45512</v>
      </c>
      <c r="K350" s="963">
        <v>45762</v>
      </c>
    </row>
    <row r="351" spans="1:11">
      <c r="A351" s="959"/>
      <c r="B351" s="959"/>
      <c r="C351" s="961" t="s">
        <v>510</v>
      </c>
      <c r="D351" s="962">
        <v>140</v>
      </c>
      <c r="E351" s="963">
        <v>45658</v>
      </c>
      <c r="F351" s="963">
        <v>45797</v>
      </c>
      <c r="G351" s="962">
        <v>210</v>
      </c>
      <c r="H351" s="963"/>
      <c r="I351" s="963"/>
      <c r="J351" s="963">
        <v>45658</v>
      </c>
      <c r="K351" s="963">
        <v>45867</v>
      </c>
    </row>
    <row r="352" spans="1:11">
      <c r="A352" s="959"/>
      <c r="B352" s="959"/>
      <c r="C352" s="961" t="s">
        <v>511</v>
      </c>
      <c r="D352" s="962">
        <v>60</v>
      </c>
      <c r="E352" s="963">
        <v>45658</v>
      </c>
      <c r="F352" s="963">
        <v>45717</v>
      </c>
      <c r="G352" s="962">
        <v>130</v>
      </c>
      <c r="H352" s="963"/>
      <c r="I352" s="963"/>
      <c r="J352" s="963">
        <v>45658</v>
      </c>
      <c r="K352" s="963">
        <v>45787</v>
      </c>
    </row>
    <row r="353" spans="1:11">
      <c r="A353" s="959"/>
      <c r="B353" s="959"/>
      <c r="C353" s="961" t="s">
        <v>512</v>
      </c>
      <c r="D353" s="962">
        <v>60</v>
      </c>
      <c r="E353" s="963">
        <v>45708</v>
      </c>
      <c r="F353" s="963">
        <v>45767</v>
      </c>
      <c r="G353" s="962">
        <v>60</v>
      </c>
      <c r="H353" s="963"/>
      <c r="I353" s="963"/>
      <c r="J353" s="963">
        <v>45778</v>
      </c>
      <c r="K353" s="963">
        <v>45837</v>
      </c>
    </row>
    <row r="354" spans="1:11" s="957" customFormat="1">
      <c r="A354" s="965" t="s">
        <v>566</v>
      </c>
      <c r="B354" s="965" t="s">
        <v>513</v>
      </c>
      <c r="C354" s="967"/>
      <c r="D354" s="955">
        <v>474</v>
      </c>
      <c r="E354" s="956">
        <v>45352</v>
      </c>
      <c r="F354" s="956">
        <v>45825</v>
      </c>
      <c r="G354" s="955">
        <v>544</v>
      </c>
      <c r="H354" s="956">
        <v>45352</v>
      </c>
      <c r="I354" s="956"/>
      <c r="J354" s="956">
        <v>45352</v>
      </c>
      <c r="K354" s="956">
        <v>45895</v>
      </c>
    </row>
    <row r="355" spans="1:11">
      <c r="A355" s="959"/>
      <c r="B355" s="959"/>
      <c r="C355" s="961" t="s">
        <v>514</v>
      </c>
      <c r="D355" s="962">
        <v>120</v>
      </c>
      <c r="E355" s="963">
        <v>45678</v>
      </c>
      <c r="F355" s="963">
        <v>45797</v>
      </c>
      <c r="G355" s="962">
        <v>120</v>
      </c>
      <c r="H355" s="963"/>
      <c r="I355" s="963"/>
      <c r="J355" s="963">
        <v>45748</v>
      </c>
      <c r="K355" s="963">
        <v>45867</v>
      </c>
    </row>
    <row r="356" spans="1:11">
      <c r="A356" s="959"/>
      <c r="B356" s="959"/>
      <c r="C356" s="961" t="s">
        <v>515</v>
      </c>
      <c r="D356" s="962">
        <v>120</v>
      </c>
      <c r="E356" s="963">
        <v>45678</v>
      </c>
      <c r="F356" s="963">
        <v>45797</v>
      </c>
      <c r="G356" s="962">
        <v>120</v>
      </c>
      <c r="H356" s="963"/>
      <c r="I356" s="963"/>
      <c r="J356" s="963">
        <v>45748</v>
      </c>
      <c r="K356" s="963">
        <v>45867</v>
      </c>
    </row>
    <row r="357" spans="1:11">
      <c r="A357" s="959"/>
      <c r="B357" s="959"/>
      <c r="C357" s="961" t="s">
        <v>516</v>
      </c>
      <c r="D357" s="962">
        <v>120</v>
      </c>
      <c r="E357" s="963">
        <v>45678</v>
      </c>
      <c r="F357" s="963">
        <v>45797</v>
      </c>
      <c r="G357" s="962">
        <v>120</v>
      </c>
      <c r="H357" s="963"/>
      <c r="I357" s="963"/>
      <c r="J357" s="963">
        <v>45748</v>
      </c>
      <c r="K357" s="963">
        <v>45867</v>
      </c>
    </row>
    <row r="358" spans="1:11">
      <c r="A358" s="959"/>
      <c r="B358" s="959"/>
      <c r="C358" s="961" t="s">
        <v>517</v>
      </c>
      <c r="D358" s="962">
        <v>45</v>
      </c>
      <c r="E358" s="963">
        <v>45678</v>
      </c>
      <c r="F358" s="963">
        <v>45722</v>
      </c>
      <c r="G358" s="962">
        <v>45</v>
      </c>
      <c r="H358" s="963"/>
      <c r="I358" s="963"/>
      <c r="J358" s="963">
        <v>45748</v>
      </c>
      <c r="K358" s="963">
        <v>45792</v>
      </c>
    </row>
    <row r="359" spans="1:11">
      <c r="A359" s="959"/>
      <c r="B359" s="959"/>
      <c r="C359" s="961" t="s">
        <v>518</v>
      </c>
      <c r="D359" s="962">
        <v>126</v>
      </c>
      <c r="E359" s="963">
        <v>45597</v>
      </c>
      <c r="F359" s="963">
        <v>45722</v>
      </c>
      <c r="G359" s="962">
        <v>196</v>
      </c>
      <c r="H359" s="963">
        <v>45597</v>
      </c>
      <c r="I359" s="963"/>
      <c r="J359" s="963">
        <v>45597</v>
      </c>
      <c r="K359" s="963">
        <v>45792</v>
      </c>
    </row>
    <row r="360" spans="1:11">
      <c r="A360" s="959"/>
      <c r="B360" s="959"/>
      <c r="C360" s="961" t="s">
        <v>519</v>
      </c>
      <c r="D360" s="962">
        <v>120</v>
      </c>
      <c r="E360" s="963">
        <v>45692</v>
      </c>
      <c r="F360" s="963">
        <v>45811</v>
      </c>
      <c r="G360" s="962">
        <v>120</v>
      </c>
      <c r="H360" s="963"/>
      <c r="I360" s="963"/>
      <c r="J360" s="963">
        <v>45762</v>
      </c>
      <c r="K360" s="963">
        <v>45881</v>
      </c>
    </row>
    <row r="361" spans="1:11">
      <c r="A361" s="959"/>
      <c r="B361" s="959"/>
      <c r="C361" s="961" t="s">
        <v>520</v>
      </c>
      <c r="D361" s="962">
        <v>90</v>
      </c>
      <c r="E361" s="963">
        <v>45690</v>
      </c>
      <c r="F361" s="963">
        <v>45779</v>
      </c>
      <c r="G361" s="962">
        <v>90</v>
      </c>
      <c r="H361" s="963"/>
      <c r="I361" s="963"/>
      <c r="J361" s="963">
        <v>45748</v>
      </c>
      <c r="K361" s="963">
        <v>45837</v>
      </c>
    </row>
    <row r="362" spans="1:11">
      <c r="A362" s="959"/>
      <c r="B362" s="959"/>
      <c r="C362" s="961" t="s">
        <v>521</v>
      </c>
      <c r="D362" s="962">
        <v>90</v>
      </c>
      <c r="E362" s="963">
        <v>45692</v>
      </c>
      <c r="F362" s="963">
        <v>45781</v>
      </c>
      <c r="G362" s="962">
        <v>90</v>
      </c>
      <c r="H362" s="963"/>
      <c r="I362" s="963"/>
      <c r="J362" s="963">
        <v>45762</v>
      </c>
      <c r="K362" s="963">
        <v>45851</v>
      </c>
    </row>
    <row r="363" spans="1:11">
      <c r="A363" s="959"/>
      <c r="B363" s="959"/>
      <c r="C363" s="961" t="s">
        <v>522</v>
      </c>
      <c r="D363" s="962">
        <v>131</v>
      </c>
      <c r="E363" s="963">
        <v>45597</v>
      </c>
      <c r="F363" s="963">
        <v>45727</v>
      </c>
      <c r="G363" s="962">
        <v>201</v>
      </c>
      <c r="H363" s="963">
        <v>45597</v>
      </c>
      <c r="I363" s="963"/>
      <c r="J363" s="963">
        <v>45597</v>
      </c>
      <c r="K363" s="963">
        <v>45797</v>
      </c>
    </row>
    <row r="364" spans="1:11">
      <c r="A364" s="959"/>
      <c r="B364" s="959"/>
      <c r="C364" s="961" t="s">
        <v>523</v>
      </c>
      <c r="D364" s="962">
        <v>60</v>
      </c>
      <c r="E364" s="963">
        <v>45688</v>
      </c>
      <c r="F364" s="963">
        <v>45747</v>
      </c>
      <c r="G364" s="962">
        <v>60</v>
      </c>
      <c r="H364" s="963"/>
      <c r="I364" s="963"/>
      <c r="J364" s="963">
        <v>45758</v>
      </c>
      <c r="K364" s="963">
        <v>45817</v>
      </c>
    </row>
    <row r="365" spans="1:11">
      <c r="A365" s="959"/>
      <c r="B365" s="959"/>
      <c r="C365" s="961" t="s">
        <v>524</v>
      </c>
      <c r="D365" s="962">
        <v>110</v>
      </c>
      <c r="E365" s="963">
        <v>45658</v>
      </c>
      <c r="F365" s="963">
        <v>45767</v>
      </c>
      <c r="G365" s="962">
        <v>180</v>
      </c>
      <c r="H365" s="963">
        <v>45658</v>
      </c>
      <c r="I365" s="963"/>
      <c r="J365" s="963">
        <v>45658</v>
      </c>
      <c r="K365" s="963">
        <v>45837</v>
      </c>
    </row>
    <row r="366" spans="1:11">
      <c r="A366" s="959"/>
      <c r="B366" s="959"/>
      <c r="C366" s="961" t="s">
        <v>525</v>
      </c>
      <c r="D366" s="962">
        <v>75</v>
      </c>
      <c r="E366" s="963">
        <v>45693</v>
      </c>
      <c r="F366" s="963">
        <v>45767</v>
      </c>
      <c r="G366" s="962">
        <v>75</v>
      </c>
      <c r="H366" s="963"/>
      <c r="I366" s="963"/>
      <c r="J366" s="963">
        <v>45763</v>
      </c>
      <c r="K366" s="963">
        <v>45837</v>
      </c>
    </row>
    <row r="367" spans="1:11">
      <c r="A367" s="959"/>
      <c r="B367" s="959"/>
      <c r="C367" s="961" t="s">
        <v>526</v>
      </c>
      <c r="D367" s="962">
        <v>134</v>
      </c>
      <c r="E367" s="963">
        <v>45692</v>
      </c>
      <c r="F367" s="963">
        <v>45825</v>
      </c>
      <c r="G367" s="962">
        <v>134</v>
      </c>
      <c r="H367" s="963"/>
      <c r="I367" s="963"/>
      <c r="J367" s="963">
        <v>45762</v>
      </c>
      <c r="K367" s="963">
        <v>45895</v>
      </c>
    </row>
    <row r="368" spans="1:11" ht="31">
      <c r="A368" s="959"/>
      <c r="B368" s="959"/>
      <c r="C368" s="961" t="s">
        <v>527</v>
      </c>
      <c r="D368" s="962">
        <v>60</v>
      </c>
      <c r="E368" s="963">
        <v>45699</v>
      </c>
      <c r="F368" s="963">
        <v>45758</v>
      </c>
      <c r="G368" s="962">
        <v>60</v>
      </c>
      <c r="H368" s="963"/>
      <c r="I368" s="963"/>
      <c r="J368" s="963">
        <v>45769</v>
      </c>
      <c r="K368" s="963">
        <v>45828</v>
      </c>
    </row>
    <row r="369" spans="1:11">
      <c r="A369" s="959"/>
      <c r="B369" s="959"/>
      <c r="C369" s="961" t="s">
        <v>528</v>
      </c>
      <c r="D369" s="962">
        <v>45</v>
      </c>
      <c r="E369" s="963">
        <v>45699</v>
      </c>
      <c r="F369" s="963">
        <v>45743</v>
      </c>
      <c r="G369" s="962">
        <v>45</v>
      </c>
      <c r="H369" s="963"/>
      <c r="I369" s="963"/>
      <c r="J369" s="963">
        <v>45769</v>
      </c>
      <c r="K369" s="963">
        <v>45813</v>
      </c>
    </row>
    <row r="370" spans="1:11" ht="31">
      <c r="A370" s="959"/>
      <c r="B370" s="959"/>
      <c r="C370" s="961" t="s">
        <v>529</v>
      </c>
      <c r="D370" s="962">
        <v>60</v>
      </c>
      <c r="E370" s="963">
        <v>45692</v>
      </c>
      <c r="F370" s="963">
        <v>45751</v>
      </c>
      <c r="G370" s="962">
        <v>60</v>
      </c>
      <c r="H370" s="963"/>
      <c r="I370" s="963"/>
      <c r="J370" s="963">
        <v>45762</v>
      </c>
      <c r="K370" s="963">
        <v>45821</v>
      </c>
    </row>
    <row r="371" spans="1:11">
      <c r="A371" s="959"/>
      <c r="B371" s="959"/>
      <c r="C371" s="961" t="s">
        <v>530</v>
      </c>
      <c r="D371" s="962">
        <v>60</v>
      </c>
      <c r="E371" s="963">
        <v>45699</v>
      </c>
      <c r="F371" s="963">
        <v>45758</v>
      </c>
      <c r="G371" s="962">
        <v>60</v>
      </c>
      <c r="H371" s="963"/>
      <c r="I371" s="963"/>
      <c r="J371" s="963">
        <v>45769</v>
      </c>
      <c r="K371" s="963">
        <v>45828</v>
      </c>
    </row>
    <row r="372" spans="1:11">
      <c r="A372" s="959"/>
      <c r="B372" s="959"/>
      <c r="C372" s="961" t="s">
        <v>531</v>
      </c>
      <c r="D372" s="962">
        <v>142</v>
      </c>
      <c r="E372" s="963">
        <v>45566</v>
      </c>
      <c r="F372" s="963">
        <v>45707</v>
      </c>
      <c r="G372" s="962">
        <v>117</v>
      </c>
      <c r="H372" s="963">
        <v>45566</v>
      </c>
      <c r="I372" s="963"/>
      <c r="J372" s="963">
        <v>45566</v>
      </c>
      <c r="K372" s="963">
        <v>45682</v>
      </c>
    </row>
    <row r="373" spans="1:11">
      <c r="A373" s="959"/>
      <c r="B373" s="959"/>
      <c r="C373" s="961" t="s">
        <v>532</v>
      </c>
      <c r="D373" s="962">
        <v>30</v>
      </c>
      <c r="E373" s="963">
        <v>45699</v>
      </c>
      <c r="F373" s="963">
        <v>45728</v>
      </c>
      <c r="G373" s="962">
        <v>30</v>
      </c>
      <c r="H373" s="963"/>
      <c r="I373" s="963"/>
      <c r="J373" s="963">
        <v>45769</v>
      </c>
      <c r="K373" s="963">
        <v>45798</v>
      </c>
    </row>
    <row r="374" spans="1:11">
      <c r="A374" s="959"/>
      <c r="B374" s="959"/>
      <c r="C374" s="961" t="s">
        <v>533</v>
      </c>
      <c r="D374" s="962">
        <v>120</v>
      </c>
      <c r="E374" s="963">
        <v>45603</v>
      </c>
      <c r="F374" s="963">
        <v>45722</v>
      </c>
      <c r="G374" s="962">
        <v>190</v>
      </c>
      <c r="H374" s="963">
        <v>45603</v>
      </c>
      <c r="I374" s="963"/>
      <c r="J374" s="963">
        <v>45603</v>
      </c>
      <c r="K374" s="963">
        <v>45792</v>
      </c>
    </row>
    <row r="375" spans="1:11">
      <c r="A375" s="959"/>
      <c r="B375" s="959"/>
      <c r="C375" s="961" t="s">
        <v>534</v>
      </c>
      <c r="D375" s="962">
        <v>119</v>
      </c>
      <c r="E375" s="963">
        <v>45609</v>
      </c>
      <c r="F375" s="963">
        <v>45727</v>
      </c>
      <c r="G375" s="962">
        <v>189</v>
      </c>
      <c r="H375" s="963">
        <v>45609</v>
      </c>
      <c r="I375" s="963"/>
      <c r="J375" s="963">
        <v>45609</v>
      </c>
      <c r="K375" s="963">
        <v>45797</v>
      </c>
    </row>
    <row r="376" spans="1:11">
      <c r="A376" s="959"/>
      <c r="B376" s="959"/>
      <c r="C376" s="961" t="s">
        <v>535</v>
      </c>
      <c r="D376" s="962">
        <v>30</v>
      </c>
      <c r="E376" s="963">
        <v>45678</v>
      </c>
      <c r="F376" s="963">
        <v>45707</v>
      </c>
      <c r="G376" s="962">
        <v>30</v>
      </c>
      <c r="H376" s="963"/>
      <c r="I376" s="963"/>
      <c r="J376" s="963">
        <v>45748</v>
      </c>
      <c r="K376" s="963">
        <v>45777</v>
      </c>
    </row>
    <row r="377" spans="1:11">
      <c r="A377" s="959"/>
      <c r="B377" s="959"/>
      <c r="C377" s="961" t="s">
        <v>536</v>
      </c>
      <c r="D377" s="962">
        <v>109</v>
      </c>
      <c r="E377" s="963">
        <v>45609</v>
      </c>
      <c r="F377" s="963">
        <v>45717</v>
      </c>
      <c r="G377" s="962">
        <v>179</v>
      </c>
      <c r="H377" s="963">
        <v>45609</v>
      </c>
      <c r="I377" s="963"/>
      <c r="J377" s="963">
        <v>45609</v>
      </c>
      <c r="K377" s="963">
        <v>45787</v>
      </c>
    </row>
    <row r="378" spans="1:11">
      <c r="A378" s="959"/>
      <c r="B378" s="959"/>
      <c r="C378" s="961" t="s">
        <v>537</v>
      </c>
      <c r="D378" s="962">
        <v>45</v>
      </c>
      <c r="E378" s="963">
        <v>45692</v>
      </c>
      <c r="F378" s="963">
        <v>45736</v>
      </c>
      <c r="G378" s="962">
        <v>45</v>
      </c>
      <c r="H378" s="963"/>
      <c r="I378" s="963"/>
      <c r="J378" s="963">
        <v>45762</v>
      </c>
      <c r="K378" s="963">
        <v>45806</v>
      </c>
    </row>
    <row r="379" spans="1:11">
      <c r="A379" s="959"/>
      <c r="B379" s="959"/>
      <c r="C379" s="961" t="s">
        <v>538</v>
      </c>
      <c r="D379" s="962">
        <v>45</v>
      </c>
      <c r="E379" s="963">
        <v>45692</v>
      </c>
      <c r="F379" s="963">
        <v>45736</v>
      </c>
      <c r="G379" s="962">
        <v>45</v>
      </c>
      <c r="H379" s="963"/>
      <c r="I379" s="963"/>
      <c r="J379" s="963">
        <v>45762</v>
      </c>
      <c r="K379" s="963">
        <v>45806</v>
      </c>
    </row>
    <row r="380" spans="1:11">
      <c r="A380" s="959"/>
      <c r="B380" s="959"/>
      <c r="C380" s="961" t="s">
        <v>539</v>
      </c>
      <c r="D380" s="962">
        <v>45</v>
      </c>
      <c r="E380" s="963">
        <v>45692</v>
      </c>
      <c r="F380" s="963">
        <v>45736</v>
      </c>
      <c r="G380" s="962">
        <v>45</v>
      </c>
      <c r="H380" s="963"/>
      <c r="I380" s="963"/>
      <c r="J380" s="963">
        <v>45762</v>
      </c>
      <c r="K380" s="963">
        <v>45806</v>
      </c>
    </row>
    <row r="381" spans="1:11">
      <c r="A381" s="959"/>
      <c r="B381" s="959"/>
      <c r="C381" s="961" t="s">
        <v>540</v>
      </c>
      <c r="D381" s="962">
        <v>45</v>
      </c>
      <c r="E381" s="963">
        <v>45692</v>
      </c>
      <c r="F381" s="963">
        <v>45736</v>
      </c>
      <c r="G381" s="962">
        <v>45</v>
      </c>
      <c r="H381" s="963"/>
      <c r="I381" s="963"/>
      <c r="J381" s="963">
        <v>45762</v>
      </c>
      <c r="K381" s="963">
        <v>45806</v>
      </c>
    </row>
    <row r="382" spans="1:11">
      <c r="A382" s="959"/>
      <c r="B382" s="959"/>
      <c r="C382" s="961" t="s">
        <v>541</v>
      </c>
      <c r="D382" s="962">
        <v>45</v>
      </c>
      <c r="E382" s="963">
        <v>45692</v>
      </c>
      <c r="F382" s="963">
        <v>45736</v>
      </c>
      <c r="G382" s="962">
        <v>45</v>
      </c>
      <c r="H382" s="963"/>
      <c r="I382" s="963"/>
      <c r="J382" s="963">
        <v>45762</v>
      </c>
      <c r="K382" s="963">
        <v>45806</v>
      </c>
    </row>
    <row r="383" spans="1:11" ht="31">
      <c r="A383" s="959"/>
      <c r="B383" s="959"/>
      <c r="C383" s="961" t="s">
        <v>542</v>
      </c>
      <c r="D383" s="962">
        <v>172</v>
      </c>
      <c r="E383" s="963">
        <v>45566</v>
      </c>
      <c r="F383" s="963">
        <v>45737</v>
      </c>
      <c r="G383" s="962">
        <v>242</v>
      </c>
      <c r="H383" s="963">
        <v>45566</v>
      </c>
      <c r="I383" s="963"/>
      <c r="J383" s="963">
        <v>45566</v>
      </c>
      <c r="K383" s="963">
        <v>45807</v>
      </c>
    </row>
    <row r="384" spans="1:11" ht="31">
      <c r="A384" s="959"/>
      <c r="B384" s="959"/>
      <c r="C384" s="961" t="s">
        <v>543</v>
      </c>
      <c r="D384" s="962">
        <v>1</v>
      </c>
      <c r="E384" s="963"/>
      <c r="F384" s="963"/>
      <c r="G384" s="962">
        <v>1</v>
      </c>
      <c r="H384" s="963"/>
      <c r="I384" s="963"/>
      <c r="J384" s="963"/>
      <c r="K384" s="963"/>
    </row>
    <row r="385" spans="1:11">
      <c r="A385" s="959"/>
      <c r="B385" s="959"/>
      <c r="C385" s="961" t="s">
        <v>544</v>
      </c>
      <c r="D385" s="962">
        <v>60</v>
      </c>
      <c r="E385" s="963">
        <v>45708</v>
      </c>
      <c r="F385" s="963">
        <v>45767</v>
      </c>
      <c r="G385" s="962">
        <v>60</v>
      </c>
      <c r="H385" s="963"/>
      <c r="I385" s="963"/>
      <c r="J385" s="963">
        <v>45748</v>
      </c>
      <c r="K385" s="963">
        <v>45807</v>
      </c>
    </row>
    <row r="386" spans="1:11">
      <c r="A386" s="959"/>
      <c r="B386" s="959"/>
      <c r="C386" s="961" t="s">
        <v>545</v>
      </c>
      <c r="D386" s="962">
        <v>30</v>
      </c>
      <c r="E386" s="963">
        <v>45723</v>
      </c>
      <c r="F386" s="963">
        <v>45752</v>
      </c>
      <c r="G386" s="962">
        <v>30</v>
      </c>
      <c r="H386" s="963"/>
      <c r="I386" s="963"/>
      <c r="J386" s="963">
        <v>45748</v>
      </c>
      <c r="K386" s="963">
        <v>45777</v>
      </c>
    </row>
    <row r="387" spans="1:11">
      <c r="A387" s="959"/>
      <c r="B387" s="959"/>
      <c r="C387" s="961" t="s">
        <v>546</v>
      </c>
      <c r="D387" s="962">
        <v>45</v>
      </c>
      <c r="E387" s="963">
        <v>45723</v>
      </c>
      <c r="F387" s="963">
        <v>45767</v>
      </c>
      <c r="G387" s="962">
        <v>45</v>
      </c>
      <c r="H387" s="963"/>
      <c r="I387" s="963"/>
      <c r="J387" s="963">
        <v>45793</v>
      </c>
      <c r="K387" s="963">
        <v>45837</v>
      </c>
    </row>
    <row r="388" spans="1:11">
      <c r="A388" s="959"/>
      <c r="B388" s="959"/>
      <c r="C388" s="961" t="s">
        <v>547</v>
      </c>
      <c r="D388" s="962">
        <v>45</v>
      </c>
      <c r="E388" s="963">
        <v>45723</v>
      </c>
      <c r="F388" s="963">
        <v>45767</v>
      </c>
      <c r="G388" s="962">
        <v>45</v>
      </c>
      <c r="H388" s="963"/>
      <c r="I388" s="963"/>
      <c r="J388" s="963">
        <v>45793</v>
      </c>
      <c r="K388" s="963">
        <v>45837</v>
      </c>
    </row>
    <row r="389" spans="1:11">
      <c r="A389" s="959"/>
      <c r="B389" s="959"/>
      <c r="C389" s="961" t="s">
        <v>548</v>
      </c>
      <c r="D389" s="962">
        <v>45</v>
      </c>
      <c r="E389" s="963">
        <v>45723</v>
      </c>
      <c r="F389" s="963">
        <v>45767</v>
      </c>
      <c r="G389" s="962">
        <v>45</v>
      </c>
      <c r="H389" s="963"/>
      <c r="I389" s="963"/>
      <c r="J389" s="963">
        <v>45793</v>
      </c>
      <c r="K389" s="963">
        <v>45837</v>
      </c>
    </row>
    <row r="390" spans="1:11">
      <c r="A390" s="959"/>
      <c r="B390" s="959"/>
      <c r="C390" s="961" t="s">
        <v>549</v>
      </c>
      <c r="D390" s="962">
        <v>45</v>
      </c>
      <c r="E390" s="963">
        <v>45723</v>
      </c>
      <c r="F390" s="963">
        <v>45767</v>
      </c>
      <c r="G390" s="962">
        <v>45</v>
      </c>
      <c r="H390" s="963"/>
      <c r="I390" s="963"/>
      <c r="J390" s="963">
        <v>45748</v>
      </c>
      <c r="K390" s="963">
        <v>45792</v>
      </c>
    </row>
    <row r="391" spans="1:11">
      <c r="A391" s="959"/>
      <c r="B391" s="959"/>
      <c r="C391" s="961" t="s">
        <v>550</v>
      </c>
      <c r="D391" s="962">
        <v>45</v>
      </c>
      <c r="E391" s="963">
        <v>45708</v>
      </c>
      <c r="F391" s="963">
        <v>45752</v>
      </c>
      <c r="G391" s="962">
        <v>45</v>
      </c>
      <c r="H391" s="963"/>
      <c r="I391" s="963"/>
      <c r="J391" s="963">
        <v>45778</v>
      </c>
      <c r="K391" s="963">
        <v>45822</v>
      </c>
    </row>
    <row r="392" spans="1:11">
      <c r="A392" s="959"/>
      <c r="B392" s="959"/>
      <c r="C392" s="961" t="s">
        <v>551</v>
      </c>
      <c r="D392" s="962">
        <v>45</v>
      </c>
      <c r="E392" s="963">
        <v>45688</v>
      </c>
      <c r="F392" s="963">
        <v>45732</v>
      </c>
      <c r="G392" s="962">
        <v>45</v>
      </c>
      <c r="H392" s="963"/>
      <c r="I392" s="963"/>
      <c r="J392" s="963">
        <v>45758</v>
      </c>
      <c r="K392" s="963">
        <v>45802</v>
      </c>
    </row>
    <row r="393" spans="1:11">
      <c r="A393" s="959"/>
      <c r="B393" s="959"/>
      <c r="C393" s="961" t="s">
        <v>552</v>
      </c>
      <c r="D393" s="962">
        <v>80</v>
      </c>
      <c r="E393" s="963">
        <v>45658</v>
      </c>
      <c r="F393" s="963">
        <v>45737</v>
      </c>
      <c r="G393" s="962">
        <v>150</v>
      </c>
      <c r="H393" s="963">
        <v>45658</v>
      </c>
      <c r="I393" s="963"/>
      <c r="J393" s="963">
        <v>45658</v>
      </c>
      <c r="K393" s="963">
        <v>45807</v>
      </c>
    </row>
    <row r="394" spans="1:11">
      <c r="A394" s="959"/>
      <c r="B394" s="959"/>
      <c r="C394" s="961" t="s">
        <v>553</v>
      </c>
      <c r="D394" s="962">
        <v>60</v>
      </c>
      <c r="E394" s="963">
        <v>45692</v>
      </c>
      <c r="F394" s="963">
        <v>45751</v>
      </c>
      <c r="G394" s="962">
        <v>60</v>
      </c>
      <c r="H394" s="963"/>
      <c r="I394" s="963"/>
      <c r="J394" s="963">
        <v>45762</v>
      </c>
      <c r="K394" s="963">
        <v>45821</v>
      </c>
    </row>
    <row r="395" spans="1:11">
      <c r="A395" s="959"/>
      <c r="B395" s="959"/>
      <c r="C395" s="961" t="s">
        <v>554</v>
      </c>
      <c r="D395" s="962">
        <v>60</v>
      </c>
      <c r="E395" s="963">
        <v>45699</v>
      </c>
      <c r="F395" s="963">
        <v>45758</v>
      </c>
      <c r="G395" s="962">
        <v>60</v>
      </c>
      <c r="H395" s="963"/>
      <c r="I395" s="963"/>
      <c r="J395" s="963">
        <v>45769</v>
      </c>
      <c r="K395" s="963">
        <v>45828</v>
      </c>
    </row>
    <row r="396" spans="1:11">
      <c r="A396" s="959"/>
      <c r="B396" s="959"/>
      <c r="C396" s="961" t="s">
        <v>555</v>
      </c>
      <c r="D396" s="962">
        <v>60</v>
      </c>
      <c r="E396" s="963">
        <v>45708</v>
      </c>
      <c r="F396" s="963">
        <v>45767</v>
      </c>
      <c r="G396" s="962">
        <v>60</v>
      </c>
      <c r="H396" s="963"/>
      <c r="I396" s="963"/>
      <c r="J396" s="963">
        <v>45778</v>
      </c>
      <c r="K396" s="963">
        <v>45837</v>
      </c>
    </row>
    <row r="397" spans="1:11">
      <c r="A397" s="959"/>
      <c r="B397" s="959"/>
      <c r="C397" s="961" t="s">
        <v>556</v>
      </c>
      <c r="D397" s="962">
        <v>30</v>
      </c>
      <c r="E397" s="963">
        <v>45708</v>
      </c>
      <c r="F397" s="963">
        <v>45737</v>
      </c>
      <c r="G397" s="962">
        <v>30</v>
      </c>
      <c r="H397" s="963"/>
      <c r="I397" s="963"/>
      <c r="J397" s="963">
        <v>45778</v>
      </c>
      <c r="K397" s="963">
        <v>45807</v>
      </c>
    </row>
    <row r="398" spans="1:11">
      <c r="A398" s="959"/>
      <c r="B398" s="959"/>
      <c r="C398" s="961" t="s">
        <v>557</v>
      </c>
      <c r="D398" s="962">
        <v>45</v>
      </c>
      <c r="E398" s="963">
        <v>45723</v>
      </c>
      <c r="F398" s="963">
        <v>45767</v>
      </c>
      <c r="G398" s="962">
        <v>45</v>
      </c>
      <c r="H398" s="963"/>
      <c r="I398" s="963"/>
      <c r="J398" s="963">
        <v>45793</v>
      </c>
      <c r="K398" s="963">
        <v>45837</v>
      </c>
    </row>
    <row r="399" spans="1:11">
      <c r="A399" s="959"/>
      <c r="B399" s="959"/>
      <c r="C399" s="961" t="s">
        <v>558</v>
      </c>
      <c r="D399" s="962">
        <v>176</v>
      </c>
      <c r="E399" s="963">
        <v>45532</v>
      </c>
      <c r="F399" s="963">
        <v>45707</v>
      </c>
      <c r="G399" s="962">
        <v>246</v>
      </c>
      <c r="H399" s="963">
        <v>45532</v>
      </c>
      <c r="I399" s="963"/>
      <c r="J399" s="963">
        <v>45532</v>
      </c>
      <c r="K399" s="963">
        <v>45777</v>
      </c>
    </row>
    <row r="400" spans="1:11" ht="31">
      <c r="A400" s="959"/>
      <c r="B400" s="959"/>
      <c r="C400" s="961" t="s">
        <v>559</v>
      </c>
      <c r="D400" s="962">
        <v>45</v>
      </c>
      <c r="E400" s="963">
        <v>45723</v>
      </c>
      <c r="F400" s="963">
        <v>45767</v>
      </c>
      <c r="G400" s="962">
        <v>45</v>
      </c>
      <c r="H400" s="963"/>
      <c r="I400" s="963"/>
      <c r="J400" s="963">
        <v>45748</v>
      </c>
      <c r="K400" s="963">
        <v>45792</v>
      </c>
    </row>
    <row r="401" spans="1:11">
      <c r="A401" s="959"/>
      <c r="B401" s="959"/>
      <c r="C401" s="961" t="s">
        <v>560</v>
      </c>
      <c r="D401" s="962">
        <v>78</v>
      </c>
      <c r="E401" s="963">
        <v>45539</v>
      </c>
      <c r="F401" s="963">
        <v>45616</v>
      </c>
      <c r="G401" s="962">
        <v>78</v>
      </c>
      <c r="H401" s="963">
        <v>45539</v>
      </c>
      <c r="I401" s="963"/>
      <c r="J401" s="963">
        <v>45539</v>
      </c>
      <c r="K401" s="963">
        <v>45616</v>
      </c>
    </row>
    <row r="402" spans="1:11">
      <c r="A402" s="959"/>
      <c r="B402" s="959"/>
      <c r="C402" s="961" t="s">
        <v>561</v>
      </c>
      <c r="D402" s="962">
        <v>45</v>
      </c>
      <c r="E402" s="963">
        <v>45723</v>
      </c>
      <c r="F402" s="963">
        <v>45767</v>
      </c>
      <c r="G402" s="962">
        <v>45</v>
      </c>
      <c r="H402" s="963"/>
      <c r="I402" s="963"/>
      <c r="J402" s="963">
        <v>45793</v>
      </c>
      <c r="K402" s="963">
        <v>45837</v>
      </c>
    </row>
    <row r="403" spans="1:11">
      <c r="A403" s="959"/>
      <c r="B403" s="959"/>
      <c r="C403" s="961" t="s">
        <v>562</v>
      </c>
      <c r="D403" s="962">
        <v>60</v>
      </c>
      <c r="E403" s="963">
        <v>45708</v>
      </c>
      <c r="F403" s="963">
        <v>45767</v>
      </c>
      <c r="G403" s="962">
        <v>60</v>
      </c>
      <c r="H403" s="963"/>
      <c r="I403" s="963"/>
      <c r="J403" s="963">
        <v>45778</v>
      </c>
      <c r="K403" s="963">
        <v>45837</v>
      </c>
    </row>
    <row r="404" spans="1:11">
      <c r="A404" s="959"/>
      <c r="B404" s="959"/>
      <c r="C404" s="961" t="s">
        <v>563</v>
      </c>
      <c r="D404" s="962">
        <v>30</v>
      </c>
      <c r="E404" s="963">
        <v>45723</v>
      </c>
      <c r="F404" s="963">
        <v>45752</v>
      </c>
      <c r="G404" s="962">
        <v>30</v>
      </c>
      <c r="H404" s="963"/>
      <c r="I404" s="963"/>
      <c r="J404" s="963">
        <v>45793</v>
      </c>
      <c r="K404" s="963">
        <v>45822</v>
      </c>
    </row>
    <row r="405" spans="1:11">
      <c r="A405" s="959"/>
      <c r="B405" s="959"/>
      <c r="C405" s="961" t="s">
        <v>565</v>
      </c>
      <c r="D405" s="962">
        <v>77</v>
      </c>
      <c r="E405" s="963">
        <v>45352</v>
      </c>
      <c r="F405" s="963">
        <v>45428</v>
      </c>
      <c r="G405" s="962">
        <v>77</v>
      </c>
      <c r="H405" s="963">
        <v>45352</v>
      </c>
      <c r="I405" s="963"/>
      <c r="J405" s="963">
        <v>45352</v>
      </c>
      <c r="K405" s="963">
        <v>45428</v>
      </c>
    </row>
    <row r="406" spans="1:11">
      <c r="A406" s="959"/>
      <c r="B406" s="1092"/>
      <c r="C406" s="1093"/>
      <c r="D406" s="1094"/>
      <c r="E406" s="1095">
        <f>MIN(E407:E558)</f>
        <v>45560</v>
      </c>
      <c r="F406" s="1095">
        <f>MAX(F407:F558)</f>
        <v>45857</v>
      </c>
      <c r="G406" s="1094"/>
      <c r="H406" s="1095">
        <f>MIN(H407:H558)</f>
        <v>45560</v>
      </c>
      <c r="I406" s="1095">
        <f>MAX(I407:I558)</f>
        <v>45688</v>
      </c>
      <c r="J406" s="1095"/>
      <c r="K406" s="1095">
        <f>MAX(K407:K558)</f>
        <v>45927</v>
      </c>
    </row>
    <row r="407" spans="1:11" s="957" customFormat="1">
      <c r="A407" s="965" t="s">
        <v>567</v>
      </c>
      <c r="B407" s="965" t="s">
        <v>420</v>
      </c>
      <c r="C407" s="967"/>
      <c r="D407" s="955">
        <v>60</v>
      </c>
      <c r="E407" s="956">
        <v>45723</v>
      </c>
      <c r="F407" s="956">
        <v>45782</v>
      </c>
      <c r="G407" s="955">
        <v>60</v>
      </c>
      <c r="H407" s="956">
        <v>45588</v>
      </c>
      <c r="I407" s="956"/>
      <c r="J407" s="956">
        <v>45793</v>
      </c>
      <c r="K407" s="956">
        <v>45852</v>
      </c>
    </row>
    <row r="408" spans="1:11" s="957" customFormat="1">
      <c r="A408" s="965" t="s">
        <v>567</v>
      </c>
      <c r="B408" s="965" t="s">
        <v>479</v>
      </c>
      <c r="C408" s="967"/>
      <c r="D408" s="955">
        <v>81</v>
      </c>
      <c r="E408" s="956">
        <v>45738</v>
      </c>
      <c r="F408" s="956">
        <v>45818</v>
      </c>
      <c r="G408" s="955">
        <v>81</v>
      </c>
      <c r="H408" s="956">
        <v>45601</v>
      </c>
      <c r="I408" s="956"/>
      <c r="J408" s="956">
        <v>45808</v>
      </c>
      <c r="K408" s="956">
        <v>45888</v>
      </c>
    </row>
    <row r="409" spans="1:11" s="957" customFormat="1">
      <c r="A409" s="965" t="s">
        <v>567</v>
      </c>
      <c r="B409" s="965" t="s">
        <v>513</v>
      </c>
      <c r="C409" s="967"/>
      <c r="D409" s="955">
        <v>123</v>
      </c>
      <c r="E409" s="956">
        <v>45723</v>
      </c>
      <c r="F409" s="956">
        <v>45845</v>
      </c>
      <c r="G409" s="955">
        <v>123</v>
      </c>
      <c r="H409" s="956">
        <v>45658</v>
      </c>
      <c r="I409" s="956"/>
      <c r="J409" s="956">
        <v>45793</v>
      </c>
      <c r="K409" s="956">
        <v>45915</v>
      </c>
    </row>
    <row r="410" spans="1:11" s="957" customFormat="1">
      <c r="A410" s="965" t="s">
        <v>17</v>
      </c>
      <c r="B410" s="965" t="s">
        <v>420</v>
      </c>
      <c r="C410" s="967"/>
      <c r="D410" s="955">
        <v>253</v>
      </c>
      <c r="E410" s="956">
        <v>45560</v>
      </c>
      <c r="F410" s="956">
        <v>45812</v>
      </c>
      <c r="G410" s="955">
        <v>323</v>
      </c>
      <c r="H410" s="956">
        <v>45560</v>
      </c>
      <c r="I410" s="956"/>
      <c r="J410" s="956">
        <v>45560</v>
      </c>
      <c r="K410" s="956">
        <v>45882</v>
      </c>
    </row>
    <row r="411" spans="1:11">
      <c r="A411" s="959"/>
      <c r="B411" s="959"/>
      <c r="C411" s="961" t="s">
        <v>421</v>
      </c>
      <c r="D411" s="962">
        <v>121</v>
      </c>
      <c r="E411" s="963">
        <v>45597</v>
      </c>
      <c r="F411" s="963">
        <v>45717</v>
      </c>
      <c r="G411" s="962">
        <v>191</v>
      </c>
      <c r="H411" s="963">
        <v>45597</v>
      </c>
      <c r="I411" s="963"/>
      <c r="J411" s="963">
        <v>45597</v>
      </c>
      <c r="K411" s="963">
        <v>45787</v>
      </c>
    </row>
    <row r="412" spans="1:11">
      <c r="A412" s="959"/>
      <c r="B412" s="959"/>
      <c r="C412" s="961" t="s">
        <v>422</v>
      </c>
      <c r="D412" s="962">
        <v>102</v>
      </c>
      <c r="E412" s="963">
        <v>45597</v>
      </c>
      <c r="F412" s="963">
        <v>45698</v>
      </c>
      <c r="G412" s="962">
        <v>172</v>
      </c>
      <c r="H412" s="963">
        <v>45597</v>
      </c>
      <c r="I412" s="963"/>
      <c r="J412" s="963">
        <v>45597</v>
      </c>
      <c r="K412" s="963">
        <v>45768</v>
      </c>
    </row>
    <row r="413" spans="1:11">
      <c r="A413" s="959"/>
      <c r="B413" s="959"/>
      <c r="C413" s="961" t="s">
        <v>423</v>
      </c>
      <c r="D413" s="962">
        <v>111</v>
      </c>
      <c r="E413" s="963">
        <v>45597</v>
      </c>
      <c r="F413" s="963">
        <v>45707</v>
      </c>
      <c r="G413" s="962">
        <v>181</v>
      </c>
      <c r="H413" s="963">
        <v>45597</v>
      </c>
      <c r="I413" s="963"/>
      <c r="J413" s="963">
        <v>45597</v>
      </c>
      <c r="K413" s="963">
        <v>45777</v>
      </c>
    </row>
    <row r="414" spans="1:11">
      <c r="A414" s="959"/>
      <c r="B414" s="959"/>
      <c r="C414" s="961" t="s">
        <v>424</v>
      </c>
      <c r="D414" s="962">
        <v>64</v>
      </c>
      <c r="E414" s="963">
        <v>45658</v>
      </c>
      <c r="F414" s="963">
        <v>45721</v>
      </c>
      <c r="G414" s="962">
        <v>134</v>
      </c>
      <c r="H414" s="963">
        <v>45658</v>
      </c>
      <c r="I414" s="963"/>
      <c r="J414" s="963">
        <v>45658</v>
      </c>
      <c r="K414" s="963">
        <v>45791</v>
      </c>
    </row>
    <row r="415" spans="1:11">
      <c r="A415" s="959"/>
      <c r="B415" s="959"/>
      <c r="C415" s="961" t="s">
        <v>425</v>
      </c>
      <c r="D415" s="962">
        <v>30</v>
      </c>
      <c r="E415" s="963">
        <v>45699</v>
      </c>
      <c r="F415" s="963">
        <v>45728</v>
      </c>
      <c r="G415" s="962">
        <v>30</v>
      </c>
      <c r="H415" s="963"/>
      <c r="I415" s="963"/>
      <c r="J415" s="963">
        <v>45769</v>
      </c>
      <c r="K415" s="963">
        <v>45798</v>
      </c>
    </row>
    <row r="416" spans="1:11">
      <c r="A416" s="959"/>
      <c r="B416" s="959"/>
      <c r="C416" s="961" t="s">
        <v>426</v>
      </c>
      <c r="D416" s="962">
        <v>60</v>
      </c>
      <c r="E416" s="963">
        <v>45658</v>
      </c>
      <c r="F416" s="963">
        <v>45717</v>
      </c>
      <c r="G416" s="962">
        <v>130</v>
      </c>
      <c r="H416" s="963">
        <v>45658</v>
      </c>
      <c r="I416" s="963"/>
      <c r="J416" s="963">
        <v>45658</v>
      </c>
      <c r="K416" s="963">
        <v>45787</v>
      </c>
    </row>
    <row r="417" spans="1:11">
      <c r="A417" s="959"/>
      <c r="B417" s="959"/>
      <c r="C417" s="961" t="s">
        <v>427</v>
      </c>
      <c r="D417" s="962">
        <v>120</v>
      </c>
      <c r="E417" s="963">
        <v>45588</v>
      </c>
      <c r="F417" s="963">
        <v>45707</v>
      </c>
      <c r="G417" s="962">
        <v>190</v>
      </c>
      <c r="H417" s="963">
        <v>45588</v>
      </c>
      <c r="I417" s="963"/>
      <c r="J417" s="963">
        <v>45588</v>
      </c>
      <c r="K417" s="963">
        <v>45777</v>
      </c>
    </row>
    <row r="418" spans="1:11">
      <c r="A418" s="959"/>
      <c r="B418" s="959"/>
      <c r="C418" s="961" t="s">
        <v>428</v>
      </c>
      <c r="D418" s="962">
        <v>119</v>
      </c>
      <c r="E418" s="963">
        <v>45589</v>
      </c>
      <c r="F418" s="963">
        <v>45707</v>
      </c>
      <c r="G418" s="962">
        <v>189</v>
      </c>
      <c r="H418" s="963">
        <v>45589</v>
      </c>
      <c r="I418" s="963"/>
      <c r="J418" s="963">
        <v>45589</v>
      </c>
      <c r="K418" s="963">
        <v>45777</v>
      </c>
    </row>
    <row r="419" spans="1:11">
      <c r="A419" s="959"/>
      <c r="B419" s="959"/>
      <c r="C419" s="961" t="s">
        <v>429</v>
      </c>
      <c r="D419" s="962">
        <v>129</v>
      </c>
      <c r="E419" s="963">
        <v>45589</v>
      </c>
      <c r="F419" s="963">
        <v>45717</v>
      </c>
      <c r="G419" s="962">
        <v>199</v>
      </c>
      <c r="H419" s="963">
        <v>45589</v>
      </c>
      <c r="I419" s="963"/>
      <c r="J419" s="963">
        <v>45589</v>
      </c>
      <c r="K419" s="963">
        <v>45787</v>
      </c>
    </row>
    <row r="420" spans="1:11">
      <c r="A420" s="959"/>
      <c r="B420" s="959"/>
      <c r="C420" s="961" t="s">
        <v>430</v>
      </c>
      <c r="D420" s="962">
        <v>129</v>
      </c>
      <c r="E420" s="963">
        <v>45589</v>
      </c>
      <c r="F420" s="963">
        <v>45717</v>
      </c>
      <c r="G420" s="962">
        <v>199</v>
      </c>
      <c r="H420" s="963">
        <v>45589</v>
      </c>
      <c r="I420" s="963"/>
      <c r="J420" s="963">
        <v>45589</v>
      </c>
      <c r="K420" s="963">
        <v>45787</v>
      </c>
    </row>
    <row r="421" spans="1:11">
      <c r="A421" s="959"/>
      <c r="B421" s="959"/>
      <c r="C421" s="961" t="s">
        <v>431</v>
      </c>
      <c r="D421" s="962">
        <v>40</v>
      </c>
      <c r="E421" s="963">
        <v>45699</v>
      </c>
      <c r="F421" s="963">
        <v>45738</v>
      </c>
      <c r="G421" s="962">
        <v>40</v>
      </c>
      <c r="H421" s="963"/>
      <c r="I421" s="963"/>
      <c r="J421" s="963">
        <v>45769</v>
      </c>
      <c r="K421" s="963">
        <v>45808</v>
      </c>
    </row>
    <row r="422" spans="1:11">
      <c r="A422" s="959"/>
      <c r="B422" s="959"/>
      <c r="C422" s="961" t="s">
        <v>104</v>
      </c>
      <c r="D422" s="962">
        <v>92</v>
      </c>
      <c r="E422" s="963">
        <v>45616</v>
      </c>
      <c r="F422" s="963">
        <v>45707</v>
      </c>
      <c r="G422" s="962">
        <v>162</v>
      </c>
      <c r="H422" s="963">
        <v>45616</v>
      </c>
      <c r="I422" s="963"/>
      <c r="J422" s="963">
        <v>45616</v>
      </c>
      <c r="K422" s="963">
        <v>45777</v>
      </c>
    </row>
    <row r="423" spans="1:11">
      <c r="A423" s="959"/>
      <c r="B423" s="959"/>
      <c r="C423" s="961" t="s">
        <v>432</v>
      </c>
      <c r="D423" s="962">
        <v>158</v>
      </c>
      <c r="E423" s="963">
        <v>45560</v>
      </c>
      <c r="F423" s="963">
        <v>45717</v>
      </c>
      <c r="G423" s="962">
        <v>228</v>
      </c>
      <c r="H423" s="963">
        <v>45560</v>
      </c>
      <c r="I423" s="963"/>
      <c r="J423" s="963">
        <v>45560</v>
      </c>
      <c r="K423" s="963">
        <v>45787</v>
      </c>
    </row>
    <row r="424" spans="1:11">
      <c r="A424" s="959"/>
      <c r="B424" s="959"/>
      <c r="C424" s="961" t="s">
        <v>433</v>
      </c>
      <c r="D424" s="962">
        <v>158</v>
      </c>
      <c r="E424" s="963">
        <v>45560</v>
      </c>
      <c r="F424" s="963">
        <v>45717</v>
      </c>
      <c r="G424" s="962">
        <v>228</v>
      </c>
      <c r="H424" s="963">
        <v>45560</v>
      </c>
      <c r="I424" s="963"/>
      <c r="J424" s="963">
        <v>45560</v>
      </c>
      <c r="K424" s="963">
        <v>45787</v>
      </c>
    </row>
    <row r="425" spans="1:11">
      <c r="A425" s="959"/>
      <c r="B425" s="959"/>
      <c r="C425" s="961" t="s">
        <v>434</v>
      </c>
      <c r="D425" s="962">
        <v>132</v>
      </c>
      <c r="E425" s="963">
        <v>45560</v>
      </c>
      <c r="F425" s="963">
        <v>45691</v>
      </c>
      <c r="G425" s="962">
        <v>202</v>
      </c>
      <c r="H425" s="963">
        <v>45560</v>
      </c>
      <c r="I425" s="963"/>
      <c r="J425" s="963">
        <v>45560</v>
      </c>
      <c r="K425" s="963">
        <v>45761</v>
      </c>
    </row>
    <row r="426" spans="1:11">
      <c r="A426" s="959"/>
      <c r="B426" s="959"/>
      <c r="C426" s="961" t="s">
        <v>435</v>
      </c>
      <c r="D426" s="962">
        <v>1</v>
      </c>
      <c r="E426" s="963"/>
      <c r="F426" s="963"/>
      <c r="G426" s="962">
        <v>1</v>
      </c>
      <c r="H426" s="963"/>
      <c r="I426" s="963"/>
      <c r="J426" s="963"/>
      <c r="K426" s="963"/>
    </row>
    <row r="427" spans="1:11">
      <c r="A427" s="959"/>
      <c r="B427" s="959"/>
      <c r="C427" s="961" t="s">
        <v>436</v>
      </c>
      <c r="D427" s="962">
        <v>30</v>
      </c>
      <c r="E427" s="963">
        <v>45678</v>
      </c>
      <c r="F427" s="963">
        <v>45707</v>
      </c>
      <c r="G427" s="962">
        <v>30</v>
      </c>
      <c r="H427" s="963"/>
      <c r="I427" s="963"/>
      <c r="J427" s="963">
        <v>45748</v>
      </c>
      <c r="K427" s="963">
        <v>45777</v>
      </c>
    </row>
    <row r="428" spans="1:11">
      <c r="A428" s="959"/>
      <c r="B428" s="959"/>
      <c r="C428" s="961" t="s">
        <v>437</v>
      </c>
      <c r="D428" s="962">
        <v>1</v>
      </c>
      <c r="E428" s="963"/>
      <c r="F428" s="963"/>
      <c r="G428" s="962">
        <v>1</v>
      </c>
      <c r="H428" s="963"/>
      <c r="I428" s="963"/>
      <c r="J428" s="963"/>
      <c r="K428" s="963"/>
    </row>
    <row r="429" spans="1:11">
      <c r="A429" s="959"/>
      <c r="B429" s="959"/>
      <c r="C429" s="961" t="s">
        <v>438</v>
      </c>
      <c r="D429" s="962">
        <v>15</v>
      </c>
      <c r="E429" s="963">
        <v>45658</v>
      </c>
      <c r="F429" s="963">
        <v>45672</v>
      </c>
      <c r="G429" s="962">
        <v>15</v>
      </c>
      <c r="H429" s="963">
        <v>45658</v>
      </c>
      <c r="I429" s="963">
        <v>45672</v>
      </c>
      <c r="J429" s="963">
        <v>45658</v>
      </c>
      <c r="K429" s="963">
        <v>45672</v>
      </c>
    </row>
    <row r="430" spans="1:11">
      <c r="A430" s="959"/>
      <c r="B430" s="959"/>
      <c r="C430" s="961" t="s">
        <v>439</v>
      </c>
      <c r="D430" s="962">
        <v>74</v>
      </c>
      <c r="E430" s="963">
        <v>45616</v>
      </c>
      <c r="F430" s="963">
        <v>45689</v>
      </c>
      <c r="G430" s="962">
        <v>144</v>
      </c>
      <c r="H430" s="963">
        <v>45616</v>
      </c>
      <c r="I430" s="963"/>
      <c r="J430" s="963">
        <v>45616</v>
      </c>
      <c r="K430" s="963">
        <v>45759</v>
      </c>
    </row>
    <row r="431" spans="1:11">
      <c r="A431" s="959"/>
      <c r="B431" s="959"/>
      <c r="C431" s="961" t="s">
        <v>440</v>
      </c>
      <c r="D431" s="962">
        <v>30</v>
      </c>
      <c r="E431" s="963">
        <v>45678</v>
      </c>
      <c r="F431" s="963">
        <v>45707</v>
      </c>
      <c r="G431" s="962">
        <v>30</v>
      </c>
      <c r="H431" s="963"/>
      <c r="I431" s="963"/>
      <c r="J431" s="963">
        <v>45748</v>
      </c>
      <c r="K431" s="963">
        <v>45777</v>
      </c>
    </row>
    <row r="432" spans="1:11">
      <c r="A432" s="959"/>
      <c r="B432" s="959"/>
      <c r="C432" s="961" t="s">
        <v>441</v>
      </c>
      <c r="D432" s="962">
        <v>45</v>
      </c>
      <c r="E432" s="963">
        <v>45768</v>
      </c>
      <c r="F432" s="963">
        <v>45812</v>
      </c>
      <c r="G432" s="962">
        <v>45</v>
      </c>
      <c r="H432" s="963"/>
      <c r="I432" s="963"/>
      <c r="J432" s="963">
        <v>45838</v>
      </c>
      <c r="K432" s="963">
        <v>45882</v>
      </c>
    </row>
    <row r="433" spans="1:11">
      <c r="A433" s="959"/>
      <c r="B433" s="959"/>
      <c r="C433" s="961" t="s">
        <v>442</v>
      </c>
      <c r="D433" s="962">
        <v>30</v>
      </c>
      <c r="E433" s="963">
        <v>45678</v>
      </c>
      <c r="F433" s="963">
        <v>45707</v>
      </c>
      <c r="G433" s="962">
        <v>30</v>
      </c>
      <c r="H433" s="963"/>
      <c r="I433" s="963"/>
      <c r="J433" s="963">
        <v>45748</v>
      </c>
      <c r="K433" s="963">
        <v>45777</v>
      </c>
    </row>
    <row r="434" spans="1:11">
      <c r="A434" s="959"/>
      <c r="B434" s="959"/>
      <c r="C434" s="961" t="s">
        <v>443</v>
      </c>
      <c r="D434" s="962">
        <v>45</v>
      </c>
      <c r="E434" s="963">
        <v>45768</v>
      </c>
      <c r="F434" s="963">
        <v>45812</v>
      </c>
      <c r="G434" s="962">
        <v>45</v>
      </c>
      <c r="H434" s="963"/>
      <c r="I434" s="963"/>
      <c r="J434" s="963">
        <v>45838</v>
      </c>
      <c r="K434" s="963">
        <v>45882</v>
      </c>
    </row>
    <row r="435" spans="1:11">
      <c r="A435" s="959"/>
      <c r="B435" s="959"/>
      <c r="C435" s="961" t="s">
        <v>444</v>
      </c>
      <c r="D435" s="962">
        <v>15</v>
      </c>
      <c r="E435" s="963">
        <v>45658</v>
      </c>
      <c r="F435" s="963">
        <v>45672</v>
      </c>
      <c r="G435" s="962">
        <v>15</v>
      </c>
      <c r="H435" s="963">
        <v>45658</v>
      </c>
      <c r="I435" s="963">
        <v>45672</v>
      </c>
      <c r="J435" s="963">
        <v>45658</v>
      </c>
      <c r="K435" s="963">
        <v>45672</v>
      </c>
    </row>
    <row r="436" spans="1:11">
      <c r="A436" s="959"/>
      <c r="B436" s="959"/>
      <c r="C436" s="961" t="s">
        <v>445</v>
      </c>
      <c r="D436" s="962">
        <v>45</v>
      </c>
      <c r="E436" s="963">
        <v>45768</v>
      </c>
      <c r="F436" s="963">
        <v>45812</v>
      </c>
      <c r="G436" s="962">
        <v>45</v>
      </c>
      <c r="H436" s="963"/>
      <c r="I436" s="963"/>
      <c r="J436" s="963">
        <v>45838</v>
      </c>
      <c r="K436" s="963">
        <v>45882</v>
      </c>
    </row>
    <row r="437" spans="1:11">
      <c r="A437" s="959"/>
      <c r="B437" s="959"/>
      <c r="C437" s="961" t="s">
        <v>446</v>
      </c>
      <c r="D437" s="962">
        <v>13</v>
      </c>
      <c r="E437" s="963">
        <v>45659</v>
      </c>
      <c r="F437" s="963">
        <v>45671</v>
      </c>
      <c r="G437" s="962">
        <v>13</v>
      </c>
      <c r="H437" s="963">
        <v>45659</v>
      </c>
      <c r="I437" s="963">
        <v>45671</v>
      </c>
      <c r="J437" s="963">
        <v>45659</v>
      </c>
      <c r="K437" s="963">
        <v>45671</v>
      </c>
    </row>
    <row r="438" spans="1:11">
      <c r="A438" s="959"/>
      <c r="B438" s="959"/>
      <c r="C438" s="961" t="s">
        <v>447</v>
      </c>
      <c r="D438" s="962">
        <v>30</v>
      </c>
      <c r="E438" s="963">
        <v>45628</v>
      </c>
      <c r="F438" s="963">
        <v>45657</v>
      </c>
      <c r="G438" s="962">
        <v>30</v>
      </c>
      <c r="H438" s="963">
        <v>45628</v>
      </c>
      <c r="I438" s="963">
        <v>45657</v>
      </c>
      <c r="J438" s="963">
        <v>45628</v>
      </c>
      <c r="K438" s="963">
        <v>45657</v>
      </c>
    </row>
    <row r="439" spans="1:11">
      <c r="A439" s="959"/>
      <c r="B439" s="959"/>
      <c r="C439" s="961" t="s">
        <v>448</v>
      </c>
      <c r="D439" s="962">
        <v>30</v>
      </c>
      <c r="E439" s="963">
        <v>45628</v>
      </c>
      <c r="F439" s="963">
        <v>45657</v>
      </c>
      <c r="G439" s="962">
        <v>30</v>
      </c>
      <c r="H439" s="963">
        <v>45628</v>
      </c>
      <c r="I439" s="963">
        <v>45657</v>
      </c>
      <c r="J439" s="963">
        <v>45628</v>
      </c>
      <c r="K439" s="963">
        <v>45657</v>
      </c>
    </row>
    <row r="440" spans="1:11">
      <c r="A440" s="959"/>
      <c r="B440" s="959"/>
      <c r="C440" s="961" t="s">
        <v>449</v>
      </c>
      <c r="D440" s="962">
        <v>30</v>
      </c>
      <c r="E440" s="963">
        <v>45692</v>
      </c>
      <c r="F440" s="963">
        <v>45721</v>
      </c>
      <c r="G440" s="962">
        <v>30</v>
      </c>
      <c r="H440" s="963"/>
      <c r="I440" s="963"/>
      <c r="J440" s="963">
        <v>45762</v>
      </c>
      <c r="K440" s="963">
        <v>45791</v>
      </c>
    </row>
    <row r="441" spans="1:11">
      <c r="A441" s="959"/>
      <c r="B441" s="959"/>
      <c r="C441" s="961" t="s">
        <v>450</v>
      </c>
      <c r="D441" s="962">
        <v>15</v>
      </c>
      <c r="E441" s="963">
        <v>45743</v>
      </c>
      <c r="F441" s="963">
        <v>45757</v>
      </c>
      <c r="G441" s="962">
        <v>15</v>
      </c>
      <c r="H441" s="963"/>
      <c r="I441" s="963"/>
      <c r="J441" s="963">
        <v>45813</v>
      </c>
      <c r="K441" s="963">
        <v>45827</v>
      </c>
    </row>
    <row r="442" spans="1:11">
      <c r="A442" s="959"/>
      <c r="B442" s="959"/>
      <c r="C442" s="961" t="s">
        <v>451</v>
      </c>
      <c r="D442" s="962">
        <v>30</v>
      </c>
      <c r="E442" s="963">
        <v>45738</v>
      </c>
      <c r="F442" s="963">
        <v>45767</v>
      </c>
      <c r="G442" s="962">
        <v>30</v>
      </c>
      <c r="H442" s="963"/>
      <c r="I442" s="963"/>
      <c r="J442" s="963">
        <v>45808</v>
      </c>
      <c r="K442" s="963">
        <v>45837</v>
      </c>
    </row>
    <row r="443" spans="1:11">
      <c r="A443" s="959"/>
      <c r="B443" s="959"/>
      <c r="C443" s="961" t="s">
        <v>452</v>
      </c>
      <c r="D443" s="962">
        <v>72</v>
      </c>
      <c r="E443" s="963">
        <v>45616</v>
      </c>
      <c r="F443" s="963">
        <v>45687</v>
      </c>
      <c r="G443" s="962">
        <v>142</v>
      </c>
      <c r="H443" s="963">
        <v>45616</v>
      </c>
      <c r="I443" s="963"/>
      <c r="J443" s="963">
        <v>45616</v>
      </c>
      <c r="K443" s="963">
        <v>45757</v>
      </c>
    </row>
    <row r="444" spans="1:11">
      <c r="A444" s="959"/>
      <c r="B444" s="959"/>
      <c r="C444" s="961" t="s">
        <v>453</v>
      </c>
      <c r="D444" s="962">
        <v>97</v>
      </c>
      <c r="E444" s="963">
        <v>45595</v>
      </c>
      <c r="F444" s="963">
        <v>45691</v>
      </c>
      <c r="G444" s="962">
        <v>167</v>
      </c>
      <c r="H444" s="963">
        <v>45595</v>
      </c>
      <c r="I444" s="963"/>
      <c r="J444" s="963">
        <v>45595</v>
      </c>
      <c r="K444" s="963">
        <v>45761</v>
      </c>
    </row>
    <row r="445" spans="1:11">
      <c r="A445" s="959"/>
      <c r="B445" s="959"/>
      <c r="C445" s="961" t="s">
        <v>454</v>
      </c>
      <c r="D445" s="962">
        <v>92</v>
      </c>
      <c r="E445" s="963">
        <v>45616</v>
      </c>
      <c r="F445" s="963">
        <v>45707</v>
      </c>
      <c r="G445" s="962">
        <v>162</v>
      </c>
      <c r="H445" s="963">
        <v>45616</v>
      </c>
      <c r="I445" s="963"/>
      <c r="J445" s="963">
        <v>45616</v>
      </c>
      <c r="K445" s="963">
        <v>45777</v>
      </c>
    </row>
    <row r="446" spans="1:11">
      <c r="A446" s="959"/>
      <c r="B446" s="959"/>
      <c r="C446" s="961" t="s">
        <v>455</v>
      </c>
      <c r="D446" s="962">
        <v>30</v>
      </c>
      <c r="E446" s="963">
        <v>45741</v>
      </c>
      <c r="F446" s="963">
        <v>45770</v>
      </c>
      <c r="G446" s="962">
        <v>30</v>
      </c>
      <c r="H446" s="963"/>
      <c r="I446" s="963"/>
      <c r="J446" s="963">
        <v>45811</v>
      </c>
      <c r="K446" s="963">
        <v>45840</v>
      </c>
    </row>
    <row r="447" spans="1:11">
      <c r="A447" s="959"/>
      <c r="B447" s="959"/>
      <c r="C447" s="961" t="s">
        <v>456</v>
      </c>
      <c r="D447" s="962">
        <v>30</v>
      </c>
      <c r="E447" s="963">
        <v>45708</v>
      </c>
      <c r="F447" s="963">
        <v>45737</v>
      </c>
      <c r="G447" s="962">
        <v>30</v>
      </c>
      <c r="H447" s="963"/>
      <c r="I447" s="963"/>
      <c r="J447" s="963">
        <v>45778</v>
      </c>
      <c r="K447" s="963">
        <v>45807</v>
      </c>
    </row>
    <row r="448" spans="1:11">
      <c r="A448" s="959"/>
      <c r="B448" s="959"/>
      <c r="C448" s="961" t="s">
        <v>457</v>
      </c>
      <c r="D448" s="962">
        <v>30</v>
      </c>
      <c r="E448" s="963">
        <v>45708</v>
      </c>
      <c r="F448" s="963">
        <v>45737</v>
      </c>
      <c r="G448" s="962">
        <v>30</v>
      </c>
      <c r="H448" s="963"/>
      <c r="I448" s="963"/>
      <c r="J448" s="963">
        <v>45778</v>
      </c>
      <c r="K448" s="963">
        <v>45807</v>
      </c>
    </row>
    <row r="449" spans="1:11">
      <c r="A449" s="959"/>
      <c r="B449" s="959"/>
      <c r="C449" s="961" t="s">
        <v>458</v>
      </c>
      <c r="D449" s="962">
        <v>30</v>
      </c>
      <c r="E449" s="963">
        <v>45708</v>
      </c>
      <c r="F449" s="963">
        <v>45737</v>
      </c>
      <c r="G449" s="962">
        <v>30</v>
      </c>
      <c r="H449" s="963"/>
      <c r="I449" s="963"/>
      <c r="J449" s="963">
        <v>45778</v>
      </c>
      <c r="K449" s="963">
        <v>45807</v>
      </c>
    </row>
    <row r="450" spans="1:11">
      <c r="A450" s="959"/>
      <c r="B450" s="959"/>
      <c r="C450" s="961" t="s">
        <v>459</v>
      </c>
      <c r="D450" s="962">
        <v>31</v>
      </c>
      <c r="E450" s="963">
        <v>45627</v>
      </c>
      <c r="F450" s="963">
        <v>45657</v>
      </c>
      <c r="G450" s="962">
        <v>31</v>
      </c>
      <c r="H450" s="963">
        <v>45627</v>
      </c>
      <c r="I450" s="963">
        <v>45657</v>
      </c>
      <c r="J450" s="963">
        <v>45627</v>
      </c>
      <c r="K450" s="963">
        <v>45657</v>
      </c>
    </row>
    <row r="451" spans="1:11">
      <c r="A451" s="959"/>
      <c r="B451" s="959"/>
      <c r="C451" s="961" t="s">
        <v>460</v>
      </c>
      <c r="D451" s="962">
        <v>123</v>
      </c>
      <c r="E451" s="963">
        <v>45595</v>
      </c>
      <c r="F451" s="963">
        <v>45717</v>
      </c>
      <c r="G451" s="962">
        <v>193</v>
      </c>
      <c r="H451" s="963">
        <v>45595</v>
      </c>
      <c r="I451" s="963"/>
      <c r="J451" s="963">
        <v>45595</v>
      </c>
      <c r="K451" s="963">
        <v>45787</v>
      </c>
    </row>
    <row r="452" spans="1:11">
      <c r="A452" s="959"/>
      <c r="B452" s="959"/>
      <c r="C452" s="961" t="s">
        <v>461</v>
      </c>
      <c r="D452" s="962">
        <v>123</v>
      </c>
      <c r="E452" s="963">
        <v>45595</v>
      </c>
      <c r="F452" s="963">
        <v>45717</v>
      </c>
      <c r="G452" s="962">
        <v>193</v>
      </c>
      <c r="H452" s="963">
        <v>45595</v>
      </c>
      <c r="I452" s="963"/>
      <c r="J452" s="963">
        <v>45595</v>
      </c>
      <c r="K452" s="963">
        <v>45787</v>
      </c>
    </row>
    <row r="453" spans="1:11">
      <c r="A453" s="959"/>
      <c r="B453" s="959"/>
      <c r="C453" s="961" t="s">
        <v>462</v>
      </c>
      <c r="D453" s="962">
        <v>123</v>
      </c>
      <c r="E453" s="963">
        <v>45595</v>
      </c>
      <c r="F453" s="963">
        <v>45717</v>
      </c>
      <c r="G453" s="962">
        <v>193</v>
      </c>
      <c r="H453" s="963">
        <v>45595</v>
      </c>
      <c r="I453" s="963"/>
      <c r="J453" s="963">
        <v>45595</v>
      </c>
      <c r="K453" s="963">
        <v>45787</v>
      </c>
    </row>
    <row r="454" spans="1:11">
      <c r="A454" s="959"/>
      <c r="B454" s="959"/>
      <c r="C454" s="961" t="s">
        <v>463</v>
      </c>
      <c r="D454" s="962">
        <v>40</v>
      </c>
      <c r="E454" s="963">
        <v>45708</v>
      </c>
      <c r="F454" s="963">
        <v>45747</v>
      </c>
      <c r="G454" s="962">
        <v>40</v>
      </c>
      <c r="H454" s="963"/>
      <c r="I454" s="963"/>
      <c r="J454" s="963">
        <v>45778</v>
      </c>
      <c r="K454" s="963">
        <v>45817</v>
      </c>
    </row>
    <row r="455" spans="1:11">
      <c r="A455" s="959"/>
      <c r="B455" s="959"/>
      <c r="C455" s="961" t="s">
        <v>464</v>
      </c>
      <c r="D455" s="962">
        <v>40</v>
      </c>
      <c r="E455" s="963">
        <v>45688</v>
      </c>
      <c r="F455" s="963">
        <v>45727</v>
      </c>
      <c r="G455" s="962">
        <v>40</v>
      </c>
      <c r="H455" s="963"/>
      <c r="I455" s="963"/>
      <c r="J455" s="963">
        <v>45758</v>
      </c>
      <c r="K455" s="963">
        <v>45797</v>
      </c>
    </row>
    <row r="456" spans="1:11">
      <c r="A456" s="959"/>
      <c r="B456" s="959"/>
      <c r="C456" s="961" t="s">
        <v>465</v>
      </c>
      <c r="D456" s="962">
        <v>1</v>
      </c>
      <c r="E456" s="963"/>
      <c r="F456" s="963"/>
      <c r="G456" s="962">
        <v>1</v>
      </c>
      <c r="H456" s="963"/>
      <c r="I456" s="963"/>
      <c r="J456" s="963"/>
      <c r="K456" s="963"/>
    </row>
    <row r="457" spans="1:11">
      <c r="A457" s="959"/>
      <c r="B457" s="959"/>
      <c r="C457" s="961" t="s">
        <v>466</v>
      </c>
      <c r="D457" s="962">
        <v>40</v>
      </c>
      <c r="E457" s="963">
        <v>45718</v>
      </c>
      <c r="F457" s="963">
        <v>45757</v>
      </c>
      <c r="G457" s="962">
        <v>40</v>
      </c>
      <c r="H457" s="963"/>
      <c r="I457" s="963"/>
      <c r="J457" s="963">
        <v>45788</v>
      </c>
      <c r="K457" s="963">
        <v>45827</v>
      </c>
    </row>
    <row r="458" spans="1:11" ht="31">
      <c r="A458" s="959"/>
      <c r="B458" s="959"/>
      <c r="C458" s="961" t="s">
        <v>467</v>
      </c>
      <c r="D458" s="962">
        <v>30</v>
      </c>
      <c r="E458" s="963">
        <v>45738</v>
      </c>
      <c r="F458" s="963">
        <v>45767</v>
      </c>
      <c r="G458" s="962">
        <v>30</v>
      </c>
      <c r="H458" s="963"/>
      <c r="I458" s="963"/>
      <c r="J458" s="963">
        <v>45808</v>
      </c>
      <c r="K458" s="963">
        <v>45837</v>
      </c>
    </row>
    <row r="459" spans="1:11" ht="31">
      <c r="A459" s="959"/>
      <c r="B459" s="959"/>
      <c r="C459" s="961" t="s">
        <v>468</v>
      </c>
      <c r="D459" s="962">
        <v>62</v>
      </c>
      <c r="E459" s="963">
        <v>45627</v>
      </c>
      <c r="F459" s="963">
        <v>45688</v>
      </c>
      <c r="G459" s="962">
        <v>62</v>
      </c>
      <c r="H459" s="963">
        <v>45627</v>
      </c>
      <c r="I459" s="963">
        <v>45688</v>
      </c>
      <c r="J459" s="963">
        <v>45627</v>
      </c>
      <c r="K459" s="963">
        <v>45688</v>
      </c>
    </row>
    <row r="460" spans="1:11">
      <c r="A460" s="959"/>
      <c r="B460" s="959"/>
      <c r="C460" s="961" t="s">
        <v>469</v>
      </c>
      <c r="D460" s="962">
        <v>113</v>
      </c>
      <c r="E460" s="963">
        <v>45595</v>
      </c>
      <c r="F460" s="963">
        <v>45707</v>
      </c>
      <c r="G460" s="962">
        <v>183</v>
      </c>
      <c r="H460" s="963">
        <v>45595</v>
      </c>
      <c r="I460" s="963"/>
      <c r="J460" s="963">
        <v>45595</v>
      </c>
      <c r="K460" s="963">
        <v>45777</v>
      </c>
    </row>
    <row r="461" spans="1:11">
      <c r="A461" s="959"/>
      <c r="B461" s="959"/>
      <c r="C461" s="961" t="s">
        <v>470</v>
      </c>
      <c r="D461" s="962">
        <v>113</v>
      </c>
      <c r="E461" s="963">
        <v>45595</v>
      </c>
      <c r="F461" s="963">
        <v>45707</v>
      </c>
      <c r="G461" s="962">
        <v>183</v>
      </c>
      <c r="H461" s="963">
        <v>45595</v>
      </c>
      <c r="I461" s="963"/>
      <c r="J461" s="963">
        <v>45595</v>
      </c>
      <c r="K461" s="963">
        <v>45777</v>
      </c>
    </row>
    <row r="462" spans="1:11">
      <c r="A462" s="959"/>
      <c r="B462" s="959"/>
      <c r="C462" s="961" t="s">
        <v>471</v>
      </c>
      <c r="D462" s="962">
        <v>60</v>
      </c>
      <c r="E462" s="963">
        <v>45658</v>
      </c>
      <c r="F462" s="963">
        <v>45717</v>
      </c>
      <c r="G462" s="962">
        <v>130</v>
      </c>
      <c r="H462" s="963">
        <v>45658</v>
      </c>
      <c r="I462" s="963"/>
      <c r="J462" s="963">
        <v>45658</v>
      </c>
      <c r="K462" s="963">
        <v>45787</v>
      </c>
    </row>
    <row r="463" spans="1:11">
      <c r="A463" s="959"/>
      <c r="B463" s="959"/>
      <c r="C463" s="961" t="s">
        <v>472</v>
      </c>
      <c r="D463" s="962">
        <v>60</v>
      </c>
      <c r="E463" s="963">
        <v>45658</v>
      </c>
      <c r="F463" s="963">
        <v>45717</v>
      </c>
      <c r="G463" s="962">
        <v>130</v>
      </c>
      <c r="H463" s="963">
        <v>45658</v>
      </c>
      <c r="I463" s="963"/>
      <c r="J463" s="963">
        <v>45658</v>
      </c>
      <c r="K463" s="963">
        <v>45787</v>
      </c>
    </row>
    <row r="464" spans="1:11">
      <c r="A464" s="959"/>
      <c r="B464" s="959"/>
      <c r="C464" s="961" t="s">
        <v>473</v>
      </c>
      <c r="D464" s="962">
        <v>118</v>
      </c>
      <c r="E464" s="963">
        <v>45595</v>
      </c>
      <c r="F464" s="963">
        <v>45712</v>
      </c>
      <c r="G464" s="962">
        <v>188</v>
      </c>
      <c r="H464" s="963">
        <v>45595</v>
      </c>
      <c r="I464" s="963"/>
      <c r="J464" s="963">
        <v>45595</v>
      </c>
      <c r="K464" s="963">
        <v>45782</v>
      </c>
    </row>
    <row r="465" spans="1:11">
      <c r="A465" s="959"/>
      <c r="B465" s="959"/>
      <c r="C465" s="961" t="s">
        <v>474</v>
      </c>
      <c r="D465" s="962">
        <v>72</v>
      </c>
      <c r="E465" s="963">
        <v>45616</v>
      </c>
      <c r="F465" s="963">
        <v>45687</v>
      </c>
      <c r="G465" s="962">
        <v>142</v>
      </c>
      <c r="H465" s="963">
        <v>45616</v>
      </c>
      <c r="I465" s="963"/>
      <c r="J465" s="963">
        <v>45616</v>
      </c>
      <c r="K465" s="963">
        <v>45757</v>
      </c>
    </row>
    <row r="466" spans="1:11">
      <c r="A466" s="959"/>
      <c r="B466" s="959"/>
      <c r="C466" s="961" t="s">
        <v>475</v>
      </c>
      <c r="D466" s="962">
        <v>113</v>
      </c>
      <c r="E466" s="963">
        <v>45595</v>
      </c>
      <c r="F466" s="963">
        <v>45707</v>
      </c>
      <c r="G466" s="962">
        <v>183</v>
      </c>
      <c r="H466" s="963">
        <v>45595</v>
      </c>
      <c r="I466" s="963"/>
      <c r="J466" s="963">
        <v>45595</v>
      </c>
      <c r="K466" s="963">
        <v>45777</v>
      </c>
    </row>
    <row r="467" spans="1:11">
      <c r="A467" s="959"/>
      <c r="B467" s="959"/>
      <c r="C467" s="961" t="s">
        <v>476</v>
      </c>
      <c r="D467" s="962">
        <v>113</v>
      </c>
      <c r="E467" s="963">
        <v>45595</v>
      </c>
      <c r="F467" s="963">
        <v>45707</v>
      </c>
      <c r="G467" s="962">
        <v>183</v>
      </c>
      <c r="H467" s="963">
        <v>45595</v>
      </c>
      <c r="I467" s="963"/>
      <c r="J467" s="963">
        <v>45595</v>
      </c>
      <c r="K467" s="963">
        <v>45777</v>
      </c>
    </row>
    <row r="468" spans="1:11">
      <c r="A468" s="959"/>
      <c r="B468" s="959"/>
      <c r="C468" s="961" t="s">
        <v>477</v>
      </c>
      <c r="D468" s="962">
        <v>113</v>
      </c>
      <c r="E468" s="963">
        <v>45595</v>
      </c>
      <c r="F468" s="963">
        <v>45707</v>
      </c>
      <c r="G468" s="962">
        <v>183</v>
      </c>
      <c r="H468" s="963">
        <v>45595</v>
      </c>
      <c r="I468" s="963"/>
      <c r="J468" s="963">
        <v>45595</v>
      </c>
      <c r="K468" s="963">
        <v>45777</v>
      </c>
    </row>
    <row r="469" spans="1:11">
      <c r="A469" s="959"/>
      <c r="B469" s="959"/>
      <c r="C469" s="961" t="s">
        <v>478</v>
      </c>
      <c r="D469" s="962">
        <v>1</v>
      </c>
      <c r="E469" s="963"/>
      <c r="F469" s="963"/>
      <c r="G469" s="962">
        <v>1</v>
      </c>
      <c r="H469" s="963"/>
      <c r="I469" s="963"/>
      <c r="J469" s="963"/>
      <c r="K469" s="963"/>
    </row>
    <row r="470" spans="1:11" s="957" customFormat="1">
      <c r="A470" s="965" t="s">
        <v>17</v>
      </c>
      <c r="B470" s="965" t="s">
        <v>479</v>
      </c>
      <c r="C470" s="967"/>
      <c r="D470" s="955">
        <v>200</v>
      </c>
      <c r="E470" s="956">
        <v>45658</v>
      </c>
      <c r="F470" s="956">
        <v>45857</v>
      </c>
      <c r="G470" s="955">
        <v>270</v>
      </c>
      <c r="H470" s="956">
        <v>45658</v>
      </c>
      <c r="I470" s="956"/>
      <c r="J470" s="956">
        <v>45658</v>
      </c>
      <c r="K470" s="956">
        <v>45927</v>
      </c>
    </row>
    <row r="471" spans="1:11">
      <c r="A471" s="959"/>
      <c r="B471" s="959"/>
      <c r="C471" s="961" t="s">
        <v>480</v>
      </c>
      <c r="D471" s="962">
        <v>50</v>
      </c>
      <c r="E471" s="963">
        <v>45658</v>
      </c>
      <c r="F471" s="963">
        <v>45707</v>
      </c>
      <c r="G471" s="962">
        <v>140</v>
      </c>
      <c r="H471" s="963">
        <v>45658</v>
      </c>
      <c r="I471" s="963"/>
      <c r="J471" s="963">
        <v>45658</v>
      </c>
      <c r="K471" s="963">
        <v>45797</v>
      </c>
    </row>
    <row r="472" spans="1:11">
      <c r="A472" s="959"/>
      <c r="B472" s="959"/>
      <c r="C472" s="961" t="s">
        <v>481</v>
      </c>
      <c r="D472" s="962">
        <v>1</v>
      </c>
      <c r="E472" s="963">
        <v>45727</v>
      </c>
      <c r="F472" s="963">
        <v>45727</v>
      </c>
      <c r="G472" s="962">
        <v>1</v>
      </c>
      <c r="H472" s="963"/>
      <c r="I472" s="963"/>
      <c r="J472" s="963">
        <v>45797</v>
      </c>
      <c r="K472" s="963">
        <v>45797</v>
      </c>
    </row>
    <row r="473" spans="1:11">
      <c r="A473" s="959"/>
      <c r="B473" s="959"/>
      <c r="C473" s="961" t="s">
        <v>482</v>
      </c>
      <c r="D473" s="962">
        <v>1</v>
      </c>
      <c r="E473" s="963"/>
      <c r="F473" s="963"/>
      <c r="G473" s="962">
        <v>1</v>
      </c>
      <c r="H473" s="963"/>
      <c r="I473" s="963"/>
      <c r="J473" s="963"/>
      <c r="K473" s="963"/>
    </row>
    <row r="474" spans="1:11">
      <c r="A474" s="959"/>
      <c r="B474" s="959"/>
      <c r="C474" s="961" t="s">
        <v>483</v>
      </c>
      <c r="D474" s="962">
        <v>45</v>
      </c>
      <c r="E474" s="963">
        <v>45753</v>
      </c>
      <c r="F474" s="963">
        <v>45797</v>
      </c>
      <c r="G474" s="962">
        <v>45</v>
      </c>
      <c r="H474" s="963"/>
      <c r="I474" s="963"/>
      <c r="J474" s="963">
        <v>45823</v>
      </c>
      <c r="K474" s="963">
        <v>45867</v>
      </c>
    </row>
    <row r="475" spans="1:11">
      <c r="A475" s="959"/>
      <c r="B475" s="959"/>
      <c r="C475" s="961" t="s">
        <v>484</v>
      </c>
      <c r="D475" s="962">
        <v>1</v>
      </c>
      <c r="E475" s="963"/>
      <c r="F475" s="963"/>
      <c r="G475" s="962">
        <v>1</v>
      </c>
      <c r="H475" s="963"/>
      <c r="I475" s="963"/>
      <c r="J475" s="963"/>
      <c r="K475" s="963"/>
    </row>
    <row r="476" spans="1:11">
      <c r="A476" s="959"/>
      <c r="B476" s="959"/>
      <c r="C476" s="961" t="s">
        <v>485</v>
      </c>
      <c r="D476" s="962">
        <v>30</v>
      </c>
      <c r="E476" s="963">
        <v>45708</v>
      </c>
      <c r="F476" s="963">
        <v>45737</v>
      </c>
      <c r="G476" s="962">
        <v>30</v>
      </c>
      <c r="H476" s="963"/>
      <c r="I476" s="963"/>
      <c r="J476" s="963">
        <v>45778</v>
      </c>
      <c r="K476" s="963">
        <v>45807</v>
      </c>
    </row>
    <row r="477" spans="1:11">
      <c r="A477" s="959"/>
      <c r="B477" s="959"/>
      <c r="C477" s="961" t="s">
        <v>486</v>
      </c>
      <c r="D477" s="962">
        <v>40</v>
      </c>
      <c r="E477" s="963">
        <v>45689</v>
      </c>
      <c r="F477" s="963">
        <v>45728</v>
      </c>
      <c r="G477" s="962">
        <v>40</v>
      </c>
      <c r="H477" s="963"/>
      <c r="I477" s="963"/>
      <c r="J477" s="963">
        <v>45759</v>
      </c>
      <c r="K477" s="963">
        <v>45798</v>
      </c>
    </row>
    <row r="478" spans="1:11">
      <c r="A478" s="959"/>
      <c r="B478" s="959"/>
      <c r="C478" s="961" t="s">
        <v>487</v>
      </c>
      <c r="D478" s="962">
        <v>44</v>
      </c>
      <c r="E478" s="963">
        <v>45693</v>
      </c>
      <c r="F478" s="963">
        <v>45736</v>
      </c>
      <c r="G478" s="962">
        <v>44</v>
      </c>
      <c r="H478" s="963"/>
      <c r="I478" s="963"/>
      <c r="J478" s="963">
        <v>45763</v>
      </c>
      <c r="K478" s="963">
        <v>45806</v>
      </c>
    </row>
    <row r="479" spans="1:11">
      <c r="A479" s="959"/>
      <c r="B479" s="959"/>
      <c r="C479" s="961" t="s">
        <v>488</v>
      </c>
      <c r="D479" s="962">
        <v>44</v>
      </c>
      <c r="E479" s="963">
        <v>45698</v>
      </c>
      <c r="F479" s="963">
        <v>45741</v>
      </c>
      <c r="G479" s="962">
        <v>44</v>
      </c>
      <c r="H479" s="963"/>
      <c r="I479" s="963"/>
      <c r="J479" s="963">
        <v>45768</v>
      </c>
      <c r="K479" s="963">
        <v>45811</v>
      </c>
    </row>
    <row r="480" spans="1:11">
      <c r="A480" s="959"/>
      <c r="B480" s="959"/>
      <c r="C480" s="961" t="s">
        <v>489</v>
      </c>
      <c r="D480" s="962">
        <v>44</v>
      </c>
      <c r="E480" s="963">
        <v>45708</v>
      </c>
      <c r="F480" s="963">
        <v>45751</v>
      </c>
      <c r="G480" s="962">
        <v>44</v>
      </c>
      <c r="H480" s="963"/>
      <c r="I480" s="963"/>
      <c r="J480" s="963">
        <v>45778</v>
      </c>
      <c r="K480" s="963">
        <v>45821</v>
      </c>
    </row>
    <row r="481" spans="1:11">
      <c r="A481" s="959"/>
      <c r="B481" s="959"/>
      <c r="C481" s="961" t="s">
        <v>490</v>
      </c>
      <c r="D481" s="962">
        <v>44</v>
      </c>
      <c r="E481" s="963">
        <v>45693</v>
      </c>
      <c r="F481" s="963">
        <v>45736</v>
      </c>
      <c r="G481" s="962">
        <v>44</v>
      </c>
      <c r="H481" s="963"/>
      <c r="I481" s="963"/>
      <c r="J481" s="963">
        <v>45763</v>
      </c>
      <c r="K481" s="963">
        <v>45806</v>
      </c>
    </row>
    <row r="482" spans="1:11">
      <c r="A482" s="959"/>
      <c r="B482" s="959"/>
      <c r="C482" s="961" t="s">
        <v>442</v>
      </c>
      <c r="D482" s="962">
        <v>44</v>
      </c>
      <c r="E482" s="963">
        <v>45766</v>
      </c>
      <c r="F482" s="963">
        <v>45809</v>
      </c>
      <c r="G482" s="962">
        <v>44</v>
      </c>
      <c r="H482" s="963"/>
      <c r="I482" s="963"/>
      <c r="J482" s="963">
        <v>45836</v>
      </c>
      <c r="K482" s="963">
        <v>45879</v>
      </c>
    </row>
    <row r="483" spans="1:11">
      <c r="A483" s="959"/>
      <c r="B483" s="959"/>
      <c r="C483" s="961" t="s">
        <v>491</v>
      </c>
      <c r="D483" s="962">
        <v>30</v>
      </c>
      <c r="E483" s="963">
        <v>45753</v>
      </c>
      <c r="F483" s="963">
        <v>45782</v>
      </c>
      <c r="G483" s="962">
        <v>30</v>
      </c>
      <c r="H483" s="963"/>
      <c r="I483" s="963"/>
      <c r="J483" s="963">
        <v>45823</v>
      </c>
      <c r="K483" s="963">
        <v>45852</v>
      </c>
    </row>
    <row r="484" spans="1:11">
      <c r="A484" s="959"/>
      <c r="B484" s="959"/>
      <c r="C484" s="961" t="s">
        <v>492</v>
      </c>
      <c r="D484" s="962">
        <v>1</v>
      </c>
      <c r="E484" s="963"/>
      <c r="F484" s="963"/>
      <c r="G484" s="962">
        <v>1</v>
      </c>
      <c r="H484" s="963"/>
      <c r="I484" s="963"/>
      <c r="J484" s="963"/>
      <c r="K484" s="963"/>
    </row>
    <row r="485" spans="1:11">
      <c r="A485" s="959"/>
      <c r="B485" s="959"/>
      <c r="C485" s="961" t="s">
        <v>493</v>
      </c>
      <c r="D485" s="962">
        <v>60</v>
      </c>
      <c r="E485" s="963">
        <v>45798</v>
      </c>
      <c r="F485" s="963">
        <v>45857</v>
      </c>
      <c r="G485" s="962">
        <v>60</v>
      </c>
      <c r="H485" s="963"/>
      <c r="I485" s="963"/>
      <c r="J485" s="963">
        <v>45868</v>
      </c>
      <c r="K485" s="963">
        <v>45927</v>
      </c>
    </row>
    <row r="486" spans="1:11">
      <c r="A486" s="959"/>
      <c r="B486" s="959"/>
      <c r="C486" s="961" t="s">
        <v>494</v>
      </c>
      <c r="D486" s="962">
        <v>1</v>
      </c>
      <c r="E486" s="963">
        <v>45687</v>
      </c>
      <c r="F486" s="963">
        <v>45687</v>
      </c>
      <c r="G486" s="962">
        <v>1</v>
      </c>
      <c r="H486" s="963"/>
      <c r="I486" s="963"/>
      <c r="J486" s="963">
        <v>45757</v>
      </c>
      <c r="K486" s="963">
        <v>45757</v>
      </c>
    </row>
    <row r="487" spans="1:11">
      <c r="A487" s="959"/>
      <c r="B487" s="959"/>
      <c r="C487" s="961" t="s">
        <v>456</v>
      </c>
      <c r="D487" s="962">
        <v>1</v>
      </c>
      <c r="E487" s="963"/>
      <c r="F487" s="963"/>
      <c r="G487" s="962">
        <v>1</v>
      </c>
      <c r="H487" s="963"/>
      <c r="I487" s="963"/>
      <c r="J487" s="963"/>
      <c r="K487" s="963"/>
    </row>
    <row r="488" spans="1:11">
      <c r="A488" s="959"/>
      <c r="B488" s="959"/>
      <c r="C488" s="961" t="s">
        <v>495</v>
      </c>
      <c r="D488" s="962">
        <v>1</v>
      </c>
      <c r="E488" s="963"/>
      <c r="F488" s="963"/>
      <c r="G488" s="962">
        <v>1</v>
      </c>
      <c r="H488" s="963"/>
      <c r="I488" s="963"/>
      <c r="J488" s="963"/>
      <c r="K488" s="963"/>
    </row>
    <row r="489" spans="1:11" ht="31">
      <c r="A489" s="959"/>
      <c r="B489" s="959"/>
      <c r="C489" s="961" t="s">
        <v>467</v>
      </c>
      <c r="D489" s="962">
        <v>30</v>
      </c>
      <c r="E489" s="963">
        <v>45708</v>
      </c>
      <c r="F489" s="963">
        <v>45737</v>
      </c>
      <c r="G489" s="962">
        <v>30</v>
      </c>
      <c r="H489" s="963"/>
      <c r="I489" s="963"/>
      <c r="J489" s="963">
        <v>45778</v>
      </c>
      <c r="K489" s="963">
        <v>45807</v>
      </c>
    </row>
    <row r="490" spans="1:11">
      <c r="A490" s="959"/>
      <c r="B490" s="959"/>
      <c r="C490" s="961" t="s">
        <v>496</v>
      </c>
      <c r="D490" s="962">
        <v>30</v>
      </c>
      <c r="E490" s="963">
        <v>45688</v>
      </c>
      <c r="F490" s="963">
        <v>45717</v>
      </c>
      <c r="G490" s="962">
        <v>30</v>
      </c>
      <c r="H490" s="963"/>
      <c r="I490" s="963"/>
      <c r="J490" s="963">
        <v>45758</v>
      </c>
      <c r="K490" s="963">
        <v>45787</v>
      </c>
    </row>
    <row r="491" spans="1:11">
      <c r="A491" s="959"/>
      <c r="B491" s="959"/>
      <c r="C491" s="961" t="s">
        <v>497</v>
      </c>
      <c r="D491" s="962">
        <v>30</v>
      </c>
      <c r="E491" s="963">
        <v>45678</v>
      </c>
      <c r="F491" s="963">
        <v>45707</v>
      </c>
      <c r="G491" s="962">
        <v>30</v>
      </c>
      <c r="H491" s="963"/>
      <c r="I491" s="963"/>
      <c r="J491" s="963">
        <v>45748</v>
      </c>
      <c r="K491" s="963">
        <v>45777</v>
      </c>
    </row>
    <row r="492" spans="1:11">
      <c r="A492" s="959"/>
      <c r="B492" s="959"/>
      <c r="C492" s="961" t="s">
        <v>498</v>
      </c>
      <c r="D492" s="962">
        <v>1</v>
      </c>
      <c r="E492" s="963">
        <v>45717</v>
      </c>
      <c r="F492" s="963">
        <v>45717</v>
      </c>
      <c r="G492" s="962">
        <v>1</v>
      </c>
      <c r="H492" s="963"/>
      <c r="I492" s="963"/>
      <c r="J492" s="963">
        <v>45787</v>
      </c>
      <c r="K492" s="963">
        <v>45787</v>
      </c>
    </row>
    <row r="493" spans="1:11">
      <c r="A493" s="959"/>
      <c r="B493" s="959"/>
      <c r="C493" s="961" t="s">
        <v>499</v>
      </c>
      <c r="D493" s="962">
        <v>1</v>
      </c>
      <c r="E493" s="963">
        <v>45717</v>
      </c>
      <c r="F493" s="963">
        <v>45717</v>
      </c>
      <c r="G493" s="962">
        <v>1</v>
      </c>
      <c r="H493" s="963"/>
      <c r="I493" s="963"/>
      <c r="J493" s="963">
        <v>45787</v>
      </c>
      <c r="K493" s="963">
        <v>45787</v>
      </c>
    </row>
    <row r="494" spans="1:11">
      <c r="A494" s="959"/>
      <c r="B494" s="959"/>
      <c r="C494" s="961" t="s">
        <v>500</v>
      </c>
      <c r="D494" s="962">
        <v>40</v>
      </c>
      <c r="E494" s="963">
        <v>45718</v>
      </c>
      <c r="F494" s="963">
        <v>45757</v>
      </c>
      <c r="G494" s="962">
        <v>40</v>
      </c>
      <c r="H494" s="963"/>
      <c r="I494" s="963"/>
      <c r="J494" s="963">
        <v>45788</v>
      </c>
      <c r="K494" s="963">
        <v>45827</v>
      </c>
    </row>
    <row r="495" spans="1:11">
      <c r="A495" s="959"/>
      <c r="B495" s="959"/>
      <c r="C495" s="961" t="s">
        <v>501</v>
      </c>
      <c r="D495" s="962">
        <v>44</v>
      </c>
      <c r="E495" s="963">
        <v>45708</v>
      </c>
      <c r="F495" s="963">
        <v>45751</v>
      </c>
      <c r="G495" s="962">
        <v>44</v>
      </c>
      <c r="H495" s="963"/>
      <c r="I495" s="963"/>
      <c r="J495" s="963">
        <v>45778</v>
      </c>
      <c r="K495" s="963">
        <v>45821</v>
      </c>
    </row>
    <row r="496" spans="1:11">
      <c r="A496" s="959"/>
      <c r="B496" s="959"/>
      <c r="C496" s="961" t="s">
        <v>502</v>
      </c>
      <c r="D496" s="962">
        <v>44</v>
      </c>
      <c r="E496" s="963">
        <v>45708</v>
      </c>
      <c r="F496" s="963">
        <v>45751</v>
      </c>
      <c r="G496" s="962">
        <v>44</v>
      </c>
      <c r="H496" s="963"/>
      <c r="I496" s="963"/>
      <c r="J496" s="963">
        <v>45778</v>
      </c>
      <c r="K496" s="963">
        <v>45821</v>
      </c>
    </row>
    <row r="497" spans="1:11">
      <c r="A497" s="959"/>
      <c r="B497" s="959"/>
      <c r="C497" s="961" t="s">
        <v>503</v>
      </c>
      <c r="D497" s="962">
        <v>41</v>
      </c>
      <c r="E497" s="963">
        <v>45803</v>
      </c>
      <c r="F497" s="963">
        <v>45843</v>
      </c>
      <c r="G497" s="962">
        <v>41</v>
      </c>
      <c r="H497" s="963"/>
      <c r="I497" s="963"/>
      <c r="J497" s="963">
        <v>45873</v>
      </c>
      <c r="K497" s="963">
        <v>45913</v>
      </c>
    </row>
    <row r="498" spans="1:11">
      <c r="A498" s="959"/>
      <c r="B498" s="959"/>
      <c r="C498" s="961" t="s">
        <v>504</v>
      </c>
      <c r="D498" s="962">
        <v>60</v>
      </c>
      <c r="E498" s="963">
        <v>45788</v>
      </c>
      <c r="F498" s="963">
        <v>45847</v>
      </c>
      <c r="G498" s="962">
        <v>60</v>
      </c>
      <c r="H498" s="963"/>
      <c r="I498" s="963"/>
      <c r="J498" s="963">
        <v>45858</v>
      </c>
      <c r="K498" s="963">
        <v>45917</v>
      </c>
    </row>
    <row r="499" spans="1:11">
      <c r="A499" s="959"/>
      <c r="B499" s="959"/>
      <c r="C499" s="961" t="s">
        <v>505</v>
      </c>
      <c r="D499" s="962">
        <v>1</v>
      </c>
      <c r="E499" s="963"/>
      <c r="F499" s="963"/>
      <c r="G499" s="962">
        <v>1</v>
      </c>
      <c r="H499" s="963"/>
      <c r="I499" s="963"/>
      <c r="J499" s="963">
        <v>45837</v>
      </c>
      <c r="K499" s="963">
        <v>45837</v>
      </c>
    </row>
    <row r="500" spans="1:11">
      <c r="A500" s="959"/>
      <c r="B500" s="959"/>
      <c r="C500" s="961" t="s">
        <v>506</v>
      </c>
      <c r="D500" s="962">
        <v>45</v>
      </c>
      <c r="E500" s="963">
        <v>45798</v>
      </c>
      <c r="F500" s="963">
        <v>45842</v>
      </c>
      <c r="G500" s="962">
        <v>45</v>
      </c>
      <c r="H500" s="963"/>
      <c r="I500" s="963"/>
      <c r="J500" s="963">
        <v>45868</v>
      </c>
      <c r="K500" s="963">
        <v>45912</v>
      </c>
    </row>
    <row r="501" spans="1:11">
      <c r="A501" s="959"/>
      <c r="B501" s="959"/>
      <c r="C501" s="961" t="s">
        <v>507</v>
      </c>
      <c r="D501" s="962">
        <v>45</v>
      </c>
      <c r="E501" s="963">
        <v>45798</v>
      </c>
      <c r="F501" s="963">
        <v>45842</v>
      </c>
      <c r="G501" s="962">
        <v>45</v>
      </c>
      <c r="H501" s="963"/>
      <c r="I501" s="963"/>
      <c r="J501" s="963">
        <v>45868</v>
      </c>
      <c r="K501" s="963">
        <v>45912</v>
      </c>
    </row>
    <row r="502" spans="1:11">
      <c r="A502" s="959"/>
      <c r="B502" s="959"/>
      <c r="C502" s="961" t="s">
        <v>508</v>
      </c>
      <c r="D502" s="962">
        <v>30</v>
      </c>
      <c r="E502" s="963">
        <v>45693</v>
      </c>
      <c r="F502" s="963">
        <v>45722</v>
      </c>
      <c r="G502" s="962">
        <v>30</v>
      </c>
      <c r="H502" s="963"/>
      <c r="I502" s="963"/>
      <c r="J502" s="963">
        <v>45763</v>
      </c>
      <c r="K502" s="963">
        <v>45792</v>
      </c>
    </row>
    <row r="503" spans="1:11">
      <c r="A503" s="959"/>
      <c r="B503" s="959"/>
      <c r="C503" s="961" t="s">
        <v>509</v>
      </c>
      <c r="D503" s="962">
        <v>30</v>
      </c>
      <c r="E503" s="963">
        <v>45693</v>
      </c>
      <c r="F503" s="963">
        <v>45722</v>
      </c>
      <c r="G503" s="962">
        <v>30</v>
      </c>
      <c r="H503" s="963"/>
      <c r="I503" s="963"/>
      <c r="J503" s="963">
        <v>45763</v>
      </c>
      <c r="K503" s="963">
        <v>45792</v>
      </c>
    </row>
    <row r="504" spans="1:11">
      <c r="A504" s="959"/>
      <c r="B504" s="959"/>
      <c r="C504" s="961" t="s">
        <v>510</v>
      </c>
      <c r="D504" s="962">
        <v>45</v>
      </c>
      <c r="E504" s="963">
        <v>45798</v>
      </c>
      <c r="F504" s="963">
        <v>45842</v>
      </c>
      <c r="G504" s="962">
        <v>45</v>
      </c>
      <c r="H504" s="963"/>
      <c r="I504" s="963"/>
      <c r="J504" s="963">
        <v>45868</v>
      </c>
      <c r="K504" s="963">
        <v>45912</v>
      </c>
    </row>
    <row r="505" spans="1:11">
      <c r="A505" s="959"/>
      <c r="B505" s="959"/>
      <c r="C505" s="961" t="s">
        <v>511</v>
      </c>
      <c r="D505" s="962">
        <v>44</v>
      </c>
      <c r="E505" s="963">
        <v>45718</v>
      </c>
      <c r="F505" s="963">
        <v>45761</v>
      </c>
      <c r="G505" s="962">
        <v>44</v>
      </c>
      <c r="H505" s="963"/>
      <c r="I505" s="963"/>
      <c r="J505" s="963">
        <v>45788</v>
      </c>
      <c r="K505" s="963">
        <v>45831</v>
      </c>
    </row>
    <row r="506" spans="1:11">
      <c r="A506" s="959"/>
      <c r="B506" s="959"/>
      <c r="C506" s="961" t="s">
        <v>512</v>
      </c>
      <c r="D506" s="962">
        <v>45</v>
      </c>
      <c r="E506" s="963">
        <v>45768</v>
      </c>
      <c r="F506" s="963">
        <v>45812</v>
      </c>
      <c r="G506" s="962">
        <v>45</v>
      </c>
      <c r="H506" s="963"/>
      <c r="I506" s="963"/>
      <c r="J506" s="963">
        <v>45838</v>
      </c>
      <c r="K506" s="963">
        <v>45882</v>
      </c>
    </row>
    <row r="507" spans="1:11" s="957" customFormat="1">
      <c r="A507" s="965" t="s">
        <v>17</v>
      </c>
      <c r="B507" s="965" t="s">
        <v>513</v>
      </c>
      <c r="C507" s="967"/>
      <c r="D507" s="955">
        <v>214</v>
      </c>
      <c r="E507" s="956">
        <v>45626</v>
      </c>
      <c r="F507" s="956">
        <v>45839</v>
      </c>
      <c r="G507" s="955">
        <v>291</v>
      </c>
      <c r="H507" s="956"/>
      <c r="I507" s="956"/>
      <c r="J507" s="956">
        <v>45626</v>
      </c>
      <c r="K507" s="956">
        <v>45909</v>
      </c>
    </row>
    <row r="508" spans="1:11">
      <c r="A508" s="959"/>
      <c r="B508" s="959"/>
      <c r="C508" s="961" t="s">
        <v>514</v>
      </c>
      <c r="D508" s="962">
        <v>30</v>
      </c>
      <c r="E508" s="963">
        <v>45798</v>
      </c>
      <c r="F508" s="963">
        <v>45827</v>
      </c>
      <c r="G508" s="962">
        <v>30</v>
      </c>
      <c r="H508" s="963"/>
      <c r="I508" s="963"/>
      <c r="J508" s="963">
        <v>45868</v>
      </c>
      <c r="K508" s="963">
        <v>45897</v>
      </c>
    </row>
    <row r="509" spans="1:11">
      <c r="A509" s="959"/>
      <c r="B509" s="959"/>
      <c r="C509" s="961" t="s">
        <v>515</v>
      </c>
      <c r="D509" s="962">
        <v>30</v>
      </c>
      <c r="E509" s="963">
        <v>45798</v>
      </c>
      <c r="F509" s="963">
        <v>45827</v>
      </c>
      <c r="G509" s="962">
        <v>30</v>
      </c>
      <c r="H509" s="963"/>
      <c r="I509" s="963"/>
      <c r="J509" s="963">
        <v>45868</v>
      </c>
      <c r="K509" s="963">
        <v>45897</v>
      </c>
    </row>
    <row r="510" spans="1:11">
      <c r="A510" s="959"/>
      <c r="B510" s="959"/>
      <c r="C510" s="961" t="s">
        <v>516</v>
      </c>
      <c r="D510" s="962">
        <v>21</v>
      </c>
      <c r="E510" s="963">
        <v>45798</v>
      </c>
      <c r="F510" s="963">
        <v>45818</v>
      </c>
      <c r="G510" s="962">
        <v>21</v>
      </c>
      <c r="H510" s="963"/>
      <c r="I510" s="963"/>
      <c r="J510" s="963">
        <v>45868</v>
      </c>
      <c r="K510" s="963">
        <v>45888</v>
      </c>
    </row>
    <row r="511" spans="1:11">
      <c r="A511" s="959"/>
      <c r="B511" s="959"/>
      <c r="C511" s="961" t="s">
        <v>517</v>
      </c>
      <c r="D511" s="962">
        <v>21</v>
      </c>
      <c r="E511" s="963">
        <v>45723</v>
      </c>
      <c r="F511" s="963">
        <v>45743</v>
      </c>
      <c r="G511" s="962">
        <v>21</v>
      </c>
      <c r="H511" s="963"/>
      <c r="I511" s="963"/>
      <c r="J511" s="963">
        <v>45793</v>
      </c>
      <c r="K511" s="963">
        <v>45813</v>
      </c>
    </row>
    <row r="512" spans="1:11">
      <c r="A512" s="959"/>
      <c r="B512" s="959"/>
      <c r="C512" s="961" t="s">
        <v>518</v>
      </c>
      <c r="D512" s="962">
        <v>21</v>
      </c>
      <c r="E512" s="963">
        <v>45723</v>
      </c>
      <c r="F512" s="963">
        <v>45743</v>
      </c>
      <c r="G512" s="962">
        <v>21</v>
      </c>
      <c r="H512" s="963"/>
      <c r="I512" s="963"/>
      <c r="J512" s="963">
        <v>45793</v>
      </c>
      <c r="K512" s="963">
        <v>45813</v>
      </c>
    </row>
    <row r="513" spans="1:11">
      <c r="A513" s="959"/>
      <c r="B513" s="959"/>
      <c r="C513" s="961" t="s">
        <v>519</v>
      </c>
      <c r="D513" s="962">
        <v>14</v>
      </c>
      <c r="E513" s="963">
        <v>45812</v>
      </c>
      <c r="F513" s="963">
        <v>45825</v>
      </c>
      <c r="G513" s="962">
        <v>14</v>
      </c>
      <c r="H513" s="963"/>
      <c r="I513" s="963"/>
      <c r="J513" s="963">
        <v>45882</v>
      </c>
      <c r="K513" s="963">
        <v>45895</v>
      </c>
    </row>
    <row r="514" spans="1:11">
      <c r="A514" s="959"/>
      <c r="B514" s="959"/>
      <c r="C514" s="961" t="s">
        <v>520</v>
      </c>
      <c r="D514" s="962">
        <v>14</v>
      </c>
      <c r="E514" s="963">
        <v>45780</v>
      </c>
      <c r="F514" s="963">
        <v>45793</v>
      </c>
      <c r="G514" s="962">
        <v>14</v>
      </c>
      <c r="H514" s="963"/>
      <c r="I514" s="963"/>
      <c r="J514" s="963">
        <v>45838</v>
      </c>
      <c r="K514" s="963">
        <v>45851</v>
      </c>
    </row>
    <row r="515" spans="1:11">
      <c r="A515" s="959"/>
      <c r="B515" s="959"/>
      <c r="C515" s="961" t="s">
        <v>521</v>
      </c>
      <c r="D515" s="962">
        <v>12</v>
      </c>
      <c r="E515" s="963">
        <v>45782</v>
      </c>
      <c r="F515" s="963">
        <v>45793</v>
      </c>
      <c r="G515" s="962">
        <v>12</v>
      </c>
      <c r="H515" s="963"/>
      <c r="I515" s="963"/>
      <c r="J515" s="963">
        <v>45852</v>
      </c>
      <c r="K515" s="963">
        <v>45863</v>
      </c>
    </row>
    <row r="516" spans="1:11">
      <c r="A516" s="959"/>
      <c r="B516" s="959"/>
      <c r="C516" s="961" t="s">
        <v>522</v>
      </c>
      <c r="D516" s="962">
        <v>21</v>
      </c>
      <c r="E516" s="963">
        <v>45728</v>
      </c>
      <c r="F516" s="963">
        <v>45748</v>
      </c>
      <c r="G516" s="962">
        <v>21</v>
      </c>
      <c r="H516" s="963"/>
      <c r="I516" s="963"/>
      <c r="J516" s="963">
        <v>45798</v>
      </c>
      <c r="K516" s="963">
        <v>45818</v>
      </c>
    </row>
    <row r="517" spans="1:11">
      <c r="A517" s="959"/>
      <c r="B517" s="959"/>
      <c r="C517" s="961" t="s">
        <v>523</v>
      </c>
      <c r="D517" s="962">
        <v>15</v>
      </c>
      <c r="E517" s="963">
        <v>45748</v>
      </c>
      <c r="F517" s="963">
        <v>45762</v>
      </c>
      <c r="G517" s="962">
        <v>15</v>
      </c>
      <c r="H517" s="963"/>
      <c r="I517" s="963"/>
      <c r="J517" s="963">
        <v>45818</v>
      </c>
      <c r="K517" s="963">
        <v>45832</v>
      </c>
    </row>
    <row r="518" spans="1:11">
      <c r="A518" s="959"/>
      <c r="B518" s="959"/>
      <c r="C518" s="961" t="s">
        <v>524</v>
      </c>
      <c r="D518" s="962">
        <v>21</v>
      </c>
      <c r="E518" s="963">
        <v>45768</v>
      </c>
      <c r="F518" s="963">
        <v>45788</v>
      </c>
      <c r="G518" s="962">
        <v>21</v>
      </c>
      <c r="H518" s="963"/>
      <c r="I518" s="963"/>
      <c r="J518" s="963">
        <v>45838</v>
      </c>
      <c r="K518" s="963">
        <v>45858</v>
      </c>
    </row>
    <row r="519" spans="1:11">
      <c r="A519" s="959"/>
      <c r="B519" s="959"/>
      <c r="C519" s="961" t="s">
        <v>525</v>
      </c>
      <c r="D519" s="962">
        <v>14</v>
      </c>
      <c r="E519" s="963">
        <v>45768</v>
      </c>
      <c r="F519" s="963">
        <v>45781</v>
      </c>
      <c r="G519" s="962">
        <v>14</v>
      </c>
      <c r="H519" s="963"/>
      <c r="I519" s="963"/>
      <c r="J519" s="963">
        <v>45838</v>
      </c>
      <c r="K519" s="963">
        <v>45851</v>
      </c>
    </row>
    <row r="520" spans="1:11">
      <c r="A520" s="959"/>
      <c r="B520" s="959"/>
      <c r="C520" s="961" t="s">
        <v>526</v>
      </c>
      <c r="D520" s="962">
        <v>14</v>
      </c>
      <c r="E520" s="963">
        <v>45826</v>
      </c>
      <c r="F520" s="963">
        <v>45839</v>
      </c>
      <c r="G520" s="962">
        <v>14</v>
      </c>
      <c r="H520" s="963"/>
      <c r="I520" s="963"/>
      <c r="J520" s="963">
        <v>45896</v>
      </c>
      <c r="K520" s="963">
        <v>45909</v>
      </c>
    </row>
    <row r="521" spans="1:11" ht="31">
      <c r="A521" s="959"/>
      <c r="B521" s="959"/>
      <c r="C521" s="961" t="s">
        <v>527</v>
      </c>
      <c r="D521" s="962">
        <v>15</v>
      </c>
      <c r="E521" s="963">
        <v>45759</v>
      </c>
      <c r="F521" s="963">
        <v>45773</v>
      </c>
      <c r="G521" s="962">
        <v>15</v>
      </c>
      <c r="H521" s="963"/>
      <c r="I521" s="963"/>
      <c r="J521" s="963">
        <v>45829</v>
      </c>
      <c r="K521" s="963">
        <v>45843</v>
      </c>
    </row>
    <row r="522" spans="1:11">
      <c r="A522" s="959"/>
      <c r="B522" s="959"/>
      <c r="C522" s="961" t="s">
        <v>528</v>
      </c>
      <c r="D522" s="962">
        <v>21</v>
      </c>
      <c r="E522" s="963">
        <v>45744</v>
      </c>
      <c r="F522" s="963">
        <v>45764</v>
      </c>
      <c r="G522" s="962">
        <v>21</v>
      </c>
      <c r="H522" s="963"/>
      <c r="I522" s="963"/>
      <c r="J522" s="963">
        <v>45814</v>
      </c>
      <c r="K522" s="963">
        <v>45834</v>
      </c>
    </row>
    <row r="523" spans="1:11" ht="31">
      <c r="A523" s="959"/>
      <c r="B523" s="959"/>
      <c r="C523" s="961" t="s">
        <v>529</v>
      </c>
      <c r="D523" s="962">
        <v>21</v>
      </c>
      <c r="E523" s="963">
        <v>45752</v>
      </c>
      <c r="F523" s="963">
        <v>45772</v>
      </c>
      <c r="G523" s="962">
        <v>21</v>
      </c>
      <c r="H523" s="963"/>
      <c r="I523" s="963"/>
      <c r="J523" s="963">
        <v>45822</v>
      </c>
      <c r="K523" s="963">
        <v>45842</v>
      </c>
    </row>
    <row r="524" spans="1:11">
      <c r="A524" s="959"/>
      <c r="B524" s="959"/>
      <c r="C524" s="961" t="s">
        <v>530</v>
      </c>
      <c r="D524" s="962">
        <v>14</v>
      </c>
      <c r="E524" s="963">
        <v>45759</v>
      </c>
      <c r="F524" s="963">
        <v>45772</v>
      </c>
      <c r="G524" s="962">
        <v>14</v>
      </c>
      <c r="H524" s="963"/>
      <c r="I524" s="963"/>
      <c r="J524" s="963">
        <v>45829</v>
      </c>
      <c r="K524" s="963">
        <v>45842</v>
      </c>
    </row>
    <row r="525" spans="1:11">
      <c r="A525" s="959"/>
      <c r="B525" s="959"/>
      <c r="C525" s="961" t="s">
        <v>531</v>
      </c>
      <c r="D525" s="962">
        <v>21</v>
      </c>
      <c r="E525" s="963">
        <v>45708</v>
      </c>
      <c r="F525" s="963">
        <v>45728</v>
      </c>
      <c r="G525" s="962">
        <v>21</v>
      </c>
      <c r="H525" s="963"/>
      <c r="I525" s="963"/>
      <c r="J525" s="963">
        <v>45748</v>
      </c>
      <c r="K525" s="963">
        <v>45768</v>
      </c>
    </row>
    <row r="526" spans="1:11">
      <c r="A526" s="959"/>
      <c r="B526" s="959"/>
      <c r="C526" s="961" t="s">
        <v>532</v>
      </c>
      <c r="D526" s="962">
        <v>14</v>
      </c>
      <c r="E526" s="963">
        <v>45729</v>
      </c>
      <c r="F526" s="963">
        <v>45742</v>
      </c>
      <c r="G526" s="962">
        <v>14</v>
      </c>
      <c r="H526" s="963"/>
      <c r="I526" s="963"/>
      <c r="J526" s="963">
        <v>45799</v>
      </c>
      <c r="K526" s="963">
        <v>45812</v>
      </c>
    </row>
    <row r="527" spans="1:11">
      <c r="A527" s="959"/>
      <c r="B527" s="959"/>
      <c r="C527" s="961" t="s">
        <v>533</v>
      </c>
      <c r="D527" s="962">
        <v>21</v>
      </c>
      <c r="E527" s="963">
        <v>45723</v>
      </c>
      <c r="F527" s="963">
        <v>45743</v>
      </c>
      <c r="G527" s="962">
        <v>21</v>
      </c>
      <c r="H527" s="963"/>
      <c r="I527" s="963"/>
      <c r="J527" s="963">
        <v>45793</v>
      </c>
      <c r="K527" s="963">
        <v>45813</v>
      </c>
    </row>
    <row r="528" spans="1:11">
      <c r="A528" s="959"/>
      <c r="B528" s="959"/>
      <c r="C528" s="961" t="s">
        <v>534</v>
      </c>
      <c r="D528" s="962">
        <v>21</v>
      </c>
      <c r="E528" s="963">
        <v>45728</v>
      </c>
      <c r="F528" s="963">
        <v>45748</v>
      </c>
      <c r="G528" s="962">
        <v>21</v>
      </c>
      <c r="H528" s="963"/>
      <c r="I528" s="963"/>
      <c r="J528" s="963">
        <v>45798</v>
      </c>
      <c r="K528" s="963">
        <v>45818</v>
      </c>
    </row>
    <row r="529" spans="1:11">
      <c r="A529" s="959"/>
      <c r="B529" s="959"/>
      <c r="C529" s="961" t="s">
        <v>535</v>
      </c>
      <c r="D529" s="962">
        <v>21</v>
      </c>
      <c r="E529" s="963">
        <v>45708</v>
      </c>
      <c r="F529" s="963">
        <v>45728</v>
      </c>
      <c r="G529" s="962">
        <v>21</v>
      </c>
      <c r="H529" s="963"/>
      <c r="I529" s="963"/>
      <c r="J529" s="963">
        <v>45778</v>
      </c>
      <c r="K529" s="963">
        <v>45798</v>
      </c>
    </row>
    <row r="530" spans="1:11">
      <c r="A530" s="959"/>
      <c r="B530" s="959"/>
      <c r="C530" s="961" t="s">
        <v>536</v>
      </c>
      <c r="D530" s="962">
        <v>14</v>
      </c>
      <c r="E530" s="963">
        <v>45737</v>
      </c>
      <c r="F530" s="963">
        <v>45750</v>
      </c>
      <c r="G530" s="962">
        <v>14</v>
      </c>
      <c r="H530" s="963"/>
      <c r="I530" s="963"/>
      <c r="J530" s="963">
        <v>45807</v>
      </c>
      <c r="K530" s="963">
        <v>45820</v>
      </c>
    </row>
    <row r="531" spans="1:11">
      <c r="A531" s="959"/>
      <c r="B531" s="959"/>
      <c r="C531" s="961" t="s">
        <v>537</v>
      </c>
      <c r="D531" s="962">
        <v>14</v>
      </c>
      <c r="E531" s="963">
        <v>45737</v>
      </c>
      <c r="F531" s="963">
        <v>45750</v>
      </c>
      <c r="G531" s="962">
        <v>14</v>
      </c>
      <c r="H531" s="963"/>
      <c r="I531" s="963"/>
      <c r="J531" s="963">
        <v>45807</v>
      </c>
      <c r="K531" s="963">
        <v>45820</v>
      </c>
    </row>
    <row r="532" spans="1:11">
      <c r="A532" s="959"/>
      <c r="B532" s="959"/>
      <c r="C532" s="961" t="s">
        <v>538</v>
      </c>
      <c r="D532" s="962">
        <v>14</v>
      </c>
      <c r="E532" s="963">
        <v>45737</v>
      </c>
      <c r="F532" s="963">
        <v>45750</v>
      </c>
      <c r="G532" s="962">
        <v>14</v>
      </c>
      <c r="H532" s="963"/>
      <c r="I532" s="963"/>
      <c r="J532" s="963">
        <v>45807</v>
      </c>
      <c r="K532" s="963">
        <v>45820</v>
      </c>
    </row>
    <row r="533" spans="1:11">
      <c r="A533" s="959"/>
      <c r="B533" s="959"/>
      <c r="C533" s="961" t="s">
        <v>539</v>
      </c>
      <c r="D533" s="962">
        <v>14</v>
      </c>
      <c r="E533" s="963">
        <v>45737</v>
      </c>
      <c r="F533" s="963">
        <v>45750</v>
      </c>
      <c r="G533" s="962">
        <v>14</v>
      </c>
      <c r="H533" s="963"/>
      <c r="I533" s="963"/>
      <c r="J533" s="963">
        <v>45807</v>
      </c>
      <c r="K533" s="963">
        <v>45820</v>
      </c>
    </row>
    <row r="534" spans="1:11">
      <c r="A534" s="959"/>
      <c r="B534" s="959"/>
      <c r="C534" s="961" t="s">
        <v>540</v>
      </c>
      <c r="D534" s="962">
        <v>14</v>
      </c>
      <c r="E534" s="963">
        <v>45737</v>
      </c>
      <c r="F534" s="963">
        <v>45750</v>
      </c>
      <c r="G534" s="962">
        <v>14</v>
      </c>
      <c r="H534" s="963"/>
      <c r="I534" s="963"/>
      <c r="J534" s="963">
        <v>45807</v>
      </c>
      <c r="K534" s="963">
        <v>45820</v>
      </c>
    </row>
    <row r="535" spans="1:11">
      <c r="A535" s="959"/>
      <c r="B535" s="959"/>
      <c r="C535" s="961" t="s">
        <v>541</v>
      </c>
      <c r="D535" s="962">
        <v>21</v>
      </c>
      <c r="E535" s="963">
        <v>45737</v>
      </c>
      <c r="F535" s="963">
        <v>45757</v>
      </c>
      <c r="G535" s="962">
        <v>21</v>
      </c>
      <c r="H535" s="963"/>
      <c r="I535" s="963"/>
      <c r="J535" s="963">
        <v>45807</v>
      </c>
      <c r="K535" s="963">
        <v>45827</v>
      </c>
    </row>
    <row r="536" spans="1:11" ht="31">
      <c r="A536" s="959"/>
      <c r="B536" s="959"/>
      <c r="C536" s="961" t="s">
        <v>542</v>
      </c>
      <c r="D536" s="962">
        <v>30</v>
      </c>
      <c r="E536" s="963">
        <v>45738</v>
      </c>
      <c r="F536" s="963">
        <v>45767</v>
      </c>
      <c r="G536" s="962">
        <v>30</v>
      </c>
      <c r="H536" s="963"/>
      <c r="I536" s="963"/>
      <c r="J536" s="963">
        <v>45808</v>
      </c>
      <c r="K536" s="963">
        <v>45837</v>
      </c>
    </row>
    <row r="537" spans="1:11" ht="31">
      <c r="A537" s="959"/>
      <c r="B537" s="959"/>
      <c r="C537" s="961" t="s">
        <v>543</v>
      </c>
      <c r="D537" s="962">
        <v>1</v>
      </c>
      <c r="E537" s="963"/>
      <c r="F537" s="963"/>
      <c r="G537" s="962">
        <v>1</v>
      </c>
      <c r="H537" s="963"/>
      <c r="I537" s="963"/>
      <c r="J537" s="963"/>
      <c r="K537" s="963"/>
    </row>
    <row r="538" spans="1:11">
      <c r="A538" s="959"/>
      <c r="B538" s="959"/>
      <c r="C538" s="961" t="s">
        <v>544</v>
      </c>
      <c r="D538" s="962">
        <v>30</v>
      </c>
      <c r="E538" s="963">
        <v>45768</v>
      </c>
      <c r="F538" s="963">
        <v>45797</v>
      </c>
      <c r="G538" s="962">
        <v>30</v>
      </c>
      <c r="H538" s="963"/>
      <c r="I538" s="963"/>
      <c r="J538" s="963">
        <v>45808</v>
      </c>
      <c r="K538" s="963">
        <v>45837</v>
      </c>
    </row>
    <row r="539" spans="1:11">
      <c r="A539" s="959"/>
      <c r="B539" s="959"/>
      <c r="C539" s="961" t="s">
        <v>545</v>
      </c>
      <c r="D539" s="962">
        <v>30</v>
      </c>
      <c r="E539" s="963">
        <v>45753</v>
      </c>
      <c r="F539" s="963">
        <v>45782</v>
      </c>
      <c r="G539" s="962">
        <v>30</v>
      </c>
      <c r="H539" s="963"/>
      <c r="I539" s="963"/>
      <c r="J539" s="963">
        <v>45778</v>
      </c>
      <c r="K539" s="963">
        <v>45807</v>
      </c>
    </row>
    <row r="540" spans="1:11">
      <c r="A540" s="959"/>
      <c r="B540" s="959"/>
      <c r="C540" s="961" t="s">
        <v>546</v>
      </c>
      <c r="D540" s="962">
        <v>30</v>
      </c>
      <c r="E540" s="963">
        <v>45768</v>
      </c>
      <c r="F540" s="963">
        <v>45797</v>
      </c>
      <c r="G540" s="962">
        <v>30</v>
      </c>
      <c r="H540" s="963"/>
      <c r="I540" s="963"/>
      <c r="J540" s="963">
        <v>45838</v>
      </c>
      <c r="K540" s="963">
        <v>45867</v>
      </c>
    </row>
    <row r="541" spans="1:11">
      <c r="A541" s="959"/>
      <c r="B541" s="959"/>
      <c r="C541" s="961" t="s">
        <v>547</v>
      </c>
      <c r="D541" s="962">
        <v>45</v>
      </c>
      <c r="E541" s="963">
        <v>45768</v>
      </c>
      <c r="F541" s="963">
        <v>45812</v>
      </c>
      <c r="G541" s="962">
        <v>45</v>
      </c>
      <c r="H541" s="963"/>
      <c r="I541" s="963"/>
      <c r="J541" s="963">
        <v>45838</v>
      </c>
      <c r="K541" s="963">
        <v>45882</v>
      </c>
    </row>
    <row r="542" spans="1:11">
      <c r="A542" s="959"/>
      <c r="B542" s="959"/>
      <c r="C542" s="961" t="s">
        <v>548</v>
      </c>
      <c r="D542" s="962">
        <v>45</v>
      </c>
      <c r="E542" s="963">
        <v>45768</v>
      </c>
      <c r="F542" s="963">
        <v>45812</v>
      </c>
      <c r="G542" s="962">
        <v>45</v>
      </c>
      <c r="H542" s="963"/>
      <c r="I542" s="963"/>
      <c r="J542" s="963">
        <v>45838</v>
      </c>
      <c r="K542" s="963">
        <v>45882</v>
      </c>
    </row>
    <row r="543" spans="1:11">
      <c r="A543" s="959"/>
      <c r="B543" s="959"/>
      <c r="C543" s="961" t="s">
        <v>549</v>
      </c>
      <c r="D543" s="962">
        <v>45</v>
      </c>
      <c r="E543" s="963">
        <v>45768</v>
      </c>
      <c r="F543" s="963">
        <v>45812</v>
      </c>
      <c r="G543" s="962">
        <v>45</v>
      </c>
      <c r="H543" s="963"/>
      <c r="I543" s="963"/>
      <c r="J543" s="963">
        <v>45793</v>
      </c>
      <c r="K543" s="963">
        <v>45837</v>
      </c>
    </row>
    <row r="544" spans="1:11">
      <c r="A544" s="959"/>
      <c r="B544" s="959"/>
      <c r="C544" s="961" t="s">
        <v>550</v>
      </c>
      <c r="D544" s="962">
        <v>30</v>
      </c>
      <c r="E544" s="963">
        <v>45753</v>
      </c>
      <c r="F544" s="963">
        <v>45782</v>
      </c>
      <c r="G544" s="962">
        <v>30</v>
      </c>
      <c r="H544" s="963"/>
      <c r="I544" s="963"/>
      <c r="J544" s="963">
        <v>45823</v>
      </c>
      <c r="K544" s="963">
        <v>45852</v>
      </c>
    </row>
    <row r="545" spans="1:11">
      <c r="A545" s="959"/>
      <c r="B545" s="959"/>
      <c r="C545" s="961" t="s">
        <v>551</v>
      </c>
      <c r="D545" s="962">
        <v>30</v>
      </c>
      <c r="E545" s="963">
        <v>45733</v>
      </c>
      <c r="F545" s="963">
        <v>45762</v>
      </c>
      <c r="G545" s="962">
        <v>30</v>
      </c>
      <c r="H545" s="963"/>
      <c r="I545" s="963"/>
      <c r="J545" s="963">
        <v>45803</v>
      </c>
      <c r="K545" s="963">
        <v>45832</v>
      </c>
    </row>
    <row r="546" spans="1:11">
      <c r="A546" s="959"/>
      <c r="B546" s="959"/>
      <c r="C546" s="961" t="s">
        <v>552</v>
      </c>
      <c r="D546" s="962">
        <v>30</v>
      </c>
      <c r="E546" s="963">
        <v>45738</v>
      </c>
      <c r="F546" s="963">
        <v>45767</v>
      </c>
      <c r="G546" s="962">
        <v>30</v>
      </c>
      <c r="H546" s="963"/>
      <c r="I546" s="963"/>
      <c r="J546" s="963">
        <v>45808</v>
      </c>
      <c r="K546" s="963">
        <v>45837</v>
      </c>
    </row>
    <row r="547" spans="1:11">
      <c r="A547" s="959"/>
      <c r="B547" s="959"/>
      <c r="C547" s="961" t="s">
        <v>553</v>
      </c>
      <c r="D547" s="962">
        <v>21</v>
      </c>
      <c r="E547" s="963">
        <v>45752</v>
      </c>
      <c r="F547" s="963">
        <v>45772</v>
      </c>
      <c r="G547" s="962">
        <v>21</v>
      </c>
      <c r="H547" s="963"/>
      <c r="I547" s="963"/>
      <c r="J547" s="963">
        <v>45822</v>
      </c>
      <c r="K547" s="963">
        <v>45842</v>
      </c>
    </row>
    <row r="548" spans="1:11">
      <c r="A548" s="959"/>
      <c r="B548" s="959"/>
      <c r="C548" s="961" t="s">
        <v>554</v>
      </c>
      <c r="D548" s="962">
        <v>21</v>
      </c>
      <c r="E548" s="963">
        <v>45759</v>
      </c>
      <c r="F548" s="963">
        <v>45779</v>
      </c>
      <c r="G548" s="962">
        <v>21</v>
      </c>
      <c r="H548" s="963"/>
      <c r="I548" s="963"/>
      <c r="J548" s="963">
        <v>45829</v>
      </c>
      <c r="K548" s="963">
        <v>45849</v>
      </c>
    </row>
    <row r="549" spans="1:11">
      <c r="A549" s="959"/>
      <c r="B549" s="959"/>
      <c r="C549" s="961" t="s">
        <v>555</v>
      </c>
      <c r="D549" s="962">
        <v>21</v>
      </c>
      <c r="E549" s="963">
        <v>45768</v>
      </c>
      <c r="F549" s="963">
        <v>45788</v>
      </c>
      <c r="G549" s="962">
        <v>21</v>
      </c>
      <c r="H549" s="963"/>
      <c r="I549" s="963"/>
      <c r="J549" s="963">
        <v>45838</v>
      </c>
      <c r="K549" s="963">
        <v>45858</v>
      </c>
    </row>
    <row r="550" spans="1:11">
      <c r="A550" s="959"/>
      <c r="B550" s="959"/>
      <c r="C550" s="961" t="s">
        <v>556</v>
      </c>
      <c r="D550" s="962">
        <v>30</v>
      </c>
      <c r="E550" s="963">
        <v>45738</v>
      </c>
      <c r="F550" s="963">
        <v>45767</v>
      </c>
      <c r="G550" s="962">
        <v>30</v>
      </c>
      <c r="H550" s="963"/>
      <c r="I550" s="963"/>
      <c r="J550" s="963">
        <v>45808</v>
      </c>
      <c r="K550" s="963">
        <v>45837</v>
      </c>
    </row>
    <row r="551" spans="1:11">
      <c r="A551" s="959"/>
      <c r="B551" s="959"/>
      <c r="C551" s="961" t="s">
        <v>557</v>
      </c>
      <c r="D551" s="962">
        <v>45</v>
      </c>
      <c r="E551" s="963">
        <v>45768</v>
      </c>
      <c r="F551" s="963">
        <v>45812</v>
      </c>
      <c r="G551" s="962">
        <v>45</v>
      </c>
      <c r="H551" s="963"/>
      <c r="I551" s="963"/>
      <c r="J551" s="963">
        <v>45838</v>
      </c>
      <c r="K551" s="963">
        <v>45882</v>
      </c>
    </row>
    <row r="552" spans="1:11">
      <c r="A552" s="959"/>
      <c r="B552" s="959"/>
      <c r="C552" s="961" t="s">
        <v>558</v>
      </c>
      <c r="D552" s="962">
        <v>30</v>
      </c>
      <c r="E552" s="963">
        <v>45708</v>
      </c>
      <c r="F552" s="963">
        <v>45737</v>
      </c>
      <c r="G552" s="962">
        <v>30</v>
      </c>
      <c r="H552" s="963"/>
      <c r="I552" s="963"/>
      <c r="J552" s="963">
        <v>45778</v>
      </c>
      <c r="K552" s="963">
        <v>45807</v>
      </c>
    </row>
    <row r="553" spans="1:11" ht="31">
      <c r="A553" s="959"/>
      <c r="B553" s="959"/>
      <c r="C553" s="961" t="s">
        <v>559</v>
      </c>
      <c r="D553" s="962">
        <v>45</v>
      </c>
      <c r="E553" s="963">
        <v>45768</v>
      </c>
      <c r="F553" s="963">
        <v>45812</v>
      </c>
      <c r="G553" s="962">
        <v>45</v>
      </c>
      <c r="H553" s="963"/>
      <c r="I553" s="963"/>
      <c r="J553" s="963">
        <v>45793</v>
      </c>
      <c r="K553" s="963">
        <v>45837</v>
      </c>
    </row>
    <row r="554" spans="1:11">
      <c r="A554" s="959"/>
      <c r="B554" s="959"/>
      <c r="C554" s="961" t="s">
        <v>560</v>
      </c>
      <c r="D554" s="962">
        <v>14</v>
      </c>
      <c r="E554" s="963">
        <v>45627</v>
      </c>
      <c r="F554" s="963">
        <v>45640</v>
      </c>
      <c r="G554" s="962">
        <v>14</v>
      </c>
      <c r="H554" s="963">
        <v>45627</v>
      </c>
      <c r="I554" s="963">
        <v>45640</v>
      </c>
      <c r="J554" s="963">
        <v>45627</v>
      </c>
      <c r="K554" s="963">
        <v>45640</v>
      </c>
    </row>
    <row r="555" spans="1:11">
      <c r="A555" s="959"/>
      <c r="B555" s="959"/>
      <c r="C555" s="961" t="s">
        <v>561</v>
      </c>
      <c r="D555" s="962">
        <v>45</v>
      </c>
      <c r="E555" s="963">
        <v>45768</v>
      </c>
      <c r="F555" s="963">
        <v>45812</v>
      </c>
      <c r="G555" s="962">
        <v>45</v>
      </c>
      <c r="H555" s="963"/>
      <c r="I555" s="963"/>
      <c r="J555" s="963">
        <v>45838</v>
      </c>
      <c r="K555" s="963">
        <v>45882</v>
      </c>
    </row>
    <row r="556" spans="1:11">
      <c r="A556" s="959"/>
      <c r="B556" s="959"/>
      <c r="C556" s="961" t="s">
        <v>562</v>
      </c>
      <c r="D556" s="962">
        <v>30</v>
      </c>
      <c r="E556" s="963">
        <v>45768</v>
      </c>
      <c r="F556" s="963">
        <v>45797</v>
      </c>
      <c r="G556" s="962">
        <v>30</v>
      </c>
      <c r="H556" s="963"/>
      <c r="I556" s="963"/>
      <c r="J556" s="963">
        <v>45838</v>
      </c>
      <c r="K556" s="963">
        <v>45867</v>
      </c>
    </row>
    <row r="557" spans="1:11">
      <c r="A557" s="959"/>
      <c r="B557" s="959"/>
      <c r="C557" s="961" t="s">
        <v>563</v>
      </c>
      <c r="D557" s="962">
        <v>30</v>
      </c>
      <c r="E557" s="963">
        <v>45753</v>
      </c>
      <c r="F557" s="963">
        <v>45782</v>
      </c>
      <c r="G557" s="962">
        <v>30</v>
      </c>
      <c r="H557" s="963"/>
      <c r="I557" s="963"/>
      <c r="J557" s="963">
        <v>45823</v>
      </c>
      <c r="K557" s="963">
        <v>45852</v>
      </c>
    </row>
    <row r="558" spans="1:11">
      <c r="A558" s="959"/>
      <c r="B558" s="959"/>
      <c r="C558" s="961" t="s">
        <v>565</v>
      </c>
      <c r="D558" s="962">
        <v>44</v>
      </c>
      <c r="E558" s="963">
        <v>45626</v>
      </c>
      <c r="F558" s="963">
        <v>45669</v>
      </c>
      <c r="G558" s="962">
        <v>44</v>
      </c>
      <c r="H558" s="963"/>
      <c r="I558" s="963"/>
      <c r="J558" s="963">
        <v>45626</v>
      </c>
      <c r="K558" s="963">
        <v>45669</v>
      </c>
    </row>
    <row r="559" spans="1:11">
      <c r="A559" s="959"/>
      <c r="B559" s="1092"/>
      <c r="C559" s="1093"/>
      <c r="D559" s="1094">
        <f>F559-E559</f>
        <v>614</v>
      </c>
      <c r="E559" s="1095">
        <f>MIN(E560:E737)</f>
        <v>45362</v>
      </c>
      <c r="F559" s="1095">
        <f>MAX(F560:F737)</f>
        <v>45976</v>
      </c>
      <c r="G559" s="1094">
        <f>I559-H559</f>
        <v>357</v>
      </c>
      <c r="H559" s="1095">
        <f>MIN(H560:H737)</f>
        <v>45362</v>
      </c>
      <c r="I559" s="1095">
        <f>MAX(I560:I737)</f>
        <v>45719</v>
      </c>
      <c r="J559" s="1095"/>
      <c r="K559" s="1095">
        <f>MAX(K560:K737)</f>
        <v>46046</v>
      </c>
    </row>
    <row r="560" spans="1:11" s="957" customFormat="1">
      <c r="A560" s="965" t="s">
        <v>19</v>
      </c>
      <c r="B560" s="965" t="s">
        <v>20</v>
      </c>
      <c r="C560" s="967"/>
      <c r="D560" s="955">
        <v>386</v>
      </c>
      <c r="E560" s="956">
        <v>45362</v>
      </c>
      <c r="F560" s="956">
        <v>45747</v>
      </c>
      <c r="G560" s="955">
        <v>479</v>
      </c>
      <c r="H560" s="956">
        <v>45362</v>
      </c>
      <c r="I560" s="956"/>
      <c r="J560" s="956">
        <v>45362</v>
      </c>
      <c r="K560" s="956">
        <v>45840</v>
      </c>
    </row>
    <row r="561" spans="1:11">
      <c r="A561" s="959"/>
      <c r="B561" s="959"/>
      <c r="C561" s="961" t="s">
        <v>97</v>
      </c>
      <c r="D561" s="962">
        <v>184</v>
      </c>
      <c r="E561" s="963">
        <v>45536</v>
      </c>
      <c r="F561" s="963">
        <v>45719</v>
      </c>
      <c r="G561" s="962">
        <v>234</v>
      </c>
      <c r="H561" s="963">
        <v>45536</v>
      </c>
      <c r="I561" s="963"/>
      <c r="J561" s="963">
        <v>45536</v>
      </c>
      <c r="K561" s="963">
        <v>45769</v>
      </c>
    </row>
    <row r="562" spans="1:11">
      <c r="A562" s="959"/>
      <c r="B562" s="959"/>
      <c r="C562" s="961" t="s">
        <v>98</v>
      </c>
      <c r="D562" s="962">
        <v>135</v>
      </c>
      <c r="E562" s="963">
        <v>45575</v>
      </c>
      <c r="F562" s="963">
        <v>45709</v>
      </c>
      <c r="G562" s="962">
        <v>194</v>
      </c>
      <c r="H562" s="963">
        <v>45575</v>
      </c>
      <c r="I562" s="963">
        <v>45719</v>
      </c>
      <c r="J562" s="963">
        <v>45575</v>
      </c>
      <c r="K562" s="963">
        <v>45768</v>
      </c>
    </row>
    <row r="563" spans="1:11">
      <c r="A563" s="959"/>
      <c r="B563" s="959"/>
      <c r="C563" s="961" t="s">
        <v>99</v>
      </c>
      <c r="D563" s="962">
        <v>34</v>
      </c>
      <c r="E563" s="963">
        <v>45633</v>
      </c>
      <c r="F563" s="963">
        <v>45666</v>
      </c>
      <c r="G563" s="962">
        <v>34</v>
      </c>
      <c r="H563" s="963">
        <v>45633</v>
      </c>
      <c r="I563" s="963">
        <v>45666</v>
      </c>
      <c r="J563" s="963">
        <v>45633</v>
      </c>
      <c r="K563" s="963">
        <v>45666</v>
      </c>
    </row>
    <row r="564" spans="1:11">
      <c r="A564" s="959"/>
      <c r="B564" s="959"/>
      <c r="C564" s="961" t="s">
        <v>100</v>
      </c>
      <c r="D564" s="962">
        <v>38</v>
      </c>
      <c r="E564" s="963">
        <v>45383</v>
      </c>
      <c r="F564" s="963">
        <v>45420</v>
      </c>
      <c r="G564" s="962">
        <v>38</v>
      </c>
      <c r="H564" s="963">
        <v>45383</v>
      </c>
      <c r="I564" s="963">
        <v>45420</v>
      </c>
      <c r="J564" s="963">
        <v>45383</v>
      </c>
      <c r="K564" s="963">
        <v>45420</v>
      </c>
    </row>
    <row r="565" spans="1:11">
      <c r="A565" s="959"/>
      <c r="B565" s="959"/>
      <c r="C565" s="961" t="s">
        <v>101</v>
      </c>
      <c r="D565" s="962">
        <v>289</v>
      </c>
      <c r="E565" s="963">
        <v>45411</v>
      </c>
      <c r="F565" s="963">
        <v>45699</v>
      </c>
      <c r="G565" s="962">
        <v>345</v>
      </c>
      <c r="H565" s="963">
        <v>45411</v>
      </c>
      <c r="I565" s="963">
        <v>45442</v>
      </c>
      <c r="J565" s="963">
        <v>45411</v>
      </c>
      <c r="K565" s="963">
        <v>45755</v>
      </c>
    </row>
    <row r="566" spans="1:11">
      <c r="A566" s="959"/>
      <c r="B566" s="959"/>
      <c r="C566" s="961" t="s">
        <v>102</v>
      </c>
      <c r="D566" s="962">
        <v>38</v>
      </c>
      <c r="E566" s="963">
        <v>45362</v>
      </c>
      <c r="F566" s="963">
        <v>45399</v>
      </c>
      <c r="G566" s="962">
        <v>38</v>
      </c>
      <c r="H566" s="963">
        <v>45362</v>
      </c>
      <c r="I566" s="963">
        <v>45399</v>
      </c>
      <c r="J566" s="963">
        <v>45362</v>
      </c>
      <c r="K566" s="963">
        <v>45399</v>
      </c>
    </row>
    <row r="567" spans="1:11">
      <c r="A567" s="959"/>
      <c r="B567" s="959"/>
      <c r="C567" s="961" t="s">
        <v>103</v>
      </c>
      <c r="D567" s="962">
        <v>140</v>
      </c>
      <c r="E567" s="963">
        <v>45367</v>
      </c>
      <c r="F567" s="963">
        <v>45506</v>
      </c>
      <c r="G567" s="962">
        <v>140</v>
      </c>
      <c r="H567" s="963">
        <v>45367</v>
      </c>
      <c r="I567" s="963">
        <v>45506</v>
      </c>
      <c r="J567" s="963">
        <v>45367</v>
      </c>
      <c r="K567" s="963">
        <v>45506</v>
      </c>
    </row>
    <row r="568" spans="1:11">
      <c r="A568" s="959"/>
      <c r="B568" s="959"/>
      <c r="C568" s="961" t="s">
        <v>104</v>
      </c>
      <c r="D568" s="962">
        <v>41</v>
      </c>
      <c r="E568" s="963">
        <v>45381</v>
      </c>
      <c r="F568" s="963">
        <v>45421</v>
      </c>
      <c r="G568" s="962">
        <v>41</v>
      </c>
      <c r="H568" s="963">
        <v>45381</v>
      </c>
      <c r="I568" s="963">
        <v>45421</v>
      </c>
      <c r="J568" s="963">
        <v>45381</v>
      </c>
      <c r="K568" s="963">
        <v>45421</v>
      </c>
    </row>
    <row r="569" spans="1:11">
      <c r="A569" s="959"/>
      <c r="B569" s="959"/>
      <c r="C569" s="961" t="s">
        <v>105</v>
      </c>
      <c r="D569" s="962">
        <v>51</v>
      </c>
      <c r="E569" s="963">
        <v>45422</v>
      </c>
      <c r="F569" s="963">
        <v>45472</v>
      </c>
      <c r="G569" s="962">
        <v>51</v>
      </c>
      <c r="H569" s="963">
        <v>45422</v>
      </c>
      <c r="I569" s="963">
        <v>45472</v>
      </c>
      <c r="J569" s="963">
        <v>45422</v>
      </c>
      <c r="K569" s="963">
        <v>45472</v>
      </c>
    </row>
    <row r="570" spans="1:11">
      <c r="A570" s="959"/>
      <c r="B570" s="959"/>
      <c r="C570" s="961" t="s">
        <v>106</v>
      </c>
      <c r="D570" s="962">
        <v>80</v>
      </c>
      <c r="E570" s="963">
        <v>45422</v>
      </c>
      <c r="F570" s="963">
        <v>45501</v>
      </c>
      <c r="G570" s="962">
        <v>80</v>
      </c>
      <c r="H570" s="963">
        <v>45422</v>
      </c>
      <c r="I570" s="963">
        <v>45501</v>
      </c>
      <c r="J570" s="963">
        <v>45422</v>
      </c>
      <c r="K570" s="963">
        <v>45501</v>
      </c>
    </row>
    <row r="571" spans="1:11">
      <c r="A571" s="959"/>
      <c r="B571" s="959"/>
      <c r="C571" s="961" t="s">
        <v>107</v>
      </c>
      <c r="D571" s="962">
        <v>156</v>
      </c>
      <c r="E571" s="963">
        <v>45553</v>
      </c>
      <c r="F571" s="963">
        <v>45708</v>
      </c>
      <c r="G571" s="962">
        <v>226</v>
      </c>
      <c r="H571" s="963">
        <v>45553</v>
      </c>
      <c r="I571" s="963">
        <v>45560</v>
      </c>
      <c r="J571" s="963">
        <v>45553</v>
      </c>
      <c r="K571" s="963">
        <v>45778</v>
      </c>
    </row>
    <row r="572" spans="1:11">
      <c r="A572" s="959"/>
      <c r="B572" s="959"/>
      <c r="C572" s="961" t="s">
        <v>108</v>
      </c>
      <c r="D572" s="962">
        <v>70</v>
      </c>
      <c r="E572" s="963">
        <v>45678</v>
      </c>
      <c r="F572" s="963">
        <v>45747</v>
      </c>
      <c r="G572" s="962">
        <v>93</v>
      </c>
      <c r="H572" s="963"/>
      <c r="I572" s="963"/>
      <c r="J572" s="963">
        <v>45748</v>
      </c>
      <c r="K572" s="963">
        <v>45840</v>
      </c>
    </row>
    <row r="573" spans="1:11">
      <c r="A573" s="959"/>
      <c r="B573" s="959"/>
      <c r="C573" s="961" t="s">
        <v>109</v>
      </c>
      <c r="D573" s="962">
        <v>36</v>
      </c>
      <c r="E573" s="963">
        <v>45704</v>
      </c>
      <c r="F573" s="963">
        <v>45739</v>
      </c>
      <c r="G573" s="962">
        <v>36</v>
      </c>
      <c r="H573" s="963"/>
      <c r="I573" s="963"/>
      <c r="J573" s="963">
        <v>45774</v>
      </c>
      <c r="K573" s="963">
        <v>45809</v>
      </c>
    </row>
    <row r="574" spans="1:11">
      <c r="A574" s="959"/>
      <c r="B574" s="959"/>
      <c r="C574" s="961" t="s">
        <v>110</v>
      </c>
      <c r="D574" s="962">
        <v>184</v>
      </c>
      <c r="E574" s="963">
        <v>45559</v>
      </c>
      <c r="F574" s="963">
        <v>45742</v>
      </c>
      <c r="G574" s="962">
        <v>282</v>
      </c>
      <c r="H574" s="963">
        <v>45559</v>
      </c>
      <c r="I574" s="963">
        <v>45658</v>
      </c>
      <c r="J574" s="963">
        <v>45559</v>
      </c>
      <c r="K574" s="963">
        <v>45840</v>
      </c>
    </row>
    <row r="575" spans="1:11">
      <c r="A575" s="959"/>
      <c r="B575" s="959"/>
      <c r="C575" s="961" t="s">
        <v>111</v>
      </c>
      <c r="D575" s="962">
        <v>54</v>
      </c>
      <c r="E575" s="963">
        <v>45659</v>
      </c>
      <c r="F575" s="963">
        <v>45712</v>
      </c>
      <c r="G575" s="962">
        <v>121</v>
      </c>
      <c r="H575" s="963">
        <v>45659</v>
      </c>
      <c r="I575" s="963"/>
      <c r="J575" s="963">
        <v>45659</v>
      </c>
      <c r="K575" s="963">
        <v>45779</v>
      </c>
    </row>
    <row r="576" spans="1:11">
      <c r="A576" s="959"/>
      <c r="B576" s="959"/>
      <c r="C576" s="961" t="s">
        <v>112</v>
      </c>
      <c r="D576" s="962">
        <v>70</v>
      </c>
      <c r="E576" s="963">
        <v>45678</v>
      </c>
      <c r="F576" s="963">
        <v>45747</v>
      </c>
      <c r="G576" s="962">
        <v>90</v>
      </c>
      <c r="H576" s="963"/>
      <c r="I576" s="963"/>
      <c r="J576" s="963">
        <v>45728</v>
      </c>
      <c r="K576" s="963">
        <v>45817</v>
      </c>
    </row>
    <row r="577" spans="1:11">
      <c r="A577" s="959"/>
      <c r="B577" s="959"/>
      <c r="C577" s="961" t="s">
        <v>113</v>
      </c>
      <c r="D577" s="962">
        <v>-11</v>
      </c>
      <c r="E577" s="963">
        <v>45394</v>
      </c>
      <c r="F577" s="963">
        <v>45382</v>
      </c>
      <c r="G577" s="962">
        <v>19</v>
      </c>
      <c r="H577" s="963">
        <v>45394</v>
      </c>
      <c r="I577" s="963">
        <v>45412</v>
      </c>
      <c r="J577" s="963">
        <v>45394</v>
      </c>
      <c r="K577" s="963">
        <v>45412</v>
      </c>
    </row>
    <row r="578" spans="1:11">
      <c r="A578" s="959"/>
      <c r="B578" s="959"/>
      <c r="C578" s="961" t="s">
        <v>114</v>
      </c>
      <c r="D578" s="962">
        <v>23</v>
      </c>
      <c r="E578" s="963">
        <v>45649</v>
      </c>
      <c r="F578" s="963">
        <v>45671</v>
      </c>
      <c r="G578" s="962">
        <v>23</v>
      </c>
      <c r="H578" s="963">
        <v>45649</v>
      </c>
      <c r="I578" s="963">
        <v>45671</v>
      </c>
      <c r="J578" s="963">
        <v>45649</v>
      </c>
      <c r="K578" s="963">
        <v>45671</v>
      </c>
    </row>
    <row r="579" spans="1:11">
      <c r="A579" s="959"/>
      <c r="B579" s="959"/>
      <c r="C579" s="961" t="s">
        <v>115</v>
      </c>
      <c r="D579" s="962">
        <v>15</v>
      </c>
      <c r="E579" s="963">
        <v>45678</v>
      </c>
      <c r="F579" s="963">
        <v>45692</v>
      </c>
      <c r="G579" s="962">
        <v>15</v>
      </c>
      <c r="H579" s="963"/>
      <c r="I579" s="963"/>
      <c r="J579" s="963">
        <v>45748</v>
      </c>
      <c r="K579" s="963">
        <v>45762</v>
      </c>
    </row>
    <row r="580" spans="1:11">
      <c r="A580" s="959"/>
      <c r="B580" s="959"/>
      <c r="C580" s="961" t="s">
        <v>116</v>
      </c>
      <c r="D580" s="962">
        <v>10</v>
      </c>
      <c r="E580" s="963">
        <v>45576</v>
      </c>
      <c r="F580" s="963">
        <v>45585</v>
      </c>
      <c r="G580" s="962">
        <v>10</v>
      </c>
      <c r="H580" s="963"/>
      <c r="I580" s="963"/>
      <c r="J580" s="963">
        <v>45779</v>
      </c>
      <c r="K580" s="963">
        <v>45788</v>
      </c>
    </row>
    <row r="581" spans="1:11">
      <c r="A581" s="959"/>
      <c r="B581" s="959"/>
      <c r="C581" s="961" t="s">
        <v>229</v>
      </c>
      <c r="D581" s="962">
        <v>36</v>
      </c>
      <c r="E581" s="963">
        <v>45572</v>
      </c>
      <c r="F581" s="963">
        <v>45607</v>
      </c>
      <c r="G581" s="962">
        <v>36</v>
      </c>
      <c r="H581" s="963">
        <v>45572</v>
      </c>
      <c r="I581" s="963">
        <v>45607</v>
      </c>
      <c r="J581" s="963">
        <v>45572</v>
      </c>
      <c r="K581" s="963">
        <v>45607</v>
      </c>
    </row>
    <row r="582" spans="1:11">
      <c r="A582" s="959"/>
      <c r="B582" s="959"/>
      <c r="C582" s="961" t="s">
        <v>118</v>
      </c>
      <c r="D582" s="962">
        <v>22</v>
      </c>
      <c r="E582" s="963">
        <v>45707</v>
      </c>
      <c r="F582" s="963">
        <v>45728</v>
      </c>
      <c r="G582" s="962">
        <v>22</v>
      </c>
      <c r="H582" s="963"/>
      <c r="I582" s="963"/>
      <c r="J582" s="963">
        <v>45766</v>
      </c>
      <c r="K582" s="963">
        <v>45787</v>
      </c>
    </row>
    <row r="583" spans="1:11">
      <c r="A583" s="959"/>
      <c r="B583" s="959"/>
      <c r="C583" s="961" t="s">
        <v>119</v>
      </c>
      <c r="D583" s="962">
        <v>10</v>
      </c>
      <c r="E583" s="963">
        <v>45678</v>
      </c>
      <c r="F583" s="963">
        <v>45687</v>
      </c>
      <c r="G583" s="962">
        <v>10</v>
      </c>
      <c r="H583" s="963"/>
      <c r="I583" s="963"/>
      <c r="J583" s="963">
        <v>45748</v>
      </c>
      <c r="K583" s="963">
        <v>45757</v>
      </c>
    </row>
    <row r="584" spans="1:11">
      <c r="A584" s="959"/>
      <c r="B584" s="959"/>
      <c r="C584" s="961" t="s">
        <v>120</v>
      </c>
      <c r="D584" s="962">
        <v>11</v>
      </c>
      <c r="E584" s="963">
        <v>45706</v>
      </c>
      <c r="F584" s="963">
        <v>45716</v>
      </c>
      <c r="G584" s="962">
        <v>11</v>
      </c>
      <c r="H584" s="963">
        <v>45697</v>
      </c>
      <c r="I584" s="963">
        <v>45707</v>
      </c>
      <c r="J584" s="963">
        <v>45697</v>
      </c>
      <c r="K584" s="963">
        <v>45707</v>
      </c>
    </row>
    <row r="585" spans="1:11">
      <c r="A585" s="959"/>
      <c r="B585" s="959"/>
      <c r="C585" s="961" t="s">
        <v>121</v>
      </c>
      <c r="D585" s="962">
        <v>10</v>
      </c>
      <c r="E585" s="963">
        <v>45702</v>
      </c>
      <c r="F585" s="963">
        <v>45711</v>
      </c>
      <c r="G585" s="962">
        <v>10</v>
      </c>
      <c r="H585" s="963"/>
      <c r="I585" s="963"/>
      <c r="J585" s="963">
        <v>45772</v>
      </c>
      <c r="K585" s="963">
        <v>45781</v>
      </c>
    </row>
    <row r="586" spans="1:11">
      <c r="A586" s="959"/>
      <c r="B586" s="959"/>
      <c r="C586" s="961" t="s">
        <v>122</v>
      </c>
      <c r="D586" s="962">
        <v>1</v>
      </c>
      <c r="E586" s="963"/>
      <c r="F586" s="963"/>
      <c r="G586" s="962">
        <v>1</v>
      </c>
      <c r="H586" s="963"/>
      <c r="I586" s="963"/>
      <c r="J586" s="963"/>
      <c r="K586" s="963"/>
    </row>
    <row r="587" spans="1:11" s="957" customFormat="1">
      <c r="A587" s="965" t="s">
        <v>19</v>
      </c>
      <c r="B587" s="965" t="s">
        <v>568</v>
      </c>
      <c r="C587" s="967"/>
      <c r="D587" s="955">
        <v>460</v>
      </c>
      <c r="E587" s="956">
        <v>45457</v>
      </c>
      <c r="F587" s="956">
        <v>45916</v>
      </c>
      <c r="G587" s="955">
        <v>527</v>
      </c>
      <c r="H587" s="956">
        <v>45457</v>
      </c>
      <c r="I587" s="956"/>
      <c r="J587" s="956">
        <v>45457</v>
      </c>
      <c r="K587" s="956">
        <v>45983</v>
      </c>
    </row>
    <row r="588" spans="1:11">
      <c r="A588" s="959"/>
      <c r="B588" s="959"/>
      <c r="C588" s="961" t="s">
        <v>97</v>
      </c>
      <c r="D588" s="962">
        <v>204</v>
      </c>
      <c r="E588" s="963">
        <v>45645</v>
      </c>
      <c r="F588" s="963">
        <v>45848</v>
      </c>
      <c r="G588" s="962">
        <v>251</v>
      </c>
      <c r="H588" s="963"/>
      <c r="I588" s="963"/>
      <c r="J588" s="963">
        <v>45668</v>
      </c>
      <c r="K588" s="963">
        <v>45918</v>
      </c>
    </row>
    <row r="589" spans="1:11">
      <c r="A589" s="959"/>
      <c r="B589" s="959"/>
      <c r="C589" s="961" t="s">
        <v>98</v>
      </c>
      <c r="D589" s="962">
        <v>178</v>
      </c>
      <c r="E589" s="963">
        <v>45634</v>
      </c>
      <c r="F589" s="963">
        <v>45811</v>
      </c>
      <c r="G589" s="962">
        <v>156</v>
      </c>
      <c r="H589" s="963"/>
      <c r="I589" s="963"/>
      <c r="J589" s="963">
        <v>45705</v>
      </c>
      <c r="K589" s="963">
        <v>45860</v>
      </c>
    </row>
    <row r="590" spans="1:11">
      <c r="A590" s="959"/>
      <c r="B590" s="959"/>
      <c r="C590" s="961" t="s">
        <v>99</v>
      </c>
      <c r="D590" s="962">
        <v>192</v>
      </c>
      <c r="E590" s="963">
        <v>45680</v>
      </c>
      <c r="F590" s="963">
        <v>45871</v>
      </c>
      <c r="G590" s="962">
        <v>244</v>
      </c>
      <c r="H590" s="963">
        <v>45677</v>
      </c>
      <c r="I590" s="963"/>
      <c r="J590" s="963">
        <v>45677</v>
      </c>
      <c r="K590" s="963">
        <v>45920</v>
      </c>
    </row>
    <row r="591" spans="1:11">
      <c r="A591" s="959"/>
      <c r="B591" s="959"/>
      <c r="C591" s="961" t="s">
        <v>100</v>
      </c>
      <c r="D591" s="962">
        <v>386</v>
      </c>
      <c r="E591" s="963">
        <v>45457</v>
      </c>
      <c r="F591" s="963">
        <v>45842</v>
      </c>
      <c r="G591" s="962">
        <v>432</v>
      </c>
      <c r="H591" s="963">
        <v>45457</v>
      </c>
      <c r="I591" s="963"/>
      <c r="J591" s="963">
        <v>45457</v>
      </c>
      <c r="K591" s="963">
        <v>45888</v>
      </c>
    </row>
    <row r="592" spans="1:11">
      <c r="A592" s="959"/>
      <c r="B592" s="959"/>
      <c r="C592" s="961" t="s">
        <v>101</v>
      </c>
      <c r="D592" s="962">
        <v>266</v>
      </c>
      <c r="E592" s="963">
        <v>45492</v>
      </c>
      <c r="F592" s="963">
        <v>45757</v>
      </c>
      <c r="G592" s="962">
        <v>326</v>
      </c>
      <c r="H592" s="963">
        <v>45492</v>
      </c>
      <c r="I592" s="963"/>
      <c r="J592" s="963">
        <v>45492</v>
      </c>
      <c r="K592" s="963">
        <v>45817</v>
      </c>
    </row>
    <row r="593" spans="1:11">
      <c r="A593" s="959"/>
      <c r="B593" s="959"/>
      <c r="C593" s="961" t="s">
        <v>102</v>
      </c>
      <c r="D593" s="962">
        <v>359</v>
      </c>
      <c r="E593" s="963">
        <v>45504</v>
      </c>
      <c r="F593" s="963">
        <v>45862</v>
      </c>
      <c r="G593" s="962">
        <v>416</v>
      </c>
      <c r="H593" s="963">
        <v>45504</v>
      </c>
      <c r="I593" s="963"/>
      <c r="J593" s="963">
        <v>45504</v>
      </c>
      <c r="K593" s="963">
        <v>45919</v>
      </c>
    </row>
    <row r="594" spans="1:11">
      <c r="A594" s="959"/>
      <c r="B594" s="959"/>
      <c r="C594" s="961" t="s">
        <v>103</v>
      </c>
      <c r="D594" s="962">
        <v>434</v>
      </c>
      <c r="E594" s="963">
        <v>45483</v>
      </c>
      <c r="F594" s="963">
        <v>45916</v>
      </c>
      <c r="G594" s="962">
        <v>501</v>
      </c>
      <c r="H594" s="963">
        <v>45483</v>
      </c>
      <c r="I594" s="963"/>
      <c r="J594" s="963">
        <v>45483</v>
      </c>
      <c r="K594" s="963">
        <v>45983</v>
      </c>
    </row>
    <row r="595" spans="1:11">
      <c r="A595" s="959"/>
      <c r="B595" s="959"/>
      <c r="C595" s="961" t="s">
        <v>104</v>
      </c>
      <c r="D595" s="962">
        <v>232</v>
      </c>
      <c r="E595" s="963">
        <v>45512</v>
      </c>
      <c r="F595" s="963">
        <v>45743</v>
      </c>
      <c r="G595" s="962">
        <v>303</v>
      </c>
      <c r="H595" s="963">
        <v>45512</v>
      </c>
      <c r="I595" s="963"/>
      <c r="J595" s="963">
        <v>45512</v>
      </c>
      <c r="K595" s="963">
        <v>45814</v>
      </c>
    </row>
    <row r="596" spans="1:11">
      <c r="A596" s="959"/>
      <c r="B596" s="959"/>
      <c r="C596" s="961" t="s">
        <v>105</v>
      </c>
      <c r="D596" s="962">
        <v>281</v>
      </c>
      <c r="E596" s="963">
        <v>45516</v>
      </c>
      <c r="F596" s="963">
        <v>45796</v>
      </c>
      <c r="G596" s="962">
        <v>305</v>
      </c>
      <c r="H596" s="963">
        <v>45516</v>
      </c>
      <c r="I596" s="963"/>
      <c r="J596" s="963">
        <v>45516</v>
      </c>
      <c r="K596" s="963">
        <v>45820</v>
      </c>
    </row>
    <row r="597" spans="1:11">
      <c r="A597" s="959"/>
      <c r="B597" s="959"/>
      <c r="C597" s="961" t="s">
        <v>106</v>
      </c>
      <c r="D597" s="962">
        <v>189</v>
      </c>
      <c r="E597" s="963">
        <v>45559</v>
      </c>
      <c r="F597" s="963">
        <v>45747</v>
      </c>
      <c r="G597" s="962">
        <v>233</v>
      </c>
      <c r="H597" s="963">
        <v>45559</v>
      </c>
      <c r="I597" s="963"/>
      <c r="J597" s="963">
        <v>45559</v>
      </c>
      <c r="K597" s="963">
        <v>45791</v>
      </c>
    </row>
    <row r="598" spans="1:11">
      <c r="A598" s="959"/>
      <c r="B598" s="959"/>
      <c r="C598" s="961" t="s">
        <v>107</v>
      </c>
      <c r="D598" s="962">
        <v>198</v>
      </c>
      <c r="E598" s="963">
        <v>45579</v>
      </c>
      <c r="F598" s="963">
        <v>45776</v>
      </c>
      <c r="G598" s="962">
        <v>295</v>
      </c>
      <c r="H598" s="963">
        <v>45579</v>
      </c>
      <c r="I598" s="963"/>
      <c r="J598" s="963">
        <v>45579</v>
      </c>
      <c r="K598" s="963">
        <v>45873</v>
      </c>
    </row>
    <row r="599" spans="1:11">
      <c r="A599" s="959"/>
      <c r="B599" s="959"/>
      <c r="C599" s="961" t="s">
        <v>108</v>
      </c>
      <c r="D599" s="962">
        <v>155</v>
      </c>
      <c r="E599" s="963">
        <v>45693</v>
      </c>
      <c r="F599" s="963">
        <v>45847</v>
      </c>
      <c r="G599" s="962">
        <v>155</v>
      </c>
      <c r="H599" s="963"/>
      <c r="I599" s="963"/>
      <c r="J599" s="963">
        <v>45763</v>
      </c>
      <c r="K599" s="963">
        <v>45917</v>
      </c>
    </row>
    <row r="600" spans="1:11">
      <c r="A600" s="959"/>
      <c r="B600" s="959"/>
      <c r="C600" s="961" t="s">
        <v>109</v>
      </c>
      <c r="D600" s="962">
        <v>104</v>
      </c>
      <c r="E600" s="963">
        <v>45709</v>
      </c>
      <c r="F600" s="963">
        <v>45812</v>
      </c>
      <c r="G600" s="962">
        <v>104</v>
      </c>
      <c r="H600" s="963"/>
      <c r="I600" s="963"/>
      <c r="J600" s="963">
        <v>45779</v>
      </c>
      <c r="K600" s="963">
        <v>45882</v>
      </c>
    </row>
    <row r="601" spans="1:11">
      <c r="A601" s="959"/>
      <c r="B601" s="959"/>
      <c r="C601" s="961" t="s">
        <v>110</v>
      </c>
      <c r="D601" s="962">
        <v>143</v>
      </c>
      <c r="E601" s="963">
        <v>45665</v>
      </c>
      <c r="F601" s="963">
        <v>45807</v>
      </c>
      <c r="G601" s="962">
        <v>213</v>
      </c>
      <c r="H601" s="963"/>
      <c r="I601" s="963"/>
      <c r="J601" s="963">
        <v>45665</v>
      </c>
      <c r="K601" s="963">
        <v>45877</v>
      </c>
    </row>
    <row r="602" spans="1:11">
      <c r="A602" s="959"/>
      <c r="B602" s="959"/>
      <c r="C602" s="961" t="s">
        <v>111</v>
      </c>
      <c r="D602" s="962">
        <v>194</v>
      </c>
      <c r="E602" s="963">
        <v>45693</v>
      </c>
      <c r="F602" s="963">
        <v>45886</v>
      </c>
      <c r="G602" s="962">
        <v>195</v>
      </c>
      <c r="H602" s="963"/>
      <c r="I602" s="963"/>
      <c r="J602" s="963">
        <v>45759</v>
      </c>
      <c r="K602" s="963">
        <v>45953</v>
      </c>
    </row>
    <row r="603" spans="1:11">
      <c r="A603" s="959"/>
      <c r="B603" s="959"/>
      <c r="C603" s="961" t="s">
        <v>112</v>
      </c>
      <c r="D603" s="962">
        <v>153</v>
      </c>
      <c r="E603" s="963">
        <v>45730</v>
      </c>
      <c r="F603" s="963">
        <v>45882</v>
      </c>
      <c r="G603" s="962">
        <v>154</v>
      </c>
      <c r="H603" s="963"/>
      <c r="I603" s="963"/>
      <c r="J603" s="963">
        <v>45799</v>
      </c>
      <c r="K603" s="963">
        <v>45952</v>
      </c>
    </row>
    <row r="604" spans="1:11">
      <c r="A604" s="959"/>
      <c r="B604" s="959"/>
      <c r="C604" s="961" t="s">
        <v>113</v>
      </c>
      <c r="D604" s="962">
        <v>348</v>
      </c>
      <c r="E604" s="963">
        <v>45508</v>
      </c>
      <c r="F604" s="963">
        <v>45855</v>
      </c>
      <c r="G604" s="962">
        <v>348</v>
      </c>
      <c r="H604" s="963">
        <v>45508</v>
      </c>
      <c r="I604" s="963"/>
      <c r="J604" s="963">
        <v>45508</v>
      </c>
      <c r="K604" s="963">
        <v>45855</v>
      </c>
    </row>
    <row r="605" spans="1:11">
      <c r="A605" s="959"/>
      <c r="B605" s="959"/>
      <c r="C605" s="961" t="s">
        <v>114</v>
      </c>
      <c r="D605" s="962">
        <v>160</v>
      </c>
      <c r="E605" s="963">
        <v>45680</v>
      </c>
      <c r="F605" s="963">
        <v>45839</v>
      </c>
      <c r="G605" s="962">
        <v>204</v>
      </c>
      <c r="H605" s="963">
        <v>45681</v>
      </c>
      <c r="I605" s="963"/>
      <c r="J605" s="963">
        <v>45681</v>
      </c>
      <c r="K605" s="963">
        <v>45884</v>
      </c>
    </row>
    <row r="606" spans="1:11">
      <c r="A606" s="959"/>
      <c r="B606" s="959"/>
      <c r="C606" s="961" t="s">
        <v>115</v>
      </c>
      <c r="D606" s="962">
        <v>178</v>
      </c>
      <c r="E606" s="963">
        <v>45696</v>
      </c>
      <c r="F606" s="963">
        <v>45873</v>
      </c>
      <c r="G606" s="962">
        <v>178</v>
      </c>
      <c r="H606" s="963"/>
      <c r="I606" s="963"/>
      <c r="J606" s="963">
        <v>45766</v>
      </c>
      <c r="K606" s="963">
        <v>45943</v>
      </c>
    </row>
    <row r="607" spans="1:11">
      <c r="A607" s="959"/>
      <c r="B607" s="959"/>
      <c r="C607" s="961" t="s">
        <v>116</v>
      </c>
      <c r="D607" s="962">
        <v>173</v>
      </c>
      <c r="E607" s="963">
        <v>45589</v>
      </c>
      <c r="F607" s="963">
        <v>45761</v>
      </c>
      <c r="G607" s="962">
        <v>173</v>
      </c>
      <c r="H607" s="963"/>
      <c r="I607" s="963"/>
      <c r="J607" s="963">
        <v>45792</v>
      </c>
      <c r="K607" s="963">
        <v>45964</v>
      </c>
    </row>
    <row r="608" spans="1:11">
      <c r="A608" s="959"/>
      <c r="B608" s="959"/>
      <c r="C608" s="961" t="s">
        <v>229</v>
      </c>
      <c r="D608" s="962">
        <v>220</v>
      </c>
      <c r="E608" s="963">
        <v>45597</v>
      </c>
      <c r="F608" s="963">
        <v>45816</v>
      </c>
      <c r="G608" s="962">
        <v>241</v>
      </c>
      <c r="H608" s="963">
        <v>45597</v>
      </c>
      <c r="I608" s="963"/>
      <c r="J608" s="963">
        <v>45597</v>
      </c>
      <c r="K608" s="963">
        <v>45837</v>
      </c>
    </row>
    <row r="609" spans="1:11">
      <c r="A609" s="959"/>
      <c r="B609" s="959"/>
      <c r="C609" s="961" t="s">
        <v>118</v>
      </c>
      <c r="D609" s="962">
        <v>144</v>
      </c>
      <c r="E609" s="963">
        <v>45730</v>
      </c>
      <c r="F609" s="963">
        <v>45873</v>
      </c>
      <c r="G609" s="962">
        <v>144</v>
      </c>
      <c r="H609" s="963"/>
      <c r="I609" s="963"/>
      <c r="J609" s="963">
        <v>45789</v>
      </c>
      <c r="K609" s="963">
        <v>45932</v>
      </c>
    </row>
    <row r="610" spans="1:11">
      <c r="A610" s="959"/>
      <c r="B610" s="959"/>
      <c r="C610" s="961" t="s">
        <v>119</v>
      </c>
      <c r="D610" s="962">
        <v>125</v>
      </c>
      <c r="E610" s="963">
        <v>45690</v>
      </c>
      <c r="F610" s="963">
        <v>45814</v>
      </c>
      <c r="G610" s="962">
        <v>125</v>
      </c>
      <c r="H610" s="963"/>
      <c r="I610" s="963"/>
      <c r="J610" s="963">
        <v>45760</v>
      </c>
      <c r="K610" s="963">
        <v>45884</v>
      </c>
    </row>
    <row r="611" spans="1:11">
      <c r="A611" s="959"/>
      <c r="B611" s="959"/>
      <c r="C611" s="961" t="s">
        <v>120</v>
      </c>
      <c r="D611" s="962">
        <v>145</v>
      </c>
      <c r="E611" s="963">
        <v>45718</v>
      </c>
      <c r="F611" s="963">
        <v>45862</v>
      </c>
      <c r="G611" s="962">
        <v>144</v>
      </c>
      <c r="H611" s="963"/>
      <c r="I611" s="963"/>
      <c r="J611" s="963">
        <v>45750</v>
      </c>
      <c r="K611" s="963">
        <v>45893</v>
      </c>
    </row>
    <row r="612" spans="1:11">
      <c r="A612" s="959"/>
      <c r="B612" s="959"/>
      <c r="C612" s="961" t="s">
        <v>121</v>
      </c>
      <c r="D612" s="962">
        <v>144</v>
      </c>
      <c r="E612" s="963">
        <v>45714</v>
      </c>
      <c r="F612" s="963">
        <v>45857</v>
      </c>
      <c r="G612" s="962">
        <v>144</v>
      </c>
      <c r="H612" s="963"/>
      <c r="I612" s="963"/>
      <c r="J612" s="963">
        <v>45784</v>
      </c>
      <c r="K612" s="963">
        <v>45927</v>
      </c>
    </row>
    <row r="613" spans="1:11">
      <c r="A613" s="959"/>
      <c r="B613" s="959"/>
      <c r="C613" s="961" t="s">
        <v>122</v>
      </c>
      <c r="D613" s="962"/>
      <c r="E613" s="963"/>
      <c r="F613" s="963"/>
      <c r="G613" s="962"/>
      <c r="H613" s="963"/>
      <c r="I613" s="963"/>
      <c r="J613" s="963"/>
      <c r="K613" s="963"/>
    </row>
    <row r="614" spans="1:11">
      <c r="A614" s="959"/>
      <c r="B614" s="959"/>
      <c r="C614" s="961" t="s">
        <v>123</v>
      </c>
      <c r="D614" s="962">
        <v>91</v>
      </c>
      <c r="E614" s="963">
        <v>45798</v>
      </c>
      <c r="F614" s="963">
        <v>45888</v>
      </c>
      <c r="G614" s="962">
        <v>91</v>
      </c>
      <c r="H614" s="963"/>
      <c r="I614" s="963"/>
      <c r="J614" s="963">
        <v>45868</v>
      </c>
      <c r="K614" s="963">
        <v>45958</v>
      </c>
    </row>
    <row r="615" spans="1:11">
      <c r="A615" s="959"/>
      <c r="B615" s="959"/>
      <c r="C615" s="961" t="s">
        <v>124</v>
      </c>
      <c r="D615" s="962">
        <v>121</v>
      </c>
      <c r="E615" s="963">
        <v>45758</v>
      </c>
      <c r="F615" s="963">
        <v>45878</v>
      </c>
      <c r="G615" s="962">
        <v>121</v>
      </c>
      <c r="H615" s="963"/>
      <c r="I615" s="963"/>
      <c r="J615" s="963">
        <v>45828</v>
      </c>
      <c r="K615" s="963">
        <v>45948</v>
      </c>
    </row>
    <row r="616" spans="1:11">
      <c r="A616" s="959"/>
      <c r="B616" s="959"/>
      <c r="C616" s="961" t="s">
        <v>125</v>
      </c>
      <c r="D616" s="962">
        <v>91</v>
      </c>
      <c r="E616" s="963">
        <v>45708</v>
      </c>
      <c r="F616" s="963">
        <v>45798</v>
      </c>
      <c r="G616" s="962">
        <v>91</v>
      </c>
      <c r="H616" s="963"/>
      <c r="I616" s="963"/>
      <c r="J616" s="963">
        <v>45769</v>
      </c>
      <c r="K616" s="963">
        <v>45859</v>
      </c>
    </row>
    <row r="617" spans="1:11" s="957" customFormat="1">
      <c r="A617" s="965" t="s">
        <v>19</v>
      </c>
      <c r="B617" s="965" t="s">
        <v>154</v>
      </c>
      <c r="C617" s="967"/>
      <c r="D617" s="955">
        <v>298</v>
      </c>
      <c r="E617" s="956">
        <v>45572</v>
      </c>
      <c r="F617" s="956">
        <v>45869</v>
      </c>
      <c r="G617" s="955">
        <v>368</v>
      </c>
      <c r="H617" s="956">
        <v>45572</v>
      </c>
      <c r="I617" s="956"/>
      <c r="J617" s="956">
        <v>45572</v>
      </c>
      <c r="K617" s="956">
        <v>45939</v>
      </c>
    </row>
    <row r="618" spans="1:11">
      <c r="A618" s="959"/>
      <c r="B618" s="959"/>
      <c r="C618" s="961" t="s">
        <v>97</v>
      </c>
      <c r="D618" s="962">
        <v>46</v>
      </c>
      <c r="E618" s="963">
        <v>45682</v>
      </c>
      <c r="F618" s="963">
        <v>45727</v>
      </c>
      <c r="G618" s="962">
        <v>46</v>
      </c>
      <c r="H618" s="963"/>
      <c r="I618" s="963"/>
      <c r="J618" s="963">
        <v>45773</v>
      </c>
      <c r="K618" s="963">
        <v>45818</v>
      </c>
    </row>
    <row r="619" spans="1:11">
      <c r="A619" s="959"/>
      <c r="B619" s="959"/>
      <c r="C619" s="961" t="s">
        <v>98</v>
      </c>
      <c r="D619" s="962">
        <v>16</v>
      </c>
      <c r="E619" s="963">
        <v>45707</v>
      </c>
      <c r="F619" s="963">
        <v>45722</v>
      </c>
      <c r="G619" s="962">
        <v>16</v>
      </c>
      <c r="H619" s="963"/>
      <c r="I619" s="963"/>
      <c r="J619" s="963">
        <v>45798</v>
      </c>
      <c r="K619" s="963">
        <v>45813</v>
      </c>
    </row>
    <row r="620" spans="1:11">
      <c r="A620" s="959"/>
      <c r="B620" s="959"/>
      <c r="C620" s="961" t="s">
        <v>99</v>
      </c>
      <c r="D620" s="962">
        <v>75</v>
      </c>
      <c r="E620" s="963">
        <v>45678</v>
      </c>
      <c r="F620" s="963">
        <v>45752</v>
      </c>
      <c r="G620" s="962">
        <v>75</v>
      </c>
      <c r="H620" s="963"/>
      <c r="I620" s="963"/>
      <c r="J620" s="963">
        <v>45748</v>
      </c>
      <c r="K620" s="963">
        <v>45822</v>
      </c>
    </row>
    <row r="621" spans="1:11">
      <c r="A621" s="959"/>
      <c r="B621" s="959"/>
      <c r="C621" s="961" t="s">
        <v>100</v>
      </c>
      <c r="D621" s="962">
        <v>183</v>
      </c>
      <c r="E621" s="963">
        <v>45643</v>
      </c>
      <c r="F621" s="963">
        <v>45825</v>
      </c>
      <c r="G621" s="962">
        <v>235</v>
      </c>
      <c r="H621" s="963">
        <v>45643</v>
      </c>
      <c r="I621" s="963"/>
      <c r="J621" s="963">
        <v>45643</v>
      </c>
      <c r="K621" s="963">
        <v>45877</v>
      </c>
    </row>
    <row r="622" spans="1:11">
      <c r="A622" s="959"/>
      <c r="B622" s="959"/>
      <c r="C622" s="961" t="s">
        <v>101</v>
      </c>
      <c r="D622" s="962">
        <v>112</v>
      </c>
      <c r="E622" s="963">
        <v>45696</v>
      </c>
      <c r="F622" s="963">
        <v>45807</v>
      </c>
      <c r="G622" s="962">
        <v>113</v>
      </c>
      <c r="H622" s="963"/>
      <c r="I622" s="963"/>
      <c r="J622" s="963">
        <v>45760</v>
      </c>
      <c r="K622" s="963">
        <v>45872</v>
      </c>
    </row>
    <row r="623" spans="1:11">
      <c r="A623" s="959"/>
      <c r="B623" s="959"/>
      <c r="C623" s="961" t="s">
        <v>102</v>
      </c>
      <c r="D623" s="962">
        <v>90</v>
      </c>
      <c r="E623" s="963">
        <v>45771</v>
      </c>
      <c r="F623" s="963">
        <v>45860</v>
      </c>
      <c r="G623" s="962">
        <v>91</v>
      </c>
      <c r="H623" s="963"/>
      <c r="I623" s="963"/>
      <c r="J623" s="963">
        <v>45835</v>
      </c>
      <c r="K623" s="963">
        <v>45925</v>
      </c>
    </row>
    <row r="624" spans="1:11">
      <c r="A624" s="959"/>
      <c r="B624" s="959"/>
      <c r="C624" s="961" t="s">
        <v>103</v>
      </c>
      <c r="D624" s="962">
        <v>296</v>
      </c>
      <c r="E624" s="963">
        <v>45572</v>
      </c>
      <c r="F624" s="963">
        <v>45867</v>
      </c>
      <c r="G624" s="962">
        <v>336</v>
      </c>
      <c r="H624" s="963">
        <v>45572</v>
      </c>
      <c r="I624" s="963"/>
      <c r="J624" s="963">
        <v>45572</v>
      </c>
      <c r="K624" s="963">
        <v>45907</v>
      </c>
    </row>
    <row r="625" spans="1:11">
      <c r="A625" s="959"/>
      <c r="B625" s="959"/>
      <c r="C625" s="961" t="s">
        <v>104</v>
      </c>
      <c r="D625" s="962">
        <v>44</v>
      </c>
      <c r="E625" s="963">
        <v>45758</v>
      </c>
      <c r="F625" s="963">
        <v>45801</v>
      </c>
      <c r="G625" s="962">
        <v>44</v>
      </c>
      <c r="H625" s="963"/>
      <c r="I625" s="963"/>
      <c r="J625" s="963">
        <v>45818</v>
      </c>
      <c r="K625" s="963">
        <v>45861</v>
      </c>
    </row>
    <row r="626" spans="1:11">
      <c r="A626" s="959"/>
      <c r="B626" s="959"/>
      <c r="C626" s="961" t="s">
        <v>105</v>
      </c>
      <c r="D626" s="962">
        <v>70</v>
      </c>
      <c r="E626" s="963">
        <v>45710</v>
      </c>
      <c r="F626" s="963">
        <v>45779</v>
      </c>
      <c r="G626" s="962">
        <v>70</v>
      </c>
      <c r="H626" s="963"/>
      <c r="I626" s="963"/>
      <c r="J626" s="963">
        <v>45780</v>
      </c>
      <c r="K626" s="963">
        <v>45849</v>
      </c>
    </row>
    <row r="627" spans="1:11">
      <c r="A627" s="959"/>
      <c r="B627" s="959"/>
      <c r="C627" s="961" t="s">
        <v>106</v>
      </c>
      <c r="D627" s="962">
        <v>85</v>
      </c>
      <c r="E627" s="963">
        <v>45710</v>
      </c>
      <c r="F627" s="963">
        <v>45794</v>
      </c>
      <c r="G627" s="962">
        <v>85</v>
      </c>
      <c r="H627" s="963"/>
      <c r="I627" s="963"/>
      <c r="J627" s="963">
        <v>45780</v>
      </c>
      <c r="K627" s="963">
        <v>45864</v>
      </c>
    </row>
    <row r="628" spans="1:11">
      <c r="A628" s="959"/>
      <c r="B628" s="959"/>
      <c r="C628" s="961" t="s">
        <v>107</v>
      </c>
      <c r="D628" s="962">
        <v>30</v>
      </c>
      <c r="E628" s="963">
        <v>45795</v>
      </c>
      <c r="F628" s="963">
        <v>45824</v>
      </c>
      <c r="G628" s="962">
        <v>30</v>
      </c>
      <c r="H628" s="963"/>
      <c r="I628" s="963"/>
      <c r="J628" s="963">
        <v>45865</v>
      </c>
      <c r="K628" s="963">
        <v>45894</v>
      </c>
    </row>
    <row r="629" spans="1:11">
      <c r="A629" s="959"/>
      <c r="B629" s="959"/>
      <c r="C629" s="961" t="s">
        <v>108</v>
      </c>
      <c r="D629" s="962">
        <v>45</v>
      </c>
      <c r="E629" s="963">
        <v>45825</v>
      </c>
      <c r="F629" s="963">
        <v>45869</v>
      </c>
      <c r="G629" s="962">
        <v>45</v>
      </c>
      <c r="H629" s="963"/>
      <c r="I629" s="963"/>
      <c r="J629" s="963">
        <v>45895</v>
      </c>
      <c r="K629" s="963">
        <v>45939</v>
      </c>
    </row>
    <row r="630" spans="1:11">
      <c r="A630" s="959"/>
      <c r="B630" s="959"/>
      <c r="C630" s="961" t="s">
        <v>109</v>
      </c>
      <c r="D630" s="962">
        <v>75</v>
      </c>
      <c r="E630" s="963">
        <v>45781</v>
      </c>
      <c r="F630" s="963">
        <v>45855</v>
      </c>
      <c r="G630" s="962">
        <v>75</v>
      </c>
      <c r="H630" s="963"/>
      <c r="I630" s="963"/>
      <c r="J630" s="963">
        <v>45851</v>
      </c>
      <c r="K630" s="963">
        <v>45925</v>
      </c>
    </row>
    <row r="631" spans="1:11">
      <c r="A631" s="959"/>
      <c r="B631" s="959"/>
      <c r="C631" s="961" t="s">
        <v>111</v>
      </c>
      <c r="D631" s="962">
        <v>56</v>
      </c>
      <c r="E631" s="963">
        <v>45769</v>
      </c>
      <c r="F631" s="963">
        <v>45824</v>
      </c>
      <c r="G631" s="962">
        <v>56</v>
      </c>
      <c r="H631" s="963"/>
      <c r="I631" s="963"/>
      <c r="J631" s="963">
        <v>45807</v>
      </c>
      <c r="K631" s="963">
        <v>45862</v>
      </c>
    </row>
    <row r="632" spans="1:11">
      <c r="A632" s="959"/>
      <c r="B632" s="959"/>
      <c r="C632" s="961" t="s">
        <v>113</v>
      </c>
      <c r="D632" s="962">
        <v>167</v>
      </c>
      <c r="E632" s="963">
        <v>45693</v>
      </c>
      <c r="F632" s="963">
        <v>45859</v>
      </c>
      <c r="G632" s="962">
        <v>183</v>
      </c>
      <c r="H632" s="963"/>
      <c r="I632" s="963"/>
      <c r="J632" s="963">
        <v>45720</v>
      </c>
      <c r="K632" s="963">
        <v>45902</v>
      </c>
    </row>
    <row r="633" spans="1:11" s="957" customFormat="1">
      <c r="A633" s="965" t="s">
        <v>19</v>
      </c>
      <c r="B633" s="965" t="s">
        <v>569</v>
      </c>
      <c r="C633" s="969"/>
      <c r="D633" s="955">
        <v>364</v>
      </c>
      <c r="E633" s="956">
        <v>45505</v>
      </c>
      <c r="F633" s="956">
        <v>45868</v>
      </c>
      <c r="G633" s="955">
        <v>434</v>
      </c>
      <c r="H633" s="956">
        <v>45505</v>
      </c>
      <c r="I633" s="956"/>
      <c r="J633" s="956">
        <v>45505</v>
      </c>
      <c r="K633" s="956">
        <v>45938</v>
      </c>
    </row>
    <row r="634" spans="1:11">
      <c r="A634" s="959"/>
      <c r="B634" s="959"/>
      <c r="C634" s="961" t="s">
        <v>97</v>
      </c>
      <c r="D634" s="962">
        <v>153</v>
      </c>
      <c r="E634" s="963">
        <v>45689</v>
      </c>
      <c r="F634" s="963">
        <v>45841</v>
      </c>
      <c r="G634" s="962">
        <v>157</v>
      </c>
      <c r="H634" s="963"/>
      <c r="I634" s="963"/>
      <c r="J634" s="963">
        <v>45748</v>
      </c>
      <c r="K634" s="963">
        <v>45904</v>
      </c>
    </row>
    <row r="635" spans="1:11">
      <c r="A635" s="959"/>
      <c r="B635" s="959"/>
      <c r="C635" s="961" t="s">
        <v>98</v>
      </c>
      <c r="D635" s="962">
        <v>25</v>
      </c>
      <c r="E635" s="963">
        <v>45593</v>
      </c>
      <c r="F635" s="963">
        <v>45617</v>
      </c>
      <c r="G635" s="962">
        <v>25</v>
      </c>
      <c r="H635" s="963"/>
      <c r="I635" s="963"/>
      <c r="J635" s="963">
        <v>45796</v>
      </c>
      <c r="K635" s="963">
        <v>45820</v>
      </c>
    </row>
    <row r="636" spans="1:11">
      <c r="A636" s="959"/>
      <c r="B636" s="959"/>
      <c r="C636" s="961" t="s">
        <v>99</v>
      </c>
      <c r="D636" s="962">
        <v>90</v>
      </c>
      <c r="E636" s="963">
        <v>45695</v>
      </c>
      <c r="F636" s="963">
        <v>45784</v>
      </c>
      <c r="G636" s="962">
        <v>90</v>
      </c>
      <c r="H636" s="963"/>
      <c r="I636" s="963"/>
      <c r="J636" s="963">
        <v>45748</v>
      </c>
      <c r="K636" s="963">
        <v>45837</v>
      </c>
    </row>
    <row r="637" spans="1:11">
      <c r="A637" s="959"/>
      <c r="B637" s="959"/>
      <c r="C637" s="961" t="s">
        <v>100</v>
      </c>
      <c r="D637" s="962">
        <v>160</v>
      </c>
      <c r="E637" s="963">
        <v>45658</v>
      </c>
      <c r="F637" s="963">
        <v>45817</v>
      </c>
      <c r="G637" s="962">
        <v>167</v>
      </c>
      <c r="H637" s="963"/>
      <c r="I637" s="963"/>
      <c r="J637" s="963">
        <v>45750</v>
      </c>
      <c r="K637" s="963">
        <v>45916</v>
      </c>
    </row>
    <row r="638" spans="1:11">
      <c r="A638" s="959"/>
      <c r="B638" s="959"/>
      <c r="C638" s="961" t="s">
        <v>101</v>
      </c>
      <c r="D638" s="962">
        <v>55</v>
      </c>
      <c r="E638" s="963">
        <v>45696</v>
      </c>
      <c r="F638" s="963">
        <v>45750</v>
      </c>
      <c r="G638" s="962">
        <v>56</v>
      </c>
      <c r="H638" s="963"/>
      <c r="I638" s="963"/>
      <c r="J638" s="963">
        <v>45794</v>
      </c>
      <c r="K638" s="963">
        <v>45849</v>
      </c>
    </row>
    <row r="639" spans="1:11">
      <c r="A639" s="959"/>
      <c r="B639" s="959"/>
      <c r="C639" s="961" t="s">
        <v>102</v>
      </c>
      <c r="D639" s="962">
        <v>132</v>
      </c>
      <c r="E639" s="963">
        <v>45686</v>
      </c>
      <c r="F639" s="963">
        <v>45817</v>
      </c>
      <c r="G639" s="962">
        <v>131</v>
      </c>
      <c r="H639" s="963"/>
      <c r="I639" s="963"/>
      <c r="J639" s="963">
        <v>45748</v>
      </c>
      <c r="K639" s="963">
        <v>45878</v>
      </c>
    </row>
    <row r="640" spans="1:11">
      <c r="A640" s="959"/>
      <c r="B640" s="959"/>
      <c r="C640" s="961" t="s">
        <v>103</v>
      </c>
      <c r="D640" s="962">
        <v>355</v>
      </c>
      <c r="E640" s="963">
        <v>45505</v>
      </c>
      <c r="F640" s="963">
        <v>45859</v>
      </c>
      <c r="G640" s="962">
        <v>425</v>
      </c>
      <c r="H640" s="963">
        <v>45505</v>
      </c>
      <c r="I640" s="963"/>
      <c r="J640" s="963">
        <v>45505</v>
      </c>
      <c r="K640" s="963">
        <v>45929</v>
      </c>
    </row>
    <row r="641" spans="1:11">
      <c r="A641" s="959"/>
      <c r="B641" s="959"/>
      <c r="C641" s="961" t="s">
        <v>104</v>
      </c>
      <c r="D641" s="962">
        <v>131</v>
      </c>
      <c r="E641" s="963">
        <v>45638</v>
      </c>
      <c r="F641" s="963">
        <v>45768</v>
      </c>
      <c r="G641" s="962">
        <v>197</v>
      </c>
      <c r="H641" s="963">
        <v>45638</v>
      </c>
      <c r="I641" s="963"/>
      <c r="J641" s="963">
        <v>45638</v>
      </c>
      <c r="K641" s="963">
        <v>45834</v>
      </c>
    </row>
    <row r="642" spans="1:11">
      <c r="A642" s="959"/>
      <c r="B642" s="959"/>
      <c r="C642" s="961" t="s">
        <v>105</v>
      </c>
      <c r="D642" s="962">
        <v>40</v>
      </c>
      <c r="E642" s="963">
        <v>45773</v>
      </c>
      <c r="F642" s="963">
        <v>45812</v>
      </c>
      <c r="G642" s="962">
        <v>41</v>
      </c>
      <c r="H642" s="963"/>
      <c r="I642" s="963"/>
      <c r="J642" s="963">
        <v>45829</v>
      </c>
      <c r="K642" s="963">
        <v>45869</v>
      </c>
    </row>
    <row r="643" spans="1:11">
      <c r="A643" s="959"/>
      <c r="B643" s="959"/>
      <c r="C643" s="961" t="s">
        <v>106</v>
      </c>
      <c r="D643" s="962">
        <v>91</v>
      </c>
      <c r="E643" s="963">
        <v>45719</v>
      </c>
      <c r="F643" s="963">
        <v>45809</v>
      </c>
      <c r="G643" s="962">
        <v>91</v>
      </c>
      <c r="H643" s="963"/>
      <c r="I643" s="963"/>
      <c r="J643" s="963">
        <v>45789</v>
      </c>
      <c r="K643" s="963">
        <v>45879</v>
      </c>
    </row>
    <row r="644" spans="1:11">
      <c r="A644" s="959"/>
      <c r="B644" s="959"/>
      <c r="C644" s="961" t="s">
        <v>107</v>
      </c>
      <c r="D644" s="962">
        <v>115</v>
      </c>
      <c r="E644" s="963">
        <v>45738</v>
      </c>
      <c r="F644" s="963">
        <v>45852</v>
      </c>
      <c r="G644" s="962">
        <v>115</v>
      </c>
      <c r="H644" s="963"/>
      <c r="I644" s="963"/>
      <c r="J644" s="963">
        <v>45748</v>
      </c>
      <c r="K644" s="963">
        <v>45862</v>
      </c>
    </row>
    <row r="645" spans="1:11">
      <c r="A645" s="959"/>
      <c r="B645" s="959"/>
      <c r="C645" s="961" t="s">
        <v>108</v>
      </c>
      <c r="D645" s="962">
        <v>100</v>
      </c>
      <c r="E645" s="963">
        <v>45761</v>
      </c>
      <c r="F645" s="963">
        <v>45860</v>
      </c>
      <c r="G645" s="962">
        <v>100</v>
      </c>
      <c r="H645" s="963"/>
      <c r="I645" s="963"/>
      <c r="J645" s="963">
        <v>45831</v>
      </c>
      <c r="K645" s="963">
        <v>45930</v>
      </c>
    </row>
    <row r="646" spans="1:11">
      <c r="A646" s="959"/>
      <c r="B646" s="959"/>
      <c r="C646" s="961" t="s">
        <v>109</v>
      </c>
      <c r="D646" s="962">
        <v>75</v>
      </c>
      <c r="E646" s="963">
        <v>45781</v>
      </c>
      <c r="F646" s="963">
        <v>45855</v>
      </c>
      <c r="G646" s="962">
        <v>75</v>
      </c>
      <c r="H646" s="963"/>
      <c r="I646" s="963"/>
      <c r="J646" s="963">
        <v>45851</v>
      </c>
      <c r="K646" s="963">
        <v>45925</v>
      </c>
    </row>
    <row r="647" spans="1:11">
      <c r="A647" s="959"/>
      <c r="B647" s="959"/>
      <c r="C647" s="961" t="s">
        <v>110</v>
      </c>
      <c r="D647" s="962">
        <v>121</v>
      </c>
      <c r="E647" s="963">
        <v>45748</v>
      </c>
      <c r="F647" s="963">
        <v>45868</v>
      </c>
      <c r="G647" s="962">
        <v>121</v>
      </c>
      <c r="H647" s="963"/>
      <c r="I647" s="963"/>
      <c r="J647" s="963">
        <v>45818</v>
      </c>
      <c r="K647" s="963">
        <v>45938</v>
      </c>
    </row>
    <row r="648" spans="1:11">
      <c r="A648" s="959"/>
      <c r="B648" s="959"/>
      <c r="C648" s="961" t="s">
        <v>111</v>
      </c>
      <c r="D648" s="962">
        <v>146</v>
      </c>
      <c r="E648" s="963">
        <v>45722</v>
      </c>
      <c r="F648" s="963">
        <v>45867</v>
      </c>
      <c r="G648" s="962">
        <v>146</v>
      </c>
      <c r="H648" s="963"/>
      <c r="I648" s="963"/>
      <c r="J648" s="963">
        <v>45781</v>
      </c>
      <c r="K648" s="963">
        <v>45926</v>
      </c>
    </row>
    <row r="649" spans="1:11">
      <c r="A649" s="959"/>
      <c r="B649" s="959"/>
      <c r="C649" s="961" t="s">
        <v>112</v>
      </c>
      <c r="D649" s="962">
        <v>126</v>
      </c>
      <c r="E649" s="963">
        <v>45725</v>
      </c>
      <c r="F649" s="963">
        <v>45850</v>
      </c>
      <c r="G649" s="962">
        <v>126</v>
      </c>
      <c r="H649" s="963"/>
      <c r="I649" s="963"/>
      <c r="J649" s="963">
        <v>45795</v>
      </c>
      <c r="K649" s="963">
        <v>45920</v>
      </c>
    </row>
    <row r="650" spans="1:11">
      <c r="A650" s="959"/>
      <c r="B650" s="959"/>
      <c r="C650" s="961" t="s">
        <v>113</v>
      </c>
      <c r="D650" s="962">
        <v>170</v>
      </c>
      <c r="E650" s="963">
        <v>45678</v>
      </c>
      <c r="F650" s="963">
        <v>45847</v>
      </c>
      <c r="G650" s="962">
        <v>170</v>
      </c>
      <c r="H650" s="963"/>
      <c r="I650" s="963"/>
      <c r="J650" s="963">
        <v>45748</v>
      </c>
      <c r="K650" s="963">
        <v>45917</v>
      </c>
    </row>
    <row r="651" spans="1:11">
      <c r="A651" s="959"/>
      <c r="B651" s="959"/>
      <c r="C651" s="961" t="s">
        <v>135</v>
      </c>
      <c r="D651" s="962">
        <v>91</v>
      </c>
      <c r="E651" s="963">
        <v>45768</v>
      </c>
      <c r="F651" s="963">
        <v>45858</v>
      </c>
      <c r="G651" s="962">
        <v>91</v>
      </c>
      <c r="H651" s="963"/>
      <c r="I651" s="963"/>
      <c r="J651" s="963">
        <v>45829</v>
      </c>
      <c r="K651" s="963">
        <v>45919</v>
      </c>
    </row>
    <row r="652" spans="1:11" s="957" customFormat="1">
      <c r="A652" s="965" t="s">
        <v>19</v>
      </c>
      <c r="B652" s="965" t="s">
        <v>570</v>
      </c>
      <c r="C652" s="969"/>
      <c r="D652" s="955">
        <v>297</v>
      </c>
      <c r="E652" s="956">
        <v>45658</v>
      </c>
      <c r="F652" s="956">
        <v>45954</v>
      </c>
      <c r="G652" s="955">
        <v>364</v>
      </c>
      <c r="H652" s="956">
        <v>45658</v>
      </c>
      <c r="I652" s="956"/>
      <c r="J652" s="956">
        <v>45658</v>
      </c>
      <c r="K652" s="956">
        <v>46021</v>
      </c>
    </row>
    <row r="653" spans="1:11">
      <c r="A653" s="959"/>
      <c r="B653" s="959"/>
      <c r="C653" s="961" t="s">
        <v>97</v>
      </c>
      <c r="D653" s="962">
        <v>102</v>
      </c>
      <c r="E653" s="963">
        <v>45762</v>
      </c>
      <c r="F653" s="963">
        <v>45863</v>
      </c>
      <c r="G653" s="962">
        <v>166</v>
      </c>
      <c r="H653" s="963"/>
      <c r="I653" s="963"/>
      <c r="J653" s="963">
        <v>45768</v>
      </c>
      <c r="K653" s="963">
        <v>45933</v>
      </c>
    </row>
    <row r="654" spans="1:11">
      <c r="A654" s="959"/>
      <c r="B654" s="959"/>
      <c r="C654" s="961" t="s">
        <v>98</v>
      </c>
      <c r="D654" s="962">
        <v>157</v>
      </c>
      <c r="E654" s="963">
        <v>45698</v>
      </c>
      <c r="F654" s="963">
        <v>45854</v>
      </c>
      <c r="G654" s="962">
        <v>157</v>
      </c>
      <c r="H654" s="963"/>
      <c r="I654" s="963"/>
      <c r="J654" s="963">
        <v>45821</v>
      </c>
      <c r="K654" s="963">
        <v>45977</v>
      </c>
    </row>
    <row r="655" spans="1:11">
      <c r="A655" s="959"/>
      <c r="B655" s="959"/>
      <c r="C655" s="961" t="s">
        <v>99</v>
      </c>
      <c r="D655" s="962">
        <v>139</v>
      </c>
      <c r="E655" s="963">
        <v>45758</v>
      </c>
      <c r="F655" s="963">
        <v>45896</v>
      </c>
      <c r="G655" s="962">
        <v>127</v>
      </c>
      <c r="H655" s="963"/>
      <c r="I655" s="963"/>
      <c r="J655" s="963">
        <v>45819</v>
      </c>
      <c r="K655" s="963">
        <v>45945</v>
      </c>
    </row>
    <row r="656" spans="1:11">
      <c r="A656" s="959"/>
      <c r="B656" s="959"/>
      <c r="C656" s="961" t="s">
        <v>100</v>
      </c>
      <c r="D656" s="962">
        <v>216</v>
      </c>
      <c r="E656" s="963">
        <v>45692</v>
      </c>
      <c r="F656" s="963">
        <v>45907</v>
      </c>
      <c r="G656" s="962">
        <v>178</v>
      </c>
      <c r="H656" s="963"/>
      <c r="I656" s="963"/>
      <c r="J656" s="963">
        <v>45776</v>
      </c>
      <c r="K656" s="963">
        <v>45953</v>
      </c>
    </row>
    <row r="657" spans="1:11">
      <c r="A657" s="959"/>
      <c r="B657" s="959"/>
      <c r="C657" s="961" t="s">
        <v>101</v>
      </c>
      <c r="D657" s="962">
        <v>165</v>
      </c>
      <c r="E657" s="963">
        <v>45758</v>
      </c>
      <c r="F657" s="963">
        <v>45922</v>
      </c>
      <c r="G657" s="962">
        <v>169</v>
      </c>
      <c r="H657" s="963"/>
      <c r="I657" s="963"/>
      <c r="J657" s="963">
        <v>45818</v>
      </c>
      <c r="K657" s="963">
        <v>45986</v>
      </c>
    </row>
    <row r="658" spans="1:11">
      <c r="A658" s="959"/>
      <c r="B658" s="959"/>
      <c r="C658" s="961" t="s">
        <v>102</v>
      </c>
      <c r="D658" s="962">
        <v>73</v>
      </c>
      <c r="E658" s="963">
        <v>45825</v>
      </c>
      <c r="F658" s="963">
        <v>45897</v>
      </c>
      <c r="G658" s="962">
        <v>73</v>
      </c>
      <c r="H658" s="963"/>
      <c r="I658" s="963"/>
      <c r="J658" s="963">
        <v>45882</v>
      </c>
      <c r="K658" s="963">
        <v>45954</v>
      </c>
    </row>
    <row r="659" spans="1:11">
      <c r="A659" s="959"/>
      <c r="B659" s="959"/>
      <c r="C659" s="961" t="s">
        <v>103</v>
      </c>
      <c r="D659" s="962">
        <v>277</v>
      </c>
      <c r="E659" s="963">
        <v>45678</v>
      </c>
      <c r="F659" s="963">
        <v>45954</v>
      </c>
      <c r="G659" s="962">
        <v>333</v>
      </c>
      <c r="H659" s="963">
        <v>45689</v>
      </c>
      <c r="I659" s="963"/>
      <c r="J659" s="963">
        <v>45689</v>
      </c>
      <c r="K659" s="963">
        <v>46021</v>
      </c>
    </row>
    <row r="660" spans="1:11">
      <c r="A660" s="959"/>
      <c r="B660" s="959"/>
      <c r="C660" s="961" t="s">
        <v>104</v>
      </c>
      <c r="D660" s="962">
        <v>231</v>
      </c>
      <c r="E660" s="963">
        <v>45658</v>
      </c>
      <c r="F660" s="963">
        <v>45888</v>
      </c>
      <c r="G660" s="962">
        <v>255</v>
      </c>
      <c r="H660" s="963">
        <v>45658</v>
      </c>
      <c r="I660" s="963"/>
      <c r="J660" s="963">
        <v>45658</v>
      </c>
      <c r="K660" s="963">
        <v>45912</v>
      </c>
    </row>
    <row r="661" spans="1:11">
      <c r="A661" s="959"/>
      <c r="B661" s="959"/>
      <c r="C661" s="961" t="s">
        <v>105</v>
      </c>
      <c r="D661" s="962">
        <v>77</v>
      </c>
      <c r="E661" s="963">
        <v>45783</v>
      </c>
      <c r="F661" s="963">
        <v>45859</v>
      </c>
      <c r="G661" s="962">
        <v>78</v>
      </c>
      <c r="H661" s="963"/>
      <c r="I661" s="963"/>
      <c r="J661" s="963">
        <v>45839</v>
      </c>
      <c r="K661" s="963">
        <v>45916</v>
      </c>
    </row>
    <row r="662" spans="1:11">
      <c r="A662" s="959"/>
      <c r="B662" s="959"/>
      <c r="C662" s="961" t="s">
        <v>106</v>
      </c>
      <c r="D662" s="962">
        <v>102</v>
      </c>
      <c r="E662" s="963">
        <v>45740</v>
      </c>
      <c r="F662" s="963">
        <v>45841</v>
      </c>
      <c r="G662" s="962">
        <v>102</v>
      </c>
      <c r="H662" s="963"/>
      <c r="I662" s="963"/>
      <c r="J662" s="963">
        <v>45810</v>
      </c>
      <c r="K662" s="963">
        <v>45911</v>
      </c>
    </row>
    <row r="663" spans="1:11">
      <c r="A663" s="959"/>
      <c r="B663" s="959"/>
      <c r="C663" s="961" t="s">
        <v>107</v>
      </c>
      <c r="D663" s="962">
        <v>123</v>
      </c>
      <c r="E663" s="963">
        <v>45760</v>
      </c>
      <c r="F663" s="963">
        <v>45882</v>
      </c>
      <c r="G663" s="962">
        <v>67</v>
      </c>
      <c r="H663" s="963"/>
      <c r="I663" s="963"/>
      <c r="J663" s="963">
        <v>45857</v>
      </c>
      <c r="K663" s="963">
        <v>45923</v>
      </c>
    </row>
    <row r="664" spans="1:11">
      <c r="A664" s="959"/>
      <c r="B664" s="959"/>
      <c r="C664" s="961" t="s">
        <v>108</v>
      </c>
      <c r="D664" s="962">
        <v>89</v>
      </c>
      <c r="E664" s="963">
        <v>45804</v>
      </c>
      <c r="F664" s="963">
        <v>45892</v>
      </c>
      <c r="G664" s="962">
        <v>89</v>
      </c>
      <c r="H664" s="963"/>
      <c r="I664" s="963"/>
      <c r="J664" s="963">
        <v>45874</v>
      </c>
      <c r="K664" s="963">
        <v>45962</v>
      </c>
    </row>
    <row r="665" spans="1:11">
      <c r="A665" s="959"/>
      <c r="B665" s="959"/>
      <c r="C665" s="961" t="s">
        <v>109</v>
      </c>
      <c r="D665" s="962">
        <v>147</v>
      </c>
      <c r="E665" s="963">
        <v>45739</v>
      </c>
      <c r="F665" s="963">
        <v>45885</v>
      </c>
      <c r="G665" s="962">
        <v>147</v>
      </c>
      <c r="H665" s="963"/>
      <c r="I665" s="963"/>
      <c r="J665" s="963">
        <v>45809</v>
      </c>
      <c r="K665" s="963">
        <v>45955</v>
      </c>
    </row>
    <row r="666" spans="1:11">
      <c r="A666" s="959"/>
      <c r="B666" s="959"/>
      <c r="C666" s="961" t="s">
        <v>110</v>
      </c>
      <c r="D666" s="962">
        <v>157</v>
      </c>
      <c r="E666" s="963">
        <v>45763</v>
      </c>
      <c r="F666" s="963">
        <v>45919</v>
      </c>
      <c r="G666" s="962">
        <v>150</v>
      </c>
      <c r="H666" s="963"/>
      <c r="I666" s="963"/>
      <c r="J666" s="963">
        <v>45833</v>
      </c>
      <c r="K666" s="963">
        <v>45982</v>
      </c>
    </row>
    <row r="667" spans="1:11">
      <c r="A667" s="959"/>
      <c r="B667" s="959"/>
      <c r="C667" s="961" t="s">
        <v>111</v>
      </c>
      <c r="D667" s="962">
        <v>75</v>
      </c>
      <c r="E667" s="963">
        <v>45857</v>
      </c>
      <c r="F667" s="963">
        <v>45931</v>
      </c>
      <c r="G667" s="962">
        <v>76</v>
      </c>
      <c r="H667" s="963"/>
      <c r="I667" s="963"/>
      <c r="J667" s="963">
        <v>45923</v>
      </c>
      <c r="K667" s="963">
        <v>45998</v>
      </c>
    </row>
    <row r="668" spans="1:11">
      <c r="A668" s="959"/>
      <c r="B668" s="959"/>
      <c r="C668" s="961" t="s">
        <v>112</v>
      </c>
      <c r="D668" s="962">
        <v>113</v>
      </c>
      <c r="E668" s="963">
        <v>45770</v>
      </c>
      <c r="F668" s="963">
        <v>45882</v>
      </c>
      <c r="G668" s="962">
        <v>113</v>
      </c>
      <c r="H668" s="963"/>
      <c r="I668" s="963"/>
      <c r="J668" s="963">
        <v>45840</v>
      </c>
      <c r="K668" s="963">
        <v>45952</v>
      </c>
    </row>
    <row r="669" spans="1:11">
      <c r="A669" s="959"/>
      <c r="B669" s="959"/>
      <c r="C669" s="961" t="s">
        <v>113</v>
      </c>
      <c r="D669" s="962">
        <v>235</v>
      </c>
      <c r="E669" s="963">
        <v>45713</v>
      </c>
      <c r="F669" s="963">
        <v>45947</v>
      </c>
      <c r="G669" s="962">
        <v>205</v>
      </c>
      <c r="H669" s="963"/>
      <c r="I669" s="963"/>
      <c r="J669" s="963">
        <v>45773</v>
      </c>
      <c r="K669" s="963">
        <v>45977</v>
      </c>
    </row>
    <row r="670" spans="1:11">
      <c r="A670" s="959"/>
      <c r="B670" s="959"/>
      <c r="C670" s="961" t="s">
        <v>245</v>
      </c>
      <c r="D670" s="962">
        <v>90</v>
      </c>
      <c r="E670" s="963">
        <v>45798</v>
      </c>
      <c r="F670" s="963">
        <v>45887</v>
      </c>
      <c r="G670" s="962">
        <v>90</v>
      </c>
      <c r="H670" s="963"/>
      <c r="I670" s="963"/>
      <c r="J670" s="963">
        <v>45859</v>
      </c>
      <c r="K670" s="963">
        <v>45948</v>
      </c>
    </row>
    <row r="671" spans="1:11" s="957" customFormat="1">
      <c r="A671" s="965" t="s">
        <v>19</v>
      </c>
      <c r="B671" s="965" t="s">
        <v>571</v>
      </c>
      <c r="C671" s="969"/>
      <c r="D671" s="955">
        <v>316</v>
      </c>
      <c r="E671" s="956">
        <v>45656</v>
      </c>
      <c r="F671" s="956">
        <v>45971</v>
      </c>
      <c r="G671" s="955">
        <v>382</v>
      </c>
      <c r="H671" s="956">
        <v>45656</v>
      </c>
      <c r="I671" s="956"/>
      <c r="J671" s="956">
        <v>45656</v>
      </c>
      <c r="K671" s="956">
        <v>46037</v>
      </c>
    </row>
    <row r="672" spans="1:11">
      <c r="A672" s="959"/>
      <c r="B672" s="959"/>
      <c r="C672" s="961" t="s">
        <v>97</v>
      </c>
      <c r="D672" s="962">
        <v>130</v>
      </c>
      <c r="E672" s="963">
        <v>45769</v>
      </c>
      <c r="F672" s="963">
        <v>45898</v>
      </c>
      <c r="G672" s="962">
        <v>214</v>
      </c>
      <c r="H672" s="963"/>
      <c r="I672" s="963"/>
      <c r="J672" s="963">
        <v>45755</v>
      </c>
      <c r="K672" s="963">
        <v>45968</v>
      </c>
    </row>
    <row r="673" spans="1:11">
      <c r="A673" s="959"/>
      <c r="B673" s="959"/>
      <c r="C673" s="961" t="s">
        <v>98</v>
      </c>
      <c r="D673" s="962">
        <v>141</v>
      </c>
      <c r="E673" s="963">
        <v>45732</v>
      </c>
      <c r="F673" s="963">
        <v>45872</v>
      </c>
      <c r="G673" s="962">
        <v>141</v>
      </c>
      <c r="H673" s="963"/>
      <c r="I673" s="963"/>
      <c r="J673" s="963">
        <v>45855</v>
      </c>
      <c r="K673" s="963">
        <v>45995</v>
      </c>
    </row>
    <row r="674" spans="1:11">
      <c r="A674" s="959"/>
      <c r="B674" s="959"/>
      <c r="C674" s="961" t="s">
        <v>99</v>
      </c>
      <c r="D674" s="962">
        <v>184</v>
      </c>
      <c r="E674" s="963">
        <v>45758</v>
      </c>
      <c r="F674" s="963">
        <v>45941</v>
      </c>
      <c r="G674" s="962">
        <v>172</v>
      </c>
      <c r="H674" s="963"/>
      <c r="I674" s="963"/>
      <c r="J674" s="963">
        <v>45819</v>
      </c>
      <c r="K674" s="963">
        <v>45990</v>
      </c>
    </row>
    <row r="675" spans="1:11">
      <c r="A675" s="959"/>
      <c r="B675" s="959"/>
      <c r="C675" s="961" t="s">
        <v>100</v>
      </c>
      <c r="D675" s="962">
        <v>302</v>
      </c>
      <c r="E675" s="963">
        <v>45656</v>
      </c>
      <c r="F675" s="963">
        <v>45957</v>
      </c>
      <c r="G675" s="962">
        <v>348</v>
      </c>
      <c r="H675" s="963">
        <v>45656</v>
      </c>
      <c r="I675" s="963"/>
      <c r="J675" s="963">
        <v>45656</v>
      </c>
      <c r="K675" s="963">
        <v>46003</v>
      </c>
    </row>
    <row r="676" spans="1:11">
      <c r="A676" s="959"/>
      <c r="B676" s="959"/>
      <c r="C676" s="961" t="s">
        <v>101</v>
      </c>
      <c r="D676" s="962">
        <v>220</v>
      </c>
      <c r="E676" s="963">
        <v>45752</v>
      </c>
      <c r="F676" s="963">
        <v>45971</v>
      </c>
      <c r="G676" s="962">
        <v>214</v>
      </c>
      <c r="H676" s="963"/>
      <c r="I676" s="963"/>
      <c r="J676" s="963">
        <v>45822</v>
      </c>
      <c r="K676" s="963">
        <v>46035</v>
      </c>
    </row>
    <row r="677" spans="1:11">
      <c r="A677" s="959"/>
      <c r="B677" s="959"/>
      <c r="C677" s="961" t="s">
        <v>102</v>
      </c>
      <c r="D677" s="962">
        <v>208</v>
      </c>
      <c r="E677" s="963">
        <v>45740</v>
      </c>
      <c r="F677" s="963">
        <v>45947</v>
      </c>
      <c r="G677" s="962">
        <v>208</v>
      </c>
      <c r="H677" s="963"/>
      <c r="I677" s="963"/>
      <c r="J677" s="963">
        <v>45797</v>
      </c>
      <c r="K677" s="963">
        <v>46004</v>
      </c>
    </row>
    <row r="678" spans="1:11">
      <c r="A678" s="959"/>
      <c r="B678" s="959"/>
      <c r="C678" s="961" t="s">
        <v>103</v>
      </c>
      <c r="D678" s="962">
        <v>266</v>
      </c>
      <c r="E678" s="963">
        <v>45695</v>
      </c>
      <c r="F678" s="963">
        <v>45960</v>
      </c>
      <c r="G678" s="962">
        <v>309</v>
      </c>
      <c r="H678" s="963"/>
      <c r="I678" s="963"/>
      <c r="J678" s="963">
        <v>45719</v>
      </c>
      <c r="K678" s="963">
        <v>46027</v>
      </c>
    </row>
    <row r="679" spans="1:11">
      <c r="A679" s="959"/>
      <c r="B679" s="959"/>
      <c r="C679" s="961" t="s">
        <v>104</v>
      </c>
      <c r="D679" s="962">
        <v>182</v>
      </c>
      <c r="E679" s="963">
        <v>45756</v>
      </c>
      <c r="F679" s="963">
        <v>45937</v>
      </c>
      <c r="G679" s="962">
        <v>298</v>
      </c>
      <c r="H679" s="963">
        <v>45664</v>
      </c>
      <c r="I679" s="963"/>
      <c r="J679" s="963">
        <v>45664</v>
      </c>
      <c r="K679" s="963">
        <v>45961</v>
      </c>
    </row>
    <row r="680" spans="1:11">
      <c r="A680" s="959"/>
      <c r="B680" s="959"/>
      <c r="C680" s="961" t="s">
        <v>105</v>
      </c>
      <c r="D680" s="962">
        <v>229</v>
      </c>
      <c r="E680" s="963">
        <v>45729</v>
      </c>
      <c r="F680" s="963">
        <v>45957</v>
      </c>
      <c r="G680" s="962">
        <v>230</v>
      </c>
      <c r="H680" s="963"/>
      <c r="I680" s="963"/>
      <c r="J680" s="963">
        <v>45752</v>
      </c>
      <c r="K680" s="963">
        <v>45981</v>
      </c>
    </row>
    <row r="681" spans="1:11">
      <c r="A681" s="959"/>
      <c r="B681" s="959"/>
      <c r="C681" s="961" t="s">
        <v>106</v>
      </c>
      <c r="D681" s="962">
        <v>172</v>
      </c>
      <c r="E681" s="963">
        <v>45725</v>
      </c>
      <c r="F681" s="963">
        <v>45896</v>
      </c>
      <c r="G681" s="962">
        <v>199</v>
      </c>
      <c r="H681" s="963"/>
      <c r="I681" s="963"/>
      <c r="J681" s="963">
        <v>45768</v>
      </c>
      <c r="K681" s="963">
        <v>45966</v>
      </c>
    </row>
    <row r="682" spans="1:11">
      <c r="A682" s="959"/>
      <c r="B682" s="959"/>
      <c r="C682" s="961" t="s">
        <v>107</v>
      </c>
      <c r="D682" s="962">
        <v>131</v>
      </c>
      <c r="E682" s="963">
        <v>45787</v>
      </c>
      <c r="F682" s="963">
        <v>45917</v>
      </c>
      <c r="G682" s="962">
        <v>88</v>
      </c>
      <c r="H682" s="963"/>
      <c r="I682" s="963"/>
      <c r="J682" s="963">
        <v>45871</v>
      </c>
      <c r="K682" s="963">
        <v>45958</v>
      </c>
    </row>
    <row r="683" spans="1:11">
      <c r="A683" s="959"/>
      <c r="B683" s="959"/>
      <c r="C683" s="961" t="s">
        <v>108</v>
      </c>
      <c r="D683" s="962">
        <v>111</v>
      </c>
      <c r="E683" s="963">
        <v>45828</v>
      </c>
      <c r="F683" s="963">
        <v>45938</v>
      </c>
      <c r="G683" s="962">
        <v>111</v>
      </c>
      <c r="H683" s="963"/>
      <c r="I683" s="963"/>
      <c r="J683" s="963">
        <v>45898</v>
      </c>
      <c r="K683" s="963">
        <v>46008</v>
      </c>
    </row>
    <row r="684" spans="1:11">
      <c r="A684" s="959"/>
      <c r="B684" s="959"/>
      <c r="C684" s="961" t="s">
        <v>109</v>
      </c>
      <c r="D684" s="962">
        <v>127</v>
      </c>
      <c r="E684" s="963">
        <v>45799</v>
      </c>
      <c r="F684" s="963">
        <v>45925</v>
      </c>
      <c r="G684" s="962">
        <v>127</v>
      </c>
      <c r="H684" s="963"/>
      <c r="I684" s="963"/>
      <c r="J684" s="963">
        <v>45869</v>
      </c>
      <c r="K684" s="963">
        <v>45995</v>
      </c>
    </row>
    <row r="685" spans="1:11">
      <c r="A685" s="959"/>
      <c r="B685" s="959"/>
      <c r="C685" s="961" t="s">
        <v>110</v>
      </c>
      <c r="D685" s="962">
        <v>216</v>
      </c>
      <c r="E685" s="963">
        <v>45703</v>
      </c>
      <c r="F685" s="963">
        <v>45918</v>
      </c>
      <c r="G685" s="962">
        <v>219</v>
      </c>
      <c r="H685" s="963"/>
      <c r="I685" s="963"/>
      <c r="J685" s="963">
        <v>45763</v>
      </c>
      <c r="K685" s="963">
        <v>45981</v>
      </c>
    </row>
    <row r="686" spans="1:11">
      <c r="A686" s="959"/>
      <c r="B686" s="959"/>
      <c r="C686" s="961" t="s">
        <v>111</v>
      </c>
      <c r="D686" s="962">
        <v>130</v>
      </c>
      <c r="E686" s="963">
        <v>45827</v>
      </c>
      <c r="F686" s="963">
        <v>45956</v>
      </c>
      <c r="G686" s="962">
        <v>131</v>
      </c>
      <c r="H686" s="963"/>
      <c r="I686" s="963"/>
      <c r="J686" s="963">
        <v>45893</v>
      </c>
      <c r="K686" s="963">
        <v>46023</v>
      </c>
    </row>
    <row r="687" spans="1:11">
      <c r="A687" s="959"/>
      <c r="B687" s="959"/>
      <c r="C687" s="961" t="s">
        <v>112</v>
      </c>
      <c r="D687" s="962">
        <v>155</v>
      </c>
      <c r="E687" s="963">
        <v>45811</v>
      </c>
      <c r="F687" s="963">
        <v>45965</v>
      </c>
      <c r="G687" s="962">
        <v>154</v>
      </c>
      <c r="H687" s="963"/>
      <c r="I687" s="963"/>
      <c r="J687" s="963">
        <v>45881</v>
      </c>
      <c r="K687" s="963">
        <v>46034</v>
      </c>
    </row>
    <row r="688" spans="1:11">
      <c r="A688" s="959"/>
      <c r="B688" s="959"/>
      <c r="C688" s="961" t="s">
        <v>113</v>
      </c>
      <c r="D688" s="962">
        <v>250</v>
      </c>
      <c r="E688" s="963">
        <v>45678</v>
      </c>
      <c r="F688" s="963">
        <v>45927</v>
      </c>
      <c r="G688" s="962">
        <v>201</v>
      </c>
      <c r="H688" s="963"/>
      <c r="I688" s="963"/>
      <c r="J688" s="963">
        <v>45748</v>
      </c>
      <c r="K688" s="963">
        <v>45948</v>
      </c>
    </row>
    <row r="689" spans="1:11">
      <c r="A689" s="959"/>
      <c r="B689" s="959"/>
      <c r="C689" s="961" t="s">
        <v>140</v>
      </c>
      <c r="D689" s="962">
        <v>60</v>
      </c>
      <c r="E689" s="963">
        <v>45888</v>
      </c>
      <c r="F689" s="963">
        <v>45947</v>
      </c>
      <c r="G689" s="962">
        <v>60</v>
      </c>
      <c r="H689" s="963"/>
      <c r="I689" s="963"/>
      <c r="J689" s="963">
        <v>45958</v>
      </c>
      <c r="K689" s="963">
        <v>46017</v>
      </c>
    </row>
    <row r="690" spans="1:11">
      <c r="A690" s="959"/>
      <c r="B690" s="959"/>
      <c r="C690" s="961" t="s">
        <v>141</v>
      </c>
      <c r="D690" s="962">
        <v>90</v>
      </c>
      <c r="E690" s="963">
        <v>45878</v>
      </c>
      <c r="F690" s="963">
        <v>45967</v>
      </c>
      <c r="G690" s="962">
        <v>90</v>
      </c>
      <c r="H690" s="963"/>
      <c r="I690" s="963"/>
      <c r="J690" s="963">
        <v>45948</v>
      </c>
      <c r="K690" s="963">
        <v>46037</v>
      </c>
    </row>
    <row r="691" spans="1:11" s="957" customFormat="1">
      <c r="A691" s="965" t="s">
        <v>19</v>
      </c>
      <c r="B691" s="965" t="s">
        <v>572</v>
      </c>
      <c r="C691" s="969"/>
      <c r="D691" s="955">
        <v>212</v>
      </c>
      <c r="E691" s="956">
        <v>45758</v>
      </c>
      <c r="F691" s="956">
        <v>45969</v>
      </c>
      <c r="G691" s="955">
        <v>232</v>
      </c>
      <c r="H691" s="956"/>
      <c r="I691" s="956"/>
      <c r="J691" s="956">
        <v>45808</v>
      </c>
      <c r="K691" s="956">
        <v>46039</v>
      </c>
    </row>
    <row r="692" spans="1:11">
      <c r="A692" s="959"/>
      <c r="B692" s="959"/>
      <c r="C692" s="961" t="s">
        <v>103</v>
      </c>
      <c r="D692" s="962">
        <v>212</v>
      </c>
      <c r="E692" s="963">
        <v>45758</v>
      </c>
      <c r="F692" s="963">
        <v>45969</v>
      </c>
      <c r="G692" s="962">
        <v>232</v>
      </c>
      <c r="H692" s="963"/>
      <c r="I692" s="963"/>
      <c r="J692" s="963">
        <v>45808</v>
      </c>
      <c r="K692" s="963">
        <v>46039</v>
      </c>
    </row>
    <row r="693" spans="1:11">
      <c r="A693" s="959"/>
      <c r="B693" s="959"/>
      <c r="C693" s="961" t="s">
        <v>104</v>
      </c>
      <c r="D693" s="962">
        <v>20</v>
      </c>
      <c r="E693" s="963">
        <v>45925</v>
      </c>
      <c r="F693" s="963">
        <v>45944</v>
      </c>
      <c r="G693" s="962">
        <v>20</v>
      </c>
      <c r="H693" s="963"/>
      <c r="I693" s="963"/>
      <c r="J693" s="963">
        <v>45949</v>
      </c>
      <c r="K693" s="963">
        <v>45968</v>
      </c>
    </row>
    <row r="694" spans="1:11">
      <c r="A694" s="959"/>
      <c r="B694" s="959"/>
      <c r="C694" s="961" t="s">
        <v>105</v>
      </c>
      <c r="D694" s="962">
        <v>55</v>
      </c>
      <c r="E694" s="963">
        <v>45881</v>
      </c>
      <c r="F694" s="963">
        <v>45935</v>
      </c>
      <c r="G694" s="962">
        <v>55</v>
      </c>
      <c r="H694" s="963"/>
      <c r="I694" s="963"/>
      <c r="J694" s="963">
        <v>45934</v>
      </c>
      <c r="K694" s="963">
        <v>45988</v>
      </c>
    </row>
    <row r="695" spans="1:11" s="957" customFormat="1">
      <c r="A695" s="965" t="s">
        <v>19</v>
      </c>
      <c r="B695" s="965" t="s">
        <v>573</v>
      </c>
      <c r="C695" s="969"/>
      <c r="D695" s="955">
        <v>176</v>
      </c>
      <c r="E695" s="956">
        <v>45801</v>
      </c>
      <c r="F695" s="956">
        <v>45976</v>
      </c>
      <c r="G695" s="955">
        <v>188</v>
      </c>
      <c r="H695" s="956"/>
      <c r="I695" s="956"/>
      <c r="J695" s="956">
        <v>45859</v>
      </c>
      <c r="K695" s="956">
        <v>46046</v>
      </c>
    </row>
    <row r="696" spans="1:11">
      <c r="A696" s="959"/>
      <c r="B696" s="959"/>
      <c r="C696" s="961" t="s">
        <v>97</v>
      </c>
      <c r="D696" s="962">
        <v>56</v>
      </c>
      <c r="E696" s="963">
        <v>45854</v>
      </c>
      <c r="F696" s="963">
        <v>45909</v>
      </c>
      <c r="G696" s="962">
        <v>56</v>
      </c>
      <c r="H696" s="963"/>
      <c r="I696" s="963"/>
      <c r="J696" s="963">
        <v>45924</v>
      </c>
      <c r="K696" s="963">
        <v>45979</v>
      </c>
    </row>
    <row r="697" spans="1:11">
      <c r="A697" s="959"/>
      <c r="B697" s="959"/>
      <c r="C697" s="961" t="s">
        <v>98</v>
      </c>
      <c r="D697" s="962">
        <v>41</v>
      </c>
      <c r="E697" s="963">
        <v>45858</v>
      </c>
      <c r="F697" s="963">
        <v>45898</v>
      </c>
      <c r="G697" s="962">
        <v>41</v>
      </c>
      <c r="H697" s="963"/>
      <c r="I697" s="963"/>
      <c r="J697" s="963">
        <v>45981</v>
      </c>
      <c r="K697" s="963">
        <v>46021</v>
      </c>
    </row>
    <row r="698" spans="1:11">
      <c r="A698" s="959"/>
      <c r="B698" s="959"/>
      <c r="C698" s="961" t="s">
        <v>99</v>
      </c>
      <c r="D698" s="962">
        <v>71</v>
      </c>
      <c r="E698" s="963">
        <v>45872</v>
      </c>
      <c r="F698" s="963">
        <v>45942</v>
      </c>
      <c r="G698" s="962">
        <v>72</v>
      </c>
      <c r="H698" s="963"/>
      <c r="I698" s="963"/>
      <c r="J698" s="963">
        <v>45920</v>
      </c>
      <c r="K698" s="963">
        <v>45991</v>
      </c>
    </row>
    <row r="699" spans="1:11">
      <c r="A699" s="959"/>
      <c r="B699" s="959"/>
      <c r="C699" s="961" t="s">
        <v>100</v>
      </c>
      <c r="D699" s="962">
        <v>77</v>
      </c>
      <c r="E699" s="963">
        <v>45898</v>
      </c>
      <c r="F699" s="963">
        <v>45974</v>
      </c>
      <c r="G699" s="962">
        <v>102</v>
      </c>
      <c r="H699" s="963"/>
      <c r="I699" s="963"/>
      <c r="J699" s="963">
        <v>45943</v>
      </c>
      <c r="K699" s="963">
        <v>46044</v>
      </c>
    </row>
    <row r="700" spans="1:11">
      <c r="A700" s="959"/>
      <c r="B700" s="959"/>
      <c r="C700" s="961" t="s">
        <v>101</v>
      </c>
      <c r="D700" s="962">
        <v>93</v>
      </c>
      <c r="E700" s="963">
        <v>45883</v>
      </c>
      <c r="F700" s="963">
        <v>45975</v>
      </c>
      <c r="G700" s="962">
        <v>99</v>
      </c>
      <c r="H700" s="963"/>
      <c r="I700" s="963"/>
      <c r="J700" s="963">
        <v>45946</v>
      </c>
      <c r="K700" s="963">
        <v>46044</v>
      </c>
    </row>
    <row r="701" spans="1:11">
      <c r="A701" s="959"/>
      <c r="B701" s="959"/>
      <c r="C701" s="961" t="s">
        <v>102</v>
      </c>
      <c r="D701" s="962">
        <v>76</v>
      </c>
      <c r="E701" s="963">
        <v>45878</v>
      </c>
      <c r="F701" s="963">
        <v>45953</v>
      </c>
      <c r="G701" s="962">
        <v>76</v>
      </c>
      <c r="H701" s="963"/>
      <c r="I701" s="963"/>
      <c r="J701" s="963">
        <v>45935</v>
      </c>
      <c r="K701" s="963">
        <v>46010</v>
      </c>
    </row>
    <row r="702" spans="1:11">
      <c r="A702" s="959"/>
      <c r="B702" s="959"/>
      <c r="C702" s="961" t="s">
        <v>103</v>
      </c>
      <c r="D702" s="962">
        <v>176</v>
      </c>
      <c r="E702" s="963">
        <v>45801</v>
      </c>
      <c r="F702" s="963">
        <v>45976</v>
      </c>
      <c r="G702" s="962">
        <v>188</v>
      </c>
      <c r="H702" s="963"/>
      <c r="I702" s="963"/>
      <c r="J702" s="963">
        <v>45859</v>
      </c>
      <c r="K702" s="963">
        <v>46046</v>
      </c>
    </row>
    <row r="703" spans="1:11">
      <c r="A703" s="959"/>
      <c r="B703" s="959"/>
      <c r="C703" s="961" t="s">
        <v>104</v>
      </c>
      <c r="D703" s="962">
        <v>71</v>
      </c>
      <c r="E703" s="963">
        <v>45904</v>
      </c>
      <c r="F703" s="963">
        <v>45974</v>
      </c>
      <c r="G703" s="962">
        <v>117</v>
      </c>
      <c r="H703" s="963"/>
      <c r="I703" s="963"/>
      <c r="J703" s="963">
        <v>45928</v>
      </c>
      <c r="K703" s="963">
        <v>46044</v>
      </c>
    </row>
    <row r="704" spans="1:11">
      <c r="A704" s="959"/>
      <c r="B704" s="959"/>
      <c r="C704" s="961" t="s">
        <v>105</v>
      </c>
      <c r="D704" s="962">
        <v>137</v>
      </c>
      <c r="E704" s="963">
        <v>45833</v>
      </c>
      <c r="F704" s="963">
        <v>45969</v>
      </c>
      <c r="G704" s="962">
        <v>107</v>
      </c>
      <c r="H704" s="963"/>
      <c r="I704" s="963"/>
      <c r="J704" s="963">
        <v>45889</v>
      </c>
      <c r="K704" s="963">
        <v>45995</v>
      </c>
    </row>
    <row r="705" spans="1:11">
      <c r="A705" s="959"/>
      <c r="B705" s="959"/>
      <c r="C705" s="961" t="s">
        <v>106</v>
      </c>
      <c r="D705" s="962">
        <v>84</v>
      </c>
      <c r="E705" s="963">
        <v>45820</v>
      </c>
      <c r="F705" s="963">
        <v>45903</v>
      </c>
      <c r="G705" s="962">
        <v>84</v>
      </c>
      <c r="H705" s="963"/>
      <c r="I705" s="963"/>
      <c r="J705" s="963">
        <v>45890</v>
      </c>
      <c r="K705" s="963">
        <v>45973</v>
      </c>
    </row>
    <row r="706" spans="1:11">
      <c r="A706" s="959"/>
      <c r="B706" s="959"/>
      <c r="C706" s="961" t="s">
        <v>107</v>
      </c>
      <c r="D706" s="962">
        <v>72</v>
      </c>
      <c r="E706" s="963">
        <v>45853</v>
      </c>
      <c r="F706" s="963">
        <v>45924</v>
      </c>
      <c r="G706" s="962">
        <v>50</v>
      </c>
      <c r="H706" s="963"/>
      <c r="I706" s="963"/>
      <c r="J706" s="963">
        <v>45924</v>
      </c>
      <c r="K706" s="963">
        <v>45973</v>
      </c>
    </row>
    <row r="707" spans="1:11">
      <c r="A707" s="959"/>
      <c r="B707" s="959"/>
      <c r="C707" s="961" t="s">
        <v>108</v>
      </c>
      <c r="D707" s="962">
        <v>70</v>
      </c>
      <c r="E707" s="963">
        <v>45860</v>
      </c>
      <c r="F707" s="963">
        <v>45929</v>
      </c>
      <c r="G707" s="962">
        <v>70</v>
      </c>
      <c r="H707" s="963"/>
      <c r="I707" s="963"/>
      <c r="J707" s="963">
        <v>45930</v>
      </c>
      <c r="K707" s="963">
        <v>45999</v>
      </c>
    </row>
    <row r="708" spans="1:11">
      <c r="A708" s="959"/>
      <c r="B708" s="959"/>
      <c r="C708" s="961" t="s">
        <v>109</v>
      </c>
      <c r="D708" s="962">
        <v>42</v>
      </c>
      <c r="E708" s="963">
        <v>45916</v>
      </c>
      <c r="F708" s="963">
        <v>45957</v>
      </c>
      <c r="G708" s="962">
        <v>42</v>
      </c>
      <c r="H708" s="963"/>
      <c r="I708" s="963"/>
      <c r="J708" s="963">
        <v>45986</v>
      </c>
      <c r="K708" s="963">
        <v>46027</v>
      </c>
    </row>
    <row r="709" spans="1:11">
      <c r="A709" s="959"/>
      <c r="B709" s="959"/>
      <c r="C709" s="961" t="s">
        <v>110</v>
      </c>
      <c r="D709" s="962">
        <v>33</v>
      </c>
      <c r="E709" s="963">
        <v>45912</v>
      </c>
      <c r="F709" s="963">
        <v>45944</v>
      </c>
      <c r="G709" s="962">
        <v>34</v>
      </c>
      <c r="H709" s="963"/>
      <c r="I709" s="963"/>
      <c r="J709" s="963">
        <v>45974</v>
      </c>
      <c r="K709" s="963">
        <v>46007</v>
      </c>
    </row>
    <row r="710" spans="1:11">
      <c r="A710" s="959"/>
      <c r="B710" s="959"/>
      <c r="C710" s="961" t="s">
        <v>111</v>
      </c>
      <c r="D710" s="962">
        <v>66</v>
      </c>
      <c r="E710" s="963">
        <v>45897</v>
      </c>
      <c r="F710" s="963">
        <v>45962</v>
      </c>
      <c r="G710" s="962">
        <v>67</v>
      </c>
      <c r="H710" s="963"/>
      <c r="I710" s="963"/>
      <c r="J710" s="963">
        <v>45963</v>
      </c>
      <c r="K710" s="963">
        <v>46029</v>
      </c>
    </row>
    <row r="711" spans="1:11">
      <c r="A711" s="959"/>
      <c r="B711" s="959"/>
      <c r="C711" s="961" t="s">
        <v>112</v>
      </c>
      <c r="D711" s="962">
        <v>38</v>
      </c>
      <c r="E711" s="963">
        <v>45938</v>
      </c>
      <c r="F711" s="963">
        <v>45975</v>
      </c>
      <c r="G711" s="962">
        <v>38</v>
      </c>
      <c r="H711" s="963"/>
      <c r="I711" s="963"/>
      <c r="J711" s="963">
        <v>46008</v>
      </c>
      <c r="K711" s="963">
        <v>46045</v>
      </c>
    </row>
    <row r="712" spans="1:11">
      <c r="A712" s="959"/>
      <c r="B712" s="959"/>
      <c r="C712" s="961" t="s">
        <v>113</v>
      </c>
      <c r="D712" s="962">
        <v>157</v>
      </c>
      <c r="E712" s="963">
        <v>45817</v>
      </c>
      <c r="F712" s="963">
        <v>45973</v>
      </c>
      <c r="G712" s="962">
        <v>251</v>
      </c>
      <c r="H712" s="963"/>
      <c r="I712" s="963"/>
      <c r="J712" s="963">
        <v>45793</v>
      </c>
      <c r="K712" s="963">
        <v>46043</v>
      </c>
    </row>
    <row r="713" spans="1:11" s="957" customFormat="1">
      <c r="A713" s="965" t="s">
        <v>19</v>
      </c>
      <c r="B713" s="965" t="s">
        <v>574</v>
      </c>
      <c r="C713" s="969"/>
      <c r="D713" s="955">
        <v>273</v>
      </c>
      <c r="E713" s="956">
        <v>45698</v>
      </c>
      <c r="F713" s="956">
        <v>45970</v>
      </c>
      <c r="G713" s="955">
        <v>282</v>
      </c>
      <c r="H713" s="956"/>
      <c r="I713" s="956"/>
      <c r="J713" s="956">
        <v>45759</v>
      </c>
      <c r="K713" s="956">
        <v>46040</v>
      </c>
    </row>
    <row r="714" spans="1:11">
      <c r="A714" s="959"/>
      <c r="B714" s="959"/>
      <c r="C714" s="961" t="s">
        <v>114</v>
      </c>
      <c r="D714" s="962">
        <v>164</v>
      </c>
      <c r="E714" s="963">
        <v>45758</v>
      </c>
      <c r="F714" s="963">
        <v>45921</v>
      </c>
      <c r="G714" s="962">
        <v>170</v>
      </c>
      <c r="H714" s="963"/>
      <c r="I714" s="963"/>
      <c r="J714" s="963">
        <v>45808</v>
      </c>
      <c r="K714" s="963">
        <v>45977</v>
      </c>
    </row>
    <row r="715" spans="1:11">
      <c r="A715" s="959"/>
      <c r="B715" s="959"/>
      <c r="C715" s="961" t="s">
        <v>115</v>
      </c>
      <c r="D715" s="962">
        <v>201</v>
      </c>
      <c r="E715" s="963">
        <v>45758</v>
      </c>
      <c r="F715" s="963">
        <v>45958</v>
      </c>
      <c r="G715" s="962">
        <v>209</v>
      </c>
      <c r="H715" s="963"/>
      <c r="I715" s="963"/>
      <c r="J715" s="963">
        <v>45820</v>
      </c>
      <c r="K715" s="963">
        <v>46028</v>
      </c>
    </row>
    <row r="716" spans="1:11">
      <c r="A716" s="959"/>
      <c r="B716" s="959"/>
      <c r="C716" s="961" t="s">
        <v>116</v>
      </c>
      <c r="D716" s="962">
        <v>127</v>
      </c>
      <c r="E716" s="963">
        <v>45758</v>
      </c>
      <c r="F716" s="963">
        <v>45884</v>
      </c>
      <c r="G716" s="962">
        <v>223</v>
      </c>
      <c r="H716" s="963"/>
      <c r="I716" s="963"/>
      <c r="J716" s="963">
        <v>45817</v>
      </c>
      <c r="K716" s="963">
        <v>46039</v>
      </c>
    </row>
    <row r="717" spans="1:11">
      <c r="A717" s="959"/>
      <c r="B717" s="959"/>
      <c r="C717" s="961" t="s">
        <v>575</v>
      </c>
      <c r="D717" s="962">
        <v>186</v>
      </c>
      <c r="E717" s="963">
        <v>45730</v>
      </c>
      <c r="F717" s="963">
        <v>45915</v>
      </c>
      <c r="G717" s="962">
        <v>196</v>
      </c>
      <c r="H717" s="963"/>
      <c r="I717" s="963"/>
      <c r="J717" s="963">
        <v>45790</v>
      </c>
      <c r="K717" s="963">
        <v>45985</v>
      </c>
    </row>
    <row r="718" spans="1:11">
      <c r="A718" s="959"/>
      <c r="B718" s="959"/>
      <c r="C718" s="961" t="s">
        <v>576</v>
      </c>
      <c r="D718" s="962">
        <v>166</v>
      </c>
      <c r="E718" s="963">
        <v>45758</v>
      </c>
      <c r="F718" s="963">
        <v>45923</v>
      </c>
      <c r="G718" s="962">
        <v>178</v>
      </c>
      <c r="H718" s="963"/>
      <c r="I718" s="963"/>
      <c r="J718" s="963">
        <v>45808</v>
      </c>
      <c r="K718" s="963">
        <v>45985</v>
      </c>
    </row>
    <row r="719" spans="1:11">
      <c r="A719" s="959"/>
      <c r="B719" s="959"/>
      <c r="C719" s="961" t="s">
        <v>229</v>
      </c>
      <c r="D719" s="962">
        <v>143</v>
      </c>
      <c r="E719" s="963">
        <v>45773</v>
      </c>
      <c r="F719" s="963">
        <v>45915</v>
      </c>
      <c r="G719" s="962">
        <v>163</v>
      </c>
      <c r="H719" s="963"/>
      <c r="I719" s="963"/>
      <c r="J719" s="963">
        <v>45823</v>
      </c>
      <c r="K719" s="963">
        <v>45985</v>
      </c>
    </row>
    <row r="720" spans="1:11">
      <c r="A720" s="959"/>
      <c r="B720" s="959"/>
      <c r="C720" s="961" t="s">
        <v>118</v>
      </c>
      <c r="D720" s="962">
        <v>193</v>
      </c>
      <c r="E720" s="963">
        <v>45773</v>
      </c>
      <c r="F720" s="963">
        <v>45965</v>
      </c>
      <c r="G720" s="962">
        <v>202</v>
      </c>
      <c r="H720" s="963"/>
      <c r="I720" s="963"/>
      <c r="J720" s="963">
        <v>45823</v>
      </c>
      <c r="K720" s="963">
        <v>46024</v>
      </c>
    </row>
    <row r="721" spans="1:11">
      <c r="A721" s="959"/>
      <c r="B721" s="959"/>
      <c r="C721" s="961" t="s">
        <v>119</v>
      </c>
      <c r="D721" s="962">
        <v>157</v>
      </c>
      <c r="E721" s="963">
        <v>45788</v>
      </c>
      <c r="F721" s="963">
        <v>45944</v>
      </c>
      <c r="G721" s="962">
        <v>162</v>
      </c>
      <c r="H721" s="963"/>
      <c r="I721" s="963"/>
      <c r="J721" s="963">
        <v>45838</v>
      </c>
      <c r="K721" s="963">
        <v>45999</v>
      </c>
    </row>
    <row r="722" spans="1:11">
      <c r="A722" s="959"/>
      <c r="B722" s="959"/>
      <c r="C722" s="961" t="s">
        <v>120</v>
      </c>
      <c r="D722" s="962">
        <v>135</v>
      </c>
      <c r="E722" s="963">
        <v>45788</v>
      </c>
      <c r="F722" s="963">
        <v>45922</v>
      </c>
      <c r="G722" s="962">
        <v>127</v>
      </c>
      <c r="H722" s="963"/>
      <c r="I722" s="963"/>
      <c r="J722" s="963">
        <v>45838</v>
      </c>
      <c r="K722" s="963">
        <v>45964</v>
      </c>
    </row>
    <row r="723" spans="1:11">
      <c r="A723" s="959"/>
      <c r="B723" s="959"/>
      <c r="C723" s="961" t="s">
        <v>121</v>
      </c>
      <c r="D723" s="962">
        <v>163</v>
      </c>
      <c r="E723" s="963">
        <v>45803</v>
      </c>
      <c r="F723" s="963">
        <v>45965</v>
      </c>
      <c r="G723" s="962">
        <v>183</v>
      </c>
      <c r="H723" s="963"/>
      <c r="I723" s="963"/>
      <c r="J723" s="963">
        <v>45853</v>
      </c>
      <c r="K723" s="963">
        <v>46035</v>
      </c>
    </row>
    <row r="724" spans="1:11">
      <c r="A724" s="959"/>
      <c r="B724" s="959"/>
      <c r="C724" s="961" t="s">
        <v>122</v>
      </c>
      <c r="D724" s="962">
        <v>1</v>
      </c>
      <c r="E724" s="963"/>
      <c r="F724" s="963"/>
      <c r="G724" s="962">
        <v>1</v>
      </c>
      <c r="H724" s="963"/>
      <c r="I724" s="963"/>
      <c r="J724" s="963"/>
      <c r="K724" s="963"/>
    </row>
    <row r="725" spans="1:11">
      <c r="A725" s="959"/>
      <c r="B725" s="959"/>
      <c r="C725" s="961" t="s">
        <v>577</v>
      </c>
      <c r="D725" s="962">
        <v>241</v>
      </c>
      <c r="E725" s="963">
        <v>45698</v>
      </c>
      <c r="F725" s="963">
        <v>45938</v>
      </c>
      <c r="G725" s="962">
        <v>241</v>
      </c>
      <c r="H725" s="963"/>
      <c r="I725" s="963"/>
      <c r="J725" s="963">
        <v>45759</v>
      </c>
      <c r="K725" s="963">
        <v>45999</v>
      </c>
    </row>
    <row r="726" spans="1:11">
      <c r="A726" s="959"/>
      <c r="B726" s="959"/>
      <c r="C726" s="961" t="s">
        <v>578</v>
      </c>
      <c r="D726" s="962">
        <v>182</v>
      </c>
      <c r="E726" s="963">
        <v>45789</v>
      </c>
      <c r="F726" s="963">
        <v>45970</v>
      </c>
      <c r="G726" s="962">
        <v>182</v>
      </c>
      <c r="H726" s="963"/>
      <c r="I726" s="963"/>
      <c r="J726" s="963">
        <v>45859</v>
      </c>
      <c r="K726" s="963">
        <v>46040</v>
      </c>
    </row>
    <row r="727" spans="1:11" s="957" customFormat="1">
      <c r="A727" s="965" t="s">
        <v>19</v>
      </c>
      <c r="B727" s="965" t="s">
        <v>579</v>
      </c>
      <c r="C727" s="969"/>
      <c r="D727" s="955">
        <v>1</v>
      </c>
      <c r="E727" s="956">
        <v>45968</v>
      </c>
      <c r="F727" s="956">
        <v>45968</v>
      </c>
      <c r="G727" s="955">
        <v>2</v>
      </c>
      <c r="H727" s="956"/>
      <c r="I727" s="956"/>
      <c r="J727" s="956">
        <v>46038</v>
      </c>
      <c r="K727" s="956">
        <v>46039</v>
      </c>
    </row>
    <row r="728" spans="1:11">
      <c r="A728" s="959"/>
      <c r="B728" s="959"/>
      <c r="C728" s="961" t="s">
        <v>114</v>
      </c>
      <c r="D728" s="962">
        <v>1</v>
      </c>
      <c r="E728" s="963">
        <v>45968</v>
      </c>
      <c r="F728" s="963">
        <v>45968</v>
      </c>
      <c r="G728" s="962">
        <v>1</v>
      </c>
      <c r="H728" s="963"/>
      <c r="I728" s="963"/>
      <c r="J728" s="963">
        <v>46038</v>
      </c>
      <c r="K728" s="963">
        <v>46038</v>
      </c>
    </row>
    <row r="729" spans="1:11">
      <c r="A729" s="959"/>
      <c r="B729" s="959"/>
      <c r="C729" s="961" t="s">
        <v>115</v>
      </c>
      <c r="D729" s="962">
        <v>1</v>
      </c>
      <c r="E729" s="963">
        <v>45968</v>
      </c>
      <c r="F729" s="963">
        <v>45968</v>
      </c>
      <c r="G729" s="962">
        <v>1</v>
      </c>
      <c r="H729" s="963"/>
      <c r="I729" s="963"/>
      <c r="J729" s="963">
        <v>46038</v>
      </c>
      <c r="K729" s="963">
        <v>46038</v>
      </c>
    </row>
    <row r="730" spans="1:11">
      <c r="A730" s="959"/>
      <c r="B730" s="959"/>
      <c r="C730" s="961" t="s">
        <v>116</v>
      </c>
      <c r="D730" s="962">
        <v>1</v>
      </c>
      <c r="E730" s="963">
        <v>45968</v>
      </c>
      <c r="F730" s="963">
        <v>45968</v>
      </c>
      <c r="G730" s="962">
        <v>1</v>
      </c>
      <c r="H730" s="963"/>
      <c r="I730" s="963"/>
      <c r="J730" s="963">
        <v>46039</v>
      </c>
      <c r="K730" s="963">
        <v>46039</v>
      </c>
    </row>
    <row r="731" spans="1:11">
      <c r="A731" s="959"/>
      <c r="B731" s="959"/>
      <c r="C731" s="961" t="s">
        <v>575</v>
      </c>
      <c r="D731" s="962">
        <v>1</v>
      </c>
      <c r="E731" s="963">
        <v>45968</v>
      </c>
      <c r="F731" s="963">
        <v>45968</v>
      </c>
      <c r="G731" s="962">
        <v>1</v>
      </c>
      <c r="H731" s="963"/>
      <c r="I731" s="963"/>
      <c r="J731" s="963">
        <v>46038</v>
      </c>
      <c r="K731" s="963">
        <v>46038</v>
      </c>
    </row>
    <row r="732" spans="1:11">
      <c r="A732" s="959"/>
      <c r="B732" s="959"/>
      <c r="C732" s="961" t="s">
        <v>576</v>
      </c>
      <c r="D732" s="962">
        <v>1</v>
      </c>
      <c r="E732" s="963">
        <v>45968</v>
      </c>
      <c r="F732" s="963">
        <v>45968</v>
      </c>
      <c r="G732" s="962">
        <v>1</v>
      </c>
      <c r="H732" s="963"/>
      <c r="I732" s="963"/>
      <c r="J732" s="963">
        <v>46038</v>
      </c>
      <c r="K732" s="963">
        <v>46038</v>
      </c>
    </row>
    <row r="733" spans="1:11">
      <c r="A733" s="959"/>
      <c r="B733" s="959"/>
      <c r="C733" s="961" t="s">
        <v>229</v>
      </c>
      <c r="D733" s="962">
        <v>1</v>
      </c>
      <c r="E733" s="963">
        <v>45968</v>
      </c>
      <c r="F733" s="963">
        <v>45968</v>
      </c>
      <c r="G733" s="962">
        <v>1</v>
      </c>
      <c r="H733" s="963"/>
      <c r="I733" s="963"/>
      <c r="J733" s="963">
        <v>46038</v>
      </c>
      <c r="K733" s="963">
        <v>46038</v>
      </c>
    </row>
    <row r="734" spans="1:11">
      <c r="A734" s="959"/>
      <c r="B734" s="959"/>
      <c r="C734" s="961" t="s">
        <v>118</v>
      </c>
      <c r="D734" s="962">
        <v>1</v>
      </c>
      <c r="E734" s="963">
        <v>45968</v>
      </c>
      <c r="F734" s="963">
        <v>45968</v>
      </c>
      <c r="G734" s="962">
        <v>1</v>
      </c>
      <c r="H734" s="963"/>
      <c r="I734" s="963"/>
      <c r="J734" s="963">
        <v>46038</v>
      </c>
      <c r="K734" s="963">
        <v>46038</v>
      </c>
    </row>
    <row r="735" spans="1:11">
      <c r="A735" s="959"/>
      <c r="B735" s="959"/>
      <c r="C735" s="961" t="s">
        <v>119</v>
      </c>
      <c r="D735" s="962">
        <v>1</v>
      </c>
      <c r="E735" s="963">
        <v>45968</v>
      </c>
      <c r="F735" s="963">
        <v>45968</v>
      </c>
      <c r="G735" s="962">
        <v>1</v>
      </c>
      <c r="H735" s="963"/>
      <c r="I735" s="963"/>
      <c r="J735" s="963">
        <v>46038</v>
      </c>
      <c r="K735" s="963">
        <v>46038</v>
      </c>
    </row>
    <row r="736" spans="1:11">
      <c r="A736" s="959"/>
      <c r="B736" s="959"/>
      <c r="C736" s="961" t="s">
        <v>120</v>
      </c>
      <c r="D736" s="962">
        <v>1</v>
      </c>
      <c r="E736" s="963">
        <v>45968</v>
      </c>
      <c r="F736" s="963">
        <v>45968</v>
      </c>
      <c r="G736" s="962">
        <v>1</v>
      </c>
      <c r="H736" s="963"/>
      <c r="I736" s="963"/>
      <c r="J736" s="963">
        <v>46038</v>
      </c>
      <c r="K736" s="963">
        <v>46038</v>
      </c>
    </row>
    <row r="737" spans="1:11">
      <c r="A737" s="959"/>
      <c r="B737" s="959"/>
      <c r="C737" s="961" t="s">
        <v>121</v>
      </c>
      <c r="D737" s="962">
        <v>1</v>
      </c>
      <c r="E737" s="963">
        <v>45968</v>
      </c>
      <c r="F737" s="963">
        <v>45968</v>
      </c>
      <c r="G737" s="962">
        <v>1</v>
      </c>
      <c r="H737" s="963"/>
      <c r="I737" s="963"/>
      <c r="J737" s="963">
        <v>46038</v>
      </c>
      <c r="K737" s="963">
        <v>46038</v>
      </c>
    </row>
    <row r="738" spans="1:11">
      <c r="A738" s="959"/>
      <c r="B738" s="959"/>
      <c r="C738" s="961" t="s">
        <v>122</v>
      </c>
      <c r="D738" s="962">
        <v>1</v>
      </c>
      <c r="E738" s="963"/>
      <c r="F738" s="963"/>
      <c r="G738" s="962">
        <v>1</v>
      </c>
      <c r="H738" s="963"/>
      <c r="I738" s="963"/>
      <c r="J738" s="963"/>
      <c r="K738" s="963"/>
    </row>
    <row r="739" spans="1:11">
      <c r="A739" s="959"/>
      <c r="B739" s="1092"/>
      <c r="C739" s="1093"/>
      <c r="D739" s="1094"/>
      <c r="E739" s="1095">
        <f>MIN(E740:E743)</f>
        <v>45967</v>
      </c>
      <c r="F739" s="1095">
        <f>MAX(F740:F743)</f>
        <v>45983</v>
      </c>
      <c r="G739" s="1094"/>
      <c r="H739" s="1095"/>
      <c r="I739" s="1095"/>
      <c r="J739" s="1095"/>
      <c r="K739" s="1095">
        <f>MAX(K740:K743)</f>
        <v>46053</v>
      </c>
    </row>
    <row r="740" spans="1:11" s="957" customFormat="1">
      <c r="A740" s="965" t="s">
        <v>580</v>
      </c>
      <c r="B740" s="965" t="s">
        <v>581</v>
      </c>
      <c r="C740" s="967"/>
      <c r="D740" s="955">
        <v>12</v>
      </c>
      <c r="E740" s="956">
        <v>45967</v>
      </c>
      <c r="F740" s="956">
        <v>45978</v>
      </c>
      <c r="G740" s="955">
        <v>12</v>
      </c>
      <c r="H740" s="956"/>
      <c r="I740" s="956"/>
      <c r="J740" s="956">
        <v>46037</v>
      </c>
      <c r="K740" s="956">
        <v>46048</v>
      </c>
    </row>
    <row r="741" spans="1:11" s="957" customFormat="1">
      <c r="A741" s="965" t="s">
        <v>580</v>
      </c>
      <c r="B741" s="965" t="s">
        <v>27</v>
      </c>
      <c r="C741" s="967"/>
      <c r="D741" s="955">
        <v>11</v>
      </c>
      <c r="E741" s="956">
        <v>45970</v>
      </c>
      <c r="F741" s="956">
        <v>45980</v>
      </c>
      <c r="G741" s="955">
        <v>11</v>
      </c>
      <c r="H741" s="956"/>
      <c r="I741" s="956"/>
      <c r="J741" s="956">
        <v>46040</v>
      </c>
      <c r="K741" s="956">
        <v>46050</v>
      </c>
    </row>
    <row r="742" spans="1:11" s="957" customFormat="1">
      <c r="A742" s="965" t="s">
        <v>580</v>
      </c>
      <c r="B742" s="965" t="s">
        <v>582</v>
      </c>
      <c r="C742" s="967"/>
      <c r="D742" s="955">
        <v>2</v>
      </c>
      <c r="E742" s="956">
        <v>45982</v>
      </c>
      <c r="F742" s="956">
        <v>45983</v>
      </c>
      <c r="G742" s="955">
        <v>2</v>
      </c>
      <c r="H742" s="956"/>
      <c r="I742" s="956"/>
      <c r="J742" s="956">
        <v>46052</v>
      </c>
      <c r="K742" s="956">
        <v>46053</v>
      </c>
    </row>
    <row r="743" spans="1:11" s="957" customFormat="1">
      <c r="A743" s="965" t="s">
        <v>580</v>
      </c>
      <c r="B743" s="965" t="s">
        <v>583</v>
      </c>
      <c r="C743" s="967"/>
      <c r="D743" s="955">
        <v>1</v>
      </c>
      <c r="E743" s="956">
        <v>45974</v>
      </c>
      <c r="F743" s="956">
        <v>45974</v>
      </c>
      <c r="G743" s="955">
        <v>1</v>
      </c>
      <c r="H743" s="956"/>
      <c r="I743" s="956"/>
      <c r="J743" s="956">
        <v>46044</v>
      </c>
      <c r="K743" s="956">
        <v>46044</v>
      </c>
    </row>
  </sheetData>
  <autoFilter ref="A1:K743" xr:uid="{F69A4DB1-80F0-4E8B-9191-0257A9634F74}"/>
  <pageMargins left="0.7" right="0.7" top="0.75" bottom="0.75" header="0.3" footer="0.3"/>
  <pageSetup scale="35" orientation="portrait" r:id="rId1"/>
  <rowBreaks count="2" manualBreakCount="2">
    <brk id="115" max="16383" man="1"/>
    <brk id="21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B380-7C64-471D-B6ED-158F26936BF0}">
  <dimension ref="D1:F29"/>
  <sheetViews>
    <sheetView topLeftCell="A13" workbookViewId="0">
      <selection activeCell="F22" sqref="F22"/>
    </sheetView>
  </sheetViews>
  <sheetFormatPr defaultRowHeight="14.5"/>
  <cols>
    <col min="4" max="4" width="31.453125" customWidth="1"/>
    <col min="5" max="5" width="21.81640625" customWidth="1"/>
    <col min="6" max="6" width="24.36328125" customWidth="1"/>
  </cols>
  <sheetData>
    <row r="1" spans="4:6">
      <c r="D1" s="1123" t="s">
        <v>351</v>
      </c>
      <c r="E1" t="s">
        <v>2261</v>
      </c>
      <c r="F1" t="s">
        <v>2262</v>
      </c>
    </row>
    <row r="2" spans="4:6">
      <c r="D2" s="1124" t="s">
        <v>2263</v>
      </c>
    </row>
    <row r="3" spans="4:6">
      <c r="D3" s="1124" t="s">
        <v>2264</v>
      </c>
    </row>
    <row r="4" spans="4:6">
      <c r="D4" s="1124" t="s">
        <v>2283</v>
      </c>
    </row>
    <row r="5" spans="4:6">
      <c r="D5" s="1124" t="s">
        <v>589</v>
      </c>
    </row>
    <row r="6" spans="4:6">
      <c r="D6" s="1124" t="s">
        <v>2284</v>
      </c>
    </row>
    <row r="7" spans="4:6">
      <c r="D7" s="1124" t="s">
        <v>2286</v>
      </c>
    </row>
    <row r="8" spans="4:6">
      <c r="D8" s="1124" t="s">
        <v>2265</v>
      </c>
    </row>
    <row r="9" spans="4:6">
      <c r="D9" s="1124" t="s">
        <v>2266</v>
      </c>
    </row>
    <row r="10" spans="4:6">
      <c r="D10" s="1124" t="s">
        <v>2285</v>
      </c>
    </row>
    <row r="11" spans="4:6">
      <c r="D11" s="1124" t="s">
        <v>472</v>
      </c>
    </row>
    <row r="12" spans="4:6">
      <c r="D12" s="1124" t="s">
        <v>2267</v>
      </c>
    </row>
    <row r="13" spans="4:6">
      <c r="D13" s="1124" t="s">
        <v>2287</v>
      </c>
    </row>
    <row r="14" spans="4:6">
      <c r="D14" s="1124" t="s">
        <v>2268</v>
      </c>
    </row>
    <row r="15" spans="4:6">
      <c r="D15" s="1124" t="s">
        <v>2269</v>
      </c>
    </row>
    <row r="16" spans="4:6">
      <c r="D16" s="1124" t="s">
        <v>2270</v>
      </c>
    </row>
    <row r="17" spans="4:5">
      <c r="D17" s="1124" t="s">
        <v>2271</v>
      </c>
    </row>
    <row r="18" spans="4:5">
      <c r="D18" s="1124" t="s">
        <v>2272</v>
      </c>
    </row>
    <row r="19" spans="4:5">
      <c r="D19" s="1124" t="s">
        <v>2288</v>
      </c>
      <c r="E19" t="s">
        <v>2289</v>
      </c>
    </row>
    <row r="20" spans="4:5" ht="24">
      <c r="D20" s="1124" t="s">
        <v>2273</v>
      </c>
    </row>
    <row r="21" spans="4:5">
      <c r="D21" s="1124" t="s">
        <v>2274</v>
      </c>
    </row>
    <row r="22" spans="4:5">
      <c r="D22" s="1124" t="s">
        <v>2275</v>
      </c>
    </row>
    <row r="23" spans="4:5">
      <c r="D23" s="1124" t="s">
        <v>2276</v>
      </c>
    </row>
    <row r="24" spans="4:5">
      <c r="D24" s="1124" t="s">
        <v>2277</v>
      </c>
    </row>
    <row r="25" spans="4:5">
      <c r="D25" s="1124" t="s">
        <v>2278</v>
      </c>
    </row>
    <row r="26" spans="4:5">
      <c r="D26" s="1124" t="s">
        <v>2279</v>
      </c>
    </row>
    <row r="27" spans="4:5">
      <c r="D27" s="1124" t="s">
        <v>2280</v>
      </c>
    </row>
    <row r="28" spans="4:5">
      <c r="D28" s="1124" t="s">
        <v>2281</v>
      </c>
    </row>
    <row r="29" spans="4:5">
      <c r="D29" s="1124" t="s">
        <v>2282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2172-773E-4999-8520-BFC10027A7B9}">
  <dimension ref="A1:P29"/>
  <sheetViews>
    <sheetView zoomScale="70" zoomScaleNormal="70" workbookViewId="0">
      <selection activeCell="O5" sqref="O5"/>
    </sheetView>
  </sheetViews>
  <sheetFormatPr defaultRowHeight="14.5"/>
  <cols>
    <col min="1" max="1" width="14.6328125" style="564" customWidth="1"/>
    <col min="2" max="2" width="11.36328125" style="564" customWidth="1"/>
    <col min="3" max="3" width="13.90625" style="564" customWidth="1"/>
    <col min="4" max="4" width="13.81640625" style="564" customWidth="1"/>
    <col min="5" max="5" width="14.453125" style="564" customWidth="1"/>
    <col min="6" max="6" width="12.26953125" style="564" customWidth="1"/>
    <col min="7" max="7" width="13.36328125" style="564" customWidth="1"/>
    <col min="10" max="10" width="21.26953125" style="132" customWidth="1"/>
    <col min="11" max="11" width="23.6328125" style="132" customWidth="1"/>
    <col min="12" max="12" width="20.54296875" style="132" customWidth="1"/>
    <col min="13" max="13" width="16" style="132" customWidth="1"/>
    <col min="14" max="14" width="13.36328125" style="132" customWidth="1"/>
    <col min="15" max="15" width="12.08984375" customWidth="1"/>
    <col min="16" max="16" width="9.453125" bestFit="1" customWidth="1"/>
  </cols>
  <sheetData>
    <row r="1" spans="1:16" ht="31.5" thickBot="1">
      <c r="A1" s="1077" t="str" cm="1">
        <f t="array" ref="A1:H29">TRANSPOSE('MASTER SHEET -MARATHA SITE'!I89:AK96)</f>
        <v>Description</v>
      </c>
      <c r="B1" s="1077" t="str">
        <v>Month Plan</v>
      </c>
      <c r="C1" s="1077" t="str">
        <v>Cumulative Plan</v>
      </c>
      <c r="D1" s="1077" t="str">
        <v>Month Actual</v>
      </c>
      <c r="E1" s="1077" t="str">
        <v>Cumulative Actual</v>
      </c>
      <c r="F1" s="1077" t="str">
        <v>Month Forecast</v>
      </c>
      <c r="G1" s="1077" t="str">
        <v>Cumulative Forecast</v>
      </c>
      <c r="H1" t="str">
        <v>backlog</v>
      </c>
      <c r="J1" s="132" t="s">
        <v>2211</v>
      </c>
      <c r="K1" s="132" t="s">
        <v>2212</v>
      </c>
      <c r="L1" s="132" t="s">
        <v>2213</v>
      </c>
      <c r="M1" s="132" t="s">
        <v>381</v>
      </c>
      <c r="N1" s="132" t="s">
        <v>2214</v>
      </c>
      <c r="O1" s="132" t="s">
        <v>2241</v>
      </c>
      <c r="P1" s="132" t="s">
        <v>2242</v>
      </c>
    </row>
    <row r="2" spans="1:16" ht="16" thickBot="1">
      <c r="A2" s="1078">
        <v>45292</v>
      </c>
      <c r="B2" s="1079">
        <v>0</v>
      </c>
      <c r="C2" s="1079">
        <v>0</v>
      </c>
      <c r="D2" s="1079">
        <v>0</v>
      </c>
      <c r="E2" s="1079">
        <v>0</v>
      </c>
      <c r="F2" s="1079">
        <v>0</v>
      </c>
      <c r="G2" s="1079">
        <v>0</v>
      </c>
      <c r="H2">
        <v>0</v>
      </c>
      <c r="J2" s="1080">
        <f>'P6 Format'!E3</f>
        <v>45353</v>
      </c>
      <c r="K2" s="1080">
        <f>'P6 Format'!F3</f>
        <v>45958</v>
      </c>
      <c r="L2" s="132">
        <f>-(M2-K2)</f>
        <v>-65</v>
      </c>
      <c r="M2" s="1080">
        <f>'P6 Format'!K3</f>
        <v>46023</v>
      </c>
      <c r="N2" s="683">
        <f>'MASTER SHEET -MARATHA SITE'!Z98</f>
        <v>0.7411436490361526</v>
      </c>
      <c r="O2">
        <f ca="1">'P6 Format'!F2-'% data sheet'!P2</f>
        <v>162</v>
      </c>
      <c r="P2" s="360">
        <f ca="1">TODAY()</f>
        <v>45821</v>
      </c>
    </row>
    <row r="3" spans="1:16" ht="16" thickBot="1">
      <c r="A3" s="1078">
        <v>45323</v>
      </c>
      <c r="B3" s="1079">
        <v>7.5233644859813091E-4</v>
      </c>
      <c r="C3" s="1079">
        <v>7.5233644859813091E-4</v>
      </c>
      <c r="D3" s="1079">
        <v>0</v>
      </c>
      <c r="E3" s="1079">
        <v>0</v>
      </c>
      <c r="F3" s="1079">
        <v>0</v>
      </c>
      <c r="G3" s="1079">
        <v>0</v>
      </c>
      <c r="H3">
        <v>0</v>
      </c>
    </row>
    <row r="4" spans="1:16" ht="16" thickBot="1">
      <c r="A4" s="1078">
        <v>45352</v>
      </c>
      <c r="B4" s="1079">
        <v>2.8316129770114214E-2</v>
      </c>
      <c r="C4" s="1079">
        <v>2.9068466218712345E-2</v>
      </c>
      <c r="D4" s="1079">
        <v>2.5040883804600796E-2</v>
      </c>
      <c r="E4" s="1079">
        <v>2.5040883804600796E-2</v>
      </c>
      <c r="F4" s="1079">
        <v>0</v>
      </c>
      <c r="G4" s="1079">
        <v>0</v>
      </c>
      <c r="H4">
        <v>0</v>
      </c>
    </row>
    <row r="5" spans="1:16" ht="16" thickBot="1">
      <c r="A5" s="1078">
        <v>45383</v>
      </c>
      <c r="B5" s="1079">
        <v>1.3561287990969723E-2</v>
      </c>
      <c r="C5" s="1079">
        <v>4.2629754209682069E-2</v>
      </c>
      <c r="D5" s="1079">
        <v>2.4701452741700217E-2</v>
      </c>
      <c r="E5" s="1079">
        <v>4.9742336546301016E-2</v>
      </c>
      <c r="F5" s="1079">
        <v>0</v>
      </c>
      <c r="G5" s="1079">
        <v>0</v>
      </c>
      <c r="H5">
        <v>0</v>
      </c>
    </row>
    <row r="6" spans="1:16" ht="16" thickBot="1">
      <c r="A6" s="1078">
        <v>45413</v>
      </c>
      <c r="B6" s="1079">
        <v>2.7325889219935146E-2</v>
      </c>
      <c r="C6" s="1079">
        <v>6.9955643429617215E-2</v>
      </c>
      <c r="D6" s="1079">
        <v>1.7367473381768753E-2</v>
      </c>
      <c r="E6" s="1079">
        <v>6.7109809928069766E-2</v>
      </c>
      <c r="F6" s="1079">
        <v>0</v>
      </c>
      <c r="G6" s="1079">
        <v>0</v>
      </c>
      <c r="H6">
        <v>0</v>
      </c>
    </row>
    <row r="7" spans="1:16" ht="16" thickBot="1">
      <c r="A7" s="1078">
        <v>45444</v>
      </c>
      <c r="B7" s="1079">
        <v>2.3325917394949089E-2</v>
      </c>
      <c r="C7" s="1079">
        <v>9.3281560824566304E-2</v>
      </c>
      <c r="D7" s="1079">
        <v>1.908463596551202E-2</v>
      </c>
      <c r="E7" s="1079">
        <v>8.6194445893581786E-2</v>
      </c>
      <c r="F7" s="1079">
        <v>0</v>
      </c>
      <c r="G7" s="1079">
        <v>0</v>
      </c>
      <c r="H7">
        <v>0</v>
      </c>
    </row>
    <row r="8" spans="1:16" ht="16" thickBot="1">
      <c r="A8" s="1078">
        <v>45474</v>
      </c>
      <c r="B8" s="1079">
        <v>3.331991700573525E-2</v>
      </c>
      <c r="C8" s="1079">
        <v>0.12660147783030157</v>
      </c>
      <c r="D8" s="1079">
        <v>3.8917411928854576E-2</v>
      </c>
      <c r="E8" s="1079">
        <v>0.12511185782243636</v>
      </c>
      <c r="F8" s="1079">
        <v>0</v>
      </c>
      <c r="G8" s="1079">
        <v>0</v>
      </c>
      <c r="H8">
        <v>0</v>
      </c>
    </row>
    <row r="9" spans="1:16" ht="16" thickBot="1">
      <c r="A9" s="1078">
        <v>45505</v>
      </c>
      <c r="B9" s="1079">
        <v>4.7286836063491988E-2</v>
      </c>
      <c r="C9" s="1079">
        <v>0.17388831389379356</v>
      </c>
      <c r="D9" s="1079">
        <v>2.1079768688354702E-2</v>
      </c>
      <c r="E9" s="1079">
        <v>0.14619162651079107</v>
      </c>
      <c r="F9" s="1079">
        <v>0</v>
      </c>
      <c r="G9" s="1079">
        <v>0</v>
      </c>
      <c r="H9">
        <v>0</v>
      </c>
    </row>
    <row r="10" spans="1:16" ht="16" thickBot="1">
      <c r="A10" s="1078">
        <v>45536</v>
      </c>
      <c r="B10" s="1079">
        <v>5.3664965087778987E-2</v>
      </c>
      <c r="C10" s="1079">
        <v>0.22755327898157254</v>
      </c>
      <c r="D10" s="1079">
        <v>5.1206881598986009E-2</v>
      </c>
      <c r="E10" s="1079">
        <v>0.19739850810977708</v>
      </c>
      <c r="F10" s="1079">
        <v>0</v>
      </c>
      <c r="G10" s="1079">
        <v>0</v>
      </c>
      <c r="H10">
        <v>0</v>
      </c>
    </row>
    <row r="11" spans="1:16" ht="16" thickBot="1">
      <c r="A11" s="1078">
        <v>45566</v>
      </c>
      <c r="B11" s="1079">
        <v>6.6193294731147434E-2</v>
      </c>
      <c r="C11" s="1079">
        <v>0.29374657371271995</v>
      </c>
      <c r="D11" s="1079">
        <v>3.111328240220922E-2</v>
      </c>
      <c r="E11" s="1079">
        <v>0.22851179051198631</v>
      </c>
      <c r="F11" s="1079">
        <v>0</v>
      </c>
      <c r="G11" s="1079">
        <v>0</v>
      </c>
      <c r="H11">
        <v>0</v>
      </c>
    </row>
    <row r="12" spans="1:16" ht="16" thickBot="1">
      <c r="A12" s="1078">
        <v>45597</v>
      </c>
      <c r="B12" s="1079">
        <v>6.7593124905489729E-2</v>
      </c>
      <c r="C12" s="1079">
        <v>0.36133969861820969</v>
      </c>
      <c r="D12" s="1079">
        <v>3.911336552157086E-2</v>
      </c>
      <c r="E12" s="1079">
        <v>0.26762515603355719</v>
      </c>
      <c r="F12" s="1079">
        <v>0</v>
      </c>
      <c r="G12" s="1079">
        <v>0</v>
      </c>
      <c r="H12">
        <v>0</v>
      </c>
    </row>
    <row r="13" spans="1:16" ht="16" thickBot="1">
      <c r="A13" s="1078">
        <v>45627</v>
      </c>
      <c r="B13" s="1079">
        <v>6.8700766637432797E-2</v>
      </c>
      <c r="C13" s="1079">
        <v>0.43004046525564249</v>
      </c>
      <c r="D13" s="1079">
        <v>3.4873576820781974E-2</v>
      </c>
      <c r="E13" s="1079">
        <v>0.30249873285433915</v>
      </c>
      <c r="F13" s="1079">
        <v>0</v>
      </c>
      <c r="G13" s="1079">
        <v>0</v>
      </c>
      <c r="H13">
        <v>0</v>
      </c>
    </row>
    <row r="14" spans="1:16" ht="16" thickBot="1">
      <c r="A14" s="1078">
        <v>45658</v>
      </c>
      <c r="B14" s="1079">
        <v>6.5986185434593392E-2</v>
      </c>
      <c r="C14" s="1079">
        <v>0.49602665069023588</v>
      </c>
      <c r="D14" s="1079">
        <v>3.6847837002963256E-2</v>
      </c>
      <c r="E14" s="1079">
        <v>0.33934656985730238</v>
      </c>
      <c r="F14" s="1079">
        <v>0</v>
      </c>
      <c r="G14" s="1079">
        <v>0</v>
      </c>
      <c r="H14">
        <v>0</v>
      </c>
    </row>
    <row r="15" spans="1:16" ht="16" thickBot="1">
      <c r="A15" s="1078">
        <v>45689</v>
      </c>
      <c r="B15" s="1079">
        <v>6.6695888934766662E-2</v>
      </c>
      <c r="C15" s="1079">
        <v>0.56272253962500252</v>
      </c>
      <c r="D15" s="1079">
        <v>4.7516456029609633E-2</v>
      </c>
      <c r="E15" s="1079">
        <v>0.38686302588691202</v>
      </c>
      <c r="F15" s="1079">
        <v>0</v>
      </c>
      <c r="G15" s="1079">
        <v>0</v>
      </c>
      <c r="H15">
        <v>0</v>
      </c>
    </row>
    <row r="16" spans="1:16" ht="16" thickBot="1">
      <c r="A16" s="1078">
        <v>45717</v>
      </c>
      <c r="B16" s="1079">
        <v>5.7004412499636108E-2</v>
      </c>
      <c r="C16" s="1079">
        <v>0.61972695212463857</v>
      </c>
      <c r="D16" s="1079">
        <v>2.1843205655812891E-2</v>
      </c>
      <c r="E16" s="1079">
        <v>0.4087062315427249</v>
      </c>
      <c r="F16" s="1079">
        <v>0</v>
      </c>
      <c r="G16" s="1079">
        <v>0</v>
      </c>
      <c r="H16">
        <v>0</v>
      </c>
    </row>
    <row r="17" spans="1:8" ht="16" thickBot="1">
      <c r="A17" s="1078">
        <v>45748</v>
      </c>
      <c r="B17" s="1079">
        <v>5.8729046772132143E-2</v>
      </c>
      <c r="C17" s="1079">
        <v>0.67845599889677066</v>
      </c>
      <c r="D17" s="1079">
        <v>3.5143756877885096E-2</v>
      </c>
      <c r="E17" s="1079">
        <v>0.44384998842060996</v>
      </c>
      <c r="F17" s="1079">
        <v>0</v>
      </c>
      <c r="G17" s="1079">
        <v>0.44384998842060996</v>
      </c>
      <c r="H17">
        <v>0</v>
      </c>
    </row>
    <row r="18" spans="1:8" ht="16" thickBot="1">
      <c r="A18" s="1096">
        <v>45778</v>
      </c>
      <c r="B18" s="1097">
        <v>6.2687650139381962E-2</v>
      </c>
      <c r="C18" s="1097">
        <v>0.7411436490361526</v>
      </c>
      <c r="D18" s="1097">
        <v>3.8751148105625711E-4</v>
      </c>
      <c r="E18" s="1097">
        <v>0.44423749990166622</v>
      </c>
      <c r="F18" s="1097">
        <v>7.698300000000001E-2</v>
      </c>
      <c r="G18" s="1097">
        <v>0.52083298842060999</v>
      </c>
      <c r="H18">
        <v>1.4295349860618048E-2</v>
      </c>
    </row>
    <row r="19" spans="1:8" ht="16" thickBot="1">
      <c r="A19" s="1078">
        <v>45809</v>
      </c>
      <c r="B19" s="1079">
        <v>6.0364230580941758E-2</v>
      </c>
      <c r="C19" s="1079">
        <v>0.80150787961709435</v>
      </c>
      <c r="D19" s="1079">
        <v>0</v>
      </c>
      <c r="E19" s="1079">
        <v>0</v>
      </c>
      <c r="F19" s="1079">
        <v>7.9617000000000021E-2</v>
      </c>
      <c r="G19" s="1079">
        <v>0.60044998842061004</v>
      </c>
      <c r="H19">
        <v>1.9252769419058263E-2</v>
      </c>
    </row>
    <row r="20" spans="1:8" ht="16" thickBot="1">
      <c r="A20" s="1078">
        <v>45839</v>
      </c>
      <c r="B20" s="1079">
        <v>5.9137194945863489E-2</v>
      </c>
      <c r="C20" s="1079">
        <v>0.8606450745629578</v>
      </c>
      <c r="D20" s="1079">
        <v>0</v>
      </c>
      <c r="E20" s="1079">
        <v>0</v>
      </c>
      <c r="F20" s="1079">
        <v>7.1460499999999996E-2</v>
      </c>
      <c r="G20" s="1079">
        <v>0.67191048842061007</v>
      </c>
      <c r="H20">
        <v>1.2323305054136507E-2</v>
      </c>
    </row>
    <row r="21" spans="1:8" ht="16" thickBot="1">
      <c r="A21" s="1078">
        <v>45870</v>
      </c>
      <c r="B21" s="1079">
        <v>4.3513061510811142E-2</v>
      </c>
      <c r="C21" s="1079">
        <v>0.90415813607376894</v>
      </c>
      <c r="D21" s="1079">
        <v>0</v>
      </c>
      <c r="E21" s="1079">
        <v>0</v>
      </c>
      <c r="F21" s="1079">
        <v>5.2789499999999996E-2</v>
      </c>
      <c r="G21" s="1079">
        <v>0.72469998842061012</v>
      </c>
      <c r="H21">
        <v>9.2764384891888541E-3</v>
      </c>
    </row>
    <row r="22" spans="1:8" ht="16" thickBot="1">
      <c r="A22" s="1078">
        <v>45901</v>
      </c>
      <c r="B22" s="1079">
        <v>2.8320671523711947E-2</v>
      </c>
      <c r="C22" s="1079">
        <v>0.93247880759748092</v>
      </c>
      <c r="D22" s="1079">
        <v>0</v>
      </c>
      <c r="E22" s="1079">
        <v>0</v>
      </c>
      <c r="F22" s="1079">
        <v>5.8915999999999996E-2</v>
      </c>
      <c r="G22" s="1079">
        <v>0.78361598842061009</v>
      </c>
      <c r="H22">
        <v>3.0595328476288049E-2</v>
      </c>
    </row>
    <row r="23" spans="1:8" ht="16" thickBot="1">
      <c r="A23" s="1078">
        <v>45931</v>
      </c>
      <c r="B23" s="1079">
        <v>3.4803386699659392E-2</v>
      </c>
      <c r="C23" s="1079">
        <v>0.96728219429714035</v>
      </c>
      <c r="D23" s="1079">
        <v>0</v>
      </c>
      <c r="E23" s="1079">
        <v>0</v>
      </c>
      <c r="F23" s="1079">
        <v>5.5257500000000008E-2</v>
      </c>
      <c r="G23" s="1079">
        <v>0.83887348842061005</v>
      </c>
      <c r="H23">
        <v>2.0454113300340616E-2</v>
      </c>
    </row>
    <row r="24" spans="1:8" ht="16" thickBot="1">
      <c r="A24" s="1078">
        <v>45962</v>
      </c>
      <c r="B24" s="1079">
        <v>3.3520142151457627E-2</v>
      </c>
      <c r="C24" s="1079">
        <v>1.0008023364485981</v>
      </c>
      <c r="D24" s="1079">
        <v>0</v>
      </c>
      <c r="E24" s="1079">
        <v>0</v>
      </c>
      <c r="F24" s="1079">
        <v>6.0108000000000009E-2</v>
      </c>
      <c r="G24" s="1079">
        <v>0.8989814884206101</v>
      </c>
      <c r="H24">
        <v>2.6587857848542378E-2</v>
      </c>
    </row>
    <row r="25" spans="1:8" ht="16" thickBot="1">
      <c r="A25" s="1078">
        <v>45992</v>
      </c>
      <c r="B25" s="1079">
        <v>0</v>
      </c>
      <c r="C25" s="1079">
        <v>0</v>
      </c>
      <c r="D25" s="1079">
        <v>0</v>
      </c>
      <c r="E25" s="1079">
        <v>0</v>
      </c>
      <c r="F25" s="1079">
        <v>3.0260000000000002E-2</v>
      </c>
      <c r="G25" s="1079">
        <v>0.92924148842061005</v>
      </c>
      <c r="H25">
        <v>3.0260000000000002E-2</v>
      </c>
    </row>
    <row r="26" spans="1:8" ht="16" thickBot="1">
      <c r="A26" s="1078">
        <v>46023</v>
      </c>
      <c r="B26" s="1079">
        <v>0</v>
      </c>
      <c r="C26" s="1079">
        <v>0</v>
      </c>
      <c r="D26" s="1079">
        <v>0</v>
      </c>
      <c r="E26" s="1079">
        <v>0</v>
      </c>
      <c r="F26" s="1079">
        <v>2.5397000000000003E-2</v>
      </c>
      <c r="G26" s="1079">
        <v>0.95463848842061005</v>
      </c>
      <c r="H26">
        <v>2.5397000000000003E-2</v>
      </c>
    </row>
    <row r="27" spans="1:8" ht="16" thickBot="1">
      <c r="A27" s="1078">
        <v>46054</v>
      </c>
      <c r="B27" s="1079">
        <v>0</v>
      </c>
      <c r="C27" s="1079">
        <v>0</v>
      </c>
      <c r="D27" s="1079">
        <v>0</v>
      </c>
      <c r="E27" s="1079">
        <v>0</v>
      </c>
      <c r="F27" s="1079">
        <v>1.5266E-2</v>
      </c>
      <c r="G27" s="1079">
        <v>0.96990448842061006</v>
      </c>
      <c r="H27">
        <v>1.5266E-2</v>
      </c>
    </row>
    <row r="28" spans="1:8" ht="16" thickBot="1">
      <c r="A28" s="1078">
        <v>46082</v>
      </c>
      <c r="B28" s="1079">
        <v>0</v>
      </c>
      <c r="C28" s="1079">
        <v>0</v>
      </c>
      <c r="D28" s="1079">
        <v>0</v>
      </c>
      <c r="E28" s="1079">
        <v>0</v>
      </c>
      <c r="F28" s="1079">
        <v>2.2099999999999998E-2</v>
      </c>
      <c r="G28" s="1079">
        <v>0.99200448842061006</v>
      </c>
      <c r="H28">
        <v>2.2099999999999998E-2</v>
      </c>
    </row>
    <row r="29" spans="1:8" ht="15.5">
      <c r="A29" s="1078">
        <v>46113</v>
      </c>
      <c r="B29" s="1079">
        <v>0</v>
      </c>
      <c r="C29" s="1079">
        <v>0</v>
      </c>
      <c r="D29" s="1079">
        <v>0</v>
      </c>
      <c r="E29" s="1079">
        <v>0</v>
      </c>
      <c r="F29" s="1079">
        <v>1.2499999999999999E-2</v>
      </c>
      <c r="G29" s="1079">
        <v>1.00450448842061</v>
      </c>
      <c r="H29">
        <v>1.2499999999999999E-2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307C3-EDE5-48B2-BF7A-38816B064B3F}">
  <dimension ref="A1:N27"/>
  <sheetViews>
    <sheetView zoomScale="64" zoomScaleNormal="64" workbookViewId="0">
      <selection activeCell="J17" sqref="J17"/>
    </sheetView>
  </sheetViews>
  <sheetFormatPr defaultRowHeight="14.5"/>
  <cols>
    <col min="1" max="1" width="14.6328125" style="564" customWidth="1"/>
    <col min="2" max="2" width="11.36328125" style="564" customWidth="1"/>
    <col min="3" max="3" width="13.90625" style="564" customWidth="1"/>
    <col min="4" max="4" width="13.81640625" style="564" customWidth="1"/>
    <col min="5" max="5" width="14.453125" style="564" customWidth="1"/>
    <col min="6" max="6" width="12.26953125" style="564" customWidth="1"/>
    <col min="7" max="7" width="13.36328125" style="564" customWidth="1"/>
    <col min="8" max="9" width="8.7265625" style="564"/>
    <col min="10" max="10" width="21.26953125" style="132" customWidth="1"/>
    <col min="11" max="11" width="23.6328125" style="132" customWidth="1"/>
    <col min="12" max="12" width="20.54296875" style="132" customWidth="1"/>
    <col min="13" max="13" width="16" style="132" customWidth="1"/>
    <col min="14" max="14" width="13.36328125" style="132" customWidth="1"/>
  </cols>
  <sheetData>
    <row r="1" spans="1:14" ht="31.5" thickBot="1">
      <c r="A1" s="1077" t="str" cm="1">
        <f t="array" ref="A1:G1">TRANSPOSE(SUMMARY!B118:B124)</f>
        <v>Description</v>
      </c>
      <c r="B1" s="1077" t="str">
        <v>Month Plan</v>
      </c>
      <c r="C1" s="1077" t="str">
        <v>Cumulative Plan</v>
      </c>
      <c r="D1" s="1077" t="str">
        <v>Month Actual</v>
      </c>
      <c r="E1" s="1077" t="str">
        <v>Cumulative Actual</v>
      </c>
      <c r="F1" s="1077" t="str">
        <v>Month Forecast</v>
      </c>
      <c r="G1" s="1077" t="str">
        <v>Cumulative Forecast</v>
      </c>
      <c r="J1" s="132" t="s">
        <v>2211</v>
      </c>
      <c r="K1" s="132" t="s">
        <v>2212</v>
      </c>
      <c r="L1" s="132" t="s">
        <v>2213</v>
      </c>
      <c r="M1" s="132" t="s">
        <v>381</v>
      </c>
      <c r="N1" s="132" t="s">
        <v>2214</v>
      </c>
    </row>
    <row r="2" spans="1:14" ht="16" thickBot="1">
      <c r="A2" s="1078" cm="1">
        <f t="array" ref="A2:G24">TRANSPOSE(SUMMARY!C118:Y124)</f>
        <v>45292</v>
      </c>
      <c r="B2" s="1079">
        <v>0</v>
      </c>
      <c r="C2" s="1079">
        <v>0</v>
      </c>
      <c r="D2" s="1079">
        <v>0</v>
      </c>
      <c r="E2" s="1079">
        <v>0</v>
      </c>
      <c r="F2" s="1079">
        <v>0</v>
      </c>
      <c r="G2" s="1079">
        <v>0</v>
      </c>
      <c r="J2" s="1080">
        <f>'P6 Format'!E407</f>
        <v>45723</v>
      </c>
      <c r="K2" s="1080">
        <f>'P6 Format'!F409</f>
        <v>45845</v>
      </c>
      <c r="L2" s="132">
        <f>-(M2-K2)</f>
        <v>-70</v>
      </c>
      <c r="M2" s="1080">
        <f>'P6 Format'!K409</f>
        <v>45915</v>
      </c>
      <c r="N2" s="1085">
        <f>C17</f>
        <v>0.99990000000000001</v>
      </c>
    </row>
    <row r="3" spans="1:14" ht="16" thickBot="1">
      <c r="A3" s="1078">
        <v>45323</v>
      </c>
      <c r="B3" s="1079">
        <v>0</v>
      </c>
      <c r="C3" s="1079">
        <v>0</v>
      </c>
      <c r="D3" s="1079">
        <v>0</v>
      </c>
      <c r="E3" s="1079">
        <v>0</v>
      </c>
      <c r="F3" s="1079">
        <v>0</v>
      </c>
      <c r="G3" s="1079">
        <v>0</v>
      </c>
    </row>
    <row r="4" spans="1:14" ht="16" thickBot="1">
      <c r="A4" s="1078">
        <v>45352</v>
      </c>
      <c r="B4" s="1079">
        <v>9.9932818532818546E-2</v>
      </c>
      <c r="C4" s="1079">
        <v>9.9932818532818546E-2</v>
      </c>
      <c r="D4" s="1079">
        <v>4.9966409266409273E-2</v>
      </c>
      <c r="E4" s="1079">
        <v>4.9966409266409273E-2</v>
      </c>
      <c r="F4" s="1079">
        <v>0</v>
      </c>
      <c r="G4" s="1079">
        <v>0</v>
      </c>
    </row>
    <row r="5" spans="1:14" ht="16" thickBot="1">
      <c r="A5" s="1078">
        <v>45383</v>
      </c>
      <c r="B5" s="1079">
        <v>7.1512934362934377E-2</v>
      </c>
      <c r="C5" s="1079">
        <v>0.17144575289575292</v>
      </c>
      <c r="D5" s="1079">
        <v>0.14454208494208495</v>
      </c>
      <c r="E5" s="1079">
        <v>0.19450849420849423</v>
      </c>
      <c r="F5" s="1079">
        <v>0</v>
      </c>
      <c r="G5" s="1079">
        <v>0</v>
      </c>
    </row>
    <row r="6" spans="1:14" ht="16" thickBot="1">
      <c r="A6" s="1078">
        <v>45413</v>
      </c>
      <c r="B6" s="1079">
        <v>0.12951505791505794</v>
      </c>
      <c r="C6" s="1079">
        <v>0.30096081081081083</v>
      </c>
      <c r="D6" s="1079">
        <v>6.6155791505791525E-2</v>
      </c>
      <c r="E6" s="1079">
        <v>0.26066428571428574</v>
      </c>
      <c r="F6" s="1079">
        <v>0</v>
      </c>
      <c r="G6" s="1079">
        <v>0</v>
      </c>
    </row>
    <row r="7" spans="1:14" ht="16" thickBot="1">
      <c r="A7" s="1078">
        <v>45444</v>
      </c>
      <c r="B7" s="1079">
        <v>0.11996312741312744</v>
      </c>
      <c r="C7" s="1079">
        <v>0.42092393822393825</v>
      </c>
      <c r="D7" s="1079">
        <v>9.0532432432432433E-2</v>
      </c>
      <c r="E7" s="1079">
        <v>0.35119671814671816</v>
      </c>
      <c r="F7" s="1079">
        <v>0</v>
      </c>
      <c r="G7" s="1079">
        <v>0</v>
      </c>
    </row>
    <row r="8" spans="1:14" ht="16" thickBot="1">
      <c r="A8" s="1078">
        <v>45474</v>
      </c>
      <c r="B8" s="1079">
        <v>0.13898262548262549</v>
      </c>
      <c r="C8" s="1079">
        <v>0.55990656370656378</v>
      </c>
      <c r="D8" s="1079">
        <v>0.13642200772200772</v>
      </c>
      <c r="E8" s="1079">
        <v>0.4876187258687259</v>
      </c>
      <c r="F8" s="1079">
        <v>0</v>
      </c>
      <c r="G8" s="1079">
        <v>0</v>
      </c>
    </row>
    <row r="9" spans="1:14" ht="16" thickBot="1">
      <c r="A9" s="1078">
        <v>45505</v>
      </c>
      <c r="B9" s="1079">
        <v>0.13082895752895751</v>
      </c>
      <c r="C9" s="1079">
        <v>0.69073552123552129</v>
      </c>
      <c r="D9" s="1079">
        <v>5.6812741312741319E-2</v>
      </c>
      <c r="E9" s="1079">
        <v>0.54443146718146718</v>
      </c>
      <c r="F9" s="1079">
        <v>0</v>
      </c>
      <c r="G9" s="1079">
        <v>0</v>
      </c>
    </row>
    <row r="10" spans="1:14" ht="16" thickBot="1">
      <c r="A10" s="1078">
        <v>45536</v>
      </c>
      <c r="B10" s="1079">
        <v>0.10642857142857143</v>
      </c>
      <c r="C10" s="1079">
        <v>0.79716409266409272</v>
      </c>
      <c r="D10" s="1079">
        <v>7.6903667953667945E-2</v>
      </c>
      <c r="E10" s="1079">
        <v>0.62133513513513516</v>
      </c>
      <c r="F10" s="1079">
        <v>0</v>
      </c>
      <c r="G10" s="1079">
        <v>0</v>
      </c>
    </row>
    <row r="11" spans="1:14" ht="16" thickBot="1">
      <c r="A11" s="1078">
        <v>45566</v>
      </c>
      <c r="B11" s="1079">
        <v>7.7112548262548264E-2</v>
      </c>
      <c r="C11" s="1079">
        <v>0.87427664092664092</v>
      </c>
      <c r="D11" s="1079">
        <v>2.2469691119691118E-2</v>
      </c>
      <c r="E11" s="1079">
        <v>0.64380482625482627</v>
      </c>
      <c r="F11" s="1079">
        <v>0</v>
      </c>
      <c r="G11" s="1079">
        <v>0</v>
      </c>
    </row>
    <row r="12" spans="1:14" ht="16" thickBot="1">
      <c r="A12" s="1078">
        <v>45597</v>
      </c>
      <c r="B12" s="1079">
        <v>1.8867953667953671E-2</v>
      </c>
      <c r="C12" s="1079">
        <v>0.89314459459459461</v>
      </c>
      <c r="D12" s="1079">
        <v>7.2944787644787651E-2</v>
      </c>
      <c r="E12" s="1079">
        <v>0.71674961389961389</v>
      </c>
      <c r="F12" s="1079">
        <v>0</v>
      </c>
      <c r="G12" s="1079">
        <v>0</v>
      </c>
    </row>
    <row r="13" spans="1:14" ht="16" thickBot="1">
      <c r="A13" s="1078">
        <v>45627</v>
      </c>
      <c r="B13" s="1079">
        <v>0.1067554054054054</v>
      </c>
      <c r="C13" s="1079">
        <v>0.99990000000000001</v>
      </c>
      <c r="D13" s="1079">
        <v>5.3571428571428572E-3</v>
      </c>
      <c r="E13" s="1079">
        <v>0.72210675675675673</v>
      </c>
      <c r="F13" s="1079">
        <v>0</v>
      </c>
      <c r="G13" s="1079">
        <v>0</v>
      </c>
    </row>
    <row r="14" spans="1:14" ht="16" thickBot="1">
      <c r="A14" s="1078">
        <v>45658</v>
      </c>
      <c r="B14" s="1079">
        <v>0</v>
      </c>
      <c r="C14" s="1079">
        <v>0.99990000000000001</v>
      </c>
      <c r="D14" s="1079">
        <v>1.2112548262548263E-2</v>
      </c>
      <c r="E14" s="1079">
        <v>0.73421930501930499</v>
      </c>
      <c r="F14" s="1079">
        <v>0</v>
      </c>
      <c r="G14" s="1079">
        <v>0</v>
      </c>
    </row>
    <row r="15" spans="1:14" ht="16" thickBot="1">
      <c r="A15" s="1078">
        <v>45689</v>
      </c>
      <c r="B15" s="1079">
        <v>0</v>
      </c>
      <c r="C15" s="1079">
        <v>0.99990000000000001</v>
      </c>
      <c r="D15" s="1079">
        <v>8.0357142857142867E-3</v>
      </c>
      <c r="E15" s="1079">
        <v>0.74225501930501925</v>
      </c>
      <c r="F15" s="1079">
        <v>0</v>
      </c>
      <c r="G15" s="1079">
        <v>0</v>
      </c>
    </row>
    <row r="16" spans="1:14" ht="16" thickBot="1">
      <c r="A16" s="1078">
        <v>45717</v>
      </c>
      <c r="B16" s="1079">
        <v>0</v>
      </c>
      <c r="C16" s="1079">
        <v>0.99990000000000001</v>
      </c>
      <c r="D16" s="1079">
        <v>1.4791119691119695E-2</v>
      </c>
      <c r="E16" s="1079">
        <v>0.75704613899613893</v>
      </c>
      <c r="F16" s="1079">
        <v>0</v>
      </c>
      <c r="G16" s="1079">
        <v>0</v>
      </c>
    </row>
    <row r="17" spans="1:7" ht="16" thickBot="1">
      <c r="A17" s="1078">
        <v>45748</v>
      </c>
      <c r="B17" s="1079">
        <v>0</v>
      </c>
      <c r="C17" s="1079">
        <v>0.99990000000000001</v>
      </c>
      <c r="D17" s="1079">
        <v>0</v>
      </c>
      <c r="E17" s="1079">
        <v>0.75704613899613893</v>
      </c>
      <c r="F17" s="1079">
        <v>0</v>
      </c>
      <c r="G17" s="1079">
        <v>0</v>
      </c>
    </row>
    <row r="18" spans="1:7" ht="16" thickBot="1">
      <c r="A18" s="1096">
        <v>45778</v>
      </c>
      <c r="B18" s="1097">
        <v>0</v>
      </c>
      <c r="C18" s="1097">
        <v>0.99990000000000001</v>
      </c>
      <c r="D18" s="1097">
        <v>0</v>
      </c>
      <c r="E18" s="1097">
        <v>0.75704613899613893</v>
      </c>
      <c r="F18" s="1097">
        <v>1.2855000000000005E-2</v>
      </c>
      <c r="G18" s="1097">
        <v>1.2855000000000005E-2</v>
      </c>
    </row>
    <row r="19" spans="1:7" ht="16" thickBot="1">
      <c r="A19" s="1078">
        <v>45809</v>
      </c>
      <c r="B19" s="1079">
        <v>0</v>
      </c>
      <c r="C19" s="1079">
        <v>0.99990000000000001</v>
      </c>
      <c r="D19" s="1079">
        <v>0</v>
      </c>
      <c r="E19" s="1079">
        <v>0.75704613899613893</v>
      </c>
      <c r="F19" s="1079">
        <v>1.2855000000000005E-2</v>
      </c>
      <c r="G19" s="1079">
        <v>2.5710000000000011E-2</v>
      </c>
    </row>
    <row r="20" spans="1:7" ht="16" thickBot="1">
      <c r="A20" s="1078">
        <v>45839</v>
      </c>
      <c r="B20" s="1079">
        <v>0</v>
      </c>
      <c r="C20" s="1079">
        <v>0.99990000000000001</v>
      </c>
      <c r="D20" s="1079">
        <v>0</v>
      </c>
      <c r="E20" s="1079">
        <v>0.75704613899613893</v>
      </c>
      <c r="F20" s="1079">
        <v>2.2855E-2</v>
      </c>
      <c r="G20" s="1079">
        <v>4.8565000000000011E-2</v>
      </c>
    </row>
    <row r="21" spans="1:7" ht="16" thickBot="1">
      <c r="A21" s="1078">
        <v>45870</v>
      </c>
      <c r="B21" s="1079">
        <v>0</v>
      </c>
      <c r="C21" s="1079">
        <v>0.99990000000000001</v>
      </c>
      <c r="D21" s="1079">
        <v>0</v>
      </c>
      <c r="E21" s="1079">
        <v>0.75704613899613893</v>
      </c>
      <c r="F21" s="1079">
        <v>0</v>
      </c>
      <c r="G21" s="1079">
        <v>4.8565000000000011E-2</v>
      </c>
    </row>
    <row r="22" spans="1:7" ht="16" thickBot="1">
      <c r="A22" s="1078">
        <v>45901</v>
      </c>
      <c r="B22" s="1079">
        <v>0</v>
      </c>
      <c r="C22" s="1079">
        <v>0.99990000000000001</v>
      </c>
      <c r="D22" s="1079">
        <v>0</v>
      </c>
      <c r="E22" s="1079">
        <v>0.75704613899613893</v>
      </c>
      <c r="F22" s="1079">
        <v>0</v>
      </c>
      <c r="G22" s="1079">
        <v>4.8565000000000011E-2</v>
      </c>
    </row>
    <row r="23" spans="1:7" ht="16" thickBot="1">
      <c r="A23" s="1078">
        <v>45931</v>
      </c>
      <c r="B23" s="1079">
        <v>0</v>
      </c>
      <c r="C23" s="1079">
        <v>0.99990000000000001</v>
      </c>
      <c r="D23" s="1079">
        <v>0</v>
      </c>
      <c r="E23" s="1079">
        <v>0.75704613899613893</v>
      </c>
      <c r="F23" s="1079">
        <v>0</v>
      </c>
      <c r="G23" s="1079">
        <v>4.8565000000000011E-2</v>
      </c>
    </row>
    <row r="24" spans="1:7" ht="16" thickBot="1">
      <c r="A24" s="1078">
        <v>45962</v>
      </c>
      <c r="B24" s="1079">
        <v>0</v>
      </c>
      <c r="C24" s="1079">
        <v>0.99990000000000001</v>
      </c>
      <c r="D24" s="1079">
        <v>0</v>
      </c>
      <c r="E24" s="1079">
        <v>0.75704613899613893</v>
      </c>
      <c r="F24" s="1079">
        <v>0</v>
      </c>
      <c r="G24" s="1079">
        <v>4.8565000000000011E-2</v>
      </c>
    </row>
    <row r="25" spans="1:7" ht="16" thickBot="1">
      <c r="A25" s="1078"/>
      <c r="B25" s="1079"/>
      <c r="C25" s="1079"/>
      <c r="D25" s="1079"/>
      <c r="E25" s="1079"/>
      <c r="F25" s="1079"/>
      <c r="G25" s="1079"/>
    </row>
    <row r="26" spans="1:7" ht="16" thickBot="1">
      <c r="A26" s="1078"/>
      <c r="B26" s="1079"/>
      <c r="C26" s="1079"/>
      <c r="D26" s="1079"/>
      <c r="E26" s="1079"/>
      <c r="F26" s="1079"/>
      <c r="G26" s="1079"/>
    </row>
    <row r="27" spans="1:7" ht="15.5">
      <c r="A27" s="1078"/>
      <c r="B27" s="1079"/>
      <c r="C27" s="1079"/>
      <c r="D27" s="1079"/>
      <c r="E27" s="1079"/>
      <c r="F27" s="1079"/>
      <c r="G27" s="107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E870-AFFC-40CC-8C5F-70387EAB8600}">
  <dimension ref="A1:N27"/>
  <sheetViews>
    <sheetView zoomScale="80" zoomScaleNormal="80" workbookViewId="0"/>
  </sheetViews>
  <sheetFormatPr defaultRowHeight="14.5"/>
  <cols>
    <col min="1" max="1" width="14.6328125" style="564" customWidth="1"/>
    <col min="2" max="2" width="11.36328125" style="564" customWidth="1"/>
    <col min="3" max="3" width="13.90625" style="564" customWidth="1"/>
    <col min="4" max="4" width="13.81640625" style="564" customWidth="1"/>
    <col min="5" max="5" width="14.453125" style="564" customWidth="1"/>
    <col min="6" max="6" width="12.26953125" style="564" customWidth="1"/>
    <col min="7" max="7" width="13.36328125" style="564" customWidth="1"/>
    <col min="8" max="9" width="8.7265625" style="564"/>
    <col min="10" max="10" width="21.26953125" style="132" customWidth="1"/>
    <col min="11" max="11" width="23.6328125" style="132" customWidth="1"/>
    <col min="12" max="12" width="20.54296875" style="132" customWidth="1"/>
    <col min="13" max="13" width="16" style="132" customWidth="1"/>
    <col min="14" max="14" width="13.36328125" style="132" customWidth="1"/>
  </cols>
  <sheetData>
    <row r="1" spans="1:14" ht="31.5" thickBot="1">
      <c r="A1" s="1077" t="str" cm="1">
        <f t="array" ref="A1:G24">TRANSPOSE(SUMMARY!B126:Y132)</f>
        <v>Description</v>
      </c>
      <c r="B1" s="1077" t="str">
        <v>Month Plan</v>
      </c>
      <c r="C1" s="1077" t="str">
        <v>Cumulative Plan</v>
      </c>
      <c r="D1" s="1077" t="str">
        <v>Month Actual</v>
      </c>
      <c r="E1" s="1077" t="str">
        <v>Cumulative Actual</v>
      </c>
      <c r="F1" s="1077" t="str">
        <v>Month Forecast</v>
      </c>
      <c r="G1" s="1077" t="str">
        <v>Cumulative Forecast</v>
      </c>
      <c r="J1" s="132" t="s">
        <v>2211</v>
      </c>
      <c r="K1" s="132" t="s">
        <v>2212</v>
      </c>
      <c r="L1" s="132" t="s">
        <v>2213</v>
      </c>
      <c r="M1" s="132" t="s">
        <v>381</v>
      </c>
      <c r="N1" s="132" t="s">
        <v>2214</v>
      </c>
    </row>
    <row r="2" spans="1:14" ht="16" thickBot="1">
      <c r="A2" s="1078">
        <v>45292</v>
      </c>
      <c r="B2" s="1079">
        <v>0</v>
      </c>
      <c r="C2" s="1079">
        <v>0</v>
      </c>
      <c r="D2" s="1079">
        <v>0</v>
      </c>
      <c r="E2" s="1079">
        <v>0</v>
      </c>
      <c r="F2" s="1079">
        <v>0</v>
      </c>
      <c r="G2" s="1079">
        <v>0</v>
      </c>
      <c r="J2" s="1080">
        <f>'P6 Format'!E11</f>
        <v>45354</v>
      </c>
      <c r="K2" s="1080">
        <f>'P6 Format'!F11</f>
        <v>45783</v>
      </c>
      <c r="L2" s="132">
        <f>-(M2-K2)</f>
        <v>-70</v>
      </c>
      <c r="M2" s="1080">
        <f>'P6 Format'!K11</f>
        <v>45853</v>
      </c>
      <c r="N2" s="1085">
        <f>C17</f>
        <v>1.0002</v>
      </c>
    </row>
    <row r="3" spans="1:14" ht="16" thickBot="1">
      <c r="A3" s="1078">
        <v>45323</v>
      </c>
      <c r="B3" s="1079">
        <v>5.0155763239875398E-3</v>
      </c>
      <c r="C3" s="1079">
        <v>5.0155763239875398E-3</v>
      </c>
      <c r="D3" s="1079">
        <v>0</v>
      </c>
      <c r="E3" s="1079">
        <v>0</v>
      </c>
      <c r="F3" s="1079">
        <v>0</v>
      </c>
      <c r="G3" s="1079">
        <v>0</v>
      </c>
    </row>
    <row r="4" spans="1:14" ht="16" thickBot="1">
      <c r="A4" s="1078">
        <v>45352</v>
      </c>
      <c r="B4" s="1079">
        <v>4.4704049844236766E-2</v>
      </c>
      <c r="C4" s="1079">
        <v>4.9719626168224305E-2</v>
      </c>
      <c r="D4" s="1079">
        <v>5.9090303128498417E-2</v>
      </c>
      <c r="E4" s="1079">
        <v>5.9090303128498417E-2</v>
      </c>
      <c r="F4" s="1079">
        <v>0</v>
      </c>
      <c r="G4" s="1079">
        <v>0</v>
      </c>
    </row>
    <row r="5" spans="1:14" ht="16" thickBot="1">
      <c r="A5" s="1078">
        <v>45383</v>
      </c>
      <c r="B5" s="1079">
        <v>1.6573208722741435E-2</v>
      </c>
      <c r="C5" s="1079">
        <v>6.6292834890965741E-2</v>
      </c>
      <c r="D5" s="1079">
        <v>2.8915430310703854E-2</v>
      </c>
      <c r="E5" s="1079">
        <v>8.8005733439202274E-2</v>
      </c>
      <c r="F5" s="1079">
        <v>0</v>
      </c>
      <c r="G5" s="1079">
        <v>0</v>
      </c>
    </row>
    <row r="6" spans="1:14" ht="16" thickBot="1">
      <c r="A6" s="1078">
        <v>45413</v>
      </c>
      <c r="B6" s="1079">
        <v>7.566656472929166E-2</v>
      </c>
      <c r="C6" s="1079">
        <v>0.14195939962025739</v>
      </c>
      <c r="D6" s="1079">
        <v>3.126869014820715E-2</v>
      </c>
      <c r="E6" s="1079">
        <v>0.11927442358740942</v>
      </c>
      <c r="F6" s="1079">
        <v>0</v>
      </c>
      <c r="G6" s="1079">
        <v>0</v>
      </c>
    </row>
    <row r="7" spans="1:14" ht="16" thickBot="1">
      <c r="A7" s="1078">
        <v>45444</v>
      </c>
      <c r="B7" s="1079">
        <v>6.3375688221560048E-2</v>
      </c>
      <c r="C7" s="1079">
        <v>0.20533508784181742</v>
      </c>
      <c r="D7" s="1079">
        <v>5.2407922529537763E-2</v>
      </c>
      <c r="E7" s="1079">
        <v>0.17168234611694719</v>
      </c>
      <c r="F7" s="1079">
        <v>0</v>
      </c>
      <c r="G7" s="1079">
        <v>0</v>
      </c>
    </row>
    <row r="8" spans="1:14" ht="16" thickBot="1">
      <c r="A8" s="1078">
        <v>45474</v>
      </c>
      <c r="B8" s="1079">
        <v>7.3057802750141232E-2</v>
      </c>
      <c r="C8" s="1079">
        <v>0.27839289059195865</v>
      </c>
      <c r="D8" s="1079">
        <v>0.1196076529762812</v>
      </c>
      <c r="E8" s="1079">
        <v>0.29128999909322839</v>
      </c>
      <c r="F8" s="1079">
        <v>0</v>
      </c>
      <c r="G8" s="1079">
        <v>0</v>
      </c>
    </row>
    <row r="9" spans="1:14" ht="16" thickBot="1">
      <c r="A9" s="1078">
        <v>45505</v>
      </c>
      <c r="B9" s="1079">
        <v>0.11321844869222933</v>
      </c>
      <c r="C9" s="1079">
        <v>0.39161133928418801</v>
      </c>
      <c r="D9" s="1079">
        <v>4.9777929863217961E-2</v>
      </c>
      <c r="E9" s="1079">
        <v>0.34106792895644633</v>
      </c>
      <c r="F9" s="1079">
        <v>0</v>
      </c>
      <c r="G9" s="1079">
        <v>0</v>
      </c>
    </row>
    <row r="10" spans="1:14" ht="16" thickBot="1">
      <c r="A10" s="1078">
        <v>45536</v>
      </c>
      <c r="B10" s="1079">
        <v>0.11228873516297487</v>
      </c>
      <c r="C10" s="1079">
        <v>0.50390007444716289</v>
      </c>
      <c r="D10" s="1079">
        <v>9.7689223010910736E-2</v>
      </c>
      <c r="E10" s="1079">
        <v>0.4387571519673571</v>
      </c>
      <c r="F10" s="1079">
        <v>0</v>
      </c>
      <c r="G10" s="1079">
        <v>0</v>
      </c>
    </row>
    <row r="11" spans="1:14" ht="16" thickBot="1">
      <c r="A11" s="1078">
        <v>45566</v>
      </c>
      <c r="B11" s="1079">
        <v>0.17353663055437685</v>
      </c>
      <c r="C11" s="1079">
        <v>0.67743670500153974</v>
      </c>
      <c r="D11" s="1079">
        <v>5.9904126012314048E-2</v>
      </c>
      <c r="E11" s="1079">
        <v>0.49866127797967114</v>
      </c>
      <c r="F11" s="1079">
        <v>0</v>
      </c>
      <c r="G11" s="1079">
        <v>0</v>
      </c>
    </row>
    <row r="12" spans="1:14" ht="16" thickBot="1">
      <c r="A12" s="1078">
        <v>45597</v>
      </c>
      <c r="B12" s="1079">
        <v>0.16261756951634701</v>
      </c>
      <c r="C12" s="1079">
        <v>0.84005427451788672</v>
      </c>
      <c r="D12" s="1079">
        <v>7.9079675657731413E-2</v>
      </c>
      <c r="E12" s="1079">
        <v>0.57774095363740252</v>
      </c>
      <c r="F12" s="1079">
        <v>0</v>
      </c>
      <c r="G12" s="1079">
        <v>0</v>
      </c>
    </row>
    <row r="13" spans="1:14" ht="16" thickBot="1">
      <c r="A13" s="1078">
        <v>45627</v>
      </c>
      <c r="B13" s="1079">
        <v>0.10941950937755754</v>
      </c>
      <c r="C13" s="1079">
        <v>0.94947378389544423</v>
      </c>
      <c r="D13" s="1079">
        <v>0.13160970996853358</v>
      </c>
      <c r="E13" s="1079">
        <v>0.70935066360593613</v>
      </c>
      <c r="F13" s="1079">
        <v>0</v>
      </c>
      <c r="G13" s="1079">
        <v>0</v>
      </c>
    </row>
    <row r="14" spans="1:14" ht="16" thickBot="1">
      <c r="A14" s="1078">
        <v>45658</v>
      </c>
      <c r="B14" s="1079">
        <v>3.2300815836758076E-2</v>
      </c>
      <c r="C14" s="1079">
        <v>0.98177459973220227</v>
      </c>
      <c r="D14" s="1079">
        <v>7.9013298990462721E-2</v>
      </c>
      <c r="E14" s="1079">
        <v>0.78836396259639885</v>
      </c>
      <c r="F14" s="1079">
        <v>0</v>
      </c>
      <c r="G14" s="1079">
        <v>0</v>
      </c>
    </row>
    <row r="15" spans="1:14" ht="16" thickBot="1">
      <c r="A15" s="1078">
        <v>45689</v>
      </c>
      <c r="B15" s="1079">
        <v>1.8425400267797744E-2</v>
      </c>
      <c r="C15" s="1079">
        <v>1.0002</v>
      </c>
      <c r="D15" s="1079">
        <v>6.8079770104574638E-2</v>
      </c>
      <c r="E15" s="1079">
        <v>0.85644373270097351</v>
      </c>
      <c r="F15" s="1079">
        <v>0</v>
      </c>
      <c r="G15" s="1079">
        <v>0</v>
      </c>
    </row>
    <row r="16" spans="1:14" ht="16" thickBot="1">
      <c r="A16" s="1078">
        <v>45717</v>
      </c>
      <c r="B16" s="1079">
        <v>0</v>
      </c>
      <c r="C16" s="1079">
        <v>1.0002</v>
      </c>
      <c r="D16" s="1079">
        <v>3.144004543013116E-2</v>
      </c>
      <c r="E16" s="1079">
        <v>0.88788377813110464</v>
      </c>
      <c r="F16" s="1079">
        <v>0</v>
      </c>
      <c r="G16" s="1079">
        <v>0</v>
      </c>
    </row>
    <row r="17" spans="1:7" ht="16" thickBot="1">
      <c r="A17" s="1078">
        <v>45748</v>
      </c>
      <c r="B17" s="1079">
        <v>0</v>
      </c>
      <c r="C17" s="1079">
        <v>1.0002</v>
      </c>
      <c r="D17" s="1079">
        <v>5.0907903237432432E-2</v>
      </c>
      <c r="E17" s="1079">
        <v>0.93879168136853708</v>
      </c>
      <c r="F17" s="1079">
        <v>0</v>
      </c>
      <c r="G17" s="1079">
        <v>0</v>
      </c>
    </row>
    <row r="18" spans="1:7" ht="16" thickBot="1">
      <c r="A18" s="1096">
        <v>45778</v>
      </c>
      <c r="B18" s="1097">
        <v>0</v>
      </c>
      <c r="C18" s="1097">
        <v>1.0002</v>
      </c>
      <c r="D18" s="1097">
        <v>0</v>
      </c>
      <c r="E18" s="1097">
        <v>0.93879168136853708</v>
      </c>
      <c r="F18" s="1097">
        <v>4.4649999999999967E-3</v>
      </c>
      <c r="G18" s="1097">
        <v>4.4649999999999967E-3</v>
      </c>
    </row>
    <row r="19" spans="1:7" ht="16" thickBot="1">
      <c r="A19" s="1078">
        <v>45809</v>
      </c>
      <c r="B19" s="1079">
        <v>0</v>
      </c>
      <c r="C19" s="1079">
        <v>1.0002</v>
      </c>
      <c r="D19" s="1079">
        <v>0</v>
      </c>
      <c r="E19" s="1079">
        <v>0.93879168136853708</v>
      </c>
      <c r="F19" s="1079">
        <v>2.6789999999999978E-3</v>
      </c>
      <c r="G19" s="1079">
        <v>7.1439999999999941E-3</v>
      </c>
    </row>
    <row r="20" spans="1:7" ht="16" thickBot="1">
      <c r="A20" s="1078">
        <v>45839</v>
      </c>
      <c r="B20" s="1079">
        <v>0</v>
      </c>
      <c r="C20" s="1079">
        <v>1.0002</v>
      </c>
      <c r="D20" s="1079">
        <v>0</v>
      </c>
      <c r="E20" s="1079">
        <v>0.93879168136853708</v>
      </c>
      <c r="F20" s="1079">
        <v>1.7859999999999987E-3</v>
      </c>
      <c r="G20" s="1079">
        <v>8.9299999999999935E-3</v>
      </c>
    </row>
    <row r="21" spans="1:7" ht="16" thickBot="1">
      <c r="A21" s="1078">
        <v>45870</v>
      </c>
      <c r="B21" s="1079">
        <v>0</v>
      </c>
      <c r="C21" s="1079">
        <v>1.0002</v>
      </c>
      <c r="D21" s="1079">
        <v>0</v>
      </c>
      <c r="E21" s="1079">
        <v>0.93879168136853708</v>
      </c>
      <c r="F21" s="1079">
        <v>0</v>
      </c>
      <c r="G21" s="1079">
        <v>8.9299999999999935E-3</v>
      </c>
    </row>
    <row r="22" spans="1:7" ht="16" thickBot="1">
      <c r="A22" s="1078">
        <v>45901</v>
      </c>
      <c r="B22" s="1079">
        <v>0</v>
      </c>
      <c r="C22" s="1079">
        <v>1.0002</v>
      </c>
      <c r="D22" s="1079">
        <v>0</v>
      </c>
      <c r="E22" s="1079">
        <v>0.93879168136853708</v>
      </c>
      <c r="F22" s="1079">
        <v>0</v>
      </c>
      <c r="G22" s="1079">
        <v>8.9299999999999935E-3</v>
      </c>
    </row>
    <row r="23" spans="1:7" ht="16" thickBot="1">
      <c r="A23" s="1078">
        <v>45931</v>
      </c>
      <c r="B23" s="1079">
        <v>0</v>
      </c>
      <c r="C23" s="1079">
        <v>1.0002</v>
      </c>
      <c r="D23" s="1079">
        <v>0</v>
      </c>
      <c r="E23" s="1079">
        <v>0.93879168136853708</v>
      </c>
      <c r="F23" s="1079">
        <v>0</v>
      </c>
      <c r="G23" s="1079">
        <v>8.9299999999999935E-3</v>
      </c>
    </row>
    <row r="24" spans="1:7" ht="16" thickBot="1">
      <c r="A24" s="1078">
        <v>45962</v>
      </c>
      <c r="B24" s="1079">
        <v>0</v>
      </c>
      <c r="C24" s="1079">
        <v>1.0002</v>
      </c>
      <c r="D24" s="1079">
        <v>0</v>
      </c>
      <c r="E24" s="1079">
        <v>0.93879168136853708</v>
      </c>
      <c r="F24" s="1079">
        <v>0</v>
      </c>
      <c r="G24" s="1079">
        <v>8.9299999999999935E-3</v>
      </c>
    </row>
    <row r="25" spans="1:7" ht="16" thickBot="1">
      <c r="A25" s="1078"/>
      <c r="B25" s="1079"/>
      <c r="C25" s="1079"/>
      <c r="D25" s="1079"/>
      <c r="E25" s="1079"/>
      <c r="F25" s="1079"/>
      <c r="G25" s="1079"/>
    </row>
    <row r="26" spans="1:7" ht="16" thickBot="1">
      <c r="A26" s="1078"/>
      <c r="B26" s="1079"/>
      <c r="C26" s="1079"/>
      <c r="D26" s="1079"/>
      <c r="E26" s="1079"/>
      <c r="F26" s="1079"/>
      <c r="G26" s="1079"/>
    </row>
    <row r="27" spans="1:7" ht="15.5">
      <c r="A27" s="1078"/>
      <c r="B27" s="1079"/>
      <c r="C27" s="1079"/>
      <c r="D27" s="1079"/>
      <c r="E27" s="1079"/>
      <c r="F27" s="1079"/>
      <c r="G27" s="107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0F73F-8ECB-43BB-B823-86357313FA19}">
  <dimension ref="A1:N29"/>
  <sheetViews>
    <sheetView topLeftCell="A10" zoomScale="70" zoomScaleNormal="70" workbookViewId="0">
      <selection activeCell="C32" sqref="C32"/>
    </sheetView>
  </sheetViews>
  <sheetFormatPr defaultRowHeight="14.5"/>
  <cols>
    <col min="1" max="1" width="14.6328125" style="564" customWidth="1"/>
    <col min="2" max="2" width="11.36328125" style="564" customWidth="1"/>
    <col min="3" max="3" width="13.90625" style="564" customWidth="1"/>
    <col min="4" max="4" width="13.81640625" style="564" customWidth="1"/>
    <col min="5" max="5" width="14.453125" style="564" customWidth="1"/>
    <col min="6" max="6" width="12.26953125" style="564" customWidth="1"/>
    <col min="7" max="7" width="13.36328125" style="564" customWidth="1"/>
    <col min="8" max="9" width="8.7265625" style="564"/>
    <col min="10" max="10" width="21.26953125" style="132" customWidth="1"/>
    <col min="11" max="11" width="23.6328125" style="132" customWidth="1"/>
    <col min="12" max="12" width="20.54296875" style="132" customWidth="1"/>
    <col min="13" max="13" width="16" style="132" customWidth="1"/>
    <col min="14" max="14" width="13.36328125" style="132" customWidth="1"/>
  </cols>
  <sheetData>
    <row r="1" spans="1:14" ht="31.5" thickBot="1">
      <c r="A1" s="1077" t="str" cm="1">
        <f t="array" ref="A1:G29">TRANSPOSE(SUMMARY!B134:AD140)</f>
        <v>Description</v>
      </c>
      <c r="B1" s="1077" t="str">
        <v>Month Plan</v>
      </c>
      <c r="C1" s="1077" t="str">
        <v>Cumulative Plan</v>
      </c>
      <c r="D1" s="1077" t="str">
        <v>Month Actual</v>
      </c>
      <c r="E1" s="1077" t="str">
        <v>Cumulative Actual</v>
      </c>
      <c r="F1" s="1077" t="str">
        <v>Month Forecast</v>
      </c>
      <c r="G1" s="1077" t="str">
        <v>Cumulative Forecast</v>
      </c>
      <c r="J1" s="132" t="s">
        <v>2211</v>
      </c>
      <c r="K1" s="132" t="s">
        <v>2212</v>
      </c>
      <c r="L1" s="132" t="s">
        <v>2213</v>
      </c>
      <c r="M1" s="132" t="s">
        <v>381</v>
      </c>
      <c r="N1" s="132" t="s">
        <v>2214</v>
      </c>
    </row>
    <row r="2" spans="1:14" ht="16" thickBot="1">
      <c r="A2" s="1078">
        <v>45292</v>
      </c>
      <c r="B2" s="1079">
        <v>0</v>
      </c>
      <c r="C2" s="1079">
        <v>0</v>
      </c>
      <c r="D2" s="1079">
        <v>0</v>
      </c>
      <c r="E2" s="1079">
        <v>0</v>
      </c>
      <c r="F2" s="1079">
        <v>0</v>
      </c>
      <c r="G2" s="1079">
        <v>0</v>
      </c>
      <c r="J2" s="1080">
        <f>'P6 Format'!E406</f>
        <v>45560</v>
      </c>
      <c r="K2" s="1080">
        <f>'P6 Format'!F406</f>
        <v>45857</v>
      </c>
      <c r="L2" s="132">
        <f>-(M2-K2)</f>
        <v>-70</v>
      </c>
      <c r="M2" s="1080">
        <f>'P6 Format'!K406</f>
        <v>45927</v>
      </c>
      <c r="N2" s="683">
        <f>C17</f>
        <v>0.86936030421102606</v>
      </c>
    </row>
    <row r="3" spans="1:14" ht="16" thickBot="1">
      <c r="A3" s="1078">
        <v>45323</v>
      </c>
      <c r="B3" s="1079">
        <v>0</v>
      </c>
      <c r="C3" s="1079">
        <v>0</v>
      </c>
      <c r="D3" s="1079">
        <v>0</v>
      </c>
      <c r="E3" s="1079">
        <v>0</v>
      </c>
      <c r="F3" s="1079">
        <v>0</v>
      </c>
      <c r="G3" s="1079">
        <v>0</v>
      </c>
    </row>
    <row r="4" spans="1:14" ht="16" thickBot="1">
      <c r="A4" s="1078">
        <v>45352</v>
      </c>
      <c r="B4" s="1079">
        <v>0</v>
      </c>
      <c r="C4" s="1079">
        <v>0</v>
      </c>
      <c r="D4" s="1079">
        <v>0</v>
      </c>
      <c r="E4" s="1079">
        <v>0</v>
      </c>
      <c r="F4" s="1079">
        <v>0</v>
      </c>
      <c r="G4" s="1079">
        <v>0</v>
      </c>
    </row>
    <row r="5" spans="1:14" ht="16" thickBot="1">
      <c r="A5" s="1078">
        <v>45383</v>
      </c>
      <c r="B5" s="1079">
        <v>0</v>
      </c>
      <c r="C5" s="1079">
        <v>0</v>
      </c>
      <c r="D5" s="1079">
        <v>1.5948453608247425E-4</v>
      </c>
      <c r="E5" s="1079">
        <v>1.5948453608247425E-4</v>
      </c>
      <c r="F5" s="1079">
        <v>0</v>
      </c>
      <c r="G5" s="1079">
        <v>0</v>
      </c>
    </row>
    <row r="6" spans="1:14" ht="16" thickBot="1">
      <c r="A6" s="1078">
        <v>45413</v>
      </c>
      <c r="B6" s="1079">
        <v>1.2524226804123712E-3</v>
      </c>
      <c r="C6" s="1079">
        <v>1.2524226804123712E-3</v>
      </c>
      <c r="D6" s="1079">
        <v>5.4881443298969077E-4</v>
      </c>
      <c r="E6" s="1079">
        <v>7.0829896907216496E-4</v>
      </c>
      <c r="F6" s="1079">
        <v>0</v>
      </c>
      <c r="G6" s="1079">
        <v>0</v>
      </c>
    </row>
    <row r="7" spans="1:14" ht="16" thickBot="1">
      <c r="A7" s="1078">
        <v>45444</v>
      </c>
      <c r="B7" s="1079">
        <v>1.3069909531829066E-3</v>
      </c>
      <c r="C7" s="1079">
        <v>2.5594136335952778E-3</v>
      </c>
      <c r="D7" s="1079">
        <v>4.9252577319587631E-4</v>
      </c>
      <c r="E7" s="1079">
        <v>1.2008247422680414E-3</v>
      </c>
      <c r="F7" s="1079">
        <v>0</v>
      </c>
      <c r="G7" s="1079">
        <v>0</v>
      </c>
    </row>
    <row r="8" spans="1:14" ht="16" thickBot="1">
      <c r="A8" s="1078">
        <v>45474</v>
      </c>
      <c r="B8" s="1079">
        <v>1.4882087104895244E-3</v>
      </c>
      <c r="C8" s="1079">
        <v>4.0476223440848022E-3</v>
      </c>
      <c r="D8" s="1079">
        <v>6.9164547537227949E-3</v>
      </c>
      <c r="E8" s="1079">
        <v>8.1172794959908368E-3</v>
      </c>
      <c r="F8" s="1079">
        <v>0</v>
      </c>
      <c r="G8" s="1079">
        <v>0</v>
      </c>
    </row>
    <row r="9" spans="1:14" ht="16" thickBot="1">
      <c r="A9" s="1078">
        <v>45505</v>
      </c>
      <c r="B9" s="1079">
        <v>3.487881658640668E-2</v>
      </c>
      <c r="C9" s="1079">
        <v>3.8926438930491483E-2</v>
      </c>
      <c r="D9" s="1079">
        <v>5.8821506300114554E-3</v>
      </c>
      <c r="E9" s="1079">
        <v>1.3999430126002292E-2</v>
      </c>
      <c r="F9" s="1079">
        <v>0</v>
      </c>
      <c r="G9" s="1079">
        <v>0</v>
      </c>
    </row>
    <row r="10" spans="1:14" ht="16" thickBot="1">
      <c r="A10" s="1078">
        <v>45536</v>
      </c>
      <c r="B10" s="1079">
        <v>7.026443762818739E-2</v>
      </c>
      <c r="C10" s="1079">
        <v>0.10919087655867887</v>
      </c>
      <c r="D10" s="1079">
        <v>8.6802226995036272E-2</v>
      </c>
      <c r="E10" s="1079">
        <v>0.10080165712103856</v>
      </c>
      <c r="F10" s="1079">
        <v>0</v>
      </c>
      <c r="G10" s="1079">
        <v>0</v>
      </c>
    </row>
    <row r="11" spans="1:14" ht="16" thickBot="1">
      <c r="A11" s="1078">
        <v>45566</v>
      </c>
      <c r="B11" s="1079">
        <v>9.4339274176186858E-2</v>
      </c>
      <c r="C11" s="1079">
        <v>0.20353015073486574</v>
      </c>
      <c r="D11" s="1079">
        <v>4.8913174875906837E-2</v>
      </c>
      <c r="E11" s="1079">
        <v>0.14971483199694541</v>
      </c>
      <c r="F11" s="1079">
        <v>0</v>
      </c>
      <c r="G11" s="1079">
        <v>0</v>
      </c>
    </row>
    <row r="12" spans="1:14" ht="16" thickBot="1">
      <c r="A12" s="1078">
        <v>45597</v>
      </c>
      <c r="B12" s="1079">
        <v>0.12005889741528472</v>
      </c>
      <c r="C12" s="1079">
        <v>0.32358904815015044</v>
      </c>
      <c r="D12" s="1079">
        <v>4.9004685538887115E-2</v>
      </c>
      <c r="E12" s="1079">
        <v>0.19871951753583253</v>
      </c>
      <c r="F12" s="1079">
        <v>0</v>
      </c>
      <c r="G12" s="1079">
        <v>0</v>
      </c>
    </row>
    <row r="13" spans="1:14" ht="16" thickBot="1">
      <c r="A13" s="1078">
        <v>45627</v>
      </c>
      <c r="B13" s="1079">
        <v>0.11214025999376304</v>
      </c>
      <c r="C13" s="1079">
        <v>0.43572930814391347</v>
      </c>
      <c r="D13" s="1079">
        <v>2.0771165304966806E-2</v>
      </c>
      <c r="E13" s="1079">
        <v>0.21949068284079934</v>
      </c>
      <c r="F13" s="1079">
        <v>0</v>
      </c>
      <c r="G13" s="1079">
        <v>0</v>
      </c>
    </row>
    <row r="14" spans="1:14" ht="16" thickBot="1">
      <c r="A14" s="1078">
        <v>45658</v>
      </c>
      <c r="B14" s="1079">
        <v>0.13890383475236212</v>
      </c>
      <c r="C14" s="1079">
        <v>0.57463314289627565</v>
      </c>
      <c r="D14" s="1079">
        <v>3.3034061717811931E-2</v>
      </c>
      <c r="E14" s="1079">
        <v>0.25252474455861129</v>
      </c>
      <c r="F14" s="1079">
        <v>0</v>
      </c>
      <c r="G14" s="1079">
        <v>0</v>
      </c>
    </row>
    <row r="15" spans="1:14" ht="16" thickBot="1">
      <c r="A15" s="1078">
        <v>45689</v>
      </c>
      <c r="B15" s="1079">
        <v>0.1220623258143564</v>
      </c>
      <c r="C15" s="1079">
        <v>0.69669546871063204</v>
      </c>
      <c r="D15" s="1079">
        <v>9.7364490344340748E-2</v>
      </c>
      <c r="E15" s="1079">
        <v>0.34988923490295204</v>
      </c>
      <c r="F15" s="1079">
        <v>0</v>
      </c>
      <c r="G15" s="1079">
        <v>0</v>
      </c>
    </row>
    <row r="16" spans="1:14" ht="16" thickBot="1">
      <c r="A16" s="1078">
        <v>45717</v>
      </c>
      <c r="B16" s="1079">
        <v>9.3663348078810812E-2</v>
      </c>
      <c r="C16" s="1079">
        <v>0.79035881678944286</v>
      </c>
      <c r="D16" s="1079">
        <v>3.0383470483377178E-2</v>
      </c>
      <c r="E16" s="1079">
        <v>0.38027270538632924</v>
      </c>
      <c r="F16" s="1079">
        <v>0</v>
      </c>
      <c r="G16" s="1079">
        <v>0</v>
      </c>
    </row>
    <row r="17" spans="1:7" ht="16" thickBot="1">
      <c r="A17" s="1078">
        <v>45748</v>
      </c>
      <c r="B17" s="1079">
        <v>7.9001487421583153E-2</v>
      </c>
      <c r="C17" s="1079">
        <v>0.86936030421102606</v>
      </c>
      <c r="D17" s="1079">
        <v>7.4522731881189741E-2</v>
      </c>
      <c r="E17" s="1079">
        <v>0.45479543726751898</v>
      </c>
      <c r="F17" s="1079">
        <v>0</v>
      </c>
      <c r="G17" s="1079">
        <v>0</v>
      </c>
    </row>
    <row r="18" spans="1:7" ht="16" thickBot="1">
      <c r="A18" s="1096">
        <v>45778</v>
      </c>
      <c r="B18" s="1097">
        <v>6.8386045142109178E-2</v>
      </c>
      <c r="C18" s="1097">
        <v>0.93774634935313528</v>
      </c>
      <c r="D18" s="1097">
        <v>0</v>
      </c>
      <c r="E18" s="1097">
        <v>0.45479543726751898</v>
      </c>
      <c r="F18" s="1097">
        <v>2.9302999999999996E-2</v>
      </c>
      <c r="G18" s="1097">
        <v>2.9302999999999996E-2</v>
      </c>
    </row>
    <row r="19" spans="1:7" ht="16" thickBot="1">
      <c r="A19" s="1078">
        <v>45809</v>
      </c>
      <c r="B19" s="1079">
        <v>3.8516516093629161E-2</v>
      </c>
      <c r="C19" s="1079">
        <v>0.97626286544676444</v>
      </c>
      <c r="D19" s="1079">
        <v>0</v>
      </c>
      <c r="E19" s="1079">
        <v>0.45479543726751898</v>
      </c>
      <c r="F19" s="1079">
        <v>2.1693000000000004E-2</v>
      </c>
      <c r="G19" s="1079">
        <v>5.0996E-2</v>
      </c>
    </row>
    <row r="20" spans="1:7" ht="16" thickBot="1">
      <c r="A20" s="1078">
        <v>45839</v>
      </c>
      <c r="B20" s="1079">
        <v>2.3777134553235706E-2</v>
      </c>
      <c r="C20" s="1079">
        <v>1.00004</v>
      </c>
      <c r="D20" s="1079">
        <v>0</v>
      </c>
      <c r="E20" s="1079">
        <v>0.45479543726751898</v>
      </c>
      <c r="F20" s="1079">
        <v>2.1109500000000003E-2</v>
      </c>
      <c r="G20" s="1079">
        <v>7.2105500000000003E-2</v>
      </c>
    </row>
    <row r="21" spans="1:7" ht="16" thickBot="1">
      <c r="A21" s="1078">
        <v>45870</v>
      </c>
      <c r="B21" s="1079">
        <v>0</v>
      </c>
      <c r="C21" s="1079">
        <v>1.00004</v>
      </c>
      <c r="D21" s="1079">
        <v>0</v>
      </c>
      <c r="E21" s="1079">
        <v>0.45479543726751898</v>
      </c>
      <c r="F21" s="1079">
        <v>1.4539500000000002E-2</v>
      </c>
      <c r="G21" s="1079">
        <v>8.6645E-2</v>
      </c>
    </row>
    <row r="22" spans="1:7" ht="16" thickBot="1">
      <c r="A22" s="1078">
        <v>45901</v>
      </c>
      <c r="B22" s="1079">
        <v>0</v>
      </c>
      <c r="C22" s="1079">
        <v>1.00004</v>
      </c>
      <c r="D22" s="1079">
        <v>0</v>
      </c>
      <c r="E22" s="1079">
        <v>0.45479543726751898</v>
      </c>
      <c r="F22" s="1079">
        <v>1.9386000000000004E-2</v>
      </c>
      <c r="G22" s="1079">
        <v>0.106031</v>
      </c>
    </row>
    <row r="23" spans="1:7" ht="16" thickBot="1">
      <c r="A23" s="1078">
        <v>45931</v>
      </c>
      <c r="B23" s="1079">
        <v>0</v>
      </c>
      <c r="C23" s="1079">
        <v>1.00004</v>
      </c>
      <c r="D23" s="1079">
        <v>0</v>
      </c>
      <c r="E23" s="1079">
        <v>0.45479543726751898</v>
      </c>
      <c r="F23" s="1079">
        <v>1.4539500000000002E-2</v>
      </c>
      <c r="G23" s="1079">
        <v>0.1205705</v>
      </c>
    </row>
    <row r="24" spans="1:7" ht="16" thickBot="1">
      <c r="A24" s="1078">
        <v>45962</v>
      </c>
      <c r="B24" s="1079">
        <v>0</v>
      </c>
      <c r="C24" s="1079">
        <v>1.00004</v>
      </c>
      <c r="D24" s="1079">
        <v>0</v>
      </c>
      <c r="E24" s="1079">
        <v>0.45479543726751898</v>
      </c>
      <c r="F24" s="1079">
        <v>9.693000000000002E-3</v>
      </c>
      <c r="G24" s="1079">
        <v>0.1302635</v>
      </c>
    </row>
    <row r="25" spans="1:7" ht="16" thickBot="1">
      <c r="A25" s="1078">
        <v>45993</v>
      </c>
      <c r="B25" s="1079">
        <v>0</v>
      </c>
      <c r="C25" s="1079">
        <v>1.00004</v>
      </c>
      <c r="D25" s="1079">
        <v>0</v>
      </c>
      <c r="E25" s="1079">
        <v>0.45479543726751898</v>
      </c>
      <c r="F25" s="1079">
        <v>9.693000000000002E-3</v>
      </c>
      <c r="G25" s="1079">
        <v>0.13995650000000001</v>
      </c>
    </row>
    <row r="26" spans="1:7" ht="16" thickBot="1">
      <c r="A26" s="1078">
        <v>46024</v>
      </c>
      <c r="B26" s="1079">
        <v>0</v>
      </c>
      <c r="C26" s="1079">
        <v>1.00004</v>
      </c>
      <c r="D26" s="1079">
        <v>0</v>
      </c>
      <c r="E26" s="1079">
        <v>0.45479543726751898</v>
      </c>
      <c r="F26" s="1079">
        <v>9.693000000000002E-3</v>
      </c>
      <c r="G26" s="1079">
        <v>0.14964950000000002</v>
      </c>
    </row>
    <row r="27" spans="1:7" ht="16" thickBot="1">
      <c r="A27" s="1078">
        <v>46055</v>
      </c>
      <c r="B27" s="1079">
        <v>0</v>
      </c>
      <c r="C27" s="1079">
        <v>1.00004</v>
      </c>
      <c r="D27" s="1079">
        <v>0</v>
      </c>
      <c r="E27" s="1079">
        <v>0.45479543726751898</v>
      </c>
      <c r="F27" s="1079">
        <v>0</v>
      </c>
      <c r="G27" s="1079">
        <v>0.14964950000000002</v>
      </c>
    </row>
    <row r="28" spans="1:7" ht="16" thickBot="1">
      <c r="A28" s="1078">
        <v>46086</v>
      </c>
      <c r="B28" s="1079">
        <v>0</v>
      </c>
      <c r="C28" s="1079">
        <v>1.00004</v>
      </c>
      <c r="D28" s="1079">
        <v>0</v>
      </c>
      <c r="E28" s="1079">
        <v>0.45479543726751898</v>
      </c>
      <c r="F28" s="1079">
        <v>0</v>
      </c>
      <c r="G28" s="1079">
        <v>0.14964950000000002</v>
      </c>
    </row>
    <row r="29" spans="1:7" ht="15.5">
      <c r="A29" s="1078">
        <v>46117</v>
      </c>
      <c r="B29" s="1079">
        <v>0</v>
      </c>
      <c r="C29" s="1079">
        <v>1.00004</v>
      </c>
      <c r="D29" s="1079">
        <v>0</v>
      </c>
      <c r="E29" s="1079">
        <v>0.45479543726751898</v>
      </c>
      <c r="F29" s="1079">
        <v>0</v>
      </c>
      <c r="G29" s="1079">
        <v>0.14964950000000002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E5D12-C5E5-4B68-BF88-EFB994ED4246}">
  <dimension ref="A1:N29"/>
  <sheetViews>
    <sheetView topLeftCell="A13" zoomScale="70" zoomScaleNormal="70" workbookViewId="0">
      <selection activeCell="A28" sqref="A28:G29"/>
    </sheetView>
  </sheetViews>
  <sheetFormatPr defaultRowHeight="14.5"/>
  <cols>
    <col min="1" max="1" width="14.6328125" style="564" customWidth="1"/>
    <col min="2" max="2" width="11.36328125" style="564" customWidth="1"/>
    <col min="3" max="3" width="13.90625" style="564" customWidth="1"/>
    <col min="4" max="4" width="13.81640625" style="564" customWidth="1"/>
    <col min="5" max="5" width="14.453125" style="564" customWidth="1"/>
    <col min="6" max="6" width="12.26953125" style="564" customWidth="1"/>
    <col min="7" max="7" width="13.36328125" style="564" customWidth="1"/>
    <col min="8" max="9" width="8.7265625" style="564"/>
    <col min="10" max="10" width="21.26953125" style="132" customWidth="1"/>
    <col min="11" max="11" width="23.6328125" style="132" customWidth="1"/>
    <col min="12" max="12" width="20.54296875" style="132" customWidth="1"/>
    <col min="13" max="13" width="16" style="132" customWidth="1"/>
    <col min="14" max="14" width="13.36328125" style="132" customWidth="1"/>
  </cols>
  <sheetData>
    <row r="1" spans="1:14" ht="31.5" thickBot="1">
      <c r="A1" s="1077" t="str" cm="1">
        <f t="array" ref="A1:G29">TRANSPOSE(SUMMARY!B142:AD148)</f>
        <v>Description</v>
      </c>
      <c r="B1" s="1077" t="str">
        <v>Month Plan</v>
      </c>
      <c r="C1" s="1077" t="str">
        <v>Cumulative Plan</v>
      </c>
      <c r="D1" s="1077" t="str">
        <v>Month Actual</v>
      </c>
      <c r="E1" s="1077" t="str">
        <v>Cumulative Actual</v>
      </c>
      <c r="F1" s="1077" t="str">
        <v>Month Forecast</v>
      </c>
      <c r="G1" s="1077" t="str">
        <v>Cumulative Forecast</v>
      </c>
      <c r="J1" s="132" t="s">
        <v>2211</v>
      </c>
      <c r="K1" s="132" t="s">
        <v>2212</v>
      </c>
      <c r="L1" s="132" t="s">
        <v>2213</v>
      </c>
      <c r="M1" s="132" t="s">
        <v>381</v>
      </c>
      <c r="N1" s="132" t="s">
        <v>2214</v>
      </c>
    </row>
    <row r="2" spans="1:14" ht="16" thickBot="1">
      <c r="A2" s="1078">
        <v>45292</v>
      </c>
      <c r="B2" s="1079">
        <v>0</v>
      </c>
      <c r="C2" s="1079">
        <v>0</v>
      </c>
      <c r="D2" s="1079">
        <v>0</v>
      </c>
      <c r="E2" s="1079">
        <v>0</v>
      </c>
      <c r="F2" s="1079">
        <v>0</v>
      </c>
      <c r="G2" s="1079">
        <v>0</v>
      </c>
      <c r="J2" s="1080">
        <f>'P6 Format'!E559</f>
        <v>45362</v>
      </c>
      <c r="K2" s="1080">
        <f>'P6 Format'!F559</f>
        <v>45976</v>
      </c>
      <c r="L2" s="132">
        <f>-(M2-K2)</f>
        <v>-70</v>
      </c>
      <c r="M2" s="1080">
        <f>'P6 Format'!K559</f>
        <v>46046</v>
      </c>
      <c r="N2" s="683">
        <f>C17</f>
        <v>0.4476595032451538</v>
      </c>
    </row>
    <row r="3" spans="1:14" ht="16" thickBot="1">
      <c r="A3" s="1078">
        <v>45323</v>
      </c>
      <c r="B3" s="1079">
        <v>0</v>
      </c>
      <c r="C3" s="1079">
        <v>0</v>
      </c>
      <c r="D3" s="1079">
        <v>0</v>
      </c>
      <c r="E3" s="1079">
        <v>0</v>
      </c>
      <c r="F3" s="1079">
        <v>0</v>
      </c>
      <c r="G3" s="1079">
        <v>0</v>
      </c>
    </row>
    <row r="4" spans="1:14" ht="16" thickBot="1">
      <c r="A4" s="1078">
        <v>45352</v>
      </c>
      <c r="B4" s="1079">
        <v>3.0114046316249139E-3</v>
      </c>
      <c r="C4" s="1079">
        <v>3.0114046316249139E-3</v>
      </c>
      <c r="D4" s="1079">
        <v>3.6760404853142001E-3</v>
      </c>
      <c r="E4" s="1079">
        <v>3.6760404853142001E-3</v>
      </c>
      <c r="F4" s="1079">
        <v>0</v>
      </c>
      <c r="G4" s="1079">
        <v>0</v>
      </c>
    </row>
    <row r="5" spans="1:14" ht="16" thickBot="1">
      <c r="A5" s="1078">
        <v>45383</v>
      </c>
      <c r="B5" s="1079">
        <v>4.4744494099187666E-3</v>
      </c>
      <c r="C5" s="1079">
        <v>7.4858540415436801E-3</v>
      </c>
      <c r="D5" s="1079">
        <v>9.0001362020128532E-3</v>
      </c>
      <c r="E5" s="1079">
        <v>1.2676176687327054E-2</v>
      </c>
      <c r="F5" s="1079">
        <v>0</v>
      </c>
      <c r="G5" s="1079">
        <v>0</v>
      </c>
    </row>
    <row r="6" spans="1:14" ht="16" thickBot="1">
      <c r="A6" s="1078">
        <v>45413</v>
      </c>
      <c r="B6" s="1079">
        <v>1.6541698812383946E-3</v>
      </c>
      <c r="C6" s="1079">
        <v>9.1400239227820753E-3</v>
      </c>
      <c r="D6" s="1079">
        <v>7.4985746528165283E-3</v>
      </c>
      <c r="E6" s="1079">
        <v>2.0174751340143581E-2</v>
      </c>
      <c r="F6" s="1079">
        <v>0</v>
      </c>
      <c r="G6" s="1079">
        <v>0</v>
      </c>
    </row>
    <row r="7" spans="1:14" ht="16" thickBot="1">
      <c r="A7" s="1078">
        <v>45444</v>
      </c>
      <c r="B7" s="1079">
        <v>3.4802411211781515E-3</v>
      </c>
      <c r="C7" s="1079">
        <v>1.2620265043960226E-2</v>
      </c>
      <c r="D7" s="1079">
        <v>4.7606346500910415E-3</v>
      </c>
      <c r="E7" s="1079">
        <v>2.4935385990234621E-2</v>
      </c>
      <c r="F7" s="1079">
        <v>0</v>
      </c>
      <c r="G7" s="1079">
        <v>0</v>
      </c>
    </row>
    <row r="8" spans="1:14" ht="16" thickBot="1">
      <c r="A8" s="1078">
        <v>45474</v>
      </c>
      <c r="B8" s="1079">
        <v>1.3839376435649158E-2</v>
      </c>
      <c r="C8" s="1079">
        <v>2.6459641479609386E-2</v>
      </c>
      <c r="D8" s="1079">
        <v>1.3034766329723091E-2</v>
      </c>
      <c r="E8" s="1079">
        <v>3.7970152319957713E-2</v>
      </c>
      <c r="F8" s="1079">
        <v>0</v>
      </c>
      <c r="G8" s="1079">
        <v>0</v>
      </c>
    </row>
    <row r="9" spans="1:14" ht="16" thickBot="1">
      <c r="A9" s="1078">
        <v>45505</v>
      </c>
      <c r="B9" s="1079">
        <v>1.6445276418977129E-2</v>
      </c>
      <c r="C9" s="1079">
        <v>4.2904917898586512E-2</v>
      </c>
      <c r="D9" s="1079">
        <v>1.502620330254654E-2</v>
      </c>
      <c r="E9" s="1079">
        <v>5.2996355622504251E-2</v>
      </c>
      <c r="F9" s="1079">
        <v>0</v>
      </c>
      <c r="G9" s="1079">
        <v>0</v>
      </c>
    </row>
    <row r="10" spans="1:14" ht="16" thickBot="1">
      <c r="A10" s="1078">
        <v>45536</v>
      </c>
      <c r="B10" s="1079">
        <v>1.8378344798671557E-2</v>
      </c>
      <c r="C10" s="1079">
        <v>6.1283262697258069E-2</v>
      </c>
      <c r="D10" s="1079">
        <v>1.5029243263310548E-2</v>
      </c>
      <c r="E10" s="1079">
        <v>6.8025598885814803E-2</v>
      </c>
      <c r="F10" s="1079">
        <v>0</v>
      </c>
      <c r="G10" s="1079">
        <v>0</v>
      </c>
    </row>
    <row r="11" spans="1:14" ht="16" thickBot="1">
      <c r="A11" s="1078">
        <v>45566</v>
      </c>
      <c r="B11" s="1079">
        <v>2.0620294831835716E-2</v>
      </c>
      <c r="C11" s="1079">
        <v>8.1903557529093785E-2</v>
      </c>
      <c r="D11" s="1079">
        <v>1.7796280626549518E-2</v>
      </c>
      <c r="E11" s="1079">
        <v>8.5821879512364321E-2</v>
      </c>
      <c r="F11" s="1079">
        <v>0</v>
      </c>
      <c r="G11" s="1079">
        <v>0</v>
      </c>
    </row>
    <row r="12" spans="1:14" ht="16" thickBot="1">
      <c r="A12" s="1078">
        <v>45597</v>
      </c>
      <c r="B12" s="1079">
        <v>2.6276673854467764E-2</v>
      </c>
      <c r="C12" s="1079">
        <v>0.10818023138356155</v>
      </c>
      <c r="D12" s="1079">
        <v>1.7920381450489752E-2</v>
      </c>
      <c r="E12" s="1079">
        <v>0.10374226096285408</v>
      </c>
      <c r="F12" s="1079">
        <v>0</v>
      </c>
      <c r="G12" s="1079">
        <v>0</v>
      </c>
    </row>
    <row r="13" spans="1:14" ht="16" thickBot="1">
      <c r="A13" s="1078">
        <v>45627</v>
      </c>
      <c r="B13" s="1079">
        <v>3.1574964399576438E-2</v>
      </c>
      <c r="C13" s="1079">
        <v>0.139755195783138</v>
      </c>
      <c r="D13" s="1079">
        <v>2.1868871426851053E-2</v>
      </c>
      <c r="E13" s="1079">
        <v>0.12561113238970512</v>
      </c>
      <c r="F13" s="1079">
        <v>0</v>
      </c>
      <c r="G13" s="1079">
        <v>0</v>
      </c>
    </row>
    <row r="14" spans="1:14" ht="16" thickBot="1">
      <c r="A14" s="1078">
        <v>45658</v>
      </c>
      <c r="B14" s="1079">
        <v>6.1430475281370127E-2</v>
      </c>
      <c r="C14" s="1079">
        <v>0.20118567106450813</v>
      </c>
      <c r="D14" s="1079">
        <v>3.4479236973688453E-2</v>
      </c>
      <c r="E14" s="1079">
        <v>0.16009036936339358</v>
      </c>
      <c r="F14" s="1079">
        <v>0</v>
      </c>
      <c r="G14" s="1079">
        <v>0</v>
      </c>
    </row>
    <row r="15" spans="1:14" ht="16" thickBot="1">
      <c r="A15" s="1078">
        <v>45689</v>
      </c>
      <c r="B15" s="1079">
        <v>7.7712784746530011E-2</v>
      </c>
      <c r="C15" s="1079">
        <v>0.27889845581103812</v>
      </c>
      <c r="D15" s="1079">
        <v>2.8278596509922847E-2</v>
      </c>
      <c r="E15" s="1079">
        <v>0.18836896587331642</v>
      </c>
      <c r="F15" s="1079">
        <v>0</v>
      </c>
      <c r="G15" s="1079">
        <v>0</v>
      </c>
    </row>
    <row r="16" spans="1:14" ht="16" thickBot="1">
      <c r="A16" s="1078">
        <v>45717</v>
      </c>
      <c r="B16" s="1079">
        <v>7.8112966232403255E-2</v>
      </c>
      <c r="C16" s="1079">
        <v>0.35701142204344138</v>
      </c>
      <c r="D16" s="1079">
        <v>1.8726091282178971E-2</v>
      </c>
      <c r="E16" s="1079">
        <v>0.20709505715549539</v>
      </c>
      <c r="F16" s="1079">
        <v>0</v>
      </c>
      <c r="G16" s="1079">
        <v>0</v>
      </c>
    </row>
    <row r="17" spans="1:7" ht="16" thickBot="1">
      <c r="A17" s="1078">
        <v>45748</v>
      </c>
      <c r="B17" s="1079">
        <v>9.064808120171243E-2</v>
      </c>
      <c r="C17" s="1079">
        <v>0.4476595032451538</v>
      </c>
      <c r="D17" s="1079">
        <v>2.0643926562727434E-2</v>
      </c>
      <c r="E17" s="1079">
        <v>0.22773898371822282</v>
      </c>
      <c r="F17" s="1079">
        <v>0</v>
      </c>
      <c r="G17" s="1079">
        <v>0</v>
      </c>
    </row>
    <row r="18" spans="1:7" ht="16" thickBot="1">
      <c r="A18" s="1096">
        <v>45778</v>
      </c>
      <c r="B18" s="1097">
        <v>0.10437474152059224</v>
      </c>
      <c r="C18" s="1097">
        <v>0.55203424476574603</v>
      </c>
      <c r="D18" s="1097">
        <v>9.0118949082850495E-4</v>
      </c>
      <c r="E18" s="1097">
        <v>0.22864017320905133</v>
      </c>
      <c r="F18" s="1097">
        <v>4.0360000000000007E-2</v>
      </c>
      <c r="G18" s="1097">
        <v>4.0360000000000007E-2</v>
      </c>
    </row>
    <row r="19" spans="1:7" ht="16" thickBot="1">
      <c r="A19" s="1078">
        <v>45809</v>
      </c>
      <c r="B19" s="1079">
        <v>0.11798860827333597</v>
      </c>
      <c r="C19" s="1079">
        <v>0.67002285303908204</v>
      </c>
      <c r="D19" s="1079">
        <v>0</v>
      </c>
      <c r="E19" s="1079">
        <v>0.22864017320905133</v>
      </c>
      <c r="F19" s="1079">
        <v>4.2390000000000004E-2</v>
      </c>
      <c r="G19" s="1079">
        <v>8.2750000000000018E-2</v>
      </c>
    </row>
    <row r="20" spans="1:7" ht="16" thickBot="1">
      <c r="A20" s="1078">
        <v>45839</v>
      </c>
      <c r="B20" s="1079">
        <v>0.12370444490128969</v>
      </c>
      <c r="C20" s="1079">
        <v>0.79372729794037178</v>
      </c>
      <c r="D20" s="1079">
        <v>0</v>
      </c>
      <c r="E20" s="1079">
        <v>0.22864017320905133</v>
      </c>
      <c r="F20" s="1079">
        <v>4.5710000000000001E-2</v>
      </c>
      <c r="G20" s="1079">
        <v>0.12846000000000002</v>
      </c>
    </row>
    <row r="21" spans="1:7" ht="16" thickBot="1">
      <c r="A21" s="1078">
        <v>45870</v>
      </c>
      <c r="B21" s="1079">
        <v>9.7867584908863103E-2</v>
      </c>
      <c r="C21" s="1079">
        <v>0.89159488284923483</v>
      </c>
      <c r="D21" s="1079">
        <v>0</v>
      </c>
      <c r="E21" s="1079">
        <v>0.22864017320905133</v>
      </c>
      <c r="F21" s="1079">
        <v>4.8250000000000001E-2</v>
      </c>
      <c r="G21" s="1079">
        <v>0.17671000000000003</v>
      </c>
    </row>
    <row r="22" spans="1:7" ht="16" thickBot="1">
      <c r="A22" s="1078">
        <v>45901</v>
      </c>
      <c r="B22" s="1079">
        <v>6.5862026799330106E-2</v>
      </c>
      <c r="C22" s="1079">
        <v>0.95745690964856489</v>
      </c>
      <c r="D22" s="1079">
        <v>0</v>
      </c>
      <c r="E22" s="1079">
        <v>0.22864017320905133</v>
      </c>
      <c r="F22" s="1079">
        <v>3.9529999999999996E-2</v>
      </c>
      <c r="G22" s="1079">
        <v>0.21624000000000004</v>
      </c>
    </row>
    <row r="23" spans="1:7" ht="16" thickBot="1">
      <c r="A23" s="1078">
        <v>45931</v>
      </c>
      <c r="B23" s="1079">
        <v>3.9077643487579979E-2</v>
      </c>
      <c r="C23" s="1079">
        <v>0.99653455313614492</v>
      </c>
      <c r="D23" s="1079">
        <v>0</v>
      </c>
      <c r="E23" s="1079">
        <v>0.22864017320905133</v>
      </c>
      <c r="F23" s="1079">
        <v>4.0718000000000004E-2</v>
      </c>
      <c r="G23" s="1079">
        <v>0.25695800000000002</v>
      </c>
    </row>
    <row r="24" spans="1:7" ht="16" thickBot="1">
      <c r="A24" s="1078">
        <v>45962</v>
      </c>
      <c r="B24" s="1079">
        <v>3.5352143057154153E-3</v>
      </c>
      <c r="C24" s="1079">
        <v>1.0000697674418604</v>
      </c>
      <c r="D24" s="1079">
        <v>0</v>
      </c>
      <c r="E24" s="1079">
        <v>0.22864017320905133</v>
      </c>
      <c r="F24" s="1079">
        <v>3.0415000000000005E-2</v>
      </c>
      <c r="G24" s="1079">
        <v>0.28737300000000005</v>
      </c>
    </row>
    <row r="25" spans="1:7" ht="16" thickBot="1">
      <c r="A25" s="1078">
        <v>45993</v>
      </c>
      <c r="B25" s="1079">
        <v>0</v>
      </c>
      <c r="C25" s="1079">
        <v>1.0000697674418604</v>
      </c>
      <c r="D25" s="1079">
        <v>0</v>
      </c>
      <c r="E25" s="1079">
        <v>0.22864017320905133</v>
      </c>
      <c r="F25" s="1079">
        <v>2.0567000000000002E-2</v>
      </c>
      <c r="G25" s="1079">
        <v>0.30794000000000005</v>
      </c>
    </row>
    <row r="26" spans="1:7" ht="16" thickBot="1">
      <c r="A26" s="1078">
        <v>46024</v>
      </c>
      <c r="B26" s="1079">
        <v>0</v>
      </c>
      <c r="C26" s="1079">
        <v>1.0000697674418604</v>
      </c>
      <c r="D26" s="1079">
        <v>0</v>
      </c>
      <c r="E26" s="1079">
        <v>0.22864017320905133</v>
      </c>
      <c r="F26" s="1079">
        <v>1.8204000000000005E-2</v>
      </c>
      <c r="G26" s="1079">
        <v>0.32614400000000004</v>
      </c>
    </row>
    <row r="27" spans="1:7" ht="16" thickBot="1">
      <c r="A27" s="1078">
        <v>46055</v>
      </c>
      <c r="B27" s="1079">
        <v>0</v>
      </c>
      <c r="C27" s="1079">
        <v>1.0000697674418604</v>
      </c>
      <c r="D27" s="1079">
        <v>0</v>
      </c>
      <c r="E27" s="1079">
        <v>0.22864017320905133</v>
      </c>
      <c r="F27" s="1079">
        <v>3.7660000000000007E-3</v>
      </c>
      <c r="G27" s="1079">
        <v>0.32991000000000004</v>
      </c>
    </row>
    <row r="28" spans="1:7" ht="16" thickBot="1">
      <c r="A28" s="1078">
        <v>46086</v>
      </c>
      <c r="B28" s="1079">
        <v>0</v>
      </c>
      <c r="C28" s="1079">
        <v>1.0000697674418604</v>
      </c>
      <c r="D28" s="1079">
        <v>0</v>
      </c>
      <c r="E28" s="1079">
        <v>0.22864017320905133</v>
      </c>
      <c r="F28" s="1079">
        <v>6.0000000000000006E-4</v>
      </c>
      <c r="G28" s="1079">
        <v>0.33051000000000003</v>
      </c>
    </row>
    <row r="29" spans="1:7" ht="15.5">
      <c r="A29" s="1078">
        <v>46117</v>
      </c>
      <c r="B29" s="1079">
        <v>0</v>
      </c>
      <c r="C29" s="1079">
        <v>1.0000697674418604</v>
      </c>
      <c r="D29" s="1079">
        <v>0</v>
      </c>
      <c r="E29" s="1079">
        <v>0.22864017320905133</v>
      </c>
      <c r="F29" s="1079">
        <v>1E-3</v>
      </c>
      <c r="G29" s="1079">
        <v>0.33151000000000003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505CD-0433-49A0-AAF2-569FFD9D6F24}">
  <dimension ref="A1:N29"/>
  <sheetViews>
    <sheetView topLeftCell="A19" zoomScale="80" zoomScaleNormal="80" workbookViewId="0">
      <selection activeCell="B31" sqref="B31"/>
    </sheetView>
  </sheetViews>
  <sheetFormatPr defaultRowHeight="14.5"/>
  <cols>
    <col min="1" max="1" width="14.6328125" style="564" customWidth="1"/>
    <col min="2" max="2" width="11.36328125" style="564" customWidth="1"/>
    <col min="3" max="3" width="13.90625" style="564" customWidth="1"/>
    <col min="4" max="4" width="13.81640625" style="564" customWidth="1"/>
    <col min="5" max="5" width="14.453125" style="564" customWidth="1"/>
    <col min="6" max="6" width="12.26953125" style="564" customWidth="1"/>
    <col min="7" max="7" width="13.36328125" style="564" customWidth="1"/>
    <col min="8" max="9" width="8.7265625" style="564"/>
    <col min="10" max="10" width="21.26953125" style="132" customWidth="1"/>
    <col min="11" max="11" width="23.6328125" style="132" customWidth="1"/>
    <col min="12" max="12" width="20.54296875" style="132" customWidth="1"/>
    <col min="13" max="13" width="16" style="132" customWidth="1"/>
    <col min="14" max="14" width="13.36328125" style="132" customWidth="1"/>
  </cols>
  <sheetData>
    <row r="1" spans="1:14" ht="31.5" thickBot="1">
      <c r="A1" s="1077" t="str" cm="1">
        <f t="array" ref="A1:G29">TRANSPOSE(SUMMARY!B150:AD156)</f>
        <v>Description</v>
      </c>
      <c r="B1" s="1077" t="str">
        <v>Month Plan</v>
      </c>
      <c r="C1" s="1077" t="str">
        <v>Cumulative Plan</v>
      </c>
      <c r="D1" s="1077" t="str">
        <v>Month Actual</v>
      </c>
      <c r="E1" s="1077" t="str">
        <v>Cumulative Actual</v>
      </c>
      <c r="F1" s="1077" t="str">
        <v>Month Forecast</v>
      </c>
      <c r="G1" s="1077" t="str">
        <v>Cumulative Forecast</v>
      </c>
      <c r="J1" s="132" t="s">
        <v>2211</v>
      </c>
      <c r="K1" s="132" t="s">
        <v>2212</v>
      </c>
      <c r="L1" s="132" t="s">
        <v>2213</v>
      </c>
      <c r="M1" s="132" t="s">
        <v>381</v>
      </c>
      <c r="N1" s="132" t="s">
        <v>2214</v>
      </c>
    </row>
    <row r="2" spans="1:14" ht="16" thickBot="1">
      <c r="A2" s="1078">
        <v>45292</v>
      </c>
      <c r="B2" s="1079">
        <v>0</v>
      </c>
      <c r="C2" s="1079">
        <v>0</v>
      </c>
      <c r="D2" s="1079">
        <v>0</v>
      </c>
      <c r="E2" s="1079">
        <v>0</v>
      </c>
      <c r="F2" s="1079">
        <v>0</v>
      </c>
      <c r="G2" s="1079">
        <v>0</v>
      </c>
      <c r="J2" s="1080">
        <f>'P6 Format'!E739</f>
        <v>45967</v>
      </c>
      <c r="K2" s="1080">
        <f>'P6 Format'!F739</f>
        <v>45983</v>
      </c>
      <c r="L2" s="132">
        <f>-(M2-K2)</f>
        <v>-70</v>
      </c>
      <c r="M2" s="1080">
        <f>'P6 Format'!K739</f>
        <v>46053</v>
      </c>
      <c r="N2" s="683">
        <f>C17</f>
        <v>0</v>
      </c>
    </row>
    <row r="3" spans="1:14" ht="16" thickBot="1">
      <c r="A3" s="1078">
        <v>45323</v>
      </c>
      <c r="B3" s="1079">
        <v>0</v>
      </c>
      <c r="C3" s="1079">
        <v>0</v>
      </c>
      <c r="D3" s="1079">
        <v>0</v>
      </c>
      <c r="E3" s="1079">
        <v>0</v>
      </c>
      <c r="F3" s="1079">
        <v>0</v>
      </c>
      <c r="G3" s="1079">
        <v>0</v>
      </c>
    </row>
    <row r="4" spans="1:14" ht="16" thickBot="1">
      <c r="A4" s="1078">
        <v>45352</v>
      </c>
      <c r="B4" s="1079">
        <v>0</v>
      </c>
      <c r="C4" s="1079">
        <v>0</v>
      </c>
      <c r="D4" s="1079">
        <v>0</v>
      </c>
      <c r="E4" s="1079">
        <v>0</v>
      </c>
      <c r="F4" s="1079">
        <v>0</v>
      </c>
      <c r="G4" s="1079">
        <v>0</v>
      </c>
    </row>
    <row r="5" spans="1:14" ht="16" thickBot="1">
      <c r="A5" s="1078">
        <v>45383</v>
      </c>
      <c r="B5" s="1079">
        <v>0</v>
      </c>
      <c r="C5" s="1079">
        <v>0</v>
      </c>
      <c r="D5" s="1079">
        <v>0</v>
      </c>
      <c r="E5" s="1079">
        <v>0</v>
      </c>
      <c r="F5" s="1079">
        <v>0</v>
      </c>
      <c r="G5" s="1079">
        <v>0</v>
      </c>
    </row>
    <row r="6" spans="1:14" ht="16" thickBot="1">
      <c r="A6" s="1078">
        <v>45413</v>
      </c>
      <c r="B6" s="1079">
        <v>0</v>
      </c>
      <c r="C6" s="1079">
        <v>0</v>
      </c>
      <c r="D6" s="1079">
        <v>0</v>
      </c>
      <c r="E6" s="1079">
        <v>0</v>
      </c>
      <c r="F6" s="1079">
        <v>0</v>
      </c>
      <c r="G6" s="1079">
        <v>0</v>
      </c>
    </row>
    <row r="7" spans="1:14" ht="16" thickBot="1">
      <c r="A7" s="1078">
        <v>45444</v>
      </c>
      <c r="B7" s="1079">
        <v>0</v>
      </c>
      <c r="C7" s="1079">
        <v>0</v>
      </c>
      <c r="D7" s="1079">
        <v>0</v>
      </c>
      <c r="E7" s="1079">
        <v>0</v>
      </c>
      <c r="F7" s="1079">
        <v>0</v>
      </c>
      <c r="G7" s="1079">
        <v>0</v>
      </c>
    </row>
    <row r="8" spans="1:14" ht="16" thickBot="1">
      <c r="A8" s="1078">
        <v>45474</v>
      </c>
      <c r="B8" s="1079">
        <v>0</v>
      </c>
      <c r="C8" s="1079">
        <v>0</v>
      </c>
      <c r="D8" s="1079">
        <v>0</v>
      </c>
      <c r="E8" s="1079">
        <v>0</v>
      </c>
      <c r="F8" s="1079">
        <v>0</v>
      </c>
      <c r="G8" s="1079">
        <v>0</v>
      </c>
    </row>
    <row r="9" spans="1:14" ht="16" thickBot="1">
      <c r="A9" s="1078">
        <v>45505</v>
      </c>
      <c r="B9" s="1079">
        <v>0</v>
      </c>
      <c r="C9" s="1079">
        <v>0</v>
      </c>
      <c r="D9" s="1079">
        <v>0</v>
      </c>
      <c r="E9" s="1079">
        <v>0</v>
      </c>
      <c r="F9" s="1079">
        <v>0</v>
      </c>
      <c r="G9" s="1079">
        <v>0</v>
      </c>
    </row>
    <row r="10" spans="1:14" ht="16" thickBot="1">
      <c r="A10" s="1078">
        <v>45536</v>
      </c>
      <c r="B10" s="1079">
        <v>0</v>
      </c>
      <c r="C10" s="1079">
        <v>0</v>
      </c>
      <c r="D10" s="1079">
        <v>0</v>
      </c>
      <c r="E10" s="1079">
        <v>0</v>
      </c>
      <c r="F10" s="1079">
        <v>0</v>
      </c>
      <c r="G10" s="1079">
        <v>0</v>
      </c>
    </row>
    <row r="11" spans="1:14" ht="16" thickBot="1">
      <c r="A11" s="1078">
        <v>45566</v>
      </c>
      <c r="B11" s="1079">
        <v>0</v>
      </c>
      <c r="C11" s="1079">
        <v>0</v>
      </c>
      <c r="D11" s="1079">
        <v>0</v>
      </c>
      <c r="E11" s="1079">
        <v>0</v>
      </c>
      <c r="F11" s="1079">
        <v>0</v>
      </c>
      <c r="G11" s="1079">
        <v>0</v>
      </c>
    </row>
    <row r="12" spans="1:14" ht="16" thickBot="1">
      <c r="A12" s="1078">
        <v>45597</v>
      </c>
      <c r="B12" s="1079">
        <v>0</v>
      </c>
      <c r="C12" s="1079">
        <v>0</v>
      </c>
      <c r="D12" s="1079">
        <v>0</v>
      </c>
      <c r="E12" s="1079">
        <v>0</v>
      </c>
      <c r="F12" s="1079">
        <v>0</v>
      </c>
      <c r="G12" s="1079">
        <v>0</v>
      </c>
    </row>
    <row r="13" spans="1:14" ht="16" thickBot="1">
      <c r="A13" s="1078">
        <v>45627</v>
      </c>
      <c r="B13" s="1079">
        <v>0</v>
      </c>
      <c r="C13" s="1079">
        <v>0</v>
      </c>
      <c r="D13" s="1079">
        <v>0</v>
      </c>
      <c r="E13" s="1079">
        <v>0</v>
      </c>
      <c r="F13" s="1079">
        <v>0</v>
      </c>
      <c r="G13" s="1079">
        <v>0</v>
      </c>
    </row>
    <row r="14" spans="1:14" ht="16" thickBot="1">
      <c r="A14" s="1078">
        <v>45658</v>
      </c>
      <c r="B14" s="1079">
        <v>0</v>
      </c>
      <c r="C14" s="1079">
        <v>0</v>
      </c>
      <c r="D14" s="1079">
        <v>0</v>
      </c>
      <c r="E14" s="1079">
        <v>0</v>
      </c>
      <c r="F14" s="1079">
        <v>0</v>
      </c>
      <c r="G14" s="1079">
        <v>0</v>
      </c>
    </row>
    <row r="15" spans="1:14" ht="16" thickBot="1">
      <c r="A15" s="1078">
        <v>45689</v>
      </c>
      <c r="B15" s="1079">
        <v>0</v>
      </c>
      <c r="C15" s="1079">
        <v>0</v>
      </c>
      <c r="D15" s="1079">
        <v>0</v>
      </c>
      <c r="E15" s="1079">
        <v>0</v>
      </c>
      <c r="F15" s="1079">
        <v>0</v>
      </c>
      <c r="G15" s="1079">
        <v>0</v>
      </c>
    </row>
    <row r="16" spans="1:14" ht="16" thickBot="1">
      <c r="A16" s="1078">
        <v>45717</v>
      </c>
      <c r="B16" s="1079">
        <v>0</v>
      </c>
      <c r="C16" s="1079">
        <v>0</v>
      </c>
      <c r="D16" s="1079">
        <v>0</v>
      </c>
      <c r="E16" s="1079">
        <v>0</v>
      </c>
      <c r="F16" s="1079">
        <v>0</v>
      </c>
      <c r="G16" s="1079">
        <v>0</v>
      </c>
    </row>
    <row r="17" spans="1:7" ht="16" thickBot="1">
      <c r="A17" s="1078">
        <v>45748</v>
      </c>
      <c r="B17" s="1079">
        <v>0</v>
      </c>
      <c r="C17" s="1079">
        <v>0</v>
      </c>
      <c r="D17" s="1079">
        <v>0</v>
      </c>
      <c r="E17" s="1079">
        <v>0</v>
      </c>
      <c r="F17" s="1079">
        <v>0</v>
      </c>
      <c r="G17" s="1079">
        <v>0</v>
      </c>
    </row>
    <row r="18" spans="1:7" ht="16" thickBot="1">
      <c r="A18" s="1096">
        <v>45778</v>
      </c>
      <c r="B18" s="1097">
        <v>0</v>
      </c>
      <c r="C18" s="1097">
        <v>0</v>
      </c>
      <c r="D18" s="1097">
        <v>0</v>
      </c>
      <c r="E18" s="1097">
        <v>0</v>
      </c>
      <c r="F18" s="1097">
        <v>0</v>
      </c>
      <c r="G18" s="1097">
        <v>0</v>
      </c>
    </row>
    <row r="19" spans="1:7" ht="16" thickBot="1">
      <c r="A19" s="1078">
        <v>45809</v>
      </c>
      <c r="B19" s="1079">
        <v>0.08</v>
      </c>
      <c r="C19" s="1079">
        <v>0.08</v>
      </c>
      <c r="D19" s="1079">
        <v>0</v>
      </c>
      <c r="E19" s="1079">
        <v>0</v>
      </c>
      <c r="F19" s="1079">
        <v>0</v>
      </c>
      <c r="G19" s="1079">
        <v>0</v>
      </c>
    </row>
    <row r="20" spans="1:7" ht="16" thickBot="1">
      <c r="A20" s="1078">
        <v>45839</v>
      </c>
      <c r="B20" s="1079">
        <v>0.22999999999999998</v>
      </c>
      <c r="C20" s="1079">
        <v>0.31</v>
      </c>
      <c r="D20" s="1079">
        <v>0</v>
      </c>
      <c r="E20" s="1079">
        <v>0</v>
      </c>
      <c r="F20" s="1079">
        <v>0</v>
      </c>
      <c r="G20" s="1079">
        <v>0</v>
      </c>
    </row>
    <row r="21" spans="1:7" ht="16" thickBot="1">
      <c r="A21" s="1078">
        <v>45870</v>
      </c>
      <c r="B21" s="1079">
        <v>0.18999999999999997</v>
      </c>
      <c r="C21" s="1079">
        <v>0.5</v>
      </c>
      <c r="D21" s="1079">
        <v>0</v>
      </c>
      <c r="E21" s="1079">
        <v>0</v>
      </c>
      <c r="F21" s="1079">
        <v>0</v>
      </c>
      <c r="G21" s="1079">
        <v>0</v>
      </c>
    </row>
    <row r="22" spans="1:7" ht="16" thickBot="1">
      <c r="A22" s="1078">
        <v>45901</v>
      </c>
      <c r="B22" s="1079">
        <v>0.5</v>
      </c>
      <c r="C22" s="1079">
        <v>1</v>
      </c>
      <c r="D22" s="1079">
        <v>0</v>
      </c>
      <c r="E22" s="1079">
        <v>0</v>
      </c>
      <c r="F22" s="1079">
        <v>0</v>
      </c>
      <c r="G22" s="1079">
        <v>0</v>
      </c>
    </row>
    <row r="23" spans="1:7" ht="16" thickBot="1">
      <c r="A23" s="1078">
        <v>45931</v>
      </c>
      <c r="B23" s="1079">
        <v>0</v>
      </c>
      <c r="C23" s="1079">
        <v>1</v>
      </c>
      <c r="D23" s="1079">
        <v>0</v>
      </c>
      <c r="E23" s="1079">
        <v>0</v>
      </c>
      <c r="F23" s="1079">
        <v>0</v>
      </c>
      <c r="G23" s="1079">
        <v>0</v>
      </c>
    </row>
    <row r="24" spans="1:7" ht="16" thickBot="1">
      <c r="A24" s="1078">
        <v>45962</v>
      </c>
      <c r="B24" s="1079">
        <v>0</v>
      </c>
      <c r="C24" s="1079">
        <v>1</v>
      </c>
      <c r="D24" s="1079">
        <v>0</v>
      </c>
      <c r="E24" s="1079">
        <v>0</v>
      </c>
      <c r="F24" s="1079">
        <v>0</v>
      </c>
      <c r="G24" s="1079">
        <v>0</v>
      </c>
    </row>
    <row r="25" spans="1:7" ht="16" thickBot="1">
      <c r="A25" s="1078">
        <v>45993</v>
      </c>
      <c r="B25" s="1079">
        <v>0</v>
      </c>
      <c r="C25" s="1079">
        <v>1</v>
      </c>
      <c r="D25" s="1079">
        <v>0</v>
      </c>
      <c r="E25" s="1079">
        <v>0</v>
      </c>
      <c r="F25" s="1079">
        <v>0</v>
      </c>
      <c r="G25" s="1079">
        <v>0</v>
      </c>
    </row>
    <row r="26" spans="1:7" ht="16" thickBot="1">
      <c r="A26" s="1078">
        <v>46024</v>
      </c>
      <c r="B26" s="1079">
        <v>0</v>
      </c>
      <c r="C26" s="1079">
        <v>1</v>
      </c>
      <c r="D26" s="1079">
        <v>0</v>
      </c>
      <c r="E26" s="1079">
        <v>0</v>
      </c>
      <c r="F26" s="1079">
        <v>7.4999999999999997E-3</v>
      </c>
      <c r="G26" s="1079">
        <v>7.4999999999999997E-3</v>
      </c>
    </row>
    <row r="27" spans="1:7" ht="16" thickBot="1">
      <c r="A27" s="1078">
        <v>46055</v>
      </c>
      <c r="B27" s="1079">
        <v>0</v>
      </c>
      <c r="C27" s="1079">
        <v>1</v>
      </c>
      <c r="D27" s="1079">
        <v>0</v>
      </c>
      <c r="E27" s="1079">
        <v>0</v>
      </c>
      <c r="F27" s="1079">
        <v>2.1499999999999998E-2</v>
      </c>
      <c r="G27" s="1079">
        <v>2.8999999999999998E-2</v>
      </c>
    </row>
    <row r="28" spans="1:7" ht="16" thickBot="1">
      <c r="A28" s="1078">
        <v>46086</v>
      </c>
      <c r="B28" s="1079">
        <v>0</v>
      </c>
      <c r="C28" s="1079">
        <v>1</v>
      </c>
      <c r="D28" s="1079">
        <v>0</v>
      </c>
      <c r="E28" s="1079">
        <v>0</v>
      </c>
      <c r="F28" s="1079">
        <v>2.1499999999999998E-2</v>
      </c>
      <c r="G28" s="1079">
        <v>5.0499999999999996E-2</v>
      </c>
    </row>
    <row r="29" spans="1:7" ht="15.5">
      <c r="A29" s="1078">
        <v>46117</v>
      </c>
      <c r="B29" s="1079">
        <v>0</v>
      </c>
      <c r="C29" s="1079">
        <v>1</v>
      </c>
      <c r="D29" s="1079">
        <v>0</v>
      </c>
      <c r="E29" s="1079">
        <v>0</v>
      </c>
      <c r="F29" s="1079">
        <v>2.1499999999999998E-2</v>
      </c>
      <c r="G29" s="1079">
        <v>7.1999999999999995E-2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B6EC6-077A-4C7E-917E-2D0FCD63C6D3}">
  <dimension ref="A1:B10"/>
  <sheetViews>
    <sheetView workbookViewId="0">
      <selection activeCell="B17" sqref="B17"/>
    </sheetView>
  </sheetViews>
  <sheetFormatPr defaultRowHeight="14.5"/>
  <cols>
    <col min="1" max="1" width="18.81640625" style="564" customWidth="1"/>
    <col min="2" max="2" width="51.54296875" style="564" customWidth="1"/>
    <col min="3" max="16384" width="8.7265625" style="564"/>
  </cols>
  <sheetData>
    <row r="1" spans="1:2">
      <c r="A1" s="1100" t="s">
        <v>2230</v>
      </c>
      <c r="B1" s="1100" t="s">
        <v>2231</v>
      </c>
    </row>
    <row r="2" spans="1:2">
      <c r="A2" s="1103" t="s">
        <v>61</v>
      </c>
      <c r="B2" s="1101" t="s">
        <v>2232</v>
      </c>
    </row>
    <row r="3" spans="1:2">
      <c r="A3" s="1103" t="s">
        <v>61</v>
      </c>
      <c r="B3" s="1101" t="s">
        <v>2233</v>
      </c>
    </row>
    <row r="4" spans="1:2">
      <c r="A4" s="1103" t="s">
        <v>61</v>
      </c>
      <c r="B4" s="1101" t="s">
        <v>2236</v>
      </c>
    </row>
    <row r="5" spans="1:2">
      <c r="A5" s="1104" t="s">
        <v>224</v>
      </c>
      <c r="B5" s="1102" t="s">
        <v>2234</v>
      </c>
    </row>
    <row r="6" spans="1:2" ht="29">
      <c r="A6" s="1104" t="s">
        <v>224</v>
      </c>
      <c r="B6" s="1102" t="s">
        <v>2235</v>
      </c>
    </row>
    <row r="7" spans="1:2">
      <c r="A7" s="1103" t="s">
        <v>10</v>
      </c>
      <c r="B7" s="1101"/>
    </row>
    <row r="8" spans="1:2" ht="29">
      <c r="A8" s="1104" t="s">
        <v>17</v>
      </c>
      <c r="B8" s="1106" t="s">
        <v>2237</v>
      </c>
    </row>
    <row r="9" spans="1:2">
      <c r="A9" s="1104" t="s">
        <v>17</v>
      </c>
      <c r="B9" s="1105" t="s">
        <v>2238</v>
      </c>
    </row>
    <row r="10" spans="1:2">
      <c r="A10" s="1107" t="s">
        <v>19</v>
      </c>
      <c r="B10" s="1105" t="s">
        <v>2239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2AD6E-4365-4C0E-A9AF-25829C0C3CD5}">
  <dimension ref="A1:L10"/>
  <sheetViews>
    <sheetView topLeftCell="C1" workbookViewId="0">
      <selection activeCell="D17" sqref="D17"/>
    </sheetView>
  </sheetViews>
  <sheetFormatPr defaultRowHeight="14.5"/>
  <cols>
    <col min="1" max="1" width="8.7265625" style="1109"/>
    <col min="4" max="4" width="15.453125" customWidth="1"/>
    <col min="5" max="5" width="7.26953125" customWidth="1"/>
    <col min="6" max="6" width="8.81640625" customWidth="1"/>
    <col min="7" max="7" width="10.7265625" customWidth="1"/>
    <col min="9" max="9" width="8.7265625" style="564"/>
  </cols>
  <sheetData>
    <row r="1" spans="1:12">
      <c r="A1" s="1109" t="s">
        <v>2240</v>
      </c>
      <c r="D1">
        <v>3</v>
      </c>
      <c r="E1">
        <v>143</v>
      </c>
      <c r="F1" s="564">
        <v>1469</v>
      </c>
      <c r="G1" s="564">
        <v>0</v>
      </c>
      <c r="H1">
        <v>0</v>
      </c>
      <c r="I1" s="564">
        <v>11891</v>
      </c>
      <c r="J1">
        <v>2192577</v>
      </c>
      <c r="L1" s="1109"/>
    </row>
    <row r="2" spans="1:12">
      <c r="A2" s="1109" t="s">
        <v>2240</v>
      </c>
      <c r="C2" s="1110">
        <v>663</v>
      </c>
      <c r="D2" s="1110">
        <v>1003</v>
      </c>
      <c r="E2" s="1110">
        <v>1000</v>
      </c>
      <c r="F2" s="1110">
        <v>1108</v>
      </c>
      <c r="G2" s="1110">
        <v>1217</v>
      </c>
      <c r="H2" s="1110">
        <v>1326</v>
      </c>
      <c r="I2" s="1110">
        <v>1454</v>
      </c>
      <c r="J2" s="1110">
        <v>1467</v>
      </c>
      <c r="K2" s="1110">
        <v>1544</v>
      </c>
      <c r="L2" s="1110">
        <v>1544</v>
      </c>
    </row>
    <row r="3" spans="1:12">
      <c r="A3" s="1109" t="s">
        <v>2240</v>
      </c>
      <c r="C3" s="1110">
        <v>20</v>
      </c>
      <c r="D3" s="1110">
        <v>80</v>
      </c>
      <c r="E3" s="1110">
        <v>150</v>
      </c>
      <c r="F3" s="1110">
        <v>200</v>
      </c>
      <c r="G3" s="1110">
        <v>250</v>
      </c>
      <c r="H3" s="1110">
        <v>350</v>
      </c>
      <c r="I3" s="1110">
        <v>576</v>
      </c>
      <c r="J3" s="1110">
        <v>643</v>
      </c>
      <c r="K3" s="1110">
        <v>1140</v>
      </c>
      <c r="L3" s="1110">
        <v>1140</v>
      </c>
    </row>
    <row r="4" spans="1:12">
      <c r="A4" s="1109" t="s">
        <v>2240</v>
      </c>
    </row>
    <row r="5" spans="1:12">
      <c r="A5" s="1109" t="s">
        <v>2240</v>
      </c>
    </row>
    <row r="6" spans="1:12">
      <c r="A6" s="1109" t="s">
        <v>2168</v>
      </c>
      <c r="L6" s="1109"/>
    </row>
    <row r="7" spans="1:12">
      <c r="A7" s="1109" t="s">
        <v>2168</v>
      </c>
      <c r="C7" s="1108">
        <v>178</v>
      </c>
      <c r="D7" s="1108">
        <v>384</v>
      </c>
      <c r="E7" s="1108">
        <v>529</v>
      </c>
      <c r="F7" s="1108">
        <v>367</v>
      </c>
      <c r="G7" s="1108">
        <v>368</v>
      </c>
      <c r="H7" s="1108">
        <v>532</v>
      </c>
      <c r="I7" s="1108">
        <v>882</v>
      </c>
      <c r="J7" s="1108">
        <v>865</v>
      </c>
      <c r="K7" s="1108">
        <v>865</v>
      </c>
      <c r="L7" s="1110">
        <v>865</v>
      </c>
    </row>
    <row r="8" spans="1:12">
      <c r="A8" s="1109" t="s">
        <v>2168</v>
      </c>
      <c r="C8" s="1108">
        <v>9</v>
      </c>
      <c r="D8" s="1108">
        <v>11</v>
      </c>
      <c r="E8" s="1108">
        <v>29</v>
      </c>
      <c r="F8" s="1108">
        <v>29</v>
      </c>
      <c r="G8" s="1108">
        <v>29</v>
      </c>
      <c r="H8" s="1108">
        <v>44</v>
      </c>
      <c r="I8" s="1108">
        <v>44</v>
      </c>
      <c r="J8" s="1108">
        <v>289</v>
      </c>
      <c r="K8" s="1108">
        <v>314</v>
      </c>
      <c r="L8" s="1110">
        <v>314</v>
      </c>
    </row>
    <row r="9" spans="1:12">
      <c r="A9" s="1109" t="s">
        <v>2168</v>
      </c>
      <c r="L9" s="1109"/>
    </row>
    <row r="10" spans="1:12">
      <c r="A10" s="1109" t="s">
        <v>2168</v>
      </c>
      <c r="L10" s="1109"/>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1DB2D-C1F2-42AB-983C-5B41231DFCDD}">
  <dimension ref="A1:J4"/>
  <sheetViews>
    <sheetView workbookViewId="0">
      <selection activeCell="D13" sqref="D13"/>
    </sheetView>
  </sheetViews>
  <sheetFormatPr defaultRowHeight="14.5"/>
  <cols>
    <col min="1" max="1" width="20.453125" customWidth="1"/>
    <col min="2" max="2" width="14.36328125" customWidth="1"/>
    <col min="3" max="3" width="15.453125" customWidth="1"/>
    <col min="4" max="4" width="12.54296875" customWidth="1"/>
    <col min="7" max="7" width="12.08984375" customWidth="1"/>
    <col min="8" max="8" width="14.26953125" customWidth="1"/>
  </cols>
  <sheetData>
    <row r="1" spans="1:10" ht="16" thickBot="1">
      <c r="A1" s="1163" t="s">
        <v>2215</v>
      </c>
      <c r="B1" s="1164"/>
      <c r="C1" s="1164"/>
      <c r="D1" s="1164"/>
      <c r="E1" s="1164"/>
      <c r="F1" s="1164"/>
      <c r="G1" s="1164"/>
      <c r="H1" s="1164"/>
      <c r="I1" s="1164"/>
      <c r="J1" s="1165"/>
    </row>
    <row r="2" spans="1:10" ht="31.5" thickBot="1">
      <c r="A2" s="1081" t="s">
        <v>2216</v>
      </c>
      <c r="B2" s="1081" t="s">
        <v>2217</v>
      </c>
      <c r="C2" s="1081" t="s">
        <v>663</v>
      </c>
      <c r="D2" s="1081" t="s">
        <v>701</v>
      </c>
      <c r="E2" s="1081" t="s">
        <v>2218</v>
      </c>
      <c r="F2" s="1081" t="s">
        <v>2219</v>
      </c>
      <c r="G2" s="1081" t="s">
        <v>2220</v>
      </c>
      <c r="H2" s="1081" t="s">
        <v>2221</v>
      </c>
      <c r="I2" s="1081" t="s">
        <v>2222</v>
      </c>
      <c r="J2" s="1081" t="s">
        <v>2223</v>
      </c>
    </row>
    <row r="3" spans="1:10" ht="31.5" thickBot="1">
      <c r="A3" s="759" t="s">
        <v>2224</v>
      </c>
      <c r="B3" s="760">
        <v>12</v>
      </c>
      <c r="C3" s="760">
        <v>9</v>
      </c>
      <c r="D3" s="760">
        <v>3</v>
      </c>
      <c r="E3" s="1082"/>
      <c r="F3" s="760">
        <v>3</v>
      </c>
      <c r="G3" s="1082"/>
      <c r="H3" s="1082"/>
      <c r="I3" s="1082"/>
      <c r="J3" s="1082"/>
    </row>
    <row r="4" spans="1:10" ht="23" thickBot="1">
      <c r="A4" s="759" t="s">
        <v>2225</v>
      </c>
      <c r="B4" s="760">
        <v>82</v>
      </c>
      <c r="C4" s="760">
        <v>67</v>
      </c>
      <c r="D4" s="760">
        <v>15</v>
      </c>
      <c r="E4" s="760">
        <v>3</v>
      </c>
      <c r="F4" s="760">
        <v>7</v>
      </c>
      <c r="G4" s="760">
        <v>2</v>
      </c>
      <c r="H4" s="760">
        <v>2</v>
      </c>
      <c r="I4" s="1083">
        <v>1</v>
      </c>
      <c r="J4" s="1082"/>
    </row>
  </sheetData>
  <mergeCells count="1">
    <mergeCell ref="A1:J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DDA49-75D1-408B-8D37-31B2293F7C53}">
  <sheetPr>
    <tabColor theme="8" tint="0.39997558519241921"/>
  </sheetPr>
  <dimension ref="A1:J12"/>
  <sheetViews>
    <sheetView workbookViewId="0">
      <pane ySplit="1" topLeftCell="A2" activePane="bottomLeft" state="frozen"/>
      <selection activeCell="C26" sqref="C26"/>
      <selection pane="bottomLeft" activeCell="E15" sqref="E15"/>
    </sheetView>
  </sheetViews>
  <sheetFormatPr defaultColWidth="8.7265625" defaultRowHeight="14.5"/>
  <cols>
    <col min="1" max="1" width="6.453125" style="543" customWidth="1"/>
    <col min="2" max="2" width="22.1796875" style="543" customWidth="1"/>
    <col min="3" max="3" width="8.7265625" style="543"/>
    <col min="4" max="4" width="11.81640625" style="543" customWidth="1"/>
    <col min="5" max="10" width="14.54296875" style="543" customWidth="1"/>
    <col min="11" max="16384" width="8.7265625" style="543"/>
  </cols>
  <sheetData>
    <row r="1" spans="1:10" s="974" customFormat="1" ht="31">
      <c r="A1" s="973" t="s">
        <v>0</v>
      </c>
      <c r="B1" s="973" t="s">
        <v>584</v>
      </c>
      <c r="C1" s="973" t="s">
        <v>298</v>
      </c>
      <c r="D1" s="973" t="s">
        <v>93</v>
      </c>
      <c r="E1" s="973" t="s">
        <v>585</v>
      </c>
      <c r="F1" s="973" t="s">
        <v>364</v>
      </c>
      <c r="G1" s="973" t="s">
        <v>365</v>
      </c>
      <c r="H1" s="973" t="s">
        <v>586</v>
      </c>
      <c r="I1" s="973" t="s">
        <v>587</v>
      </c>
      <c r="J1" s="973" t="s">
        <v>278</v>
      </c>
    </row>
    <row r="2" spans="1:10" ht="15.5">
      <c r="A2" s="975">
        <v>1</v>
      </c>
      <c r="B2" s="976" t="s">
        <v>20</v>
      </c>
      <c r="C2" s="977" t="s">
        <v>338</v>
      </c>
      <c r="D2" s="975">
        <f>'[1]Excavation Summary'!H43</f>
        <v>192446.7</v>
      </c>
      <c r="E2" s="975">
        <f>'[1]Excavation Summary'!I43</f>
        <v>93451</v>
      </c>
      <c r="F2" s="975">
        <f>'[1]Excavation Summary'!J43</f>
        <v>0</v>
      </c>
      <c r="G2" s="975">
        <f>'[1]Excavation Summary'!K43</f>
        <v>1352</v>
      </c>
      <c r="H2" s="975">
        <v>63537</v>
      </c>
      <c r="I2" s="975">
        <f>'[1]Excavation Summary'!M43</f>
        <v>181806</v>
      </c>
      <c r="J2" s="975">
        <f>Table5[[#This Row],[Scope]]-Table5[[#This Row],[Cumulative completed]]</f>
        <v>10640.700000000012</v>
      </c>
    </row>
    <row r="3" spans="1:10" ht="15.5">
      <c r="A3" s="975">
        <v>2</v>
      </c>
      <c r="B3" s="976" t="s">
        <v>21</v>
      </c>
      <c r="C3" s="977" t="s">
        <v>90</v>
      </c>
      <c r="D3" s="975">
        <f>'[1]RCC Summary'!H38</f>
        <v>94070.32</v>
      </c>
      <c r="E3" s="975">
        <f>'[1]RCC Summary'!I38</f>
        <v>54084.519</v>
      </c>
      <c r="F3" s="975">
        <f>'[1]RCC Summary'!J38</f>
        <v>6980</v>
      </c>
      <c r="G3" s="975">
        <f>'[1]RCC Summary'!K38</f>
        <v>1989.1399999999999</v>
      </c>
      <c r="H3" s="975">
        <f>'[1]RCC Summary'!L38</f>
        <v>50837</v>
      </c>
      <c r="I3" s="975">
        <f>'[1]RCC Summary'!M38</f>
        <v>34288.1</v>
      </c>
      <c r="J3" s="975">
        <f>Table5[[#This Row],[Scope]]-Table5[[#This Row],[Cumulative completed]]</f>
        <v>59782.220000000008</v>
      </c>
    </row>
    <row r="4" spans="1:10" ht="15.5">
      <c r="A4" s="975">
        <v>3</v>
      </c>
      <c r="B4" s="976" t="s">
        <v>154</v>
      </c>
      <c r="C4" s="977" t="s">
        <v>321</v>
      </c>
      <c r="D4" s="975">
        <f>SUM([1]!Table12[Scope])</f>
        <v>5073.5999999999995</v>
      </c>
      <c r="E4" s="975">
        <f>SUM([1]!Table12[Drawing Released])</f>
        <v>4569</v>
      </c>
      <c r="F4" s="975">
        <f>SUM([1]!Table12[Current Month Plan])</f>
        <v>552</v>
      </c>
      <c r="G4" s="975">
        <f>SUM([1]!Table12[Current Month Actual])</f>
        <v>99.4</v>
      </c>
      <c r="H4" s="975">
        <f>SUM([1]!Table12[Cummulative Planned])</f>
        <v>2215</v>
      </c>
      <c r="I4" s="975">
        <f>SUM([1]!Table12[Cummulative completed])</f>
        <v>819.30000000000007</v>
      </c>
      <c r="J4" s="975">
        <f>Table5[[#This Row],[Scope]]-Table5[[#This Row],[Cumulative completed]]</f>
        <v>4254.2999999999993</v>
      </c>
    </row>
    <row r="5" spans="1:10" ht="15.5">
      <c r="A5" s="975">
        <v>4</v>
      </c>
      <c r="B5" s="976" t="s">
        <v>588</v>
      </c>
      <c r="C5" s="977" t="s">
        <v>321</v>
      </c>
      <c r="D5" s="975">
        <f>SUM([1]!Table13[Scope])</f>
        <v>20905.3094585</v>
      </c>
      <c r="E5" s="975">
        <f>SUM([1]!Table13[Drawing Released])</f>
        <v>6211.73</v>
      </c>
      <c r="F5" s="975">
        <f>SUM([1]!Table13[Current Month Plan])</f>
        <v>0</v>
      </c>
      <c r="G5" s="975">
        <f>SUM([1]!Table13[Current Month Actual])</f>
        <v>0</v>
      </c>
      <c r="H5" s="975">
        <f>SUM([1]!Table13[Cummulative Planned])</f>
        <v>4341.5931973199995</v>
      </c>
      <c r="I5" s="975">
        <f>SUM([1]!Table13[Cummulative completed])</f>
        <v>4171.8100000000004</v>
      </c>
      <c r="J5" s="975">
        <f>Table5[[#This Row],[Scope]]-Table5[[#This Row],[Cumulative completed]]</f>
        <v>16733.499458499999</v>
      </c>
    </row>
    <row r="6" spans="1:10" ht="15.5">
      <c r="A6" s="975">
        <v>5</v>
      </c>
      <c r="B6" s="976" t="s">
        <v>22</v>
      </c>
      <c r="C6" s="977" t="s">
        <v>321</v>
      </c>
      <c r="D6" s="975">
        <f>[1]!Table14[[#Totals],[Scope]]</f>
        <v>42410.674462499999</v>
      </c>
      <c r="E6" s="975">
        <f>[1]!Table14[[#Totals],[Drawing Released]]</f>
        <v>14969</v>
      </c>
      <c r="F6" s="975">
        <f>[1]!Table14[[#Totals],[Current Month Plan]]</f>
        <v>1288</v>
      </c>
      <c r="G6" s="975">
        <f>[1]!Table14[[#Totals],[Current Month Actual]]</f>
        <v>465.44320000000005</v>
      </c>
      <c r="H6" s="975">
        <f>[1]!Table14[[#Totals],[Cummulative Planned]]</f>
        <v>1609.921</v>
      </c>
      <c r="I6" s="975">
        <f>[1]!Table14[[#Totals],[Cummulative completed]]</f>
        <v>2338.5289000000002</v>
      </c>
      <c r="J6" s="975">
        <f>Table5[[#This Row],[Scope]]-Table5[[#This Row],[Cumulative completed]]</f>
        <v>40072.145562500002</v>
      </c>
    </row>
    <row r="7" spans="1:10" ht="15.5">
      <c r="A7" s="975">
        <v>6</v>
      </c>
      <c r="B7" s="976" t="s">
        <v>276</v>
      </c>
      <c r="C7" s="977" t="s">
        <v>589</v>
      </c>
      <c r="D7" s="975"/>
      <c r="E7" s="975"/>
      <c r="F7" s="975"/>
      <c r="G7" s="975"/>
      <c r="H7" s="975"/>
      <c r="I7" s="975"/>
      <c r="J7" s="975"/>
    </row>
    <row r="8" spans="1:10" ht="15.5">
      <c r="A8" s="975">
        <v>7</v>
      </c>
      <c r="B8" s="976" t="s">
        <v>590</v>
      </c>
      <c r="C8" s="977" t="s">
        <v>338</v>
      </c>
      <c r="D8" s="975"/>
      <c r="E8" s="975"/>
      <c r="F8" s="975"/>
      <c r="G8" s="975"/>
      <c r="H8" s="975"/>
      <c r="I8" s="975"/>
      <c r="J8" s="975"/>
    </row>
    <row r="9" spans="1:10" ht="15.5">
      <c r="A9" s="975">
        <v>8</v>
      </c>
      <c r="B9" s="976" t="s">
        <v>24</v>
      </c>
      <c r="C9" s="977" t="s">
        <v>321</v>
      </c>
      <c r="D9" s="975"/>
      <c r="E9" s="975"/>
      <c r="F9" s="975"/>
      <c r="G9" s="975"/>
      <c r="H9" s="975"/>
      <c r="I9" s="975"/>
      <c r="J9" s="975">
        <f>Table5[[#This Row],[Scope]]-Table5[[#This Row],[Cumulative completed]]</f>
        <v>0</v>
      </c>
    </row>
    <row r="10" spans="1:10" ht="15.5">
      <c r="A10" s="975">
        <v>9</v>
      </c>
      <c r="B10" s="976" t="s">
        <v>591</v>
      </c>
      <c r="C10" s="977" t="s">
        <v>338</v>
      </c>
      <c r="D10" s="975"/>
      <c r="E10" s="975"/>
      <c r="F10" s="975"/>
      <c r="G10" s="975"/>
      <c r="H10" s="975"/>
      <c r="I10" s="975"/>
      <c r="J10" s="975"/>
    </row>
    <row r="11" spans="1:10" ht="15.5">
      <c r="A11" s="975">
        <v>10</v>
      </c>
      <c r="B11" s="976" t="s">
        <v>592</v>
      </c>
      <c r="C11" s="977" t="s">
        <v>338</v>
      </c>
      <c r="D11" s="975"/>
      <c r="E11" s="975"/>
      <c r="F11" s="975"/>
      <c r="G11" s="975"/>
      <c r="H11" s="975"/>
      <c r="I11" s="975"/>
      <c r="J11" s="975"/>
    </row>
    <row r="12" spans="1:10" ht="15.5">
      <c r="A12" s="975">
        <v>11</v>
      </c>
      <c r="B12" s="976" t="s">
        <v>27</v>
      </c>
      <c r="C12" s="977" t="s">
        <v>338</v>
      </c>
      <c r="D12" s="975"/>
      <c r="E12" s="975"/>
      <c r="F12" s="975"/>
      <c r="G12" s="975"/>
      <c r="H12" s="975"/>
      <c r="I12" s="975"/>
      <c r="J12" s="975"/>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F8AE6-C2DE-4B4A-8004-1843B6BD6C18}">
  <dimension ref="A1"/>
  <sheetViews>
    <sheetView workbookViewId="0"/>
  </sheetViews>
  <sheetFormatPr defaultRowHeight="14.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692C7-FF4D-490D-AF14-AB3441634F9B}">
  <dimension ref="A1:T21"/>
  <sheetViews>
    <sheetView view="pageBreakPreview" zoomScale="51" zoomScaleNormal="72" zoomScaleSheetLayoutView="51" workbookViewId="0">
      <selection activeCell="F4" sqref="F4"/>
    </sheetView>
  </sheetViews>
  <sheetFormatPr defaultColWidth="8.7265625" defaultRowHeight="14.5"/>
  <cols>
    <col min="1" max="1" width="23.453125" style="564" customWidth="1"/>
    <col min="2" max="2" width="18.81640625" style="564" customWidth="1"/>
    <col min="3" max="3" width="18.1796875" style="564" customWidth="1"/>
    <col min="4" max="4" width="9" style="564" bestFit="1" customWidth="1"/>
    <col min="5" max="5" width="8.81640625" style="564" customWidth="1"/>
    <col min="6" max="6" width="8.81640625" style="564" bestFit="1" customWidth="1"/>
    <col min="7" max="7" width="11.26953125" style="564" customWidth="1"/>
    <col min="8" max="8" width="10.81640625" style="564" customWidth="1"/>
    <col min="9" max="9" width="8.81640625" style="564" bestFit="1" customWidth="1"/>
    <col min="10" max="10" width="10.453125" style="564" bestFit="1" customWidth="1"/>
    <col min="11" max="11" width="10.54296875" style="564" bestFit="1" customWidth="1"/>
    <col min="12" max="12" width="10.26953125" style="564" bestFit="1" customWidth="1"/>
    <col min="13" max="13" width="12.26953125" style="564" customWidth="1"/>
    <col min="14" max="14" width="12.7265625" style="564" customWidth="1"/>
    <col min="15" max="16" width="8.7265625" style="564"/>
    <col min="17" max="17" width="15.453125" style="564" customWidth="1"/>
    <col min="18" max="18" width="10.7265625" style="564" customWidth="1"/>
    <col min="19" max="19" width="16.54296875" style="564" customWidth="1"/>
    <col min="20" max="21" width="8.7265625" style="564"/>
    <col min="22" max="22" width="20.81640625" style="564" customWidth="1"/>
    <col min="23" max="16384" width="8.7265625" style="564"/>
  </cols>
  <sheetData>
    <row r="1" spans="1:20" ht="24" customHeight="1" thickBot="1">
      <c r="A1" s="1166" t="s">
        <v>297</v>
      </c>
      <c r="B1" s="1166" t="s">
        <v>298</v>
      </c>
      <c r="C1" s="1166" t="s">
        <v>299</v>
      </c>
      <c r="D1" s="1170" t="s">
        <v>300</v>
      </c>
      <c r="E1" s="1171"/>
      <c r="F1" s="1172"/>
      <c r="G1" s="1173">
        <v>45748</v>
      </c>
      <c r="H1" s="1174"/>
      <c r="I1" s="1175"/>
      <c r="J1" s="1170" t="s">
        <v>301</v>
      </c>
      <c r="K1" s="1171"/>
      <c r="L1" s="1172"/>
      <c r="M1" s="1170" t="s">
        <v>302</v>
      </c>
      <c r="N1" s="1171"/>
      <c r="O1" s="1171"/>
      <c r="P1" s="1172"/>
      <c r="Q1" s="1166" t="s">
        <v>303</v>
      </c>
      <c r="R1" s="1166" t="s">
        <v>304</v>
      </c>
      <c r="S1" s="1166" t="s">
        <v>305</v>
      </c>
    </row>
    <row r="2" spans="1:20" ht="27.65" customHeight="1" thickBot="1">
      <c r="A2" s="1167"/>
      <c r="B2" s="1167"/>
      <c r="C2" s="1167"/>
      <c r="D2" s="1166" t="s">
        <v>306</v>
      </c>
      <c r="E2" s="1166" t="s">
        <v>307</v>
      </c>
      <c r="F2" s="1166" t="s">
        <v>308</v>
      </c>
      <c r="G2" s="725" t="s">
        <v>309</v>
      </c>
      <c r="H2" s="725" t="s">
        <v>309</v>
      </c>
      <c r="I2" s="1176" t="s">
        <v>44</v>
      </c>
      <c r="J2" s="1178">
        <v>45802</v>
      </c>
      <c r="K2" s="1178">
        <v>45834</v>
      </c>
      <c r="L2" s="1178">
        <v>45865</v>
      </c>
      <c r="M2" s="1166" t="s">
        <v>310</v>
      </c>
      <c r="N2" s="1173">
        <f>G1</f>
        <v>45748</v>
      </c>
      <c r="O2" s="1171"/>
      <c r="P2" s="1172"/>
      <c r="Q2" s="1167"/>
      <c r="R2" s="1167"/>
      <c r="S2" s="1167"/>
    </row>
    <row r="3" spans="1:20" ht="26.5" thickBot="1">
      <c r="A3" s="1168"/>
      <c r="B3" s="1168"/>
      <c r="C3" s="1169"/>
      <c r="D3" s="1169"/>
      <c r="E3" s="1169"/>
      <c r="F3" s="1169"/>
      <c r="G3" s="726" t="s">
        <v>311</v>
      </c>
      <c r="H3" s="726" t="s">
        <v>312</v>
      </c>
      <c r="I3" s="1177"/>
      <c r="J3" s="1179"/>
      <c r="K3" s="1179"/>
      <c r="L3" s="1179"/>
      <c r="M3" s="1168"/>
      <c r="N3" s="727" t="s">
        <v>313</v>
      </c>
      <c r="O3" s="727" t="s">
        <v>314</v>
      </c>
      <c r="P3" s="727" t="s">
        <v>132</v>
      </c>
      <c r="Q3" s="1168"/>
      <c r="R3" s="1168"/>
      <c r="S3" s="1168"/>
    </row>
    <row r="4" spans="1:20" ht="23" thickBot="1">
      <c r="A4" s="728" t="s">
        <v>315</v>
      </c>
      <c r="B4" s="729" t="s">
        <v>316</v>
      </c>
      <c r="C4" s="781">
        <f>'MARATHA QTY DISTRIBUATION'!AC115</f>
        <v>146</v>
      </c>
      <c r="D4" s="730">
        <f>'MARATHA QTY DISTRIBUATION'!AC115</f>
        <v>146</v>
      </c>
      <c r="E4" s="731">
        <f>'MARATHA QTY DISTRIBUATION'!AC117</f>
        <v>105</v>
      </c>
      <c r="F4" s="732">
        <f>E4/D4</f>
        <v>0.71917808219178081</v>
      </c>
      <c r="G4" s="733">
        <f>'MARATHA QTY DISTRIBUATION'!U114</f>
        <v>0</v>
      </c>
      <c r="H4" s="734"/>
      <c r="I4" s="735">
        <f>'PPT-2'!J3</f>
        <v>0</v>
      </c>
      <c r="J4" s="780">
        <f>'MARATHA QTY DISTRIBUATION'!V114</f>
        <v>0</v>
      </c>
      <c r="K4" s="780">
        <f>'MARATHA QTY DISTRIBUATION'!W114</f>
        <v>0</v>
      </c>
      <c r="L4" s="780">
        <f>'MARATHA QTY DISTRIBUATION'!X114</f>
        <v>0</v>
      </c>
      <c r="M4" s="733">
        <f>'PPT-2'!I3</f>
        <v>0</v>
      </c>
      <c r="N4" s="730">
        <f>'PPT-2'!J3</f>
        <v>0</v>
      </c>
      <c r="O4" s="730"/>
      <c r="P4" s="730"/>
      <c r="Q4" s="736">
        <f>'PPT-2'!N3</f>
        <v>45991</v>
      </c>
      <c r="R4" s="737"/>
      <c r="S4" s="738"/>
    </row>
    <row r="5" spans="1:20" ht="23" thickBot="1">
      <c r="A5" s="728" t="s">
        <v>317</v>
      </c>
      <c r="B5" s="729" t="s">
        <v>318</v>
      </c>
      <c r="C5" s="781">
        <f>'MARATHA QTY DISTRIBUATION'!AC34</f>
        <v>192446.7</v>
      </c>
      <c r="D5" s="730">
        <f>'MARATHA QTY DISTRIBUATION'!AC34</f>
        <v>192446.7</v>
      </c>
      <c r="E5" s="731">
        <f>'MARATHA QTY DISTRIBUATION'!AC36</f>
        <v>206587</v>
      </c>
      <c r="F5" s="732">
        <f>E5/D5</f>
        <v>1.0734764482841221</v>
      </c>
      <c r="G5" s="733">
        <f>'MARATHA QTY DISTRIBUATION'!U33</f>
        <v>0</v>
      </c>
      <c r="H5" s="734">
        <v>15000</v>
      </c>
      <c r="I5" s="731">
        <f>'MARATHA QTY DISTRIBUATION'!U35</f>
        <v>14140</v>
      </c>
      <c r="J5" s="780">
        <f>'MARATHA QTY DISTRIBUATION'!V33</f>
        <v>0</v>
      </c>
      <c r="K5" s="780">
        <f>'MARATHA QTY DISTRIBUATION'!W33</f>
        <v>0</v>
      </c>
      <c r="L5" s="780">
        <f>'MARATHA QTY DISTRIBUATION'!X33</f>
        <v>0</v>
      </c>
      <c r="M5" s="730">
        <v>40</v>
      </c>
      <c r="N5" s="730">
        <v>30</v>
      </c>
      <c r="O5" s="730">
        <v>0</v>
      </c>
      <c r="P5" s="730">
        <f>N5</f>
        <v>30</v>
      </c>
      <c r="Q5" s="736">
        <f>'PPT-2'!N4</f>
        <v>45746</v>
      </c>
      <c r="R5" s="737"/>
      <c r="S5" s="738"/>
    </row>
    <row r="6" spans="1:20" ht="23" thickBot="1">
      <c r="A6" s="728" t="s">
        <v>319</v>
      </c>
      <c r="B6" s="729" t="s">
        <v>318</v>
      </c>
      <c r="C6" s="781">
        <f>'MARATHA QTY DISTRIBUATION'!AC39</f>
        <v>87100</v>
      </c>
      <c r="D6" s="733">
        <f>'MARATHA QTY DISTRIBUATION'!U39</f>
        <v>59999</v>
      </c>
      <c r="E6" s="731">
        <f>'MARATHA QTY DISTRIBUATION'!AC41</f>
        <v>35199</v>
      </c>
      <c r="F6" s="732">
        <f>E6/D6</f>
        <v>0.58665977766296107</v>
      </c>
      <c r="G6" s="733">
        <f>'MARATHA QTY DISTRIBUATION'!U38</f>
        <v>9162</v>
      </c>
      <c r="H6" s="734">
        <v>7296</v>
      </c>
      <c r="I6" s="731">
        <f>'MARATHA QTY DISTRIBUATION'!U40</f>
        <v>2749</v>
      </c>
      <c r="J6" s="780">
        <f>'MARATHA QTY DISTRIBUATION'!V38</f>
        <v>8103</v>
      </c>
      <c r="K6" s="780">
        <f>'MARATHA QTY DISTRIBUATION'!W38</f>
        <v>7693</v>
      </c>
      <c r="L6" s="780">
        <f>'MARATHA QTY DISTRIBUATION'!X38</f>
        <v>5381</v>
      </c>
      <c r="M6" s="730">
        <v>1320</v>
      </c>
      <c r="N6" s="730">
        <v>574</v>
      </c>
      <c r="O6" s="730">
        <v>0</v>
      </c>
      <c r="P6" s="730">
        <f>N6</f>
        <v>574</v>
      </c>
      <c r="Q6" s="736">
        <f>'PPT-2'!N5</f>
        <v>45960</v>
      </c>
      <c r="R6" s="737"/>
      <c r="S6" s="738"/>
    </row>
    <row r="7" spans="1:20" ht="23" thickBot="1">
      <c r="A7" s="739" t="s">
        <v>320</v>
      </c>
      <c r="B7" s="740" t="s">
        <v>321</v>
      </c>
      <c r="C7" s="781">
        <f>C9</f>
        <v>5073.6000000000004</v>
      </c>
      <c r="D7" s="730">
        <f>D9</f>
        <v>3848.94</v>
      </c>
      <c r="E7" s="731">
        <f>E9</f>
        <v>912</v>
      </c>
      <c r="F7" s="732">
        <f t="shared" ref="F7:F13" si="0">E7/D7</f>
        <v>0.23694835461191913</v>
      </c>
      <c r="G7" s="733">
        <f>G9</f>
        <v>685.16100000000006</v>
      </c>
      <c r="H7" s="734">
        <f>SUM(H8:H9)</f>
        <v>553</v>
      </c>
      <c r="I7" s="731">
        <f>I8+I9</f>
        <v>183</v>
      </c>
      <c r="J7" s="780">
        <f>J9</f>
        <v>594.27099999999984</v>
      </c>
      <c r="K7" s="780">
        <f t="shared" ref="K7:L7" si="1">K9</f>
        <v>326.02199999999999</v>
      </c>
      <c r="L7" s="780">
        <f t="shared" si="1"/>
        <v>304.36700000000008</v>
      </c>
      <c r="M7" s="730">
        <f>M9</f>
        <v>315</v>
      </c>
      <c r="N7" s="730">
        <f>N9</f>
        <v>135</v>
      </c>
      <c r="O7" s="730"/>
      <c r="P7" s="730">
        <f>N7</f>
        <v>135</v>
      </c>
      <c r="Q7" s="736">
        <f>'PPT-2'!N6</f>
        <v>45868</v>
      </c>
      <c r="R7" s="737"/>
      <c r="S7" s="738"/>
    </row>
    <row r="8" spans="1:20" ht="24" hidden="1" customHeight="1" thickBot="1">
      <c r="A8" s="741" t="s">
        <v>322</v>
      </c>
      <c r="B8" s="742" t="s">
        <v>321</v>
      </c>
      <c r="C8" s="733">
        <v>20905</v>
      </c>
      <c r="D8" s="730">
        <v>10672</v>
      </c>
      <c r="E8" s="731">
        <f>'PPT-2'!D7</f>
        <v>5237</v>
      </c>
      <c r="F8" s="732">
        <f t="shared" si="0"/>
        <v>0.49072338830584705</v>
      </c>
      <c r="G8" s="733">
        <f>'PPT-2'!I7</f>
        <v>0</v>
      </c>
      <c r="H8" s="734"/>
      <c r="I8" s="735">
        <f>'PPT-2'!J7</f>
        <v>0</v>
      </c>
      <c r="J8" s="780">
        <f>'PPT-2'!L7</f>
        <v>4842</v>
      </c>
      <c r="K8" s="780">
        <f>'PPT-2'!M7</f>
        <v>4842</v>
      </c>
      <c r="L8" s="780">
        <f>'PPT-2'!N7</f>
        <v>45868</v>
      </c>
      <c r="M8" s="730"/>
      <c r="N8" s="730">
        <f>'PPT-2'!J7</f>
        <v>0</v>
      </c>
      <c r="O8" s="737"/>
      <c r="P8" s="730">
        <f>N8</f>
        <v>0</v>
      </c>
      <c r="Q8" s="736">
        <f>'PPT-2'!N7</f>
        <v>45868</v>
      </c>
      <c r="R8" s="737"/>
      <c r="S8" s="743"/>
    </row>
    <row r="9" spans="1:20" ht="23" thickBot="1">
      <c r="A9" s="741" t="s">
        <v>139</v>
      </c>
      <c r="B9" s="742" t="s">
        <v>321</v>
      </c>
      <c r="C9" s="733">
        <f>'MARATHA QTY DISTRIBUATION'!AC44</f>
        <v>5073.6000000000004</v>
      </c>
      <c r="D9" s="733">
        <f>'MARATHA QTY DISTRIBUATION'!U44</f>
        <v>3848.94</v>
      </c>
      <c r="E9" s="731">
        <f>'MARATHA QTY DISTRIBUATION'!AC46</f>
        <v>912</v>
      </c>
      <c r="F9" s="732">
        <f>E9/D9</f>
        <v>0.23694835461191913</v>
      </c>
      <c r="G9" s="733">
        <f>'MARATHA QTY DISTRIBUATION'!U43</f>
        <v>685.16100000000006</v>
      </c>
      <c r="H9" s="734">
        <v>553</v>
      </c>
      <c r="I9" s="731">
        <f>'MARATHA QTY DISTRIBUATION'!U45</f>
        <v>183</v>
      </c>
      <c r="J9" s="780">
        <f>'MARATHA QTY DISTRIBUATION'!V43</f>
        <v>594.27099999999984</v>
      </c>
      <c r="K9" s="780">
        <f>'MARATHA QTY DISTRIBUATION'!W43</f>
        <v>326.02199999999999</v>
      </c>
      <c r="L9" s="780">
        <f>'MARATHA QTY DISTRIBUATION'!X43</f>
        <v>304.36700000000008</v>
      </c>
      <c r="M9" s="730">
        <v>315</v>
      </c>
      <c r="N9" s="730">
        <v>135</v>
      </c>
      <c r="O9" s="737"/>
      <c r="P9" s="730">
        <f>N9</f>
        <v>135</v>
      </c>
      <c r="Q9" s="736">
        <f>'PPT-2'!N8</f>
        <v>45868</v>
      </c>
      <c r="R9" s="737"/>
      <c r="S9" s="743"/>
    </row>
    <row r="10" spans="1:20" ht="18.5" thickBot="1">
      <c r="A10" s="744" t="s">
        <v>22</v>
      </c>
      <c r="B10" s="745" t="s">
        <v>321</v>
      </c>
      <c r="C10" s="782">
        <f>C11</f>
        <v>20905</v>
      </c>
      <c r="D10" s="745">
        <f>D11</f>
        <v>4970</v>
      </c>
      <c r="E10" s="746">
        <f>E11</f>
        <v>620</v>
      </c>
      <c r="F10" s="747">
        <f t="shared" si="0"/>
        <v>0.12474849094567404</v>
      </c>
      <c r="G10" s="746">
        <f>G11</f>
        <v>2541</v>
      </c>
      <c r="H10" s="745">
        <v>0</v>
      </c>
      <c r="I10" s="748">
        <f>I11</f>
        <v>84</v>
      </c>
      <c r="J10" s="746">
        <f>J11</f>
        <v>3353</v>
      </c>
      <c r="K10" s="746">
        <f t="shared" ref="K10:L10" si="2">K11</f>
        <v>3495</v>
      </c>
      <c r="L10" s="746">
        <f t="shared" si="2"/>
        <v>3946</v>
      </c>
      <c r="M10" s="748">
        <f>M11</f>
        <v>100</v>
      </c>
      <c r="N10" s="748">
        <f>N11</f>
        <v>29</v>
      </c>
      <c r="O10" s="749"/>
      <c r="P10" s="748"/>
      <c r="Q10" s="750">
        <v>45899</v>
      </c>
      <c r="R10" s="749"/>
      <c r="S10" s="751"/>
      <c r="T10" s="564" t="s">
        <v>142</v>
      </c>
    </row>
    <row r="11" spans="1:20" ht="23" thickBot="1">
      <c r="A11" s="741" t="s">
        <v>323</v>
      </c>
      <c r="B11" s="742" t="s">
        <v>321</v>
      </c>
      <c r="C11" s="733">
        <f>'MARATHA QTY DISTRIBUATION'!AC49</f>
        <v>20905</v>
      </c>
      <c r="D11" s="778">
        <f>'MARATHA QTY DISTRIBUATION'!U49</f>
        <v>4970</v>
      </c>
      <c r="E11" s="731">
        <f>'MARATHA QTY DISTRIBUATION'!AC51</f>
        <v>620</v>
      </c>
      <c r="F11" s="732">
        <f t="shared" si="0"/>
        <v>0.12474849094567404</v>
      </c>
      <c r="G11" s="733">
        <f>'MARATHA QTY DISTRIBUATION'!U48</f>
        <v>2541</v>
      </c>
      <c r="H11" s="734">
        <v>395</v>
      </c>
      <c r="I11" s="731">
        <f>'MARATHA QTY DISTRIBUATION'!U50</f>
        <v>84</v>
      </c>
      <c r="J11" s="780">
        <f>'MARATHA QTY DISTRIBUATION'!V48</f>
        <v>3353</v>
      </c>
      <c r="K11" s="780">
        <f>'MARATHA QTY DISTRIBUATION'!W48</f>
        <v>3495</v>
      </c>
      <c r="L11" s="780">
        <f>'MARATHA QTY DISTRIBUATION'!X48</f>
        <v>3946</v>
      </c>
      <c r="M11" s="730">
        <v>100</v>
      </c>
      <c r="N11" s="730">
        <v>29</v>
      </c>
      <c r="O11" s="737"/>
      <c r="P11" s="730">
        <f>N11</f>
        <v>29</v>
      </c>
      <c r="Q11" s="736">
        <f>'[2]RCC UPDATED SEP(2)'!Q11</f>
        <v>45899</v>
      </c>
      <c r="R11" s="737"/>
      <c r="S11" s="743"/>
    </row>
    <row r="12" spans="1:20" ht="45.65" customHeight="1" thickBot="1">
      <c r="A12" s="744" t="s">
        <v>324</v>
      </c>
      <c r="B12" s="745" t="s">
        <v>321</v>
      </c>
      <c r="C12" s="782">
        <f>C13</f>
        <v>21505</v>
      </c>
      <c r="D12" s="745">
        <f t="shared" ref="D12:P12" si="3">SUM(D13)</f>
        <v>4648</v>
      </c>
      <c r="E12" s="746">
        <f>E13</f>
        <v>1856</v>
      </c>
      <c r="F12" s="747">
        <f t="shared" si="3"/>
        <v>0.3993115318416523</v>
      </c>
      <c r="G12" s="746">
        <f>G13</f>
        <v>1878</v>
      </c>
      <c r="H12" s="745">
        <f t="shared" si="3"/>
        <v>893</v>
      </c>
      <c r="I12" s="748">
        <f>I13</f>
        <v>520</v>
      </c>
      <c r="J12" s="746">
        <f>J13</f>
        <v>2257</v>
      </c>
      <c r="K12" s="746">
        <f t="shared" ref="K12:L12" si="4">K13</f>
        <v>3295</v>
      </c>
      <c r="L12" s="746">
        <f t="shared" si="4"/>
        <v>3778</v>
      </c>
      <c r="M12" s="749">
        <f t="shared" si="3"/>
        <v>300</v>
      </c>
      <c r="N12" s="748">
        <f t="shared" si="3"/>
        <v>108</v>
      </c>
      <c r="O12" s="749">
        <f t="shared" si="3"/>
        <v>0</v>
      </c>
      <c r="P12" s="748">
        <f t="shared" si="3"/>
        <v>108</v>
      </c>
      <c r="Q12" s="750">
        <v>45899</v>
      </c>
      <c r="R12" s="749"/>
      <c r="S12" s="751"/>
    </row>
    <row r="13" spans="1:20" ht="28.5" thickBot="1">
      <c r="A13" s="752" t="s">
        <v>325</v>
      </c>
      <c r="B13" s="753" t="s">
        <v>321</v>
      </c>
      <c r="C13" s="779">
        <f>'MARATHA QTY DISTRIBUATION'!AC54</f>
        <v>21505</v>
      </c>
      <c r="D13" s="779">
        <f>'MARATHA QTY DISTRIBUATION'!U54</f>
        <v>4648</v>
      </c>
      <c r="E13" s="731">
        <f>'MARATHA QTY DISTRIBUATION'!AC56</f>
        <v>1856</v>
      </c>
      <c r="F13" s="732">
        <f t="shared" si="0"/>
        <v>0.3993115318416523</v>
      </c>
      <c r="G13" s="733">
        <f>'MARATHA QTY DISTRIBUATION'!U53</f>
        <v>1878</v>
      </c>
      <c r="H13" s="754">
        <v>893</v>
      </c>
      <c r="I13" s="731">
        <f>'MARATHA QTY DISTRIBUATION'!U55</f>
        <v>520</v>
      </c>
      <c r="J13" s="780">
        <f>'MARATHA QTY DISTRIBUATION'!V53</f>
        <v>2257</v>
      </c>
      <c r="K13" s="780">
        <f>'MARATHA QTY DISTRIBUATION'!W53</f>
        <v>3295</v>
      </c>
      <c r="L13" s="780">
        <f>'MARATHA QTY DISTRIBUATION'!X53</f>
        <v>3778</v>
      </c>
      <c r="M13" s="730">
        <v>300</v>
      </c>
      <c r="N13" s="730">
        <v>108</v>
      </c>
      <c r="O13" s="737"/>
      <c r="P13" s="730">
        <f>N13</f>
        <v>108</v>
      </c>
      <c r="Q13" s="755">
        <f>'PPT-2'!N11</f>
        <v>45960</v>
      </c>
      <c r="R13" s="756"/>
      <c r="S13" s="757"/>
    </row>
    <row r="14" spans="1:20">
      <c r="M14" s="564">
        <f>SUM(M4:M13)</f>
        <v>2790</v>
      </c>
    </row>
    <row r="17" spans="1:5">
      <c r="A17" s="132" t="str">
        <f>A1</f>
        <v>Items</v>
      </c>
      <c r="B17" s="132" t="str">
        <f>C1</f>
        <v>Total Scope</v>
      </c>
      <c r="C17" s="132" t="str">
        <f>E2</f>
        <v>Actual till date</v>
      </c>
      <c r="E17" s="569"/>
    </row>
    <row r="18" spans="1:5">
      <c r="A18" s="132" t="str">
        <f>A6</f>
        <v>Civil (RCC+PCC)</v>
      </c>
      <c r="B18" s="341">
        <f>C6</f>
        <v>87100</v>
      </c>
      <c r="C18" s="341">
        <f>E6</f>
        <v>35199</v>
      </c>
      <c r="D18" s="557">
        <f>C18/B18</f>
        <v>0.40412169919632607</v>
      </c>
    </row>
    <row r="19" spans="1:5">
      <c r="A19" s="132" t="str">
        <f>A7</f>
        <v>Fabrication</v>
      </c>
      <c r="B19" s="341">
        <f>C7</f>
        <v>5073.6000000000004</v>
      </c>
      <c r="C19" s="341">
        <f>E7</f>
        <v>912</v>
      </c>
      <c r="D19" s="557">
        <f t="shared" ref="D19:D21" si="5">C19/B19</f>
        <v>0.17975402081362346</v>
      </c>
    </row>
    <row r="20" spans="1:5">
      <c r="A20" s="132" t="str">
        <f>A11</f>
        <v xml:space="preserve">Structure </v>
      </c>
      <c r="B20" s="341">
        <f>C11</f>
        <v>20905</v>
      </c>
      <c r="C20" s="341">
        <f>E11</f>
        <v>620</v>
      </c>
      <c r="D20" s="557">
        <f t="shared" si="5"/>
        <v>2.9657976560631429E-2</v>
      </c>
    </row>
    <row r="21" spans="1:5">
      <c r="A21" s="132" t="str">
        <f>A13</f>
        <v>Equipment &amp; Plate Erection</v>
      </c>
      <c r="B21" s="341">
        <f>'PPT-2'!C9</f>
        <v>42410</v>
      </c>
      <c r="C21" s="341">
        <f>'PPT-2'!E9</f>
        <v>2476</v>
      </c>
      <c r="D21" s="557">
        <f t="shared" si="5"/>
        <v>5.8382456967696297E-2</v>
      </c>
    </row>
  </sheetData>
  <mergeCells count="19">
    <mergeCell ref="S1:S3"/>
    <mergeCell ref="D2:D3"/>
    <mergeCell ref="E2:E3"/>
    <mergeCell ref="F2:F3"/>
    <mergeCell ref="I2:I3"/>
    <mergeCell ref="J2:J3"/>
    <mergeCell ref="K2:K3"/>
    <mergeCell ref="J1:L1"/>
    <mergeCell ref="L2:L3"/>
    <mergeCell ref="M2:M3"/>
    <mergeCell ref="N2:P2"/>
    <mergeCell ref="M1:P1"/>
    <mergeCell ref="Q1:Q3"/>
    <mergeCell ref="R1:R3"/>
    <mergeCell ref="A1:A3"/>
    <mergeCell ref="B1:B3"/>
    <mergeCell ref="C1:C3"/>
    <mergeCell ref="D1:F1"/>
    <mergeCell ref="G1:I1"/>
  </mergeCells>
  <pageMargins left="0.7" right="0.7" top="0.75" bottom="0.75" header="0.3" footer="0.3"/>
  <pageSetup scale="48"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825EF-4B5A-4B29-AF98-23456C8395DA}">
  <dimension ref="A1:N24"/>
  <sheetViews>
    <sheetView zoomScale="76" zoomScaleNormal="76" workbookViewId="0">
      <selection activeCell="J14" sqref="J14"/>
    </sheetView>
  </sheetViews>
  <sheetFormatPr defaultColWidth="8.7265625" defaultRowHeight="14.5"/>
  <cols>
    <col min="1" max="1" width="27.453125" style="564" customWidth="1"/>
    <col min="2" max="3" width="8.7265625" style="564"/>
    <col min="4" max="4" width="0" style="564" hidden="1" customWidth="1"/>
    <col min="5" max="7" width="8.7265625" style="564"/>
    <col min="8" max="8" width="10.54296875" style="564" customWidth="1"/>
    <col min="9" max="9" width="8.7265625" style="564"/>
    <col min="10" max="10" width="12.1796875" style="564" customWidth="1"/>
    <col min="11" max="13" width="8.7265625" style="564"/>
    <col min="14" max="14" width="24.54296875" style="564" customWidth="1"/>
    <col min="15" max="16384" width="8.7265625" style="564"/>
  </cols>
  <sheetData>
    <row r="1" spans="1:14" ht="16" thickBot="1">
      <c r="A1" s="1187" t="s">
        <v>1</v>
      </c>
      <c r="B1" s="1187" t="s">
        <v>298</v>
      </c>
      <c r="C1" s="1189" t="s">
        <v>326</v>
      </c>
      <c r="D1" s="1190"/>
      <c r="E1" s="1190"/>
      <c r="F1" s="1191"/>
      <c r="G1" s="1189" t="s">
        <v>327</v>
      </c>
      <c r="H1" s="1191"/>
      <c r="I1" s="1189" t="s">
        <v>346</v>
      </c>
      <c r="J1" s="1191"/>
      <c r="K1" s="1180">
        <v>45772</v>
      </c>
      <c r="L1" s="1180">
        <v>45802</v>
      </c>
      <c r="M1" s="1180">
        <v>45833</v>
      </c>
      <c r="N1" s="1182" t="s">
        <v>328</v>
      </c>
    </row>
    <row r="2" spans="1:14" ht="31.5" thickBot="1">
      <c r="A2" s="1188"/>
      <c r="B2" s="1188"/>
      <c r="C2" s="758" t="s">
        <v>329</v>
      </c>
      <c r="D2" s="758" t="s">
        <v>44</v>
      </c>
      <c r="E2" s="758" t="str">
        <f>D2</f>
        <v>Actual</v>
      </c>
      <c r="F2" s="758" t="s">
        <v>308</v>
      </c>
      <c r="G2" s="758" t="s">
        <v>347</v>
      </c>
      <c r="H2" s="758" t="s">
        <v>348</v>
      </c>
      <c r="I2" s="758" t="s">
        <v>287</v>
      </c>
      <c r="J2" s="758" t="s">
        <v>330</v>
      </c>
      <c r="K2" s="1181"/>
      <c r="L2" s="1181"/>
      <c r="M2" s="1181"/>
      <c r="N2" s="1183"/>
    </row>
    <row r="3" spans="1:14" ht="16" thickBot="1">
      <c r="A3" s="759" t="s">
        <v>315</v>
      </c>
      <c r="B3" s="760" t="s">
        <v>316</v>
      </c>
      <c r="C3" s="761">
        <f>'[2]Progress Update -Total Scope (M'!J5</f>
        <v>146</v>
      </c>
      <c r="D3" s="761">
        <f>'[2]Progress Update -Total Scope (M'!H5</f>
        <v>91</v>
      </c>
      <c r="E3" s="761">
        <f>'RCC UPDATED SEP(3)'!E4</f>
        <v>105</v>
      </c>
      <c r="F3" s="762">
        <f>E3/C3</f>
        <v>0.71917808219178081</v>
      </c>
      <c r="G3" s="763" t="s">
        <v>331</v>
      </c>
      <c r="H3" s="761">
        <f>'[2]Progress Update -Total Scope (M'!N5</f>
        <v>0</v>
      </c>
      <c r="I3" s="761">
        <f>'[2]Progress Update -Total Scope (M'!P5</f>
        <v>0</v>
      </c>
      <c r="J3" s="760">
        <v>0</v>
      </c>
      <c r="K3" s="764"/>
      <c r="L3" s="764"/>
      <c r="M3" s="764"/>
      <c r="N3" s="765">
        <v>45991</v>
      </c>
    </row>
    <row r="4" spans="1:14" ht="16" thickBot="1">
      <c r="A4" s="759" t="s">
        <v>317</v>
      </c>
      <c r="B4" s="760" t="s">
        <v>318</v>
      </c>
      <c r="C4" s="761">
        <f>'RCC UPDATED SEP(3)'!D5-10000</f>
        <v>182446.7</v>
      </c>
      <c r="D4" s="761">
        <f>169776-15000</f>
        <v>154776</v>
      </c>
      <c r="E4" s="761">
        <f>'RCC UPDATED SEP(3)'!E5</f>
        <v>206587</v>
      </c>
      <c r="F4" s="762">
        <f t="shared" ref="F4:F16" si="0">E4/C4</f>
        <v>1.1323142594522126</v>
      </c>
      <c r="G4" s="761">
        <f>'RCC UPDATED SEP(3)'!G5</f>
        <v>0</v>
      </c>
      <c r="H4" s="761">
        <f>'RCC UPDATED SEP(3)'!I5</f>
        <v>14140</v>
      </c>
      <c r="I4" s="761">
        <f>'RCC UPDATED SEP(3)'!M5</f>
        <v>40</v>
      </c>
      <c r="J4" s="761">
        <f>'RCC UPDATED SEP(3)'!N5</f>
        <v>30</v>
      </c>
      <c r="K4" s="761">
        <f>'RCC UPDATED SEP(3)'!J5</f>
        <v>0</v>
      </c>
      <c r="L4" s="761">
        <f>'RCC UPDATED SEP(3)'!K5</f>
        <v>0</v>
      </c>
      <c r="M4" s="761">
        <f>'RCC UPDATED SEP(3)'!L5</f>
        <v>0</v>
      </c>
      <c r="N4" s="765">
        <v>45746</v>
      </c>
    </row>
    <row r="5" spans="1:14" ht="16" thickBot="1">
      <c r="A5" s="759" t="s">
        <v>332</v>
      </c>
      <c r="B5" s="760" t="s">
        <v>318</v>
      </c>
      <c r="C5" s="766">
        <f>'[2]Progress Update -Total Scope (M'!J7</f>
        <v>67540</v>
      </c>
      <c r="D5" s="761">
        <f>'RCC UPDATED SEP(3)'!E6-1400</f>
        <v>33799</v>
      </c>
      <c r="E5" s="761">
        <f>'RCC UPDATED SEP(3)'!E6</f>
        <v>35199</v>
      </c>
      <c r="F5" s="762">
        <f t="shared" si="0"/>
        <v>0.52115783239561742</v>
      </c>
      <c r="G5" s="761">
        <f>'RCC UPDATED SEP(3)'!G6</f>
        <v>9162</v>
      </c>
      <c r="H5" s="761">
        <f>'RCC UPDATED SEP(3)'!I6</f>
        <v>2749</v>
      </c>
      <c r="I5" s="766">
        <f>'RCC UPDATED SEP(3)'!M6</f>
        <v>1320</v>
      </c>
      <c r="J5" s="766">
        <f>'RCC UPDATED SEP(3)'!N6</f>
        <v>574</v>
      </c>
      <c r="K5" s="761">
        <f>'RCC UPDATED SEP(3)'!J6</f>
        <v>8103</v>
      </c>
      <c r="L5" s="761">
        <f>'RCC UPDATED SEP(3)'!K6</f>
        <v>7693</v>
      </c>
      <c r="M5" s="761">
        <f>'RCC UPDATED SEP(3)'!L6</f>
        <v>5381</v>
      </c>
      <c r="N5" s="765">
        <v>45960</v>
      </c>
    </row>
    <row r="6" spans="1:14" ht="16" thickBot="1">
      <c r="A6" s="758" t="s">
        <v>320</v>
      </c>
      <c r="B6" s="767" t="s">
        <v>321</v>
      </c>
      <c r="C6" s="768">
        <f t="shared" ref="C6:M6" si="1">C7+C8</f>
        <v>25979</v>
      </c>
      <c r="D6" s="768">
        <f t="shared" si="1"/>
        <v>6149</v>
      </c>
      <c r="E6" s="768">
        <f t="shared" si="1"/>
        <v>7478</v>
      </c>
      <c r="F6" s="769">
        <f t="shared" si="0"/>
        <v>0.28784787713152932</v>
      </c>
      <c r="G6" s="768">
        <f>G7+G8</f>
        <v>2067.1610000000001</v>
      </c>
      <c r="H6" s="768">
        <f t="shared" si="1"/>
        <v>183</v>
      </c>
      <c r="I6" s="768">
        <f t="shared" si="1"/>
        <v>315</v>
      </c>
      <c r="J6" s="768">
        <f t="shared" si="1"/>
        <v>135</v>
      </c>
      <c r="K6" s="768">
        <f>K7+K8</f>
        <v>4241.2709999999997</v>
      </c>
      <c r="L6" s="768">
        <f>L7+L8</f>
        <v>5168.0219999999999</v>
      </c>
      <c r="M6" s="768">
        <f t="shared" si="1"/>
        <v>5146.3670000000002</v>
      </c>
      <c r="N6" s="770">
        <v>45868</v>
      </c>
    </row>
    <row r="7" spans="1:14" ht="16" thickBot="1">
      <c r="A7" s="759" t="s">
        <v>333</v>
      </c>
      <c r="B7" s="760" t="s">
        <v>321</v>
      </c>
      <c r="C7" s="766">
        <f>'[2]Progress Update -Total Scope (M'!J9</f>
        <v>20905</v>
      </c>
      <c r="D7" s="761">
        <f>'[2]Progress Update -Total Scope (M'!K9</f>
        <v>5237</v>
      </c>
      <c r="E7" s="761">
        <f>G19</f>
        <v>6566</v>
      </c>
      <c r="F7" s="762">
        <f t="shared" si="0"/>
        <v>0.31408753886629992</v>
      </c>
      <c r="G7" s="760">
        <v>1382</v>
      </c>
      <c r="H7" s="766">
        <f>'[2]Progress Update -Total Scope (M'!N9</f>
        <v>0</v>
      </c>
      <c r="I7" s="766">
        <f>'[2]Progress Update -Total Scope (M'!P9</f>
        <v>0</v>
      </c>
      <c r="J7" s="760">
        <v>0</v>
      </c>
      <c r="K7" s="760">
        <v>3647</v>
      </c>
      <c r="L7" s="760">
        <v>4842</v>
      </c>
      <c r="M7" s="760">
        <v>4842</v>
      </c>
      <c r="N7" s="765">
        <v>45868</v>
      </c>
    </row>
    <row r="8" spans="1:14" ht="16" thickBot="1">
      <c r="A8" s="759" t="s">
        <v>139</v>
      </c>
      <c r="B8" s="760" t="s">
        <v>321</v>
      </c>
      <c r="C8" s="766">
        <f>'[2]Progress Update -Total Scope (M'!J10</f>
        <v>5074</v>
      </c>
      <c r="D8" s="761">
        <f>'RCC UPDATED SEP(3)'!E9</f>
        <v>912</v>
      </c>
      <c r="E8" s="761">
        <f>'RCC UPDATED SEP(3)'!E9</f>
        <v>912</v>
      </c>
      <c r="F8" s="762">
        <f t="shared" si="0"/>
        <v>0.17973985021679148</v>
      </c>
      <c r="G8" s="761">
        <f>'RCC UPDATED SEP(3)'!G9</f>
        <v>685.16100000000006</v>
      </c>
      <c r="H8" s="766">
        <f>'RCC UPDATED SEP(3)'!I9</f>
        <v>183</v>
      </c>
      <c r="I8" s="766">
        <f>'RCC UPDATED SEP(3)'!M9</f>
        <v>315</v>
      </c>
      <c r="J8" s="766">
        <f>'RCC UPDATED SEP(3)'!N9</f>
        <v>135</v>
      </c>
      <c r="K8" s="761">
        <f>'RCC UPDATED SEP(3)'!J9</f>
        <v>594.27099999999984</v>
      </c>
      <c r="L8" s="761">
        <f>'RCC UPDATED SEP(3)'!K9</f>
        <v>326.02199999999999</v>
      </c>
      <c r="M8" s="761">
        <f>'RCC UPDATED SEP(3)'!L9</f>
        <v>304.36700000000008</v>
      </c>
      <c r="N8" s="765">
        <v>45868</v>
      </c>
    </row>
    <row r="9" spans="1:14" ht="16" thickBot="1">
      <c r="A9" s="758" t="s">
        <v>22</v>
      </c>
      <c r="B9" s="767" t="s">
        <v>321</v>
      </c>
      <c r="C9" s="768">
        <f>C10+C11</f>
        <v>42410</v>
      </c>
      <c r="D9" s="768">
        <f t="shared" ref="D9:E9" si="2">D10+D11</f>
        <v>2476</v>
      </c>
      <c r="E9" s="768">
        <f t="shared" si="2"/>
        <v>2476</v>
      </c>
      <c r="F9" s="769">
        <f t="shared" si="0"/>
        <v>5.8382456967696297E-2</v>
      </c>
      <c r="G9" s="768">
        <f>G10+G11</f>
        <v>4419</v>
      </c>
      <c r="H9" s="768">
        <f t="shared" ref="H9:J9" si="3">H10+H11</f>
        <v>604</v>
      </c>
      <c r="I9" s="768">
        <f t="shared" si="3"/>
        <v>400</v>
      </c>
      <c r="J9" s="768">
        <f t="shared" si="3"/>
        <v>137</v>
      </c>
      <c r="K9" s="768">
        <f>K10+K11</f>
        <v>5610</v>
      </c>
      <c r="L9" s="768">
        <f>L10+L11</f>
        <v>6790</v>
      </c>
      <c r="M9" s="768">
        <f>M10+M11</f>
        <v>7724</v>
      </c>
      <c r="N9" s="770">
        <v>45960</v>
      </c>
    </row>
    <row r="10" spans="1:14" ht="16" thickBot="1">
      <c r="A10" s="759" t="s">
        <v>323</v>
      </c>
      <c r="B10" s="760" t="s">
        <v>321</v>
      </c>
      <c r="C10" s="761">
        <f>'[2]Progress Update -Total Scope (M'!J12</f>
        <v>20905</v>
      </c>
      <c r="D10" s="761">
        <f>'RCC UPDATED SEP(3)'!E11</f>
        <v>620</v>
      </c>
      <c r="E10" s="761">
        <f>'RCC UPDATED SEP(3)'!E11</f>
        <v>620</v>
      </c>
      <c r="F10" s="762">
        <f t="shared" si="0"/>
        <v>2.9657976560631429E-2</v>
      </c>
      <c r="G10" s="761">
        <f>'RCC UPDATED SEP(3)'!G11</f>
        <v>2541</v>
      </c>
      <c r="H10" s="761">
        <f>'RCC UPDATED SEP(3)'!I11</f>
        <v>84</v>
      </c>
      <c r="I10" s="761">
        <f>'RCC UPDATED SEP(3)'!M11</f>
        <v>100</v>
      </c>
      <c r="J10" s="761">
        <f>'RCC UPDATED SEP(3)'!N11</f>
        <v>29</v>
      </c>
      <c r="K10" s="761">
        <f>'RCC UPDATED SEP(3)'!J11</f>
        <v>3353</v>
      </c>
      <c r="L10" s="761">
        <f>'RCC UPDATED SEP(3)'!K11</f>
        <v>3495</v>
      </c>
      <c r="M10" s="761">
        <f>'RCC UPDATED SEP(3)'!L11</f>
        <v>3946</v>
      </c>
      <c r="N10" s="765">
        <v>45960</v>
      </c>
    </row>
    <row r="11" spans="1:14" ht="31.5" thickBot="1">
      <c r="A11" s="759" t="s">
        <v>325</v>
      </c>
      <c r="B11" s="760" t="s">
        <v>321</v>
      </c>
      <c r="C11" s="761">
        <f>'[2]Progress Update -Total Scope (M'!J13</f>
        <v>21505</v>
      </c>
      <c r="D11" s="761">
        <f>'RCC UPDATED SEP(3)'!E13</f>
        <v>1856</v>
      </c>
      <c r="E11" s="761">
        <f>'RCC UPDATED SEP(3)'!E13</f>
        <v>1856</v>
      </c>
      <c r="F11" s="762">
        <f t="shared" si="0"/>
        <v>8.6305510346431066E-2</v>
      </c>
      <c r="G11" s="761">
        <f>'RCC UPDATED SEP(3)'!G13</f>
        <v>1878</v>
      </c>
      <c r="H11" s="761">
        <f>'RCC UPDATED SEP(3)'!I13</f>
        <v>520</v>
      </c>
      <c r="I11" s="761">
        <f>'RCC UPDATED SEP(3)'!M13</f>
        <v>300</v>
      </c>
      <c r="J11" s="761">
        <f>'RCC UPDATED SEP(3)'!N13</f>
        <v>108</v>
      </c>
      <c r="K11" s="761">
        <f>'RCC UPDATED SEP(3)'!J13</f>
        <v>2257</v>
      </c>
      <c r="L11" s="761">
        <f>'RCC UPDATED SEP(3)'!K13</f>
        <v>3295</v>
      </c>
      <c r="M11" s="761">
        <f>'RCC UPDATED SEP(3)'!L13</f>
        <v>3778</v>
      </c>
      <c r="N11" s="765">
        <v>45960</v>
      </c>
    </row>
    <row r="12" spans="1:14" ht="23" thickBot="1">
      <c r="A12" s="771" t="s">
        <v>46</v>
      </c>
      <c r="B12" s="771" t="s">
        <v>334</v>
      </c>
      <c r="C12" s="771"/>
      <c r="D12" s="772"/>
      <c r="E12" s="772"/>
      <c r="F12" s="762"/>
      <c r="G12" s="771"/>
      <c r="H12" s="771"/>
      <c r="I12" s="771"/>
      <c r="J12" s="773"/>
      <c r="K12" s="774"/>
      <c r="L12" s="774"/>
      <c r="M12" s="774"/>
      <c r="N12" s="771"/>
    </row>
    <row r="13" spans="1:14" ht="16" thickBot="1">
      <c r="A13" s="759" t="s">
        <v>335</v>
      </c>
      <c r="B13" s="760" t="s">
        <v>334</v>
      </c>
      <c r="C13" s="760">
        <v>63</v>
      </c>
      <c r="D13" s="760"/>
      <c r="E13" s="760">
        <v>0</v>
      </c>
      <c r="F13" s="762">
        <f t="shared" si="0"/>
        <v>0</v>
      </c>
      <c r="G13" s="760"/>
      <c r="H13" s="760"/>
      <c r="I13" s="760"/>
      <c r="J13" s="760"/>
      <c r="K13" s="763"/>
      <c r="L13" s="763"/>
      <c r="M13" s="763"/>
      <c r="N13" s="760"/>
    </row>
    <row r="14" spans="1:14" ht="16" thickBot="1">
      <c r="A14" s="759" t="s">
        <v>336</v>
      </c>
      <c r="B14" s="760" t="s">
        <v>334</v>
      </c>
      <c r="C14" s="760">
        <v>652</v>
      </c>
      <c r="D14" s="760"/>
      <c r="E14" s="760">
        <v>0</v>
      </c>
      <c r="F14" s="762">
        <f t="shared" si="0"/>
        <v>0</v>
      </c>
      <c r="G14" s="760"/>
      <c r="H14" s="760"/>
      <c r="I14" s="760"/>
      <c r="J14" s="760"/>
      <c r="K14" s="763"/>
      <c r="L14" s="763"/>
      <c r="M14" s="763"/>
      <c r="N14" s="760"/>
    </row>
    <row r="15" spans="1:14" ht="16" thickBot="1">
      <c r="A15" s="759" t="s">
        <v>337</v>
      </c>
      <c r="B15" s="760" t="s">
        <v>338</v>
      </c>
      <c r="C15" s="760">
        <v>500</v>
      </c>
      <c r="D15" s="760"/>
      <c r="E15" s="760">
        <v>0</v>
      </c>
      <c r="F15" s="762">
        <f t="shared" si="0"/>
        <v>0</v>
      </c>
      <c r="G15" s="760"/>
      <c r="H15" s="760"/>
      <c r="I15" s="760"/>
      <c r="J15" s="760"/>
      <c r="K15" s="764"/>
      <c r="L15" s="764"/>
      <c r="M15" s="764"/>
      <c r="N15" s="760"/>
    </row>
    <row r="16" spans="1:14" ht="16" thickBot="1">
      <c r="A16" s="759" t="s">
        <v>339</v>
      </c>
      <c r="B16" s="760" t="s">
        <v>338</v>
      </c>
      <c r="C16" s="760">
        <v>21</v>
      </c>
      <c r="D16" s="760"/>
      <c r="E16" s="760">
        <v>0</v>
      </c>
      <c r="F16" s="762">
        <f t="shared" si="0"/>
        <v>0</v>
      </c>
      <c r="G16" s="760"/>
      <c r="H16" s="760"/>
      <c r="I16" s="760"/>
      <c r="J16" s="760"/>
      <c r="K16" s="764"/>
      <c r="L16" s="764"/>
      <c r="M16" s="764"/>
      <c r="N16" s="760"/>
    </row>
    <row r="17" spans="1:14" ht="16" thickBot="1">
      <c r="A17" s="1184"/>
      <c r="B17" s="1185"/>
      <c r="C17" s="1185"/>
      <c r="D17" s="1185"/>
      <c r="E17" s="1185"/>
      <c r="F17" s="1186"/>
      <c r="G17" s="775"/>
      <c r="H17" s="776"/>
      <c r="I17" s="777">
        <f>SUM(I3:I16)-I9-I6</f>
        <v>2075</v>
      </c>
      <c r="J17" s="777">
        <f>SUM(J3:J16)-J9-J6</f>
        <v>876</v>
      </c>
      <c r="K17" s="775"/>
      <c r="L17" s="775"/>
      <c r="M17" s="775"/>
      <c r="N17" s="775"/>
    </row>
    <row r="19" spans="1:14">
      <c r="C19" s="564" t="s">
        <v>349</v>
      </c>
      <c r="E19" s="564">
        <f>6566</f>
        <v>6566</v>
      </c>
      <c r="G19" s="564">
        <f>E19+F19</f>
        <v>6566</v>
      </c>
    </row>
    <row r="24" spans="1:14">
      <c r="F24" s="564">
        <f>26900+1400</f>
        <v>28300</v>
      </c>
    </row>
  </sheetData>
  <mergeCells count="10">
    <mergeCell ref="L1:L2"/>
    <mergeCell ref="M1:M2"/>
    <mergeCell ref="N1:N2"/>
    <mergeCell ref="A17:F17"/>
    <mergeCell ref="A1:A2"/>
    <mergeCell ref="B1:B2"/>
    <mergeCell ref="C1:F1"/>
    <mergeCell ref="G1:H1"/>
    <mergeCell ref="I1:J1"/>
    <mergeCell ref="K1:K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DBEAF-8251-48D9-B1DE-749FB9493D20}">
  <dimension ref="A1:AC105"/>
  <sheetViews>
    <sheetView topLeftCell="A13" zoomScale="50" zoomScaleNormal="50" workbookViewId="0">
      <selection activeCell="S22" sqref="S22"/>
    </sheetView>
  </sheetViews>
  <sheetFormatPr defaultRowHeight="14.5"/>
  <cols>
    <col min="1" max="1" width="22" customWidth="1"/>
    <col min="2" max="2" width="15.7265625" customWidth="1"/>
    <col min="3" max="4" width="8.81640625" bestFit="1" customWidth="1"/>
    <col min="5" max="11" width="9.26953125" bestFit="1" customWidth="1"/>
    <col min="12" max="12" width="9.54296875" bestFit="1" customWidth="1"/>
    <col min="13" max="17" width="10.26953125" bestFit="1" customWidth="1"/>
    <col min="18" max="18" width="8.81640625" bestFit="1" customWidth="1"/>
    <col min="19" max="19" width="9.54296875" customWidth="1"/>
    <col min="20" max="21" width="8.81640625" bestFit="1" customWidth="1"/>
  </cols>
  <sheetData>
    <row r="1" spans="1:29" ht="15" thickBot="1">
      <c r="A1" s="1192" t="s">
        <v>20</v>
      </c>
      <c r="B1" s="722" t="str">
        <f>'MARATHA QTY DISTRIBUATION'!E1</f>
        <v>Description</v>
      </c>
      <c r="C1" s="317">
        <f>'MARATHA QTY DISTRIBUATION'!F1</f>
        <v>45292</v>
      </c>
      <c r="D1" s="317">
        <f>'MARATHA QTY DISTRIBUATION'!G1</f>
        <v>45323</v>
      </c>
      <c r="E1" s="317">
        <f>'MARATHA QTY DISTRIBUATION'!H1</f>
        <v>45352</v>
      </c>
      <c r="F1" s="317">
        <f>'MARATHA QTY DISTRIBUATION'!I1</f>
        <v>45383</v>
      </c>
      <c r="G1" s="317">
        <f>'MARATHA QTY DISTRIBUATION'!J1</f>
        <v>45413</v>
      </c>
      <c r="H1" s="317">
        <f>'MARATHA QTY DISTRIBUATION'!K1</f>
        <v>45444</v>
      </c>
      <c r="I1" s="317">
        <f>'MARATHA QTY DISTRIBUATION'!L1</f>
        <v>45474</v>
      </c>
      <c r="J1" s="317">
        <f>'MARATHA QTY DISTRIBUATION'!M1</f>
        <v>45505</v>
      </c>
      <c r="K1" s="317">
        <f>'MARATHA QTY DISTRIBUATION'!N1</f>
        <v>45536</v>
      </c>
      <c r="L1" s="317">
        <f>'MARATHA QTY DISTRIBUATION'!O1</f>
        <v>45566</v>
      </c>
      <c r="M1" s="317">
        <f>'MARATHA QTY DISTRIBUATION'!P1</f>
        <v>45597</v>
      </c>
      <c r="N1" s="317">
        <f>'MARATHA QTY DISTRIBUATION'!Q1</f>
        <v>45627</v>
      </c>
      <c r="O1" s="317">
        <f>'MARATHA QTY DISTRIBUATION'!R1</f>
        <v>45658</v>
      </c>
      <c r="P1" s="317">
        <f>'MARATHA QTY DISTRIBUATION'!S1</f>
        <v>45689</v>
      </c>
      <c r="Q1" s="317">
        <f>'MARATHA QTY DISTRIBUATION'!T1</f>
        <v>45717</v>
      </c>
      <c r="R1" s="317">
        <f>'MARATHA QTY DISTRIBUATION'!U1</f>
        <v>45748</v>
      </c>
      <c r="S1" s="317">
        <f>'MARATHA QTY DISTRIBUATION'!V1</f>
        <v>45778</v>
      </c>
      <c r="T1" s="317">
        <f>'MARATHA QTY DISTRIBUATION'!W1</f>
        <v>45809</v>
      </c>
      <c r="U1" s="716">
        <f>'MARATHA QTY DISTRIBUATION'!X1</f>
        <v>45839</v>
      </c>
      <c r="V1" s="564"/>
      <c r="W1" s="564"/>
      <c r="X1" s="564"/>
      <c r="Y1" s="564"/>
      <c r="Z1" s="564"/>
      <c r="AA1" s="564"/>
      <c r="AB1" s="564"/>
      <c r="AC1" s="564"/>
    </row>
    <row r="2" spans="1:29">
      <c r="A2" s="1193"/>
      <c r="B2" s="139" t="str">
        <f>'MARATHA QTY DISTRIBUATION'!E33</f>
        <v>Month Plan</v>
      </c>
      <c r="C2" s="717">
        <f>'MARATHA QTY DISTRIBUATION'!F33</f>
        <v>0</v>
      </c>
      <c r="D2" s="717">
        <f>'MARATHA QTY DISTRIBUATION'!G33</f>
        <v>0</v>
      </c>
      <c r="E2" s="717">
        <f>'MARATHA QTY DISTRIBUATION'!H33</f>
        <v>12460.000000000002</v>
      </c>
      <c r="F2" s="717">
        <f>'MARATHA QTY DISTRIBUATION'!I33</f>
        <v>18513.5</v>
      </c>
      <c r="G2" s="717">
        <f>'MARATHA QTY DISTRIBUATION'!J33</f>
        <v>6844.3</v>
      </c>
      <c r="H2" s="717">
        <f>'MARATHA QTY DISTRIBUATION'!K33</f>
        <v>2534.1000000000004</v>
      </c>
      <c r="I2" s="717">
        <f>'MARATHA QTY DISTRIBUATION'!L33</f>
        <v>1976.7</v>
      </c>
      <c r="J2" s="717">
        <f>'MARATHA QTY DISTRIBUATION'!M33</f>
        <v>6229.3999999999978</v>
      </c>
      <c r="K2" s="717">
        <f>'MARATHA QTY DISTRIBUATION'!N33</f>
        <v>12686.448571428571</v>
      </c>
      <c r="L2" s="717">
        <f>'MARATHA QTY DISTRIBUATION'!O33</f>
        <v>10217.32857142857</v>
      </c>
      <c r="M2" s="717">
        <f>'MARATHA QTY DISTRIBUATION'!P33</f>
        <v>21068.758571428567</v>
      </c>
      <c r="N2" s="717">
        <f>'MARATHA QTY DISTRIBUATION'!Q33</f>
        <v>12683.148571428572</v>
      </c>
      <c r="O2" s="717">
        <f>'MARATHA QTY DISTRIBUATION'!R33</f>
        <v>28234.775238095237</v>
      </c>
      <c r="P2" s="717">
        <f>'MARATHA QTY DISTRIBUATION'!S33</f>
        <v>44878.855238095239</v>
      </c>
      <c r="Q2" s="717">
        <f>'MARATHA QTY DISTRIBUATION'!T33</f>
        <v>14119.385238095238</v>
      </c>
      <c r="R2" s="717"/>
      <c r="S2" s="717"/>
      <c r="T2" s="717"/>
      <c r="U2" s="718"/>
    </row>
    <row r="3" spans="1:29">
      <c r="A3" s="1193"/>
      <c r="B3" s="139" t="str">
        <f>'MARATHA QTY DISTRIBUATION'!E34</f>
        <v>Cumm Plan</v>
      </c>
      <c r="C3" s="717">
        <f>'MARATHA QTY DISTRIBUATION'!F34</f>
        <v>0</v>
      </c>
      <c r="D3" s="717">
        <f>'MARATHA QTY DISTRIBUATION'!G34</f>
        <v>0</v>
      </c>
      <c r="E3" s="717">
        <f>'MARATHA QTY DISTRIBUATION'!H34</f>
        <v>12460.000000000002</v>
      </c>
      <c r="F3" s="717">
        <f>'MARATHA QTY DISTRIBUATION'!I34</f>
        <v>30973.5</v>
      </c>
      <c r="G3" s="717">
        <f>'MARATHA QTY DISTRIBUATION'!J34</f>
        <v>37817.800000000003</v>
      </c>
      <c r="H3" s="717">
        <f>'MARATHA QTY DISTRIBUATION'!K34</f>
        <v>40351.9</v>
      </c>
      <c r="I3" s="717">
        <f>'MARATHA QTY DISTRIBUATION'!L34</f>
        <v>42328.6</v>
      </c>
      <c r="J3" s="717">
        <f>'MARATHA QTY DISTRIBUATION'!M34</f>
        <v>48558</v>
      </c>
      <c r="K3" s="717">
        <f>'MARATHA QTY DISTRIBUATION'!N34</f>
        <v>61244.448571428569</v>
      </c>
      <c r="L3" s="717">
        <f>'MARATHA QTY DISTRIBUATION'!O34</f>
        <v>71461.777142857143</v>
      </c>
      <c r="M3" s="717">
        <f>'MARATHA QTY DISTRIBUATION'!P34</f>
        <v>92530.53571428571</v>
      </c>
      <c r="N3" s="717">
        <f>'MARATHA QTY DISTRIBUATION'!Q34</f>
        <v>105213.68428571428</v>
      </c>
      <c r="O3" s="717">
        <f>'MARATHA QTY DISTRIBUATION'!R34</f>
        <v>133448.45952380952</v>
      </c>
      <c r="P3" s="717">
        <f>'MARATHA QTY DISTRIBUATION'!S34</f>
        <v>178327.31476190477</v>
      </c>
      <c r="Q3" s="717">
        <f>'MARATHA QTY DISTRIBUATION'!T34</f>
        <v>192446.7</v>
      </c>
      <c r="R3" s="717"/>
      <c r="S3" s="717"/>
      <c r="T3" s="717"/>
      <c r="U3" s="718"/>
    </row>
    <row r="4" spans="1:29">
      <c r="A4" s="1193"/>
      <c r="B4" s="139" t="str">
        <f>'MARATHA QTY DISTRIBUATION'!E35</f>
        <v>Month Actual</v>
      </c>
      <c r="C4" s="717">
        <f>'MARATHA QTY DISTRIBUATION'!F35</f>
        <v>0</v>
      </c>
      <c r="D4" s="717">
        <f>'MARATHA QTY DISTRIBUATION'!G35</f>
        <v>0</v>
      </c>
      <c r="E4" s="717">
        <f>'MARATHA QTY DISTRIBUATION'!H35</f>
        <v>15210</v>
      </c>
      <c r="F4" s="717">
        <f>'MARATHA QTY DISTRIBUATION'!I35</f>
        <v>37239</v>
      </c>
      <c r="G4" s="717">
        <f>'MARATHA QTY DISTRIBUATION'!J35</f>
        <v>25723</v>
      </c>
      <c r="H4" s="717">
        <f>'MARATHA QTY DISTRIBUATION'!K35</f>
        <v>7749</v>
      </c>
      <c r="I4" s="717">
        <f>'MARATHA QTY DISTRIBUATION'!L35</f>
        <v>1962</v>
      </c>
      <c r="J4" s="717">
        <f>'MARATHA QTY DISTRIBUATION'!M35</f>
        <v>739</v>
      </c>
      <c r="K4" s="717">
        <f>'MARATHA QTY DISTRIBUATION'!N35</f>
        <v>3370</v>
      </c>
      <c r="L4" s="717">
        <f>'MARATHA QTY DISTRIBUATION'!O35</f>
        <v>6264</v>
      </c>
      <c r="M4" s="717">
        <f>'MARATHA QTY DISTRIBUATION'!P35</f>
        <v>17126</v>
      </c>
      <c r="N4" s="717">
        <f>'MARATHA QTY DISTRIBUATION'!Q35</f>
        <v>18849</v>
      </c>
      <c r="O4" s="717">
        <f>'MARATHA QTY DISTRIBUATION'!R35</f>
        <v>33285</v>
      </c>
      <c r="P4" s="717">
        <f>'MARATHA QTY DISTRIBUATION'!S35</f>
        <v>12938</v>
      </c>
      <c r="Q4" s="717">
        <f>'MARATHA QTY DISTRIBUATION'!T35</f>
        <v>11993</v>
      </c>
      <c r="R4" s="717">
        <f>'MARATHA QTY DISTRIBUATION'!U35</f>
        <v>14140</v>
      </c>
      <c r="S4" s="717"/>
      <c r="T4" s="717"/>
      <c r="U4" s="718"/>
    </row>
    <row r="5" spans="1:29" ht="15" thickBot="1">
      <c r="A5" s="1194"/>
      <c r="B5" s="41" t="str">
        <f>'MARATHA QTY DISTRIBUATION'!E36</f>
        <v>Cumm Actual</v>
      </c>
      <c r="C5" s="720">
        <f>'MARATHA QTY DISTRIBUATION'!F36</f>
        <v>0</v>
      </c>
      <c r="D5" s="720">
        <f>'MARATHA QTY DISTRIBUATION'!G36</f>
        <v>0</v>
      </c>
      <c r="E5" s="720">
        <f>'MARATHA QTY DISTRIBUATION'!H36</f>
        <v>15210</v>
      </c>
      <c r="F5" s="720">
        <f>'MARATHA QTY DISTRIBUATION'!I36</f>
        <v>52449</v>
      </c>
      <c r="G5" s="720">
        <f>'MARATHA QTY DISTRIBUATION'!J36</f>
        <v>78172</v>
      </c>
      <c r="H5" s="720">
        <f>'MARATHA QTY DISTRIBUATION'!K36</f>
        <v>85921</v>
      </c>
      <c r="I5" s="720">
        <f>'MARATHA QTY DISTRIBUATION'!L36</f>
        <v>87883</v>
      </c>
      <c r="J5" s="720">
        <f>'MARATHA QTY DISTRIBUATION'!M36</f>
        <v>88622</v>
      </c>
      <c r="K5" s="720">
        <f>'MARATHA QTY DISTRIBUATION'!N36</f>
        <v>91992</v>
      </c>
      <c r="L5" s="720">
        <f>'MARATHA QTY DISTRIBUATION'!O36</f>
        <v>98256</v>
      </c>
      <c r="M5" s="720">
        <f>'MARATHA QTY DISTRIBUATION'!P36</f>
        <v>115382</v>
      </c>
      <c r="N5" s="720">
        <f>'MARATHA QTY DISTRIBUATION'!Q36</f>
        <v>134231</v>
      </c>
      <c r="O5" s="720">
        <f>'MARATHA QTY DISTRIBUATION'!R36</f>
        <v>167516</v>
      </c>
      <c r="P5" s="720">
        <f>'MARATHA QTY DISTRIBUATION'!S36</f>
        <v>180454</v>
      </c>
      <c r="Q5" s="720">
        <f>'MARATHA QTY DISTRIBUATION'!T36</f>
        <v>192447</v>
      </c>
      <c r="R5" s="720">
        <f>'MARATHA QTY DISTRIBUATION'!U36</f>
        <v>206587</v>
      </c>
      <c r="S5" s="720"/>
      <c r="T5" s="720"/>
      <c r="U5" s="721"/>
    </row>
    <row r="9" spans="1:29" ht="15" thickBot="1"/>
    <row r="10" spans="1:29" ht="15" thickBot="1">
      <c r="A10" s="1192" t="s">
        <v>291</v>
      </c>
      <c r="B10" s="723" t="s">
        <v>1</v>
      </c>
      <c r="C10" s="317">
        <f>'MARATHA QTY DISTRIBUATION'!K1</f>
        <v>45444</v>
      </c>
      <c r="D10" s="317">
        <f>'MARATHA QTY DISTRIBUATION'!L1</f>
        <v>45474</v>
      </c>
      <c r="E10" s="317">
        <f>'MARATHA QTY DISTRIBUATION'!M1</f>
        <v>45505</v>
      </c>
      <c r="F10" s="317">
        <f>'MARATHA QTY DISTRIBUATION'!N1</f>
        <v>45536</v>
      </c>
      <c r="G10" s="317">
        <f>'MARATHA QTY DISTRIBUATION'!O1</f>
        <v>45566</v>
      </c>
      <c r="H10" s="317">
        <f>'MARATHA QTY DISTRIBUATION'!P1</f>
        <v>45597</v>
      </c>
      <c r="I10" s="317">
        <f>'MARATHA QTY DISTRIBUATION'!Q1</f>
        <v>45627</v>
      </c>
      <c r="J10" s="317">
        <f>'MARATHA QTY DISTRIBUATION'!R1</f>
        <v>45658</v>
      </c>
      <c r="K10" s="317">
        <f>'MARATHA QTY DISTRIBUATION'!S1</f>
        <v>45689</v>
      </c>
      <c r="L10" s="317">
        <f>'MARATHA QTY DISTRIBUATION'!T1</f>
        <v>45717</v>
      </c>
      <c r="M10" s="317">
        <f>'MARATHA QTY DISTRIBUATION'!U1</f>
        <v>45748</v>
      </c>
      <c r="N10" s="317">
        <f>'MARATHA QTY DISTRIBUATION'!V1</f>
        <v>45778</v>
      </c>
      <c r="O10" s="317">
        <f>'MARATHA QTY DISTRIBUATION'!W1</f>
        <v>45809</v>
      </c>
      <c r="P10" s="317">
        <f>'MARATHA QTY DISTRIBUATION'!X1</f>
        <v>45839</v>
      </c>
      <c r="Q10" s="317">
        <f>'MARATHA QTY DISTRIBUATION'!Y1</f>
        <v>45870</v>
      </c>
      <c r="R10" s="317">
        <f>'MARATHA QTY DISTRIBUATION'!Z1</f>
        <v>45901</v>
      </c>
      <c r="S10" s="317">
        <f>'MARATHA QTY DISTRIBUATION'!AA1</f>
        <v>45931</v>
      </c>
      <c r="T10" s="317">
        <v>45809</v>
      </c>
      <c r="U10" s="716">
        <v>45839</v>
      </c>
    </row>
    <row r="11" spans="1:29">
      <c r="A11" s="1193"/>
      <c r="B11" s="34" t="s">
        <v>30</v>
      </c>
      <c r="C11" s="717">
        <f>'MARATHA QTY DISTRIBUATION'!K38</f>
        <v>716</v>
      </c>
      <c r="D11" s="717">
        <f>'MARATHA QTY DISTRIBUATION'!L38</f>
        <v>3336</v>
      </c>
      <c r="E11" s="717">
        <f>'MARATHA QTY DISTRIBUATION'!M38</f>
        <v>3730</v>
      </c>
      <c r="F11" s="717">
        <f>'MARATHA QTY DISTRIBUATION'!N38</f>
        <v>3823</v>
      </c>
      <c r="G11" s="717">
        <f>'MARATHA QTY DISTRIBUATION'!O38</f>
        <v>3638</v>
      </c>
      <c r="H11" s="717">
        <f>'MARATHA QTY DISTRIBUATION'!P38</f>
        <v>4172</v>
      </c>
      <c r="I11" s="717">
        <f>'MARATHA QTY DISTRIBUATION'!Q38</f>
        <v>4627</v>
      </c>
      <c r="J11" s="717">
        <f>'MARATHA QTY DISTRIBUATION'!R38</f>
        <v>8631</v>
      </c>
      <c r="K11" s="717">
        <f>'MARATHA QTY DISTRIBUATION'!S38</f>
        <v>8648</v>
      </c>
      <c r="L11" s="717">
        <f>'MARATHA QTY DISTRIBUATION'!T38</f>
        <v>9516</v>
      </c>
      <c r="M11" s="717">
        <f>'MARATHA QTY DISTRIBUATION'!U38</f>
        <v>9162</v>
      </c>
      <c r="N11" s="717">
        <f>'MARATHA QTY DISTRIBUATION'!V38</f>
        <v>8103</v>
      </c>
      <c r="O11" s="717">
        <f>'MARATHA QTY DISTRIBUATION'!W38</f>
        <v>7693</v>
      </c>
      <c r="P11" s="717">
        <f>'MARATHA QTY DISTRIBUATION'!X38</f>
        <v>5381</v>
      </c>
      <c r="Q11" s="717">
        <f>'MARATHA QTY DISTRIBUATION'!Y38</f>
        <v>2821</v>
      </c>
      <c r="R11" s="717">
        <f>'MARATHA QTY DISTRIBUATION'!Z38</f>
        <v>1801</v>
      </c>
      <c r="S11" s="717">
        <f>'MARATHA QTY DISTRIBUATION'!AA38</f>
        <v>1302</v>
      </c>
      <c r="T11" s="717"/>
      <c r="U11" s="718"/>
    </row>
    <row r="12" spans="1:29">
      <c r="A12" s="1193"/>
      <c r="B12" s="34" t="s">
        <v>43</v>
      </c>
      <c r="C12" s="717">
        <f>'MARATHA QTY DISTRIBUATION'!K39</f>
        <v>716</v>
      </c>
      <c r="D12" s="717">
        <f>'MARATHA QTY DISTRIBUATION'!L39</f>
        <v>4052</v>
      </c>
      <c r="E12" s="717">
        <f>'MARATHA QTY DISTRIBUATION'!M39</f>
        <v>7782</v>
      </c>
      <c r="F12" s="717">
        <f>'MARATHA QTY DISTRIBUATION'!N39</f>
        <v>11605</v>
      </c>
      <c r="G12" s="717">
        <f>'MARATHA QTY DISTRIBUATION'!O39</f>
        <v>15243</v>
      </c>
      <c r="H12" s="717">
        <f>'MARATHA QTY DISTRIBUATION'!P39</f>
        <v>19415</v>
      </c>
      <c r="I12" s="717">
        <f>'MARATHA QTY DISTRIBUATION'!Q39</f>
        <v>24042</v>
      </c>
      <c r="J12" s="717">
        <f>'MARATHA QTY DISTRIBUATION'!R39</f>
        <v>32673</v>
      </c>
      <c r="K12" s="717">
        <f>'MARATHA QTY DISTRIBUATION'!S39</f>
        <v>41321</v>
      </c>
      <c r="L12" s="717">
        <f>'MARATHA QTY DISTRIBUATION'!T39</f>
        <v>50837</v>
      </c>
      <c r="M12" s="717">
        <f>'MARATHA QTY DISTRIBUATION'!U39</f>
        <v>59999</v>
      </c>
      <c r="N12" s="717">
        <f>'MARATHA QTY DISTRIBUATION'!V39</f>
        <v>68102</v>
      </c>
      <c r="O12" s="717">
        <f>'MARATHA QTY DISTRIBUATION'!W39</f>
        <v>75795</v>
      </c>
      <c r="P12" s="717">
        <f>'MARATHA QTY DISTRIBUATION'!X39</f>
        <v>81176</v>
      </c>
      <c r="Q12" s="717">
        <f>'MARATHA QTY DISTRIBUATION'!Y39</f>
        <v>83997</v>
      </c>
      <c r="R12" s="717">
        <f>'MARATHA QTY DISTRIBUATION'!Z39</f>
        <v>85798</v>
      </c>
      <c r="S12" s="717">
        <f>'MARATHA QTY DISTRIBUATION'!AA39</f>
        <v>87100</v>
      </c>
      <c r="T12" s="717"/>
      <c r="U12" s="718"/>
    </row>
    <row r="13" spans="1:29">
      <c r="A13" s="1193"/>
      <c r="B13" s="34" t="s">
        <v>32</v>
      </c>
      <c r="C13" s="717">
        <f>'MARATHA QTY DISTRIBUATION'!K40</f>
        <v>721</v>
      </c>
      <c r="D13" s="717">
        <f>'MARATHA QTY DISTRIBUATION'!L40</f>
        <v>3136</v>
      </c>
      <c r="E13" s="717">
        <f>'MARATHA QTY DISTRIBUATION'!M40</f>
        <v>3707</v>
      </c>
      <c r="F13" s="717">
        <f>'MARATHA QTY DISTRIBUATION'!N40</f>
        <v>3549</v>
      </c>
      <c r="G13" s="717">
        <f>'MARATHA QTY DISTRIBUATION'!O40</f>
        <v>3905</v>
      </c>
      <c r="H13" s="717">
        <f>'MARATHA QTY DISTRIBUATION'!P40</f>
        <v>3189</v>
      </c>
      <c r="I13" s="717">
        <f>'MARATHA QTY DISTRIBUATION'!Q40</f>
        <v>3239</v>
      </c>
      <c r="J13" s="717">
        <f>'MARATHA QTY DISTRIBUATION'!R40</f>
        <v>4254</v>
      </c>
      <c r="K13" s="717">
        <f>'MARATHA QTY DISTRIBUATION'!S40</f>
        <v>3294</v>
      </c>
      <c r="L13" s="717">
        <f>'MARATHA QTY DISTRIBUATION'!T40</f>
        <v>2911</v>
      </c>
      <c r="M13" s="717">
        <f>'MARATHA QTY DISTRIBUATION'!U40</f>
        <v>2749</v>
      </c>
      <c r="N13" s="717"/>
      <c r="O13" s="717"/>
      <c r="P13" s="717"/>
      <c r="Q13" s="717"/>
      <c r="R13" s="717"/>
      <c r="S13" s="717"/>
      <c r="T13" s="717"/>
      <c r="U13" s="718"/>
    </row>
    <row r="14" spans="1:29" ht="15" thickBot="1">
      <c r="A14" s="1194"/>
      <c r="B14" s="719" t="s">
        <v>45</v>
      </c>
      <c r="C14" s="720">
        <f>'MARATHA QTY DISTRIBUATION'!K41</f>
        <v>1041</v>
      </c>
      <c r="D14" s="720">
        <f>'MARATHA QTY DISTRIBUATION'!L41</f>
        <v>4177</v>
      </c>
      <c r="E14" s="720">
        <f>'MARATHA QTY DISTRIBUATION'!M41</f>
        <v>7884</v>
      </c>
      <c r="F14" s="720">
        <f>'MARATHA QTY DISTRIBUATION'!N41</f>
        <v>11433</v>
      </c>
      <c r="G14" s="720">
        <f>'MARATHA QTY DISTRIBUATION'!O41</f>
        <v>15338</v>
      </c>
      <c r="H14" s="720">
        <f>'MARATHA QTY DISTRIBUATION'!P41</f>
        <v>18527</v>
      </c>
      <c r="I14" s="720">
        <f>'MARATHA QTY DISTRIBUATION'!Q41</f>
        <v>21766</v>
      </c>
      <c r="J14" s="720">
        <f>'MARATHA QTY DISTRIBUATION'!R41</f>
        <v>26020</v>
      </c>
      <c r="K14" s="720">
        <f>'MARATHA QTY DISTRIBUATION'!S41</f>
        <v>29314</v>
      </c>
      <c r="L14" s="720">
        <f>'MARATHA QTY DISTRIBUATION'!T41</f>
        <v>32225</v>
      </c>
      <c r="M14" s="720">
        <f>'MARATHA QTY DISTRIBUATION'!U41</f>
        <v>34974</v>
      </c>
      <c r="N14" s="720"/>
      <c r="O14" s="720"/>
      <c r="P14" s="720"/>
      <c r="Q14" s="720"/>
      <c r="R14" s="720"/>
      <c r="S14" s="720"/>
      <c r="T14" s="720"/>
      <c r="U14" s="721"/>
    </row>
    <row r="16" spans="1:29" ht="15" thickBot="1"/>
    <row r="17" spans="1:21" ht="15" thickBot="1">
      <c r="A17" s="1192" t="s">
        <v>292</v>
      </c>
      <c r="B17" s="723" t="s">
        <v>1</v>
      </c>
      <c r="C17" s="317">
        <f>L1</f>
        <v>45566</v>
      </c>
      <c r="D17" s="317">
        <f t="shared" ref="D17:L17" si="0">M1</f>
        <v>45597</v>
      </c>
      <c r="E17" s="317">
        <f t="shared" si="0"/>
        <v>45627</v>
      </c>
      <c r="F17" s="317">
        <f t="shared" si="0"/>
        <v>45658</v>
      </c>
      <c r="G17" s="317">
        <f t="shared" si="0"/>
        <v>45689</v>
      </c>
      <c r="H17" s="317">
        <f t="shared" si="0"/>
        <v>45717</v>
      </c>
      <c r="I17" s="317">
        <f t="shared" si="0"/>
        <v>45748</v>
      </c>
      <c r="J17" s="317">
        <f t="shared" si="0"/>
        <v>45778</v>
      </c>
      <c r="K17" s="317">
        <f t="shared" si="0"/>
        <v>45809</v>
      </c>
      <c r="L17" s="317">
        <f t="shared" si="0"/>
        <v>45839</v>
      </c>
      <c r="M17" s="317">
        <v>45597</v>
      </c>
      <c r="N17" s="317">
        <v>45627</v>
      </c>
      <c r="O17" s="317">
        <v>45658</v>
      </c>
      <c r="P17" s="317">
        <v>45689</v>
      </c>
      <c r="Q17" s="317">
        <v>45717</v>
      </c>
      <c r="R17" s="317">
        <v>45748</v>
      </c>
      <c r="S17" s="317">
        <v>45778</v>
      </c>
      <c r="T17" s="317">
        <v>45809</v>
      </c>
      <c r="U17" s="716">
        <v>45839</v>
      </c>
    </row>
    <row r="18" spans="1:21">
      <c r="A18" s="1193"/>
      <c r="B18" s="34" t="s">
        <v>30</v>
      </c>
      <c r="C18" s="717">
        <f>'MARATHA QTY DISTRIBUATION'!O43</f>
        <v>195.24</v>
      </c>
      <c r="D18" s="717">
        <f>'MARATHA QTY DISTRIBUATION'!P43</f>
        <v>244.05</v>
      </c>
      <c r="E18" s="717">
        <f>'MARATHA QTY DISTRIBUATION'!Q43</f>
        <v>504.64499999999998</v>
      </c>
      <c r="F18" s="717">
        <f>'MARATHA QTY DISTRIBUATION'!R43</f>
        <v>715.66800000000001</v>
      </c>
      <c r="G18" s="717">
        <f>'MARATHA QTY DISTRIBUATION'!S43</f>
        <v>798.99599999999998</v>
      </c>
      <c r="H18" s="717">
        <f>'MARATHA QTY DISTRIBUATION'!T43</f>
        <v>705.18</v>
      </c>
      <c r="I18" s="717">
        <f>'MARATHA QTY DISTRIBUATION'!U43</f>
        <v>685.16100000000006</v>
      </c>
      <c r="J18" s="717">
        <f>'MARATHA QTY DISTRIBUATION'!V43</f>
        <v>594.27099999999984</v>
      </c>
      <c r="K18" s="717">
        <f>'MARATHA QTY DISTRIBUATION'!W43</f>
        <v>326.02199999999999</v>
      </c>
      <c r="L18" s="717">
        <f>'MARATHA QTY DISTRIBUATION'!X43</f>
        <v>304.36700000000008</v>
      </c>
      <c r="M18" s="717"/>
      <c r="N18" s="717"/>
      <c r="O18" s="717"/>
      <c r="P18" s="717"/>
      <c r="Q18" s="717"/>
      <c r="R18" s="717"/>
      <c r="S18" s="717"/>
      <c r="T18" s="717"/>
      <c r="U18" s="718"/>
    </row>
    <row r="19" spans="1:21">
      <c r="A19" s="1193"/>
      <c r="B19" s="34" t="s">
        <v>43</v>
      </c>
      <c r="C19" s="717">
        <f>'MARATHA QTY DISTRIBUATION'!O44</f>
        <v>195.24</v>
      </c>
      <c r="D19" s="717">
        <f>'MARATHA QTY DISTRIBUATION'!P44</f>
        <v>439.29</v>
      </c>
      <c r="E19" s="717">
        <f>'MARATHA QTY DISTRIBUATION'!Q44</f>
        <v>943.93499999999995</v>
      </c>
      <c r="F19" s="717">
        <f>'MARATHA QTY DISTRIBUATION'!R44</f>
        <v>1659.6030000000001</v>
      </c>
      <c r="G19" s="717">
        <f>'MARATHA QTY DISTRIBUATION'!S44</f>
        <v>2458.5990000000002</v>
      </c>
      <c r="H19" s="717">
        <f>'MARATHA QTY DISTRIBUATION'!T44</f>
        <v>3163.779</v>
      </c>
      <c r="I19" s="717">
        <f>'MARATHA QTY DISTRIBUATION'!U44</f>
        <v>3848.94</v>
      </c>
      <c r="J19" s="717">
        <f>'MARATHA QTY DISTRIBUATION'!V44</f>
        <v>4443.2110000000002</v>
      </c>
      <c r="K19" s="717">
        <f>'MARATHA QTY DISTRIBUATION'!W44</f>
        <v>4769.2330000000002</v>
      </c>
      <c r="L19" s="717">
        <f>'MARATHA QTY DISTRIBUATION'!X44</f>
        <v>5073.6000000000004</v>
      </c>
      <c r="M19" s="717"/>
      <c r="N19" s="717"/>
      <c r="O19" s="717"/>
      <c r="P19" s="717"/>
      <c r="Q19" s="717"/>
      <c r="R19" s="717"/>
      <c r="S19" s="717"/>
      <c r="T19" s="717"/>
      <c r="U19" s="718"/>
    </row>
    <row r="20" spans="1:21">
      <c r="A20" s="1193"/>
      <c r="B20" s="34" t="s">
        <v>32</v>
      </c>
      <c r="C20" s="717">
        <f>'MARATHA QTY DISTRIBUATION'!O45</f>
        <v>35</v>
      </c>
      <c r="D20" s="717">
        <f>'MARATHA QTY DISTRIBUATION'!P45</f>
        <v>55</v>
      </c>
      <c r="E20" s="717">
        <f>'MARATHA QTY DISTRIBUATION'!Q45</f>
        <v>75</v>
      </c>
      <c r="F20" s="717">
        <f>'MARATHA QTY DISTRIBUATION'!R45</f>
        <v>191</v>
      </c>
      <c r="G20" s="717">
        <f>'MARATHA QTY DISTRIBUATION'!S45</f>
        <v>236</v>
      </c>
      <c r="H20" s="717">
        <f>'MARATHA QTY DISTRIBUATION'!T45</f>
        <v>111</v>
      </c>
      <c r="I20" s="717">
        <f>'MARATHA QTY DISTRIBUATION'!U45</f>
        <v>183</v>
      </c>
      <c r="J20" s="717"/>
      <c r="K20" s="717"/>
      <c r="L20" s="717"/>
      <c r="M20" s="717"/>
      <c r="N20" s="717"/>
      <c r="O20" s="717"/>
      <c r="P20" s="717"/>
      <c r="Q20" s="717"/>
      <c r="R20" s="717"/>
      <c r="S20" s="717"/>
      <c r="T20" s="717"/>
      <c r="U20" s="718"/>
    </row>
    <row r="21" spans="1:21" ht="15" thickBot="1">
      <c r="A21" s="1194"/>
      <c r="B21" s="719" t="s">
        <v>45</v>
      </c>
      <c r="C21" s="720">
        <f>'MARATHA QTY DISTRIBUATION'!O46</f>
        <v>35</v>
      </c>
      <c r="D21" s="720">
        <f>'MARATHA QTY DISTRIBUATION'!P46</f>
        <v>90</v>
      </c>
      <c r="E21" s="720">
        <f>'MARATHA QTY DISTRIBUATION'!Q46</f>
        <v>165</v>
      </c>
      <c r="F21" s="720">
        <f>'MARATHA QTY DISTRIBUATION'!R46</f>
        <v>382</v>
      </c>
      <c r="G21" s="720">
        <f>'MARATHA QTY DISTRIBUATION'!S46</f>
        <v>618</v>
      </c>
      <c r="H21" s="720">
        <f>'MARATHA QTY DISTRIBUATION'!T46</f>
        <v>729</v>
      </c>
      <c r="I21" s="720">
        <f>'MARATHA QTY DISTRIBUATION'!U46</f>
        <v>912</v>
      </c>
      <c r="J21" s="720"/>
      <c r="K21" s="720"/>
      <c r="L21" s="720"/>
      <c r="M21" s="720"/>
      <c r="N21" s="720"/>
      <c r="O21" s="720"/>
      <c r="P21" s="720"/>
      <c r="Q21" s="720"/>
      <c r="R21" s="720"/>
      <c r="S21" s="720"/>
      <c r="T21" s="720"/>
      <c r="U21" s="721"/>
    </row>
    <row r="23" spans="1:21" ht="15" thickBot="1"/>
    <row r="24" spans="1:21" ht="15" thickBot="1">
      <c r="A24" s="1192" t="s">
        <v>293</v>
      </c>
      <c r="B24" s="723" t="s">
        <v>1</v>
      </c>
      <c r="C24" s="317">
        <f>'STRUCTURE ERECTION'!W4</f>
        <v>45658</v>
      </c>
      <c r="D24" s="317">
        <f>'STRUCTURE ERECTION'!X4</f>
        <v>45689</v>
      </c>
      <c r="E24" s="317">
        <f>'STRUCTURE ERECTION'!Y4</f>
        <v>45717</v>
      </c>
      <c r="F24" s="317">
        <f>'STRUCTURE ERECTION'!Z4</f>
        <v>45748</v>
      </c>
      <c r="G24" s="317">
        <f>'STRUCTURE ERECTION'!AA4</f>
        <v>45778</v>
      </c>
      <c r="H24" s="317">
        <f>'STRUCTURE ERECTION'!AB4</f>
        <v>45809</v>
      </c>
      <c r="I24" s="317">
        <f>'STRUCTURE ERECTION'!AC4</f>
        <v>45839</v>
      </c>
      <c r="J24" s="317">
        <f>'STRUCTURE ERECTION'!AD4</f>
        <v>45870</v>
      </c>
      <c r="K24" s="317">
        <f>'STRUCTURE ERECTION'!AE4</f>
        <v>45901</v>
      </c>
      <c r="L24" s="317">
        <f>'STRUCTURE ERECTION'!AF4</f>
        <v>45931</v>
      </c>
      <c r="M24" s="317">
        <f>'STRUCTURE ERECTION'!AG4</f>
        <v>1</v>
      </c>
      <c r="N24" s="317"/>
      <c r="O24" s="317"/>
      <c r="P24" s="317"/>
      <c r="Q24" s="317"/>
      <c r="R24" s="317"/>
      <c r="S24" s="317"/>
      <c r="T24" s="317"/>
      <c r="U24" s="716"/>
    </row>
    <row r="25" spans="1:21">
      <c r="A25" s="1193"/>
      <c r="B25" s="34" t="s">
        <v>30</v>
      </c>
      <c r="C25" s="717">
        <f>'MARATHA QTY DISTRIBUATION'!R48</f>
        <v>363</v>
      </c>
      <c r="D25" s="717">
        <f>'MARATHA QTY DISTRIBUATION'!S48</f>
        <v>999</v>
      </c>
      <c r="E25" s="717">
        <f>'MARATHA QTY DISTRIBUATION'!T48</f>
        <v>1067</v>
      </c>
      <c r="F25" s="717">
        <f>'MARATHA QTY DISTRIBUATION'!U48</f>
        <v>2541</v>
      </c>
      <c r="G25" s="717">
        <f>'MARATHA QTY DISTRIBUATION'!V48</f>
        <v>3353</v>
      </c>
      <c r="H25" s="717">
        <f>'MARATHA QTY DISTRIBUATION'!W48</f>
        <v>3495</v>
      </c>
      <c r="I25" s="717">
        <f>'MARATHA QTY DISTRIBUATION'!X48</f>
        <v>3946</v>
      </c>
      <c r="J25" s="717">
        <f>'MARATHA QTY DISTRIBUATION'!Y48</f>
        <v>2983</v>
      </c>
      <c r="K25" s="717">
        <f>'MARATHA QTY DISTRIBUATION'!Z48</f>
        <v>1339</v>
      </c>
      <c r="L25" s="717">
        <f>'MARATHA QTY DISTRIBUATION'!AA48</f>
        <v>819</v>
      </c>
      <c r="M25" s="717"/>
      <c r="N25" s="717"/>
      <c r="O25" s="717"/>
      <c r="P25" s="717"/>
      <c r="Q25" s="717"/>
      <c r="R25" s="717"/>
      <c r="S25" s="717"/>
      <c r="T25" s="717"/>
      <c r="U25" s="718"/>
    </row>
    <row r="26" spans="1:21">
      <c r="A26" s="1193"/>
      <c r="B26" s="34" t="s">
        <v>43</v>
      </c>
      <c r="C26" s="717">
        <f>'MARATHA QTY DISTRIBUATION'!R49</f>
        <v>363</v>
      </c>
      <c r="D26" s="717">
        <f>'MARATHA QTY DISTRIBUATION'!S49</f>
        <v>1362</v>
      </c>
      <c r="E26" s="717">
        <f>'MARATHA QTY DISTRIBUATION'!T49</f>
        <v>2429</v>
      </c>
      <c r="F26" s="717">
        <f>'MARATHA QTY DISTRIBUATION'!U49</f>
        <v>4970</v>
      </c>
      <c r="G26" s="717">
        <f>'MARATHA QTY DISTRIBUATION'!V49</f>
        <v>8323</v>
      </c>
      <c r="H26" s="717">
        <f>'MARATHA QTY DISTRIBUATION'!W49</f>
        <v>11818</v>
      </c>
      <c r="I26" s="717">
        <f>'MARATHA QTY DISTRIBUATION'!X49</f>
        <v>15764</v>
      </c>
      <c r="J26" s="717">
        <f>'MARATHA QTY DISTRIBUATION'!Y49</f>
        <v>18747</v>
      </c>
      <c r="K26" s="717">
        <f>'MARATHA QTY DISTRIBUATION'!Z49</f>
        <v>20086</v>
      </c>
      <c r="L26" s="717">
        <f>'MARATHA QTY DISTRIBUATION'!AA49</f>
        <v>20905</v>
      </c>
      <c r="M26" s="717"/>
      <c r="N26" s="717"/>
      <c r="O26" s="717"/>
      <c r="P26" s="717"/>
      <c r="Q26" s="717"/>
      <c r="R26" s="717"/>
      <c r="S26" s="717"/>
      <c r="T26" s="717"/>
      <c r="U26" s="718"/>
    </row>
    <row r="27" spans="1:21">
      <c r="A27" s="1193"/>
      <c r="B27" s="34" t="s">
        <v>32</v>
      </c>
      <c r="C27" s="717">
        <f>'MARATHA QTY DISTRIBUATION'!R50</f>
        <v>0</v>
      </c>
      <c r="D27" s="717">
        <f>'MARATHA QTY DISTRIBUATION'!S50</f>
        <v>348</v>
      </c>
      <c r="E27" s="717">
        <f>'MARATHA QTY DISTRIBUATION'!T50</f>
        <v>185</v>
      </c>
      <c r="F27" s="717">
        <f>'MARATHA QTY DISTRIBUATION'!U50</f>
        <v>84</v>
      </c>
      <c r="G27" s="717"/>
      <c r="H27" s="717"/>
      <c r="I27" s="717"/>
      <c r="J27" s="717"/>
      <c r="K27" s="717"/>
      <c r="L27" s="717"/>
      <c r="M27" s="717"/>
      <c r="N27" s="717"/>
      <c r="O27" s="717"/>
      <c r="P27" s="717"/>
      <c r="Q27" s="717"/>
      <c r="R27" s="717"/>
      <c r="S27" s="717"/>
      <c r="T27" s="717"/>
      <c r="U27" s="718"/>
    </row>
    <row r="28" spans="1:21" ht="15" thickBot="1">
      <c r="A28" s="1194"/>
      <c r="B28" s="719" t="s">
        <v>45</v>
      </c>
      <c r="C28" s="720">
        <f>'MARATHA QTY DISTRIBUATION'!R51</f>
        <v>3</v>
      </c>
      <c r="D28" s="720">
        <f>'MARATHA QTY DISTRIBUATION'!S51</f>
        <v>351</v>
      </c>
      <c r="E28" s="720">
        <f>'MARATHA QTY DISTRIBUATION'!T51</f>
        <v>536</v>
      </c>
      <c r="F28" s="720">
        <f>'MARATHA QTY DISTRIBUATION'!U51</f>
        <v>620</v>
      </c>
      <c r="G28" s="720"/>
      <c r="H28" s="720"/>
      <c r="I28" s="720"/>
      <c r="J28" s="720"/>
      <c r="K28" s="720"/>
      <c r="L28" s="720"/>
      <c r="M28" s="720"/>
      <c r="N28" s="720"/>
      <c r="O28" s="720"/>
      <c r="P28" s="720"/>
      <c r="Q28" s="720"/>
      <c r="R28" s="720"/>
      <c r="S28" s="720"/>
      <c r="T28" s="720"/>
      <c r="U28" s="721"/>
    </row>
    <row r="30" spans="1:21" ht="15" thickBot="1"/>
    <row r="31" spans="1:21" ht="15" thickBot="1">
      <c r="A31" s="1192" t="s">
        <v>294</v>
      </c>
      <c r="B31" s="723" t="s">
        <v>1</v>
      </c>
      <c r="C31" s="317">
        <f>'P&amp;E'!Y4</f>
        <v>45627</v>
      </c>
      <c r="D31" s="317">
        <f>'P&amp;E'!Z4</f>
        <v>45658</v>
      </c>
      <c r="E31" s="317">
        <f>'P&amp;E'!AA4</f>
        <v>45689</v>
      </c>
      <c r="F31" s="317">
        <f>'P&amp;E'!AB4</f>
        <v>45717</v>
      </c>
      <c r="G31" s="317">
        <f>'P&amp;E'!AC4</f>
        <v>45748</v>
      </c>
      <c r="H31" s="317">
        <f>'P&amp;E'!AD4</f>
        <v>45778</v>
      </c>
      <c r="I31" s="317">
        <f>'P&amp;E'!AE4</f>
        <v>45809</v>
      </c>
      <c r="J31" s="317">
        <f>'P&amp;E'!AF4</f>
        <v>45839</v>
      </c>
      <c r="K31" s="317">
        <f>'P&amp;E'!AG4</f>
        <v>45870</v>
      </c>
      <c r="L31" s="317">
        <f>'P&amp;E'!AH4</f>
        <v>45901</v>
      </c>
      <c r="M31" s="317">
        <f>'P&amp;E'!AI4</f>
        <v>45931</v>
      </c>
      <c r="N31" s="317">
        <f>'P&amp;E'!AJ4</f>
        <v>45962</v>
      </c>
      <c r="O31" s="317"/>
      <c r="P31" s="317"/>
      <c r="Q31" s="317"/>
      <c r="R31" s="317"/>
      <c r="S31" s="317"/>
      <c r="T31" s="317"/>
      <c r="U31" s="317"/>
    </row>
    <row r="32" spans="1:21">
      <c r="A32" s="1193"/>
      <c r="B32" s="34" t="s">
        <v>30</v>
      </c>
      <c r="C32" s="717">
        <f>'MARATHA QTY DISTRIBUATION'!Q53</f>
        <v>67</v>
      </c>
      <c r="D32" s="717">
        <f>'MARATHA QTY DISTRIBUATION'!R53</f>
        <v>378</v>
      </c>
      <c r="E32" s="717">
        <f>'MARATHA QTY DISTRIBUATION'!S53</f>
        <v>906</v>
      </c>
      <c r="F32" s="717">
        <f>'MARATHA QTY DISTRIBUATION'!T53</f>
        <v>1419</v>
      </c>
      <c r="G32" s="717">
        <f>'MARATHA QTY DISTRIBUATION'!U53</f>
        <v>1878</v>
      </c>
      <c r="H32" s="717">
        <f>'MARATHA QTY DISTRIBUATION'!V53</f>
        <v>2257</v>
      </c>
      <c r="I32" s="717">
        <f>'MARATHA QTY DISTRIBUATION'!W53</f>
        <v>3295</v>
      </c>
      <c r="J32" s="717">
        <f>'MARATHA QTY DISTRIBUATION'!X53</f>
        <v>3778</v>
      </c>
      <c r="K32" s="717">
        <f>'MARATHA QTY DISTRIBUATION'!Y53</f>
        <v>3419</v>
      </c>
      <c r="L32" s="717">
        <f>'MARATHA QTY DISTRIBUATION'!Z53</f>
        <v>2442</v>
      </c>
      <c r="M32" s="717">
        <f>'MARATHA QTY DISTRIBUATION'!AA53</f>
        <v>1555</v>
      </c>
      <c r="N32" s="717">
        <f>'MARATHA QTY DISTRIBUATION'!AB53</f>
        <v>111</v>
      </c>
      <c r="O32" s="717"/>
      <c r="P32" s="717"/>
      <c r="Q32" s="717"/>
      <c r="R32" s="717"/>
      <c r="S32" s="717"/>
      <c r="T32" s="717"/>
      <c r="U32" s="718"/>
    </row>
    <row r="33" spans="1:21">
      <c r="A33" s="1193"/>
      <c r="B33" s="34" t="s">
        <v>43</v>
      </c>
      <c r="C33" s="717">
        <f>'MARATHA QTY DISTRIBUATION'!Q54</f>
        <v>67</v>
      </c>
      <c r="D33" s="717">
        <f>'MARATHA QTY DISTRIBUATION'!R54</f>
        <v>445</v>
      </c>
      <c r="E33" s="717">
        <f>'MARATHA QTY DISTRIBUATION'!S54</f>
        <v>1351</v>
      </c>
      <c r="F33" s="717">
        <f>'MARATHA QTY DISTRIBUATION'!T54</f>
        <v>2770</v>
      </c>
      <c r="G33" s="717">
        <f>'MARATHA QTY DISTRIBUATION'!U54</f>
        <v>4648</v>
      </c>
      <c r="H33" s="717">
        <f>'MARATHA QTY DISTRIBUATION'!V54</f>
        <v>6905</v>
      </c>
      <c r="I33" s="717">
        <f>'MARATHA QTY DISTRIBUATION'!W54</f>
        <v>10200</v>
      </c>
      <c r="J33" s="717">
        <f>'MARATHA QTY DISTRIBUATION'!X54</f>
        <v>13978</v>
      </c>
      <c r="K33" s="717">
        <f>'MARATHA QTY DISTRIBUATION'!Y54</f>
        <v>17397</v>
      </c>
      <c r="L33" s="717">
        <f>'MARATHA QTY DISTRIBUATION'!Z54</f>
        <v>19839</v>
      </c>
      <c r="M33" s="717">
        <f>'MARATHA QTY DISTRIBUATION'!AA54</f>
        <v>21394</v>
      </c>
      <c r="N33" s="717">
        <f>'MARATHA QTY DISTRIBUATION'!AB54</f>
        <v>21505</v>
      </c>
      <c r="O33" s="717"/>
      <c r="P33" s="717"/>
      <c r="Q33" s="717"/>
      <c r="R33" s="717"/>
      <c r="S33" s="717"/>
      <c r="T33" s="717"/>
      <c r="U33" s="718"/>
    </row>
    <row r="34" spans="1:21">
      <c r="A34" s="1193"/>
      <c r="B34" s="34" t="s">
        <v>32</v>
      </c>
      <c r="C34" s="717">
        <f>'MARATHA QTY DISTRIBUATION'!Q55</f>
        <v>272</v>
      </c>
      <c r="D34" s="717">
        <f>'MARATHA QTY DISTRIBUATION'!R55</f>
        <v>545</v>
      </c>
      <c r="E34" s="717">
        <f>'MARATHA QTY DISTRIBUATION'!S55</f>
        <v>455</v>
      </c>
      <c r="F34" s="717">
        <f>'MARATHA QTY DISTRIBUATION'!T55</f>
        <v>64</v>
      </c>
      <c r="G34" s="717">
        <f>'MARATHA QTY DISTRIBUATION'!U55</f>
        <v>520</v>
      </c>
      <c r="H34" s="717"/>
      <c r="I34" s="717"/>
      <c r="J34" s="717"/>
      <c r="K34" s="717"/>
      <c r="L34" s="717"/>
      <c r="M34" s="717"/>
      <c r="N34" s="717"/>
      <c r="O34" s="717"/>
      <c r="P34" s="717"/>
      <c r="Q34" s="717"/>
      <c r="R34" s="717"/>
      <c r="S34" s="717"/>
      <c r="T34" s="717"/>
      <c r="U34" s="718"/>
    </row>
    <row r="35" spans="1:21" ht="15" thickBot="1">
      <c r="A35" s="1194"/>
      <c r="B35" s="719" t="s">
        <v>45</v>
      </c>
      <c r="C35" s="720">
        <f>'MARATHA QTY DISTRIBUATION'!Q56</f>
        <v>272</v>
      </c>
      <c r="D35" s="720">
        <f>'MARATHA QTY DISTRIBUATION'!R56</f>
        <v>817</v>
      </c>
      <c r="E35" s="720">
        <f>'MARATHA QTY DISTRIBUATION'!S56</f>
        <v>1272</v>
      </c>
      <c r="F35" s="720">
        <f>'MARATHA QTY DISTRIBUATION'!T56</f>
        <v>1336</v>
      </c>
      <c r="G35" s="720">
        <f>'MARATHA QTY DISTRIBUATION'!U56</f>
        <v>1856</v>
      </c>
      <c r="H35" s="720"/>
      <c r="I35" s="720"/>
      <c r="J35" s="720"/>
      <c r="K35" s="720"/>
      <c r="L35" s="720"/>
      <c r="M35" s="720"/>
      <c r="N35" s="720"/>
      <c r="O35" s="720"/>
      <c r="P35" s="720"/>
      <c r="Q35" s="720"/>
      <c r="R35" s="720"/>
      <c r="S35" s="720"/>
      <c r="T35" s="720"/>
      <c r="U35" s="721"/>
    </row>
    <row r="59" spans="2:4">
      <c r="B59" s="132" t="s">
        <v>171</v>
      </c>
      <c r="C59" t="s">
        <v>295</v>
      </c>
      <c r="D59" t="s">
        <v>296</v>
      </c>
    </row>
    <row r="60" spans="2:4">
      <c r="B60" s="724">
        <v>45352</v>
      </c>
      <c r="C60" s="132">
        <v>100</v>
      </c>
      <c r="D60" s="132">
        <v>22</v>
      </c>
    </row>
    <row r="61" spans="2:4">
      <c r="B61" s="724">
        <v>45383</v>
      </c>
      <c r="C61" s="132">
        <v>250</v>
      </c>
      <c r="D61" s="132">
        <v>62</v>
      </c>
    </row>
    <row r="62" spans="2:4">
      <c r="B62" s="724">
        <v>45413</v>
      </c>
      <c r="C62" s="132">
        <v>470</v>
      </c>
      <c r="D62" s="132">
        <v>86</v>
      </c>
    </row>
    <row r="63" spans="2:4">
      <c r="B63" s="724">
        <v>45444</v>
      </c>
      <c r="C63" s="132">
        <v>663</v>
      </c>
      <c r="D63" s="132">
        <v>144</v>
      </c>
    </row>
    <row r="64" spans="2:4">
      <c r="B64" s="724">
        <v>45474</v>
      </c>
      <c r="C64" s="132">
        <v>978</v>
      </c>
      <c r="D64" s="132">
        <v>346</v>
      </c>
    </row>
    <row r="65" spans="2:4">
      <c r="B65" s="724">
        <v>45505</v>
      </c>
      <c r="C65" s="132">
        <v>1128</v>
      </c>
      <c r="D65" s="132">
        <v>428</v>
      </c>
    </row>
    <row r="66" spans="2:4">
      <c r="B66" s="724">
        <v>45536</v>
      </c>
      <c r="C66" s="132">
        <v>1177</v>
      </c>
      <c r="D66" s="132">
        <v>780</v>
      </c>
    </row>
    <row r="67" spans="2:4">
      <c r="B67" s="724">
        <v>45566</v>
      </c>
      <c r="C67" s="132">
        <v>1774</v>
      </c>
      <c r="D67" s="132">
        <v>631</v>
      </c>
    </row>
    <row r="68" spans="2:4">
      <c r="B68" s="724">
        <v>45597</v>
      </c>
      <c r="C68" s="132">
        <v>2279</v>
      </c>
      <c r="D68" s="132">
        <v>708</v>
      </c>
    </row>
    <row r="69" spans="2:4">
      <c r="B69" s="724">
        <v>45627</v>
      </c>
      <c r="C69" s="132">
        <v>2453</v>
      </c>
      <c r="D69" s="132">
        <v>1006</v>
      </c>
    </row>
    <row r="70" spans="2:4">
      <c r="B70" s="724">
        <v>45658</v>
      </c>
      <c r="C70" s="132">
        <v>2560</v>
      </c>
      <c r="D70" s="132">
        <v>1056</v>
      </c>
    </row>
    <row r="71" spans="2:4">
      <c r="B71" s="724">
        <v>45689</v>
      </c>
      <c r="C71" s="132">
        <v>2680</v>
      </c>
      <c r="D71" s="132">
        <v>1140</v>
      </c>
    </row>
    <row r="72" spans="2:4">
      <c r="B72" s="724">
        <v>45717</v>
      </c>
      <c r="C72" s="132">
        <v>2830</v>
      </c>
      <c r="D72" s="132">
        <v>1029</v>
      </c>
    </row>
    <row r="73" spans="2:4">
      <c r="B73" s="724">
        <v>45748</v>
      </c>
      <c r="C73" s="132">
        <f>'RCC UPDATED SEP(3)'!M12+'RCC UPDATED SEP(3)'!M10+'RCC UPDATED SEP(3)'!M7+'RCC UPDATED SEP(3)'!M6+'RCC UPDATED SEP(3)'!M5+315</f>
        <v>2390</v>
      </c>
      <c r="D73" s="132">
        <v>1016</v>
      </c>
    </row>
    <row r="80" spans="2:4">
      <c r="B80" s="132" t="s">
        <v>171</v>
      </c>
      <c r="C80" s="564" t="s">
        <v>295</v>
      </c>
      <c r="D80" s="564" t="s">
        <v>296</v>
      </c>
    </row>
    <row r="81" spans="1:4">
      <c r="B81" s="132" t="s">
        <v>345</v>
      </c>
      <c r="C81" s="564">
        <v>15000</v>
      </c>
      <c r="D81" s="564">
        <v>13847</v>
      </c>
    </row>
    <row r="82" spans="1:4">
      <c r="A82">
        <v>16000</v>
      </c>
      <c r="B82" s="724" t="s">
        <v>340</v>
      </c>
      <c r="C82" s="132">
        <f t="shared" ref="C82:C86" si="1">$A$82/5</f>
        <v>3200</v>
      </c>
      <c r="D82" s="132">
        <v>2429</v>
      </c>
    </row>
    <row r="83" spans="1:4">
      <c r="B83" s="724" t="s">
        <v>341</v>
      </c>
      <c r="C83" s="132">
        <f t="shared" si="1"/>
        <v>3200</v>
      </c>
      <c r="D83" s="132">
        <v>6193</v>
      </c>
    </row>
    <row r="84" spans="1:4">
      <c r="B84" s="724" t="s">
        <v>342</v>
      </c>
      <c r="C84" s="132">
        <f t="shared" si="1"/>
        <v>3200</v>
      </c>
      <c r="D84" s="132">
        <v>3145</v>
      </c>
    </row>
    <row r="85" spans="1:4">
      <c r="B85" s="724" t="s">
        <v>343</v>
      </c>
      <c r="C85" s="132">
        <f t="shared" si="1"/>
        <v>3200</v>
      </c>
      <c r="D85" s="132"/>
    </row>
    <row r="86" spans="1:4">
      <c r="B86" s="724" t="s">
        <v>344</v>
      </c>
      <c r="C86" s="132">
        <f t="shared" si="1"/>
        <v>3200</v>
      </c>
      <c r="D86" s="132"/>
    </row>
    <row r="87" spans="1:4">
      <c r="B87" s="724" t="s">
        <v>132</v>
      </c>
      <c r="C87" s="132">
        <f>SUM(C82:C86)</f>
        <v>16000</v>
      </c>
      <c r="D87" s="132">
        <f>SUM(D82:D86)</f>
        <v>11767</v>
      </c>
    </row>
    <row r="88" spans="1:4">
      <c r="B88" s="724"/>
      <c r="C88" s="132"/>
      <c r="D88" s="132"/>
    </row>
    <row r="89" spans="1:4">
      <c r="B89" s="724"/>
      <c r="C89" s="132"/>
      <c r="D89" s="132">
        <f>D87-11767</f>
        <v>0</v>
      </c>
    </row>
    <row r="90" spans="1:4">
      <c r="B90" s="724"/>
      <c r="C90" s="132"/>
      <c r="D90" s="132"/>
    </row>
    <row r="91" spans="1:4">
      <c r="B91" s="724"/>
      <c r="C91" s="132"/>
      <c r="D91" s="132"/>
    </row>
    <row r="92" spans="1:4">
      <c r="B92" s="724"/>
      <c r="C92" s="132"/>
      <c r="D92" s="132"/>
    </row>
    <row r="93" spans="1:4">
      <c r="B93" s="724"/>
      <c r="C93" s="132"/>
      <c r="D93" s="132"/>
    </row>
    <row r="94" spans="1:4">
      <c r="B94" s="724"/>
      <c r="C94" s="132"/>
      <c r="D94" s="132"/>
    </row>
    <row r="95" spans="1:4">
      <c r="A95" s="564"/>
      <c r="B95" s="132" t="s">
        <v>171</v>
      </c>
      <c r="C95" s="564" t="s">
        <v>295</v>
      </c>
      <c r="D95" s="564" t="s">
        <v>296</v>
      </c>
    </row>
    <row r="96" spans="1:4">
      <c r="A96" s="564"/>
      <c r="B96" s="132" t="s">
        <v>345</v>
      </c>
      <c r="C96" s="564">
        <v>9516</v>
      </c>
      <c r="D96" s="564">
        <v>3136</v>
      </c>
    </row>
    <row r="97" spans="1:5">
      <c r="A97" s="569">
        <v>7296</v>
      </c>
      <c r="B97" s="724" t="s">
        <v>340</v>
      </c>
      <c r="C97" s="132">
        <f>$A$97*E97</f>
        <v>1459.2</v>
      </c>
      <c r="D97" s="132">
        <v>699</v>
      </c>
      <c r="E97" s="26">
        <v>0.2</v>
      </c>
    </row>
    <row r="98" spans="1:5">
      <c r="A98" s="564"/>
      <c r="B98" s="724" t="s">
        <v>341</v>
      </c>
      <c r="C98" s="132">
        <f t="shared" ref="C98:C101" si="2">$A$97*E98</f>
        <v>1824</v>
      </c>
      <c r="D98" s="132">
        <v>721</v>
      </c>
      <c r="E98" s="26">
        <v>0.25</v>
      </c>
    </row>
    <row r="99" spans="1:5">
      <c r="A99" s="564"/>
      <c r="B99" s="724" t="s">
        <v>342</v>
      </c>
      <c r="C99" s="132">
        <f t="shared" si="2"/>
        <v>2188.7999999999997</v>
      </c>
      <c r="D99" s="132">
        <v>568</v>
      </c>
      <c r="E99" s="26">
        <v>0.3</v>
      </c>
    </row>
    <row r="100" spans="1:5">
      <c r="A100" s="564"/>
      <c r="B100" s="724" t="s">
        <v>343</v>
      </c>
      <c r="C100" s="132">
        <f t="shared" si="2"/>
        <v>1094.3999999999999</v>
      </c>
      <c r="D100" s="132"/>
      <c r="E100" s="26">
        <v>0.15</v>
      </c>
    </row>
    <row r="101" spans="1:5">
      <c r="A101" s="564"/>
      <c r="B101" s="724" t="s">
        <v>344</v>
      </c>
      <c r="C101" s="132">
        <f t="shared" si="2"/>
        <v>729.6</v>
      </c>
      <c r="D101" s="132"/>
      <c r="E101" s="26">
        <v>0.1</v>
      </c>
    </row>
    <row r="102" spans="1:5">
      <c r="A102" s="564"/>
      <c r="B102" s="724" t="s">
        <v>132</v>
      </c>
      <c r="C102" s="132">
        <f>SUM(C97:C101)</f>
        <v>7296</v>
      </c>
      <c r="D102" s="132">
        <f>SUM(D97:D101)</f>
        <v>1988</v>
      </c>
      <c r="E102" s="26">
        <f>SUM(E97:E101)</f>
        <v>1</v>
      </c>
    </row>
    <row r="104" spans="1:5">
      <c r="D104">
        <f>D102-1988</f>
        <v>0</v>
      </c>
    </row>
    <row r="105" spans="1:5">
      <c r="D105">
        <f>D102-1420</f>
        <v>568</v>
      </c>
    </row>
  </sheetData>
  <mergeCells count="5">
    <mergeCell ref="A1:A5"/>
    <mergeCell ref="A10:A14"/>
    <mergeCell ref="A17:A21"/>
    <mergeCell ref="A24:A28"/>
    <mergeCell ref="A31:A35"/>
  </mergeCells>
  <phoneticPr fontId="56"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61850-DBBB-4DE0-917B-D9F493E05B47}">
  <sheetPr>
    <tabColor rgb="FF92D050"/>
  </sheetPr>
  <dimension ref="A1:AL45"/>
  <sheetViews>
    <sheetView zoomScale="80" zoomScaleNormal="80" workbookViewId="0">
      <pane ySplit="2" topLeftCell="A3" activePane="bottomLeft" state="frozen"/>
      <selection pane="bottomLeft" sqref="A1:XFD1"/>
    </sheetView>
  </sheetViews>
  <sheetFormatPr defaultColWidth="8.7265625" defaultRowHeight="14.5"/>
  <cols>
    <col min="1" max="1" width="5.453125" style="48" customWidth="1"/>
    <col min="2" max="2" width="7.6328125" style="544" customWidth="1"/>
    <col min="3" max="3" width="12.26953125" style="544" customWidth="1"/>
    <col min="4" max="4" width="11.6328125" style="544" customWidth="1"/>
    <col min="5" max="5" width="15.36328125" style="544" customWidth="1"/>
    <col min="6" max="6" width="43.7265625" style="48" customWidth="1"/>
    <col min="7" max="7" width="15.7265625" style="544" customWidth="1"/>
    <col min="8" max="8" width="10.81640625" style="58" customWidth="1"/>
    <col min="9" max="9" width="18.453125" style="543" customWidth="1"/>
    <col min="10" max="10" width="10.54296875" style="58" customWidth="1"/>
    <col min="11" max="11" width="10.54296875" style="543" customWidth="1"/>
    <col min="12" max="12" width="12.453125" style="48" customWidth="1"/>
    <col min="13" max="13" width="11.54296875" style="48" customWidth="1"/>
    <col min="14" max="17" width="11.54296875" style="544" customWidth="1"/>
    <col min="18" max="18" width="21.08984375" style="544" customWidth="1"/>
    <col min="19" max="27" width="8.453125" style="58" customWidth="1"/>
    <col min="28" max="31" width="8.453125" style="48" customWidth="1"/>
    <col min="32" max="35" width="8.7265625" style="48" customWidth="1"/>
    <col min="36" max="36" width="7.453125" style="48" customWidth="1"/>
    <col min="37" max="37" width="0" style="48" hidden="1" customWidth="1"/>
    <col min="38" max="16384" width="8.7265625" style="48"/>
  </cols>
  <sheetData>
    <row r="1" spans="1:37" s="50" customFormat="1" ht="47" thickBot="1">
      <c r="A1" s="893" t="s">
        <v>0</v>
      </c>
      <c r="B1" s="894" t="s">
        <v>359</v>
      </c>
      <c r="C1" s="894" t="s">
        <v>360</v>
      </c>
      <c r="D1" s="894" t="s">
        <v>1</v>
      </c>
      <c r="E1" s="894" t="s">
        <v>361</v>
      </c>
      <c r="F1" s="894" t="s">
        <v>362</v>
      </c>
      <c r="G1" s="894" t="s">
        <v>298</v>
      </c>
      <c r="H1" s="895" t="s">
        <v>93</v>
      </c>
      <c r="I1" s="895" t="s">
        <v>363</v>
      </c>
      <c r="J1" s="895" t="s">
        <v>350</v>
      </c>
      <c r="K1" s="895" t="s">
        <v>369</v>
      </c>
      <c r="L1" s="896" t="s">
        <v>95</v>
      </c>
      <c r="M1" s="896" t="s">
        <v>96</v>
      </c>
      <c r="N1" s="894" t="s">
        <v>364</v>
      </c>
      <c r="O1" s="894" t="s">
        <v>365</v>
      </c>
      <c r="P1" s="894" t="s">
        <v>366</v>
      </c>
      <c r="Q1" s="894" t="s">
        <v>367</v>
      </c>
      <c r="R1" s="897" t="s">
        <v>278</v>
      </c>
      <c r="S1" s="898">
        <f t="shared" ref="S1:AE1" si="0">SUM(S3:S41)</f>
        <v>12460.000000000002</v>
      </c>
      <c r="T1" s="898">
        <f t="shared" si="0"/>
        <v>18513.5</v>
      </c>
      <c r="U1" s="898">
        <f t="shared" si="0"/>
        <v>6844.3</v>
      </c>
      <c r="V1" s="898">
        <f t="shared" si="0"/>
        <v>2534.1000000000004</v>
      </c>
      <c r="W1" s="898">
        <f t="shared" si="0"/>
        <v>1976.7</v>
      </c>
      <c r="X1" s="898">
        <f t="shared" si="0"/>
        <v>6229.3999999999978</v>
      </c>
      <c r="Y1" s="898">
        <f t="shared" si="0"/>
        <v>12686.448571428571</v>
      </c>
      <c r="Z1" s="898">
        <f t="shared" si="0"/>
        <v>10217.32857142857</v>
      </c>
      <c r="AA1" s="898">
        <f t="shared" si="0"/>
        <v>21068.758571428567</v>
      </c>
      <c r="AB1" s="898">
        <f t="shared" si="0"/>
        <v>12683.148571428572</v>
      </c>
      <c r="AC1" s="898">
        <f t="shared" si="0"/>
        <v>28234.775238095237</v>
      </c>
      <c r="AD1" s="898">
        <f t="shared" si="0"/>
        <v>44878.855238095239</v>
      </c>
      <c r="AE1" s="899">
        <f t="shared" si="0"/>
        <v>14119.385238095238</v>
      </c>
    </row>
    <row r="2" spans="1:37" s="50" customFormat="1">
      <c r="A2" s="430"/>
      <c r="B2" s="431"/>
      <c r="C2" s="431"/>
      <c r="D2" s="431"/>
      <c r="E2" s="431"/>
      <c r="F2" s="431"/>
      <c r="G2" s="431"/>
      <c r="H2" s="432">
        <f>SUM(H3:H41)</f>
        <v>192446.7</v>
      </c>
      <c r="I2" s="432"/>
      <c r="J2" s="432">
        <f>SUM(J3:J41)</f>
        <v>184684</v>
      </c>
      <c r="K2" s="432"/>
      <c r="L2" s="433">
        <f>MIN(L3:L42)</f>
        <v>45362</v>
      </c>
      <c r="M2" s="433">
        <f>MAX(M3:M42)</f>
        <v>45747</v>
      </c>
      <c r="N2" s="433"/>
      <c r="O2" s="433"/>
      <c r="P2" s="433"/>
      <c r="Q2" s="433"/>
      <c r="R2" s="433"/>
      <c r="S2" s="434">
        <v>45382</v>
      </c>
      <c r="T2" s="434">
        <v>45412</v>
      </c>
      <c r="U2" s="434">
        <v>45443</v>
      </c>
      <c r="V2" s="434">
        <v>45473</v>
      </c>
      <c r="W2" s="434">
        <v>45504</v>
      </c>
      <c r="X2" s="434">
        <v>45535</v>
      </c>
      <c r="Y2" s="434">
        <v>45565</v>
      </c>
      <c r="Z2" s="434">
        <v>45596</v>
      </c>
      <c r="AA2" s="434">
        <v>45626</v>
      </c>
      <c r="AB2" s="434">
        <v>45657</v>
      </c>
      <c r="AC2" s="434">
        <v>45688</v>
      </c>
      <c r="AD2" s="434">
        <v>45716</v>
      </c>
      <c r="AE2" s="55">
        <v>45747</v>
      </c>
    </row>
    <row r="3" spans="1:37">
      <c r="A3" s="435">
        <v>1</v>
      </c>
      <c r="B3" s="873" t="s">
        <v>2</v>
      </c>
      <c r="C3" s="874" t="s">
        <v>47</v>
      </c>
      <c r="D3" s="875" t="s">
        <v>19</v>
      </c>
      <c r="E3" s="875" t="s">
        <v>20</v>
      </c>
      <c r="F3" s="413" t="s">
        <v>97</v>
      </c>
      <c r="G3" s="873" t="s">
        <v>90</v>
      </c>
      <c r="H3" s="876">
        <v>19113.8</v>
      </c>
      <c r="I3" s="876"/>
      <c r="J3" s="876">
        <f>17162+3000</f>
        <v>20162</v>
      </c>
      <c r="K3" s="876"/>
      <c r="L3" s="438">
        <f>[3]L5!E558</f>
        <v>45536</v>
      </c>
      <c r="M3" s="438">
        <f>[3]L5!F558</f>
        <v>45719</v>
      </c>
      <c r="N3" s="877"/>
      <c r="O3" s="877"/>
      <c r="P3" s="878"/>
      <c r="Q3" s="878"/>
      <c r="R3" s="879">
        <f>H3-J3</f>
        <v>-1048.2000000000007</v>
      </c>
      <c r="S3" s="436"/>
      <c r="T3" s="436"/>
      <c r="U3" s="436"/>
      <c r="V3" s="436"/>
      <c r="W3" s="436"/>
      <c r="X3" s="436"/>
      <c r="Y3" s="436">
        <f>$H$3*40%</f>
        <v>7645.52</v>
      </c>
      <c r="Z3" s="436"/>
      <c r="AA3" s="436">
        <f>$H$3*35%</f>
        <v>6689.829999999999</v>
      </c>
      <c r="AB3" s="436"/>
      <c r="AC3" s="436"/>
      <c r="AD3" s="436">
        <f>$H$3*20%</f>
        <v>3822.76</v>
      </c>
      <c r="AE3" s="425">
        <f>H3-SUM(W3:AD3)</f>
        <v>955.68999999999869</v>
      </c>
      <c r="AK3" s="59">
        <f>SUM(S3:AE3)</f>
        <v>19113.8</v>
      </c>
    </row>
    <row r="4" spans="1:37">
      <c r="A4" s="435">
        <v>2</v>
      </c>
      <c r="B4" s="873" t="s">
        <v>2</v>
      </c>
      <c r="C4" s="874" t="s">
        <v>47</v>
      </c>
      <c r="D4" s="875" t="s">
        <v>19</v>
      </c>
      <c r="E4" s="875" t="s">
        <v>20</v>
      </c>
      <c r="F4" s="413" t="s">
        <v>98</v>
      </c>
      <c r="G4" s="873" t="s">
        <v>90</v>
      </c>
      <c r="H4" s="876">
        <v>17657</v>
      </c>
      <c r="I4" s="876"/>
      <c r="J4" s="876">
        <v>36009</v>
      </c>
      <c r="K4" s="876"/>
      <c r="L4" s="438">
        <f>[3]L5!E559</f>
        <v>45575</v>
      </c>
      <c r="M4" s="438">
        <f>[3]L5!F559</f>
        <v>45709</v>
      </c>
      <c r="N4" s="877"/>
      <c r="O4" s="877"/>
      <c r="P4" s="878"/>
      <c r="Q4" s="878"/>
      <c r="R4" s="879">
        <f t="shared" ref="R4:R42" si="1">H4-J4</f>
        <v>-18352</v>
      </c>
      <c r="S4" s="436"/>
      <c r="T4" s="436"/>
      <c r="U4" s="436"/>
      <c r="V4" s="436"/>
      <c r="W4" s="436"/>
      <c r="X4" s="437"/>
      <c r="Y4" s="437"/>
      <c r="Z4" s="436">
        <f>$H$4*20%</f>
        <v>3531.4</v>
      </c>
      <c r="AA4" s="436">
        <f>$H$4*50%</f>
        <v>8828.5</v>
      </c>
      <c r="AB4" s="436">
        <f>$H$4*20%</f>
        <v>3531.4</v>
      </c>
      <c r="AC4" s="413"/>
      <c r="AD4" s="414">
        <f>H4-Z4-AA4-AB4</f>
        <v>1765.7000000000003</v>
      </c>
      <c r="AE4" s="61"/>
      <c r="AK4" s="59">
        <f t="shared" ref="AK4:AK41" si="2">SUM(S4:AE4)</f>
        <v>17657</v>
      </c>
    </row>
    <row r="5" spans="1:37">
      <c r="A5" s="435">
        <v>3</v>
      </c>
      <c r="B5" s="873" t="s">
        <v>2</v>
      </c>
      <c r="C5" s="874" t="s">
        <v>47</v>
      </c>
      <c r="D5" s="875" t="s">
        <v>19</v>
      </c>
      <c r="E5" s="875" t="s">
        <v>20</v>
      </c>
      <c r="F5" s="413" t="s">
        <v>99</v>
      </c>
      <c r="G5" s="873" t="s">
        <v>90</v>
      </c>
      <c r="H5" s="876">
        <v>1425.8</v>
      </c>
      <c r="I5" s="876"/>
      <c r="J5" s="876">
        <v>4782</v>
      </c>
      <c r="K5" s="876"/>
      <c r="L5" s="438">
        <f>[3]L5!E560</f>
        <v>45633</v>
      </c>
      <c r="M5" s="438">
        <f>[3]L5!F560</f>
        <v>45666</v>
      </c>
      <c r="N5" s="877"/>
      <c r="O5" s="877"/>
      <c r="P5" s="878"/>
      <c r="Q5" s="878"/>
      <c r="R5" s="879">
        <f t="shared" si="1"/>
        <v>-3356.2</v>
      </c>
      <c r="S5" s="436"/>
      <c r="T5" s="436"/>
      <c r="U5" s="436"/>
      <c r="V5" s="437"/>
      <c r="W5" s="437"/>
      <c r="X5" s="436"/>
      <c r="Y5" s="436"/>
      <c r="Z5" s="436"/>
      <c r="AA5" s="436"/>
      <c r="AB5" s="436">
        <f>H5*0.4</f>
        <v>570.32000000000005</v>
      </c>
      <c r="AC5" s="436">
        <f>H5-AB5</f>
        <v>855.4799999999999</v>
      </c>
      <c r="AD5" s="413"/>
      <c r="AE5" s="61"/>
      <c r="AK5" s="59">
        <f t="shared" si="2"/>
        <v>1425.8</v>
      </c>
    </row>
    <row r="6" spans="1:37">
      <c r="A6" s="435">
        <v>4</v>
      </c>
      <c r="B6" s="873" t="s">
        <v>2</v>
      </c>
      <c r="C6" s="874" t="s">
        <v>47</v>
      </c>
      <c r="D6" s="875" t="s">
        <v>19</v>
      </c>
      <c r="E6" s="875" t="s">
        <v>20</v>
      </c>
      <c r="F6" s="413" t="s">
        <v>100</v>
      </c>
      <c r="G6" s="873" t="s">
        <v>90</v>
      </c>
      <c r="H6" s="876">
        <f>7152-H7</f>
        <v>5152</v>
      </c>
      <c r="I6" s="876"/>
      <c r="J6" s="876">
        <v>18897</v>
      </c>
      <c r="K6" s="876"/>
      <c r="L6" s="438">
        <f>[3]L5!E561</f>
        <v>45383</v>
      </c>
      <c r="M6" s="438">
        <f>[3]L5!F561</f>
        <v>45420</v>
      </c>
      <c r="N6" s="877"/>
      <c r="O6" s="877"/>
      <c r="P6" s="878"/>
      <c r="Q6" s="878"/>
      <c r="R6" s="879">
        <f t="shared" si="1"/>
        <v>-13745</v>
      </c>
      <c r="S6" s="436"/>
      <c r="T6" s="436">
        <f>H6*0.6</f>
        <v>3091.2</v>
      </c>
      <c r="U6" s="436">
        <f>H6-T6</f>
        <v>2060.8000000000002</v>
      </c>
      <c r="V6" s="436"/>
      <c r="W6" s="436"/>
      <c r="X6" s="436"/>
      <c r="Y6" s="436"/>
      <c r="Z6" s="436"/>
      <c r="AA6" s="436"/>
      <c r="AB6" s="413"/>
      <c r="AC6" s="413"/>
      <c r="AD6" s="413"/>
      <c r="AE6" s="61"/>
      <c r="AK6" s="59">
        <f t="shared" si="2"/>
        <v>5152</v>
      </c>
    </row>
    <row r="7" spans="1:37">
      <c r="A7" s="435">
        <v>5</v>
      </c>
      <c r="B7" s="873" t="s">
        <v>2</v>
      </c>
      <c r="C7" s="874" t="s">
        <v>47</v>
      </c>
      <c r="D7" s="875" t="s">
        <v>19</v>
      </c>
      <c r="E7" s="875" t="s">
        <v>20</v>
      </c>
      <c r="F7" s="413" t="s">
        <v>101</v>
      </c>
      <c r="G7" s="873" t="s">
        <v>90</v>
      </c>
      <c r="H7" s="876">
        <v>2000</v>
      </c>
      <c r="I7" s="876"/>
      <c r="J7" s="876">
        <v>13326</v>
      </c>
      <c r="K7" s="876"/>
      <c r="L7" s="438">
        <f>[3]L5!E562</f>
        <v>45411</v>
      </c>
      <c r="M7" s="438">
        <f>[3]L5!F562</f>
        <v>45699</v>
      </c>
      <c r="N7" s="877"/>
      <c r="O7" s="877"/>
      <c r="P7" s="878"/>
      <c r="Q7" s="878"/>
      <c r="R7" s="879">
        <f t="shared" si="1"/>
        <v>-11326</v>
      </c>
      <c r="S7" s="436"/>
      <c r="T7" s="436">
        <v>1600</v>
      </c>
      <c r="U7" s="436"/>
      <c r="V7" s="436"/>
      <c r="W7" s="436"/>
      <c r="X7" s="436"/>
      <c r="Y7" s="436"/>
      <c r="Z7" s="436"/>
      <c r="AA7" s="436"/>
      <c r="AB7" s="413"/>
      <c r="AC7" s="413"/>
      <c r="AD7" s="413">
        <v>400</v>
      </c>
      <c r="AE7" s="61"/>
      <c r="AK7" s="59">
        <f t="shared" si="2"/>
        <v>2000</v>
      </c>
    </row>
    <row r="8" spans="1:37">
      <c r="A8" s="435">
        <v>6</v>
      </c>
      <c r="B8" s="873" t="s">
        <v>2</v>
      </c>
      <c r="C8" s="874" t="s">
        <v>47</v>
      </c>
      <c r="D8" s="875" t="s">
        <v>19</v>
      </c>
      <c r="E8" s="875" t="s">
        <v>20</v>
      </c>
      <c r="F8" s="413" t="s">
        <v>102</v>
      </c>
      <c r="G8" s="873" t="s">
        <v>90</v>
      </c>
      <c r="H8" s="876">
        <v>3183</v>
      </c>
      <c r="I8" s="876"/>
      <c r="J8" s="876">
        <v>5937</v>
      </c>
      <c r="K8" s="876"/>
      <c r="L8" s="438">
        <f>[3]L5!E563</f>
        <v>45362</v>
      </c>
      <c r="M8" s="438">
        <f>[3]L5!F563</f>
        <v>45399</v>
      </c>
      <c r="N8" s="877"/>
      <c r="O8" s="877"/>
      <c r="P8" s="878"/>
      <c r="Q8" s="878"/>
      <c r="R8" s="879">
        <f t="shared" si="1"/>
        <v>-2754</v>
      </c>
      <c r="S8" s="436">
        <v>1200</v>
      </c>
      <c r="T8" s="436">
        <f>H8-S8</f>
        <v>1983</v>
      </c>
      <c r="U8" s="436"/>
      <c r="V8" s="436"/>
      <c r="W8" s="436"/>
      <c r="X8" s="436"/>
      <c r="Y8" s="436"/>
      <c r="Z8" s="436"/>
      <c r="AA8" s="436"/>
      <c r="AB8" s="413"/>
      <c r="AC8" s="413"/>
      <c r="AD8" s="413"/>
      <c r="AE8" s="61"/>
      <c r="AK8" s="59">
        <f t="shared" si="2"/>
        <v>3183</v>
      </c>
    </row>
    <row r="9" spans="1:37">
      <c r="A9" s="435">
        <v>7</v>
      </c>
      <c r="B9" s="873" t="s">
        <v>2</v>
      </c>
      <c r="C9" s="874" t="s">
        <v>47</v>
      </c>
      <c r="D9" s="875" t="s">
        <v>19</v>
      </c>
      <c r="E9" s="875" t="s">
        <v>20</v>
      </c>
      <c r="F9" s="413" t="s">
        <v>103</v>
      </c>
      <c r="G9" s="873" t="s">
        <v>90</v>
      </c>
      <c r="H9" s="876">
        <v>24772</v>
      </c>
      <c r="I9" s="876"/>
      <c r="J9" s="876">
        <v>20573</v>
      </c>
      <c r="K9" s="876"/>
      <c r="L9" s="438">
        <f>[3]L5!E564</f>
        <v>45367</v>
      </c>
      <c r="M9" s="438">
        <f>[3]L5!F564</f>
        <v>45506</v>
      </c>
      <c r="N9" s="877"/>
      <c r="O9" s="877"/>
      <c r="P9" s="878"/>
      <c r="Q9" s="878"/>
      <c r="R9" s="879">
        <f t="shared" si="1"/>
        <v>4199</v>
      </c>
      <c r="S9" s="436">
        <f>H9*0.4</f>
        <v>9908.8000000000011</v>
      </c>
      <c r="T9" s="436">
        <f>H9*0.4</f>
        <v>9908.8000000000011</v>
      </c>
      <c r="U9" s="437"/>
      <c r="V9" s="436"/>
      <c r="W9" s="437"/>
      <c r="X9" s="436">
        <f>H9-S9-T9</f>
        <v>4954.3999999999978</v>
      </c>
      <c r="Y9" s="436"/>
      <c r="Z9" s="436"/>
      <c r="AA9" s="436"/>
      <c r="AB9" s="413"/>
      <c r="AC9" s="413"/>
      <c r="AD9" s="413"/>
      <c r="AE9" s="61"/>
      <c r="AK9" s="59">
        <f t="shared" si="2"/>
        <v>24772</v>
      </c>
    </row>
    <row r="10" spans="1:37">
      <c r="A10" s="435">
        <v>8</v>
      </c>
      <c r="B10" s="873" t="s">
        <v>2</v>
      </c>
      <c r="C10" s="874" t="s">
        <v>47</v>
      </c>
      <c r="D10" s="875" t="s">
        <v>19</v>
      </c>
      <c r="E10" s="875" t="s">
        <v>20</v>
      </c>
      <c r="F10" s="413" t="s">
        <v>104</v>
      </c>
      <c r="G10" s="873" t="s">
        <v>90</v>
      </c>
      <c r="H10" s="876">
        <v>1471</v>
      </c>
      <c r="I10" s="876"/>
      <c r="J10" s="876">
        <v>3710</v>
      </c>
      <c r="K10" s="876"/>
      <c r="L10" s="438">
        <f>[3]L5!E565</f>
        <v>45381</v>
      </c>
      <c r="M10" s="438">
        <f>[3]L5!F565</f>
        <v>45421</v>
      </c>
      <c r="N10" s="877"/>
      <c r="O10" s="877"/>
      <c r="P10" s="878"/>
      <c r="Q10" s="878"/>
      <c r="R10" s="879">
        <f t="shared" si="1"/>
        <v>-2239</v>
      </c>
      <c r="S10" s="436"/>
      <c r="T10" s="436">
        <f>H10*0.7</f>
        <v>1029.7</v>
      </c>
      <c r="U10" s="436">
        <f>H10-T10</f>
        <v>441.29999999999995</v>
      </c>
      <c r="V10" s="436"/>
      <c r="W10" s="436"/>
      <c r="X10" s="436"/>
      <c r="Y10" s="436"/>
      <c r="Z10" s="436"/>
      <c r="AA10" s="436"/>
      <c r="AB10" s="413"/>
      <c r="AC10" s="413"/>
      <c r="AD10" s="413"/>
      <c r="AE10" s="61"/>
      <c r="AK10" s="59">
        <f t="shared" si="2"/>
        <v>1471</v>
      </c>
    </row>
    <row r="11" spans="1:37">
      <c r="A11" s="435">
        <v>9</v>
      </c>
      <c r="B11" s="873" t="s">
        <v>2</v>
      </c>
      <c r="C11" s="874" t="s">
        <v>47</v>
      </c>
      <c r="D11" s="875" t="s">
        <v>19</v>
      </c>
      <c r="E11" s="875" t="s">
        <v>20</v>
      </c>
      <c r="F11" s="413" t="s">
        <v>105</v>
      </c>
      <c r="G11" s="873" t="s">
        <v>90</v>
      </c>
      <c r="H11" s="876">
        <f>7237-H12</f>
        <v>3618.5</v>
      </c>
      <c r="I11" s="876"/>
      <c r="J11" s="876">
        <v>18140</v>
      </c>
      <c r="K11" s="876"/>
      <c r="L11" s="438">
        <f>[3]L5!E566</f>
        <v>45422</v>
      </c>
      <c r="M11" s="438">
        <f>[3]L5!F566</f>
        <v>45472</v>
      </c>
      <c r="N11" s="877"/>
      <c r="O11" s="877"/>
      <c r="P11" s="878"/>
      <c r="Q11" s="878"/>
      <c r="R11" s="879">
        <f t="shared" si="1"/>
        <v>-14521.5</v>
      </c>
      <c r="S11" s="436"/>
      <c r="T11" s="436"/>
      <c r="U11" s="436">
        <f>H11*0.7</f>
        <v>2532.9499999999998</v>
      </c>
      <c r="V11" s="436">
        <f>H11-U11</f>
        <v>1085.5500000000002</v>
      </c>
      <c r="W11" s="436"/>
      <c r="X11" s="436"/>
      <c r="Y11" s="436"/>
      <c r="Z11" s="436"/>
      <c r="AA11" s="436"/>
      <c r="AB11" s="413"/>
      <c r="AC11" s="413"/>
      <c r="AD11" s="413"/>
      <c r="AE11" s="61"/>
      <c r="AK11" s="59">
        <f t="shared" si="2"/>
        <v>3618.5</v>
      </c>
    </row>
    <row r="12" spans="1:37">
      <c r="A12" s="435">
        <v>10</v>
      </c>
      <c r="B12" s="873" t="s">
        <v>2</v>
      </c>
      <c r="C12" s="874" t="s">
        <v>47</v>
      </c>
      <c r="D12" s="875" t="s">
        <v>19</v>
      </c>
      <c r="E12" s="875" t="s">
        <v>20</v>
      </c>
      <c r="F12" s="413" t="s">
        <v>106</v>
      </c>
      <c r="G12" s="873" t="s">
        <v>90</v>
      </c>
      <c r="H12" s="876">
        <v>3618.5</v>
      </c>
      <c r="I12" s="876"/>
      <c r="J12" s="876">
        <v>3619</v>
      </c>
      <c r="K12" s="876"/>
      <c r="L12" s="438">
        <f>[3]L5!E567</f>
        <v>45422</v>
      </c>
      <c r="M12" s="438">
        <f>[3]L5!F567</f>
        <v>45501</v>
      </c>
      <c r="N12" s="877"/>
      <c r="O12" s="877"/>
      <c r="P12" s="878"/>
      <c r="Q12" s="878"/>
      <c r="R12" s="879">
        <f t="shared" si="1"/>
        <v>-0.5</v>
      </c>
      <c r="S12" s="436"/>
      <c r="T12" s="436"/>
      <c r="U12" s="436">
        <f>H12*0.5</f>
        <v>1809.25</v>
      </c>
      <c r="V12" s="436">
        <f>H12*0.3</f>
        <v>1085.55</v>
      </c>
      <c r="W12" s="436">
        <f>H12-U12-V12</f>
        <v>723.7</v>
      </c>
      <c r="X12" s="436"/>
      <c r="Y12" s="436"/>
      <c r="Z12" s="436"/>
      <c r="AA12" s="436"/>
      <c r="AB12" s="413"/>
      <c r="AC12" s="413"/>
      <c r="AD12" s="413"/>
      <c r="AE12" s="61"/>
      <c r="AK12" s="59">
        <f t="shared" si="2"/>
        <v>3618.5</v>
      </c>
    </row>
    <row r="13" spans="1:37">
      <c r="A13" s="435">
        <v>11</v>
      </c>
      <c r="B13" s="873" t="s">
        <v>2</v>
      </c>
      <c r="C13" s="874" t="s">
        <v>47</v>
      </c>
      <c r="D13" s="875" t="s">
        <v>19</v>
      </c>
      <c r="E13" s="875" t="s">
        <v>20</v>
      </c>
      <c r="F13" s="413" t="s">
        <v>107</v>
      </c>
      <c r="G13" s="873" t="s">
        <v>90</v>
      </c>
      <c r="H13" s="876">
        <v>427</v>
      </c>
      <c r="I13" s="876"/>
      <c r="J13" s="876">
        <v>1804</v>
      </c>
      <c r="K13" s="876"/>
      <c r="L13" s="438">
        <f>[3]L5!E568</f>
        <v>45553</v>
      </c>
      <c r="M13" s="438">
        <f>[3]L5!F568</f>
        <v>45708</v>
      </c>
      <c r="N13" s="877"/>
      <c r="O13" s="877"/>
      <c r="P13" s="878"/>
      <c r="Q13" s="878"/>
      <c r="R13" s="879">
        <f t="shared" si="1"/>
        <v>-1377</v>
      </c>
      <c r="S13" s="436"/>
      <c r="T13" s="436"/>
      <c r="U13" s="436"/>
      <c r="V13" s="436"/>
      <c r="W13" s="436"/>
      <c r="X13" s="436"/>
      <c r="Y13" s="436">
        <f>H13</f>
        <v>427</v>
      </c>
      <c r="Z13" s="436"/>
      <c r="AA13" s="436"/>
      <c r="AB13" s="413"/>
      <c r="AC13" s="413"/>
      <c r="AD13" s="413"/>
      <c r="AE13" s="61"/>
      <c r="AK13" s="59">
        <f t="shared" si="2"/>
        <v>427</v>
      </c>
    </row>
    <row r="14" spans="1:37">
      <c r="A14" s="435">
        <v>12</v>
      </c>
      <c r="B14" s="873" t="s">
        <v>2</v>
      </c>
      <c r="C14" s="874" t="s">
        <v>47</v>
      </c>
      <c r="D14" s="875" t="s">
        <v>19</v>
      </c>
      <c r="E14" s="875" t="s">
        <v>20</v>
      </c>
      <c r="F14" s="413" t="s">
        <v>108</v>
      </c>
      <c r="G14" s="873" t="s">
        <v>90</v>
      </c>
      <c r="H14" s="880">
        <v>2667</v>
      </c>
      <c r="I14" s="880"/>
      <c r="J14" s="436"/>
      <c r="K14" s="436"/>
      <c r="L14" s="438">
        <f>[3]L5!E569</f>
        <v>45678</v>
      </c>
      <c r="M14" s="438">
        <f>[3]L5!F569</f>
        <v>45747</v>
      </c>
      <c r="N14" s="877"/>
      <c r="O14" s="877"/>
      <c r="P14" s="878"/>
      <c r="Q14" s="878"/>
      <c r="R14" s="879">
        <f t="shared" si="1"/>
        <v>2667</v>
      </c>
      <c r="S14" s="436"/>
      <c r="T14" s="436"/>
      <c r="U14" s="436"/>
      <c r="V14" s="436"/>
      <c r="W14" s="436"/>
      <c r="X14" s="436"/>
      <c r="Y14" s="436"/>
      <c r="Z14" s="436"/>
      <c r="AA14" s="436"/>
      <c r="AB14" s="413"/>
      <c r="AC14" s="413">
        <f>$H$14/3</f>
        <v>889</v>
      </c>
      <c r="AD14" s="413">
        <f>$H$14/3</f>
        <v>889</v>
      </c>
      <c r="AE14" s="61">
        <f>$H$14/3</f>
        <v>889</v>
      </c>
      <c r="AK14" s="59">
        <f t="shared" si="2"/>
        <v>2667</v>
      </c>
    </row>
    <row r="15" spans="1:37">
      <c r="A15" s="435">
        <v>13</v>
      </c>
      <c r="B15" s="873" t="s">
        <v>2</v>
      </c>
      <c r="C15" s="874" t="s">
        <v>47</v>
      </c>
      <c r="D15" s="875" t="s">
        <v>19</v>
      </c>
      <c r="E15" s="875" t="s">
        <v>20</v>
      </c>
      <c r="F15" s="413" t="s">
        <v>109</v>
      </c>
      <c r="G15" s="873" t="s">
        <v>90</v>
      </c>
      <c r="H15" s="876">
        <v>6108.5</v>
      </c>
      <c r="I15" s="876"/>
      <c r="J15" s="876">
        <v>6406</v>
      </c>
      <c r="K15" s="876"/>
      <c r="L15" s="438">
        <f>[3]L5!E570</f>
        <v>45704</v>
      </c>
      <c r="M15" s="438">
        <f>[3]L5!F570</f>
        <v>45739</v>
      </c>
      <c r="N15" s="877"/>
      <c r="O15" s="877"/>
      <c r="P15" s="878"/>
      <c r="Q15" s="878"/>
      <c r="R15" s="879">
        <f t="shared" si="1"/>
        <v>-297.5</v>
      </c>
      <c r="S15" s="436"/>
      <c r="T15" s="436"/>
      <c r="U15" s="436"/>
      <c r="V15" s="436"/>
      <c r="W15" s="436"/>
      <c r="X15" s="436"/>
      <c r="Y15" s="436"/>
      <c r="Z15" s="436"/>
      <c r="AA15" s="436"/>
      <c r="AB15" s="413"/>
      <c r="AC15" s="413"/>
      <c r="AD15" s="414">
        <f>H15*0.6</f>
        <v>3665.1</v>
      </c>
      <c r="AE15" s="425">
        <f>H15-AD15</f>
        <v>2443.4</v>
      </c>
      <c r="AK15" s="59">
        <f t="shared" si="2"/>
        <v>6108.5</v>
      </c>
    </row>
    <row r="16" spans="1:37">
      <c r="A16" s="435">
        <v>14</v>
      </c>
      <c r="B16" s="873" t="s">
        <v>2</v>
      </c>
      <c r="C16" s="874" t="s">
        <v>47</v>
      </c>
      <c r="D16" s="875" t="s">
        <v>19</v>
      </c>
      <c r="E16" s="875" t="s">
        <v>20</v>
      </c>
      <c r="F16" s="413" t="s">
        <v>110</v>
      </c>
      <c r="G16" s="873" t="s">
        <v>90</v>
      </c>
      <c r="H16" s="876">
        <f>4949.5+321</f>
        <v>5270.5</v>
      </c>
      <c r="I16" s="876"/>
      <c r="J16" s="876">
        <v>2652</v>
      </c>
      <c r="K16" s="876"/>
      <c r="L16" s="438">
        <f>[3]L5!E571</f>
        <v>45559</v>
      </c>
      <c r="M16" s="438">
        <f>[3]L5!F571</f>
        <v>45742</v>
      </c>
      <c r="N16" s="877"/>
      <c r="O16" s="877"/>
      <c r="P16" s="878"/>
      <c r="Q16" s="878"/>
      <c r="R16" s="879">
        <f t="shared" si="1"/>
        <v>2618.5</v>
      </c>
      <c r="S16" s="436"/>
      <c r="T16" s="436"/>
      <c r="U16" s="436"/>
      <c r="V16" s="436"/>
      <c r="W16" s="437"/>
      <c r="X16" s="437"/>
      <c r="Y16" s="436">
        <f>$H$16/7</f>
        <v>752.92857142857144</v>
      </c>
      <c r="Z16" s="436">
        <f t="shared" ref="Z16:AE16" si="3">$H$16/7</f>
        <v>752.92857142857144</v>
      </c>
      <c r="AA16" s="436">
        <f t="shared" si="3"/>
        <v>752.92857142857144</v>
      </c>
      <c r="AB16" s="436">
        <f t="shared" si="3"/>
        <v>752.92857142857144</v>
      </c>
      <c r="AC16" s="436">
        <f t="shared" si="3"/>
        <v>752.92857142857144</v>
      </c>
      <c r="AD16" s="436">
        <f t="shared" si="3"/>
        <v>752.92857142857144</v>
      </c>
      <c r="AE16" s="881">
        <f t="shared" si="3"/>
        <v>752.92857142857144</v>
      </c>
      <c r="AK16" s="59">
        <f t="shared" si="2"/>
        <v>5270.5</v>
      </c>
    </row>
    <row r="17" spans="1:37">
      <c r="A17" s="435">
        <v>15</v>
      </c>
      <c r="B17" s="873" t="s">
        <v>2</v>
      </c>
      <c r="C17" s="874" t="s">
        <v>47</v>
      </c>
      <c r="D17" s="875" t="s">
        <v>19</v>
      </c>
      <c r="E17" s="875" t="s">
        <v>20</v>
      </c>
      <c r="F17" s="413" t="s">
        <v>111</v>
      </c>
      <c r="G17" s="873" t="s">
        <v>90</v>
      </c>
      <c r="H17" s="876">
        <v>40445</v>
      </c>
      <c r="I17" s="876"/>
      <c r="J17" s="876">
        <v>9964</v>
      </c>
      <c r="K17" s="876"/>
      <c r="L17" s="438">
        <f>[3]L5!E572</f>
        <v>45659</v>
      </c>
      <c r="M17" s="438">
        <f>[3]L5!F572</f>
        <v>45712</v>
      </c>
      <c r="N17" s="877"/>
      <c r="O17" s="877"/>
      <c r="P17" s="878"/>
      <c r="Q17" s="878"/>
      <c r="R17" s="879">
        <f t="shared" si="1"/>
        <v>30481</v>
      </c>
      <c r="S17" s="436"/>
      <c r="T17" s="436"/>
      <c r="U17" s="436"/>
      <c r="V17" s="436"/>
      <c r="W17" s="436"/>
      <c r="X17" s="436"/>
      <c r="Y17" s="436"/>
      <c r="Z17" s="437"/>
      <c r="AA17" s="437"/>
      <c r="AB17" s="413"/>
      <c r="AC17" s="436">
        <f>H17*0.4</f>
        <v>16178</v>
      </c>
      <c r="AD17" s="436">
        <f>H17-AC17</f>
        <v>24267</v>
      </c>
      <c r="AE17" s="61"/>
      <c r="AK17" s="59">
        <f t="shared" si="2"/>
        <v>40445</v>
      </c>
    </row>
    <row r="18" spans="1:37">
      <c r="A18" s="435">
        <v>16</v>
      </c>
      <c r="B18" s="873" t="s">
        <v>2</v>
      </c>
      <c r="C18" s="874" t="s">
        <v>47</v>
      </c>
      <c r="D18" s="875" t="s">
        <v>19</v>
      </c>
      <c r="E18" s="875" t="s">
        <v>20</v>
      </c>
      <c r="F18" s="413" t="s">
        <v>112</v>
      </c>
      <c r="G18" s="873" t="s">
        <v>90</v>
      </c>
      <c r="H18" s="436">
        <f>8327+834.6</f>
        <v>9161.6</v>
      </c>
      <c r="I18" s="436"/>
      <c r="J18" s="436"/>
      <c r="K18" s="436"/>
      <c r="L18" s="438">
        <f>[3]L5!E573</f>
        <v>45678</v>
      </c>
      <c r="M18" s="438">
        <f>[3]L5!F573</f>
        <v>45747</v>
      </c>
      <c r="N18" s="877"/>
      <c r="O18" s="877"/>
      <c r="P18" s="878"/>
      <c r="Q18" s="878"/>
      <c r="R18" s="879">
        <f t="shared" si="1"/>
        <v>9161.6</v>
      </c>
      <c r="S18" s="436"/>
      <c r="T18" s="436"/>
      <c r="U18" s="436"/>
      <c r="V18" s="436"/>
      <c r="W18" s="436"/>
      <c r="X18" s="436"/>
      <c r="Y18" s="436"/>
      <c r="Z18" s="436"/>
      <c r="AA18" s="436"/>
      <c r="AB18" s="413"/>
      <c r="AC18" s="436">
        <f>$H$18/3</f>
        <v>3053.8666666666668</v>
      </c>
      <c r="AD18" s="436">
        <f>$H$18/3</f>
        <v>3053.8666666666668</v>
      </c>
      <c r="AE18" s="881">
        <f>$H$18/3</f>
        <v>3053.8666666666668</v>
      </c>
      <c r="AK18" s="59">
        <f t="shared" si="2"/>
        <v>9161.6</v>
      </c>
    </row>
    <row r="19" spans="1:37">
      <c r="A19" s="435">
        <v>17</v>
      </c>
      <c r="B19" s="873" t="s">
        <v>2</v>
      </c>
      <c r="C19" s="874" t="s">
        <v>47</v>
      </c>
      <c r="D19" s="875" t="s">
        <v>19</v>
      </c>
      <c r="E19" s="875" t="s">
        <v>20</v>
      </c>
      <c r="F19" s="413" t="s">
        <v>113</v>
      </c>
      <c r="G19" s="873" t="s">
        <v>90</v>
      </c>
      <c r="H19" s="876">
        <v>2252</v>
      </c>
      <c r="I19" s="876"/>
      <c r="J19" s="876">
        <v>5662</v>
      </c>
      <c r="K19" s="876"/>
      <c r="L19" s="438">
        <f>[3]L5!E574</f>
        <v>45394</v>
      </c>
      <c r="M19" s="438">
        <f>[3]L5!F574</f>
        <v>45382</v>
      </c>
      <c r="N19" s="877"/>
      <c r="O19" s="877"/>
      <c r="P19" s="878"/>
      <c r="Q19" s="878"/>
      <c r="R19" s="879">
        <f t="shared" si="1"/>
        <v>-3410</v>
      </c>
      <c r="S19" s="436">
        <f>H19*0.6</f>
        <v>1351.2</v>
      </c>
      <c r="T19" s="436">
        <f>H19-S19</f>
        <v>900.8</v>
      </c>
      <c r="U19" s="437"/>
      <c r="V19" s="437"/>
      <c r="W19" s="436"/>
      <c r="X19" s="436"/>
      <c r="Y19" s="436"/>
      <c r="Z19" s="436"/>
      <c r="AA19" s="436"/>
      <c r="AB19" s="413"/>
      <c r="AC19" s="413"/>
      <c r="AD19" s="413"/>
      <c r="AE19" s="61"/>
      <c r="AK19" s="59">
        <f>SUM(S19:AE19)</f>
        <v>2252</v>
      </c>
    </row>
    <row r="20" spans="1:37">
      <c r="A20" s="435">
        <v>18</v>
      </c>
      <c r="B20" s="873" t="s">
        <v>2</v>
      </c>
      <c r="C20" s="874" t="s">
        <v>47</v>
      </c>
      <c r="D20" s="875" t="s">
        <v>19</v>
      </c>
      <c r="E20" s="875" t="s">
        <v>20</v>
      </c>
      <c r="F20" s="882" t="s">
        <v>114</v>
      </c>
      <c r="G20" s="873" t="s">
        <v>90</v>
      </c>
      <c r="H20" s="876">
        <v>617</v>
      </c>
      <c r="I20" s="876"/>
      <c r="J20" s="876">
        <f>184684-181277</f>
        <v>3407</v>
      </c>
      <c r="K20" s="876"/>
      <c r="L20" s="438">
        <f>[3]L5!E575</f>
        <v>45649</v>
      </c>
      <c r="M20" s="438">
        <f>[3]L5!F575</f>
        <v>45671</v>
      </c>
      <c r="N20" s="877"/>
      <c r="O20" s="877"/>
      <c r="P20" s="878"/>
      <c r="Q20" s="878"/>
      <c r="R20" s="879">
        <f t="shared" si="1"/>
        <v>-2790</v>
      </c>
      <c r="S20" s="436"/>
      <c r="T20" s="436"/>
      <c r="U20" s="436"/>
      <c r="V20" s="436"/>
      <c r="W20" s="436"/>
      <c r="X20" s="436"/>
      <c r="Y20" s="436"/>
      <c r="Z20" s="436"/>
      <c r="AA20" s="436"/>
      <c r="AB20" s="414">
        <f>H20</f>
        <v>617</v>
      </c>
      <c r="AC20" s="413"/>
      <c r="AD20" s="413"/>
      <c r="AE20" s="61"/>
      <c r="AK20" s="59">
        <f t="shared" si="2"/>
        <v>617</v>
      </c>
    </row>
    <row r="21" spans="1:37">
      <c r="A21" s="435">
        <v>19</v>
      </c>
      <c r="B21" s="873" t="s">
        <v>2</v>
      </c>
      <c r="C21" s="874" t="s">
        <v>47</v>
      </c>
      <c r="D21" s="875" t="s">
        <v>19</v>
      </c>
      <c r="E21" s="875" t="s">
        <v>20</v>
      </c>
      <c r="F21" s="413" t="s">
        <v>115</v>
      </c>
      <c r="G21" s="873" t="s">
        <v>90</v>
      </c>
      <c r="H21" s="436">
        <v>472</v>
      </c>
      <c r="I21" s="436"/>
      <c r="J21" s="436"/>
      <c r="K21" s="436"/>
      <c r="L21" s="438">
        <f>[3]L5!E576</f>
        <v>45678</v>
      </c>
      <c r="M21" s="438">
        <f>[3]L5!F576</f>
        <v>45692</v>
      </c>
      <c r="N21" s="877"/>
      <c r="O21" s="877"/>
      <c r="P21" s="878"/>
      <c r="Q21" s="878"/>
      <c r="R21" s="879">
        <f t="shared" si="1"/>
        <v>472</v>
      </c>
      <c r="S21" s="436"/>
      <c r="T21" s="436"/>
      <c r="U21" s="436"/>
      <c r="V21" s="436"/>
      <c r="W21" s="436"/>
      <c r="X21" s="436"/>
      <c r="Y21" s="436"/>
      <c r="Z21" s="436"/>
      <c r="AA21" s="436"/>
      <c r="AB21" s="413"/>
      <c r="AC21" s="414">
        <f>H21</f>
        <v>472</v>
      </c>
      <c r="AD21" s="413"/>
      <c r="AE21" s="61"/>
      <c r="AK21" s="59">
        <f t="shared" si="2"/>
        <v>472</v>
      </c>
    </row>
    <row r="22" spans="1:37">
      <c r="A22" s="435">
        <v>20</v>
      </c>
      <c r="B22" s="873" t="s">
        <v>2</v>
      </c>
      <c r="C22" s="874" t="s">
        <v>47</v>
      </c>
      <c r="D22" s="875" t="s">
        <v>19</v>
      </c>
      <c r="E22" s="875" t="s">
        <v>20</v>
      </c>
      <c r="F22" s="413" t="s">
        <v>116</v>
      </c>
      <c r="G22" s="873" t="s">
        <v>90</v>
      </c>
      <c r="H22" s="436">
        <v>474</v>
      </c>
      <c r="I22" s="436"/>
      <c r="J22" s="436"/>
      <c r="K22" s="436"/>
      <c r="L22" s="438">
        <f>[3]L5!E577</f>
        <v>45576</v>
      </c>
      <c r="M22" s="438">
        <f>[3]L5!F577</f>
        <v>45585</v>
      </c>
      <c r="N22" s="877"/>
      <c r="O22" s="877"/>
      <c r="P22" s="878"/>
      <c r="Q22" s="878"/>
      <c r="R22" s="879">
        <f t="shared" si="1"/>
        <v>474</v>
      </c>
      <c r="S22" s="436"/>
      <c r="T22" s="436"/>
      <c r="U22" s="436"/>
      <c r="V22" s="436"/>
      <c r="W22" s="436"/>
      <c r="X22" s="436"/>
      <c r="Y22" s="436"/>
      <c r="Z22" s="436">
        <f>H22</f>
        <v>474</v>
      </c>
      <c r="AA22" s="436"/>
      <c r="AB22" s="413"/>
      <c r="AC22" s="413"/>
      <c r="AD22" s="413"/>
      <c r="AE22" s="61"/>
      <c r="AK22" s="59">
        <f t="shared" si="2"/>
        <v>474</v>
      </c>
    </row>
    <row r="23" spans="1:37">
      <c r="A23" s="435">
        <v>21</v>
      </c>
      <c r="B23" s="873" t="s">
        <v>2</v>
      </c>
      <c r="C23" s="874" t="s">
        <v>47</v>
      </c>
      <c r="D23" s="875" t="s">
        <v>19</v>
      </c>
      <c r="E23" s="875" t="s">
        <v>20</v>
      </c>
      <c r="F23" s="413" t="s">
        <v>229</v>
      </c>
      <c r="G23" s="873" t="s">
        <v>90</v>
      </c>
      <c r="H23" s="876">
        <v>1869</v>
      </c>
      <c r="I23" s="876"/>
      <c r="J23" s="436">
        <v>9024</v>
      </c>
      <c r="K23" s="436"/>
      <c r="L23" s="438">
        <f>[3]L5!E578</f>
        <v>45572</v>
      </c>
      <c r="M23" s="438">
        <f>[3]L5!F578</f>
        <v>45607</v>
      </c>
      <c r="N23" s="877"/>
      <c r="O23" s="877"/>
      <c r="P23" s="878"/>
      <c r="Q23" s="878"/>
      <c r="R23" s="879">
        <f t="shared" si="1"/>
        <v>-7155</v>
      </c>
      <c r="S23" s="436"/>
      <c r="T23" s="436"/>
      <c r="U23" s="436"/>
      <c r="V23" s="436"/>
      <c r="W23" s="436"/>
      <c r="X23" s="436"/>
      <c r="Y23" s="436"/>
      <c r="Z23" s="436">
        <f>H23</f>
        <v>1869</v>
      </c>
      <c r="AA23" s="436"/>
      <c r="AB23" s="413"/>
      <c r="AC23" s="413"/>
      <c r="AD23" s="413"/>
      <c r="AE23" s="61"/>
      <c r="AK23" s="59">
        <f t="shared" si="2"/>
        <v>1869</v>
      </c>
    </row>
    <row r="24" spans="1:37">
      <c r="A24" s="435">
        <v>22</v>
      </c>
      <c r="B24" s="873" t="s">
        <v>2</v>
      </c>
      <c r="C24" s="874" t="s">
        <v>47</v>
      </c>
      <c r="D24" s="875" t="s">
        <v>19</v>
      </c>
      <c r="E24" s="875" t="s">
        <v>20</v>
      </c>
      <c r="F24" s="413" t="s">
        <v>118</v>
      </c>
      <c r="G24" s="873" t="s">
        <v>90</v>
      </c>
      <c r="H24" s="436">
        <v>378</v>
      </c>
      <c r="I24" s="436"/>
      <c r="J24" s="436"/>
      <c r="K24" s="436"/>
      <c r="L24" s="438">
        <f>[3]L5!E579</f>
        <v>45707</v>
      </c>
      <c r="M24" s="438">
        <f>[3]L5!F579</f>
        <v>45728</v>
      </c>
      <c r="N24" s="877"/>
      <c r="O24" s="877"/>
      <c r="P24" s="878"/>
      <c r="Q24" s="878"/>
      <c r="R24" s="879">
        <f t="shared" si="1"/>
        <v>378</v>
      </c>
      <c r="S24" s="436"/>
      <c r="T24" s="436"/>
      <c r="U24" s="436"/>
      <c r="V24" s="436"/>
      <c r="W24" s="436"/>
      <c r="X24" s="436"/>
      <c r="Y24" s="436"/>
      <c r="Z24" s="436"/>
      <c r="AA24" s="436"/>
      <c r="AB24" s="413"/>
      <c r="AC24" s="413"/>
      <c r="AD24" s="413"/>
      <c r="AE24" s="425">
        <f>H24</f>
        <v>378</v>
      </c>
      <c r="AK24" s="59">
        <f t="shared" si="2"/>
        <v>378</v>
      </c>
    </row>
    <row r="25" spans="1:37">
      <c r="A25" s="435">
        <v>23</v>
      </c>
      <c r="B25" s="873" t="s">
        <v>2</v>
      </c>
      <c r="C25" s="874" t="s">
        <v>47</v>
      </c>
      <c r="D25" s="875" t="s">
        <v>19</v>
      </c>
      <c r="E25" s="875" t="s">
        <v>20</v>
      </c>
      <c r="F25" s="413" t="s">
        <v>119</v>
      </c>
      <c r="G25" s="873" t="s">
        <v>90</v>
      </c>
      <c r="H25" s="436">
        <v>387</v>
      </c>
      <c r="I25" s="436"/>
      <c r="J25" s="436"/>
      <c r="K25" s="436"/>
      <c r="L25" s="438">
        <f>[3]L5!E580</f>
        <v>45678</v>
      </c>
      <c r="M25" s="438">
        <f>[3]L5!F580</f>
        <v>45687</v>
      </c>
      <c r="N25" s="877"/>
      <c r="O25" s="877"/>
      <c r="P25" s="878"/>
      <c r="Q25" s="878"/>
      <c r="R25" s="879">
        <f t="shared" si="1"/>
        <v>387</v>
      </c>
      <c r="S25" s="436"/>
      <c r="T25" s="436"/>
      <c r="U25" s="436"/>
      <c r="V25" s="436"/>
      <c r="W25" s="436"/>
      <c r="X25" s="436"/>
      <c r="Y25" s="436"/>
      <c r="Z25" s="436"/>
      <c r="AA25" s="436"/>
      <c r="AB25" s="413"/>
      <c r="AC25" s="414">
        <f>H25</f>
        <v>387</v>
      </c>
      <c r="AD25" s="413"/>
      <c r="AE25" s="61"/>
      <c r="AK25" s="59">
        <f t="shared" si="2"/>
        <v>387</v>
      </c>
    </row>
    <row r="26" spans="1:37">
      <c r="A26" s="435">
        <v>24</v>
      </c>
      <c r="B26" s="873" t="s">
        <v>2</v>
      </c>
      <c r="C26" s="874" t="s">
        <v>47</v>
      </c>
      <c r="D26" s="875" t="s">
        <v>19</v>
      </c>
      <c r="E26" s="875" t="s">
        <v>20</v>
      </c>
      <c r="F26" s="413" t="s">
        <v>120</v>
      </c>
      <c r="G26" s="873" t="s">
        <v>90</v>
      </c>
      <c r="H26" s="876">
        <v>308</v>
      </c>
      <c r="I26" s="876"/>
      <c r="J26" s="436">
        <v>610</v>
      </c>
      <c r="K26" s="436"/>
      <c r="L26" s="438">
        <f>[3]L5!E581</f>
        <v>45706</v>
      </c>
      <c r="M26" s="438">
        <f>[3]L5!F581</f>
        <v>45716</v>
      </c>
      <c r="N26" s="877"/>
      <c r="O26" s="877"/>
      <c r="P26" s="878"/>
      <c r="Q26" s="878"/>
      <c r="R26" s="879">
        <f t="shared" si="1"/>
        <v>-302</v>
      </c>
      <c r="S26" s="436"/>
      <c r="T26" s="436"/>
      <c r="U26" s="436"/>
      <c r="V26" s="436"/>
      <c r="W26" s="436"/>
      <c r="X26" s="436"/>
      <c r="Y26" s="436"/>
      <c r="Z26" s="436"/>
      <c r="AA26" s="436"/>
      <c r="AB26" s="413"/>
      <c r="AC26" s="413"/>
      <c r="AD26" s="414">
        <f>H26</f>
        <v>308</v>
      </c>
      <c r="AE26" s="61"/>
      <c r="AK26" s="59">
        <f t="shared" si="2"/>
        <v>308</v>
      </c>
    </row>
    <row r="27" spans="1:37">
      <c r="A27" s="435">
        <v>25</v>
      </c>
      <c r="B27" s="873" t="s">
        <v>2</v>
      </c>
      <c r="C27" s="874" t="s">
        <v>47</v>
      </c>
      <c r="D27" s="875" t="s">
        <v>19</v>
      </c>
      <c r="E27" s="875" t="s">
        <v>20</v>
      </c>
      <c r="F27" s="413" t="s">
        <v>121</v>
      </c>
      <c r="G27" s="873" t="s">
        <v>90</v>
      </c>
      <c r="H27" s="436">
        <v>308</v>
      </c>
      <c r="I27" s="436"/>
      <c r="J27" s="436"/>
      <c r="K27" s="436"/>
      <c r="L27" s="438">
        <f>[3]L5!E582</f>
        <v>45702</v>
      </c>
      <c r="M27" s="438">
        <f>[3]L5!F582</f>
        <v>45711</v>
      </c>
      <c r="N27" s="877"/>
      <c r="O27" s="877"/>
      <c r="P27" s="878"/>
      <c r="Q27" s="878"/>
      <c r="R27" s="879">
        <f t="shared" si="1"/>
        <v>308</v>
      </c>
      <c r="S27" s="436"/>
      <c r="T27" s="436"/>
      <c r="U27" s="436"/>
      <c r="V27" s="436"/>
      <c r="W27" s="436"/>
      <c r="X27" s="436"/>
      <c r="Y27" s="436"/>
      <c r="Z27" s="436"/>
      <c r="AA27" s="436"/>
      <c r="AB27" s="413"/>
      <c r="AC27" s="413"/>
      <c r="AD27" s="414">
        <f>H27</f>
        <v>308</v>
      </c>
      <c r="AE27" s="61"/>
      <c r="AK27" s="59">
        <f t="shared" si="2"/>
        <v>308</v>
      </c>
    </row>
    <row r="28" spans="1:37">
      <c r="A28" s="435">
        <v>26</v>
      </c>
      <c r="B28" s="873" t="s">
        <v>2</v>
      </c>
      <c r="C28" s="874" t="s">
        <v>47</v>
      </c>
      <c r="D28" s="875" t="s">
        <v>19</v>
      </c>
      <c r="E28" s="875" t="s">
        <v>20</v>
      </c>
      <c r="F28" s="413" t="s">
        <v>122</v>
      </c>
      <c r="G28" s="873" t="s">
        <v>90</v>
      </c>
      <c r="H28" s="436">
        <v>196</v>
      </c>
      <c r="I28" s="436"/>
      <c r="J28" s="436"/>
      <c r="K28" s="436"/>
      <c r="L28" s="438"/>
      <c r="M28" s="438"/>
      <c r="N28" s="877"/>
      <c r="O28" s="877"/>
      <c r="P28" s="878"/>
      <c r="Q28" s="878"/>
      <c r="R28" s="879">
        <f t="shared" si="1"/>
        <v>196</v>
      </c>
      <c r="S28" s="436"/>
      <c r="T28" s="436"/>
      <c r="U28" s="436"/>
      <c r="V28" s="436"/>
      <c r="W28" s="436"/>
      <c r="X28" s="436">
        <f>H28</f>
        <v>196</v>
      </c>
      <c r="Y28" s="436"/>
      <c r="Z28" s="436"/>
      <c r="AA28" s="436"/>
      <c r="AB28" s="413"/>
      <c r="AC28" s="413"/>
      <c r="AD28" s="413"/>
      <c r="AE28" s="61"/>
      <c r="AK28" s="59">
        <f t="shared" si="2"/>
        <v>196</v>
      </c>
    </row>
    <row r="29" spans="1:37">
      <c r="A29" s="435">
        <v>27</v>
      </c>
      <c r="B29" s="873" t="s">
        <v>2</v>
      </c>
      <c r="C29" s="874" t="s">
        <v>47</v>
      </c>
      <c r="D29" s="875" t="s">
        <v>19</v>
      </c>
      <c r="E29" s="875" t="s">
        <v>20</v>
      </c>
      <c r="F29" s="413" t="s">
        <v>133</v>
      </c>
      <c r="G29" s="873" t="s">
        <v>90</v>
      </c>
      <c r="H29" s="436">
        <v>185</v>
      </c>
      <c r="I29" s="436"/>
      <c r="J29" s="436"/>
      <c r="K29" s="436"/>
      <c r="L29" s="413"/>
      <c r="M29" s="413"/>
      <c r="N29" s="508"/>
      <c r="O29" s="508"/>
      <c r="P29" s="883"/>
      <c r="Q29" s="883"/>
      <c r="R29" s="879">
        <f t="shared" si="1"/>
        <v>185</v>
      </c>
      <c r="S29" s="436"/>
      <c r="T29" s="436"/>
      <c r="U29" s="436"/>
      <c r="V29" s="436"/>
      <c r="W29" s="436"/>
      <c r="X29" s="436"/>
      <c r="Y29" s="436"/>
      <c r="Z29" s="436"/>
      <c r="AA29" s="436">
        <f>H29</f>
        <v>185</v>
      </c>
      <c r="AB29" s="413"/>
      <c r="AC29" s="413"/>
      <c r="AD29" s="413"/>
      <c r="AE29" s="61"/>
      <c r="AK29" s="59">
        <f t="shared" si="2"/>
        <v>185</v>
      </c>
    </row>
    <row r="30" spans="1:37">
      <c r="A30" s="435">
        <v>28</v>
      </c>
      <c r="B30" s="873" t="s">
        <v>2</v>
      </c>
      <c r="C30" s="874" t="s">
        <v>47</v>
      </c>
      <c r="D30" s="875" t="s">
        <v>19</v>
      </c>
      <c r="E30" s="875" t="s">
        <v>20</v>
      </c>
      <c r="F30" s="413" t="s">
        <v>230</v>
      </c>
      <c r="G30" s="873" t="s">
        <v>90</v>
      </c>
      <c r="H30" s="436">
        <v>4612.5</v>
      </c>
      <c r="I30" s="436"/>
      <c r="J30" s="436"/>
      <c r="K30" s="436"/>
      <c r="L30" s="413"/>
      <c r="M30" s="413"/>
      <c r="N30" s="508"/>
      <c r="O30" s="508"/>
      <c r="P30" s="883"/>
      <c r="Q30" s="883"/>
      <c r="R30" s="879">
        <f t="shared" si="1"/>
        <v>4612.5</v>
      </c>
      <c r="S30" s="436"/>
      <c r="T30" s="436"/>
      <c r="U30" s="436"/>
      <c r="V30" s="436"/>
      <c r="W30" s="436"/>
      <c r="X30" s="436"/>
      <c r="Y30" s="436"/>
      <c r="Z30" s="436"/>
      <c r="AA30" s="436">
        <f>H30</f>
        <v>4612.5</v>
      </c>
      <c r="AB30" s="413"/>
      <c r="AC30" s="413"/>
      <c r="AD30" s="413"/>
      <c r="AE30" s="61"/>
      <c r="AK30" s="59">
        <f t="shared" si="2"/>
        <v>4612.5</v>
      </c>
    </row>
    <row r="31" spans="1:37">
      <c r="A31" s="435">
        <v>29</v>
      </c>
      <c r="B31" s="873" t="s">
        <v>2</v>
      </c>
      <c r="C31" s="874" t="s">
        <v>47</v>
      </c>
      <c r="D31" s="875" t="s">
        <v>19</v>
      </c>
      <c r="E31" s="875" t="s">
        <v>20</v>
      </c>
      <c r="F31" s="413" t="s">
        <v>231</v>
      </c>
      <c r="G31" s="873" t="s">
        <v>90</v>
      </c>
      <c r="H31" s="436">
        <v>3384</v>
      </c>
      <c r="I31" s="436"/>
      <c r="J31" s="436"/>
      <c r="K31" s="436"/>
      <c r="L31" s="413"/>
      <c r="M31" s="413"/>
      <c r="N31" s="508"/>
      <c r="O31" s="508"/>
      <c r="P31" s="883"/>
      <c r="Q31" s="883"/>
      <c r="R31" s="879">
        <f t="shared" si="1"/>
        <v>3384</v>
      </c>
      <c r="S31" s="436"/>
      <c r="T31" s="436"/>
      <c r="U31" s="436"/>
      <c r="V31" s="436"/>
      <c r="W31" s="436"/>
      <c r="X31" s="436"/>
      <c r="Y31" s="436">
        <f>H31</f>
        <v>3384</v>
      </c>
      <c r="Z31" s="436"/>
      <c r="AA31" s="436"/>
      <c r="AB31" s="413"/>
      <c r="AC31" s="413"/>
      <c r="AD31" s="413"/>
      <c r="AE31" s="61"/>
      <c r="AK31" s="59">
        <f t="shared" si="2"/>
        <v>3384</v>
      </c>
    </row>
    <row r="32" spans="1:37">
      <c r="A32" s="435">
        <v>30</v>
      </c>
      <c r="B32" s="873" t="s">
        <v>2</v>
      </c>
      <c r="C32" s="874" t="s">
        <v>47</v>
      </c>
      <c r="D32" s="875" t="s">
        <v>19</v>
      </c>
      <c r="E32" s="875" t="s">
        <v>20</v>
      </c>
      <c r="F32" s="413" t="s">
        <v>232</v>
      </c>
      <c r="G32" s="873" t="s">
        <v>90</v>
      </c>
      <c r="H32" s="436">
        <v>477</v>
      </c>
      <c r="I32" s="436"/>
      <c r="J32" s="436"/>
      <c r="K32" s="436"/>
      <c r="L32" s="413"/>
      <c r="M32" s="413"/>
      <c r="N32" s="508"/>
      <c r="O32" s="508"/>
      <c r="P32" s="883"/>
      <c r="Q32" s="883"/>
      <c r="R32" s="879">
        <f t="shared" si="1"/>
        <v>477</v>
      </c>
      <c r="S32" s="436"/>
      <c r="T32" s="436"/>
      <c r="U32" s="436"/>
      <c r="V32" s="436"/>
      <c r="W32" s="436"/>
      <c r="X32" s="436"/>
      <c r="Y32" s="436">
        <f>H32</f>
        <v>477</v>
      </c>
      <c r="Z32" s="436"/>
      <c r="AA32" s="436"/>
      <c r="AB32" s="413"/>
      <c r="AC32" s="413"/>
      <c r="AD32" s="413"/>
      <c r="AE32" s="61"/>
      <c r="AK32" s="59">
        <f t="shared" si="2"/>
        <v>477</v>
      </c>
    </row>
    <row r="33" spans="1:38">
      <c r="A33" s="435">
        <v>31</v>
      </c>
      <c r="B33" s="873" t="s">
        <v>2</v>
      </c>
      <c r="C33" s="874" t="s">
        <v>47</v>
      </c>
      <c r="D33" s="875" t="s">
        <v>19</v>
      </c>
      <c r="E33" s="875" t="s">
        <v>20</v>
      </c>
      <c r="F33" s="413" t="s">
        <v>233</v>
      </c>
      <c r="G33" s="873" t="s">
        <v>90</v>
      </c>
      <c r="H33" s="436">
        <v>2514</v>
      </c>
      <c r="I33" s="436"/>
      <c r="J33" s="436"/>
      <c r="K33" s="436"/>
      <c r="L33" s="413"/>
      <c r="M33" s="413"/>
      <c r="N33" s="508"/>
      <c r="O33" s="508"/>
      <c r="P33" s="883"/>
      <c r="Q33" s="883"/>
      <c r="R33" s="879">
        <f t="shared" si="1"/>
        <v>2514</v>
      </c>
      <c r="S33" s="436"/>
      <c r="T33" s="436"/>
      <c r="U33" s="436"/>
      <c r="V33" s="436"/>
      <c r="W33" s="436"/>
      <c r="X33" s="436"/>
      <c r="Y33" s="437"/>
      <c r="Z33" s="436">
        <f>H33</f>
        <v>2514</v>
      </c>
      <c r="AA33" s="436"/>
      <c r="AB33" s="413"/>
      <c r="AC33" s="413"/>
      <c r="AD33" s="413"/>
      <c r="AE33" s="61"/>
      <c r="AK33" s="59">
        <f t="shared" si="2"/>
        <v>2514</v>
      </c>
    </row>
    <row r="34" spans="1:38">
      <c r="A34" s="435">
        <v>32</v>
      </c>
      <c r="B34" s="873" t="s">
        <v>2</v>
      </c>
      <c r="C34" s="874" t="s">
        <v>47</v>
      </c>
      <c r="D34" s="875" t="s">
        <v>19</v>
      </c>
      <c r="E34" s="875" t="s">
        <v>20</v>
      </c>
      <c r="F34" s="413" t="s">
        <v>234</v>
      </c>
      <c r="G34" s="873" t="s">
        <v>90</v>
      </c>
      <c r="H34" s="436">
        <v>1076</v>
      </c>
      <c r="I34" s="436"/>
      <c r="J34" s="436"/>
      <c r="K34" s="436"/>
      <c r="L34" s="413"/>
      <c r="M34" s="413"/>
      <c r="N34" s="508"/>
      <c r="O34" s="508"/>
      <c r="P34" s="883"/>
      <c r="Q34" s="883"/>
      <c r="R34" s="879">
        <f t="shared" si="1"/>
        <v>1076</v>
      </c>
      <c r="S34" s="436"/>
      <c r="T34" s="436"/>
      <c r="U34" s="436"/>
      <c r="V34" s="436"/>
      <c r="W34" s="436"/>
      <c r="X34" s="436"/>
      <c r="Y34" s="437"/>
      <c r="Z34" s="436">
        <f>H34</f>
        <v>1076</v>
      </c>
      <c r="AA34" s="436"/>
      <c r="AB34" s="413"/>
      <c r="AC34" s="413"/>
      <c r="AD34" s="413"/>
      <c r="AE34" s="61"/>
      <c r="AK34" s="59">
        <f t="shared" si="2"/>
        <v>1076</v>
      </c>
    </row>
    <row r="35" spans="1:38">
      <c r="A35" s="435">
        <v>33</v>
      </c>
      <c r="B35" s="873" t="s">
        <v>2</v>
      </c>
      <c r="C35" s="874" t="s">
        <v>47</v>
      </c>
      <c r="D35" s="875" t="s">
        <v>19</v>
      </c>
      <c r="E35" s="875" t="s">
        <v>20</v>
      </c>
      <c r="F35" s="413" t="s">
        <v>138</v>
      </c>
      <c r="G35" s="873" t="s">
        <v>90</v>
      </c>
      <c r="H35" s="436">
        <v>928</v>
      </c>
      <c r="I35" s="436"/>
      <c r="J35" s="436"/>
      <c r="K35" s="436"/>
      <c r="L35" s="413"/>
      <c r="M35" s="413"/>
      <c r="N35" s="508"/>
      <c r="O35" s="508"/>
      <c r="P35" s="883"/>
      <c r="Q35" s="883"/>
      <c r="R35" s="879">
        <f t="shared" si="1"/>
        <v>928</v>
      </c>
      <c r="S35" s="436"/>
      <c r="T35" s="436"/>
      <c r="U35" s="436"/>
      <c r="V35" s="436"/>
      <c r="W35" s="436"/>
      <c r="X35" s="436"/>
      <c r="Y35" s="437"/>
      <c r="Z35" s="436"/>
      <c r="AA35" s="436"/>
      <c r="AB35" s="436">
        <f>H35</f>
        <v>928</v>
      </c>
      <c r="AC35" s="413"/>
      <c r="AD35" s="413"/>
      <c r="AE35" s="61"/>
      <c r="AK35" s="59">
        <f t="shared" si="2"/>
        <v>928</v>
      </c>
    </row>
    <row r="36" spans="1:38">
      <c r="A36" s="435">
        <v>34</v>
      </c>
      <c r="B36" s="873" t="s">
        <v>2</v>
      </c>
      <c r="C36" s="874" t="s">
        <v>47</v>
      </c>
      <c r="D36" s="875" t="s">
        <v>19</v>
      </c>
      <c r="E36" s="875" t="s">
        <v>20</v>
      </c>
      <c r="F36" s="413" t="s">
        <v>130</v>
      </c>
      <c r="G36" s="873" t="s">
        <v>90</v>
      </c>
      <c r="H36" s="436">
        <v>230</v>
      </c>
      <c r="I36" s="436"/>
      <c r="J36" s="436"/>
      <c r="K36" s="436"/>
      <c r="L36" s="413"/>
      <c r="M36" s="413"/>
      <c r="N36" s="508"/>
      <c r="O36" s="508"/>
      <c r="P36" s="883"/>
      <c r="Q36" s="883"/>
      <c r="R36" s="879">
        <f t="shared" si="1"/>
        <v>230</v>
      </c>
      <c r="S36" s="436"/>
      <c r="T36" s="436"/>
      <c r="U36" s="436"/>
      <c r="V36" s="436"/>
      <c r="W36" s="436"/>
      <c r="X36" s="436"/>
      <c r="Y36" s="436"/>
      <c r="Z36" s="436"/>
      <c r="AA36" s="437"/>
      <c r="AB36" s="436">
        <f>H36</f>
        <v>230</v>
      </c>
      <c r="AC36" s="413"/>
      <c r="AD36" s="413"/>
      <c r="AE36" s="61"/>
      <c r="AK36" s="59">
        <f t="shared" si="2"/>
        <v>230</v>
      </c>
    </row>
    <row r="37" spans="1:38">
      <c r="A37" s="435">
        <v>35</v>
      </c>
      <c r="B37" s="873" t="s">
        <v>2</v>
      </c>
      <c r="C37" s="874" t="s">
        <v>47</v>
      </c>
      <c r="D37" s="875" t="s">
        <v>19</v>
      </c>
      <c r="E37" s="875" t="s">
        <v>20</v>
      </c>
      <c r="F37" s="413" t="s">
        <v>129</v>
      </c>
      <c r="G37" s="873" t="s">
        <v>90</v>
      </c>
      <c r="H37" s="436">
        <v>407</v>
      </c>
      <c r="I37" s="436"/>
      <c r="J37" s="436"/>
      <c r="K37" s="436"/>
      <c r="L37" s="413"/>
      <c r="M37" s="413"/>
      <c r="N37" s="508"/>
      <c r="O37" s="508"/>
      <c r="P37" s="883"/>
      <c r="Q37" s="883"/>
      <c r="R37" s="879">
        <f t="shared" si="1"/>
        <v>407</v>
      </c>
      <c r="S37" s="436"/>
      <c r="T37" s="436"/>
      <c r="U37" s="436"/>
      <c r="V37" s="436"/>
      <c r="W37" s="436"/>
      <c r="X37" s="436"/>
      <c r="Y37" s="436"/>
      <c r="Z37" s="436"/>
      <c r="AA37" s="437"/>
      <c r="AB37" s="436">
        <f>H37</f>
        <v>407</v>
      </c>
      <c r="AC37" s="413"/>
      <c r="AD37" s="413"/>
      <c r="AE37" s="61"/>
      <c r="AK37" s="59">
        <f t="shared" si="2"/>
        <v>407</v>
      </c>
    </row>
    <row r="38" spans="1:38" s="62" customFormat="1" ht="37.5" customHeight="1">
      <c r="A38" s="884">
        <v>36</v>
      </c>
      <c r="B38" s="873" t="s">
        <v>2</v>
      </c>
      <c r="C38" s="874" t="s">
        <v>47</v>
      </c>
      <c r="D38" s="875" t="s">
        <v>19</v>
      </c>
      <c r="E38" s="875" t="s">
        <v>20</v>
      </c>
      <c r="F38" s="417" t="s">
        <v>131</v>
      </c>
      <c r="G38" s="873" t="s">
        <v>90</v>
      </c>
      <c r="H38" s="885">
        <v>22586</v>
      </c>
      <c r="I38" s="885"/>
      <c r="J38" s="885"/>
      <c r="K38" s="885"/>
      <c r="L38" s="417"/>
      <c r="M38" s="417"/>
      <c r="N38" s="886"/>
      <c r="O38" s="886"/>
      <c r="P38" s="887"/>
      <c r="Q38" s="887"/>
      <c r="R38" s="879">
        <f t="shared" si="1"/>
        <v>22586</v>
      </c>
      <c r="S38" s="888"/>
      <c r="T38" s="888"/>
      <c r="U38" s="888"/>
      <c r="V38" s="885"/>
      <c r="W38" s="888"/>
      <c r="X38" s="417"/>
      <c r="Y38" s="417"/>
      <c r="Z38" s="417"/>
      <c r="AA38" s="417"/>
      <c r="AB38" s="885">
        <f>$H$38/4</f>
        <v>5646.5</v>
      </c>
      <c r="AC38" s="885">
        <f>$H$38/4</f>
        <v>5646.5</v>
      </c>
      <c r="AD38" s="885">
        <f>$H$38/4</f>
        <v>5646.5</v>
      </c>
      <c r="AE38" s="889">
        <f>$H$38/4</f>
        <v>5646.5</v>
      </c>
      <c r="AK38" s="59">
        <f>SUM(S38:AE38)</f>
        <v>22586</v>
      </c>
      <c r="AL38" s="48"/>
    </row>
    <row r="39" spans="1:38" s="62" customFormat="1" ht="12" customHeight="1">
      <c r="A39" s="884">
        <v>37</v>
      </c>
      <c r="B39" s="873" t="s">
        <v>2</v>
      </c>
      <c r="C39" s="874" t="s">
        <v>47</v>
      </c>
      <c r="D39" s="875" t="s">
        <v>19</v>
      </c>
      <c r="E39" s="875" t="s">
        <v>20</v>
      </c>
      <c r="F39" s="417" t="s">
        <v>128</v>
      </c>
      <c r="G39" s="873" t="s">
        <v>90</v>
      </c>
      <c r="H39" s="885">
        <v>363</v>
      </c>
      <c r="I39" s="885"/>
      <c r="J39" s="885"/>
      <c r="K39" s="885"/>
      <c r="L39" s="417"/>
      <c r="M39" s="417"/>
      <c r="N39" s="886"/>
      <c r="O39" s="886"/>
      <c r="P39" s="887"/>
      <c r="Q39" s="887"/>
      <c r="R39" s="879">
        <f t="shared" si="1"/>
        <v>363</v>
      </c>
      <c r="S39" s="888"/>
      <c r="T39" s="888"/>
      <c r="U39" s="888"/>
      <c r="V39" s="885">
        <f>H39</f>
        <v>363</v>
      </c>
      <c r="W39" s="888"/>
      <c r="X39" s="888"/>
      <c r="Y39" s="888"/>
      <c r="Z39" s="888"/>
      <c r="AA39" s="888"/>
      <c r="AB39" s="417"/>
      <c r="AC39" s="417"/>
      <c r="AD39" s="417"/>
      <c r="AE39" s="890"/>
      <c r="AK39" s="59">
        <f t="shared" si="2"/>
        <v>363</v>
      </c>
      <c r="AL39" s="48"/>
    </row>
    <row r="40" spans="1:38" s="62" customFormat="1" ht="15.65" customHeight="1">
      <c r="A40" s="884">
        <v>38</v>
      </c>
      <c r="B40" s="873" t="s">
        <v>2</v>
      </c>
      <c r="C40" s="874" t="s">
        <v>47</v>
      </c>
      <c r="D40" s="875" t="s">
        <v>19</v>
      </c>
      <c r="E40" s="875" t="s">
        <v>20</v>
      </c>
      <c r="F40" s="417" t="s">
        <v>235</v>
      </c>
      <c r="G40" s="873" t="s">
        <v>90</v>
      </c>
      <c r="H40" s="885">
        <v>1253</v>
      </c>
      <c r="I40" s="885"/>
      <c r="J40" s="885"/>
      <c r="K40" s="885"/>
      <c r="L40" s="417"/>
      <c r="M40" s="417"/>
      <c r="N40" s="886"/>
      <c r="O40" s="886"/>
      <c r="P40" s="887"/>
      <c r="Q40" s="887"/>
      <c r="R40" s="879">
        <f t="shared" si="1"/>
        <v>1253</v>
      </c>
      <c r="S40" s="888"/>
      <c r="T40" s="888"/>
      <c r="U40" s="888"/>
      <c r="V40" s="888"/>
      <c r="W40" s="885">
        <f>H40</f>
        <v>1253</v>
      </c>
      <c r="X40" s="888"/>
      <c r="Y40" s="888"/>
      <c r="Z40" s="888"/>
      <c r="AA40" s="888"/>
      <c r="AB40" s="417"/>
      <c r="AC40" s="417"/>
      <c r="AD40" s="417"/>
      <c r="AE40" s="890"/>
      <c r="AK40" s="59">
        <f t="shared" si="2"/>
        <v>1253</v>
      </c>
      <c r="AL40" s="48"/>
    </row>
    <row r="41" spans="1:38" s="62" customFormat="1" ht="25" customHeight="1">
      <c r="A41" s="884">
        <v>39</v>
      </c>
      <c r="B41" s="873" t="s">
        <v>2</v>
      </c>
      <c r="C41" s="874" t="s">
        <v>47</v>
      </c>
      <c r="D41" s="875" t="s">
        <v>19</v>
      </c>
      <c r="E41" s="875" t="s">
        <v>20</v>
      </c>
      <c r="F41" s="417" t="s">
        <v>126</v>
      </c>
      <c r="G41" s="873" t="s">
        <v>90</v>
      </c>
      <c r="H41" s="885">
        <v>1079</v>
      </c>
      <c r="I41" s="885"/>
      <c r="J41" s="885"/>
      <c r="K41" s="885"/>
      <c r="L41" s="417"/>
      <c r="M41" s="417"/>
      <c r="N41" s="886"/>
      <c r="O41" s="886"/>
      <c r="P41" s="887"/>
      <c r="Q41" s="887"/>
      <c r="R41" s="879">
        <f t="shared" si="1"/>
        <v>1079</v>
      </c>
      <c r="S41" s="888"/>
      <c r="T41" s="888"/>
      <c r="U41" s="888"/>
      <c r="V41" s="888"/>
      <c r="W41" s="888"/>
      <c r="X41" s="885">
        <f>H41</f>
        <v>1079</v>
      </c>
      <c r="Y41" s="888"/>
      <c r="Z41" s="888"/>
      <c r="AA41" s="888"/>
      <c r="AB41" s="417"/>
      <c r="AC41" s="417"/>
      <c r="AD41" s="417"/>
      <c r="AE41" s="890"/>
      <c r="AK41" s="59">
        <f t="shared" si="2"/>
        <v>1079</v>
      </c>
      <c r="AL41" s="48"/>
    </row>
    <row r="42" spans="1:38" s="62" customFormat="1" ht="26.5" customHeight="1">
      <c r="A42" s="884">
        <v>40</v>
      </c>
      <c r="B42" s="873" t="s">
        <v>2</v>
      </c>
      <c r="C42" s="874" t="s">
        <v>47</v>
      </c>
      <c r="D42" s="875" t="s">
        <v>19</v>
      </c>
      <c r="E42" s="875" t="s">
        <v>20</v>
      </c>
      <c r="F42" s="417" t="s">
        <v>236</v>
      </c>
      <c r="G42" s="873" t="s">
        <v>90</v>
      </c>
      <c r="H42" s="885">
        <v>74688</v>
      </c>
      <c r="I42" s="885"/>
      <c r="J42" s="885"/>
      <c r="K42" s="885"/>
      <c r="L42" s="417"/>
      <c r="M42" s="417"/>
      <c r="N42" s="886"/>
      <c r="O42" s="886"/>
      <c r="P42" s="887"/>
      <c r="Q42" s="887"/>
      <c r="R42" s="879">
        <f t="shared" si="1"/>
        <v>74688</v>
      </c>
      <c r="S42" s="888"/>
      <c r="T42" s="888"/>
      <c r="U42" s="888"/>
      <c r="V42" s="888"/>
      <c r="W42" s="888"/>
      <c r="X42" s="885"/>
      <c r="Y42" s="888"/>
      <c r="Z42" s="888"/>
      <c r="AA42" s="888"/>
      <c r="AB42" s="417"/>
      <c r="AC42" s="417"/>
      <c r="AD42" s="417"/>
      <c r="AE42" s="890"/>
      <c r="AL42" s="48"/>
    </row>
    <row r="43" spans="1:38" s="50" customFormat="1" ht="15" thickBot="1">
      <c r="A43" s="891"/>
      <c r="B43" s="892"/>
      <c r="C43" s="892"/>
      <c r="D43" s="892"/>
      <c r="E43" s="892"/>
      <c r="F43" s="892" t="s">
        <v>132</v>
      </c>
      <c r="G43" s="892"/>
      <c r="H43" s="442">
        <f>SUM(H3:H42)</f>
        <v>267134.7</v>
      </c>
      <c r="I43" s="442">
        <f t="shared" ref="I43:J43" si="4">SUM(I3:I42)</f>
        <v>0</v>
      </c>
      <c r="J43" s="442">
        <f t="shared" si="4"/>
        <v>184684</v>
      </c>
      <c r="K43" s="442"/>
      <c r="L43" s="892"/>
      <c r="M43" s="892"/>
      <c r="N43" s="892"/>
      <c r="O43" s="892"/>
      <c r="P43" s="892"/>
      <c r="Q43" s="892"/>
      <c r="R43" s="892"/>
      <c r="S43" s="442">
        <f t="shared" ref="S43:AE43" si="5">SUM(S3:S42)</f>
        <v>12460.000000000002</v>
      </c>
      <c r="T43" s="442">
        <f t="shared" si="5"/>
        <v>18513.5</v>
      </c>
      <c r="U43" s="442">
        <f t="shared" si="5"/>
        <v>6844.3</v>
      </c>
      <c r="V43" s="442">
        <f t="shared" si="5"/>
        <v>2534.1000000000004</v>
      </c>
      <c r="W43" s="442">
        <f t="shared" si="5"/>
        <v>1976.7</v>
      </c>
      <c r="X43" s="442">
        <f t="shared" si="5"/>
        <v>6229.3999999999978</v>
      </c>
      <c r="Y43" s="442">
        <f t="shared" si="5"/>
        <v>12686.448571428571</v>
      </c>
      <c r="Z43" s="442">
        <f t="shared" si="5"/>
        <v>10217.32857142857</v>
      </c>
      <c r="AA43" s="442">
        <f t="shared" si="5"/>
        <v>21068.758571428567</v>
      </c>
      <c r="AB43" s="442">
        <f t="shared" si="5"/>
        <v>12683.148571428572</v>
      </c>
      <c r="AC43" s="442">
        <f t="shared" si="5"/>
        <v>28234.775238095237</v>
      </c>
      <c r="AD43" s="442">
        <f t="shared" si="5"/>
        <v>44878.855238095239</v>
      </c>
      <c r="AE43" s="443">
        <f t="shared" si="5"/>
        <v>14119.385238095238</v>
      </c>
    </row>
    <row r="45" spans="1:38">
      <c r="S45" s="58">
        <v>12460.000000000002</v>
      </c>
      <c r="T45" s="58">
        <v>18514</v>
      </c>
      <c r="U45" s="58">
        <v>6845</v>
      </c>
      <c r="V45" s="58">
        <v>2534</v>
      </c>
      <c r="W45" s="58">
        <v>1977</v>
      </c>
      <c r="X45" s="58">
        <v>6229</v>
      </c>
      <c r="Y45" s="58">
        <v>12686</v>
      </c>
      <c r="Z45" s="58">
        <v>10217</v>
      </c>
      <c r="AA45" s="58">
        <v>21069</v>
      </c>
      <c r="AB45" s="48">
        <v>12683</v>
      </c>
      <c r="AC45" s="48">
        <v>28235</v>
      </c>
      <c r="AD45" s="48">
        <v>44879</v>
      </c>
      <c r="AE45" s="48">
        <v>14119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D718-B632-4AF7-A4E0-B95EC19F0595}">
  <sheetPr>
    <tabColor rgb="FF92D050"/>
  </sheetPr>
  <dimension ref="A1:AN45"/>
  <sheetViews>
    <sheetView zoomScale="40" zoomScaleNormal="40" workbookViewId="0">
      <pane ySplit="2" topLeftCell="A3" activePane="bottomLeft" state="frozen"/>
      <selection pane="bottomLeft" activeCell="P22" sqref="P22"/>
    </sheetView>
  </sheetViews>
  <sheetFormatPr defaultColWidth="8.7265625" defaultRowHeight="14.5"/>
  <cols>
    <col min="1" max="1" width="5.453125" style="58" customWidth="1"/>
    <col min="2" max="2" width="7.6328125" style="544" customWidth="1"/>
    <col min="3" max="3" width="12.26953125" style="544" customWidth="1"/>
    <col min="4" max="4" width="11.6328125" style="544" customWidth="1"/>
    <col min="5" max="5" width="15.36328125" style="544" customWidth="1"/>
    <col min="6" max="6" width="38.54296875" style="48" customWidth="1"/>
    <col min="7" max="7" width="38.54296875" style="544" customWidth="1"/>
    <col min="8" max="8" width="9.81640625" style="58" customWidth="1"/>
    <col min="9" max="9" width="20.7265625" style="543" customWidth="1"/>
    <col min="10" max="10" width="24.7265625" style="58" customWidth="1"/>
    <col min="11" max="11" width="9.453125" style="48" customWidth="1"/>
    <col min="12" max="13" width="13.453125" style="48" customWidth="1"/>
    <col min="14" max="18" width="11.54296875" style="544" customWidth="1"/>
    <col min="19" max="21" width="8.453125" style="48" customWidth="1"/>
    <col min="22" max="22" width="12.453125" style="48" customWidth="1"/>
    <col min="23" max="29" width="8.453125" style="48" customWidth="1"/>
    <col min="30" max="30" width="12" style="48" customWidth="1"/>
    <col min="31" max="31" width="8.453125" style="48" customWidth="1"/>
    <col min="32" max="35" width="12.1796875" style="48" customWidth="1"/>
    <col min="36" max="40" width="11.81640625" style="48" customWidth="1"/>
    <col min="41" max="16384" width="8.7265625" style="48"/>
  </cols>
  <sheetData>
    <row r="1" spans="1:40" s="50" customFormat="1" ht="47" thickBot="1">
      <c r="A1" s="893" t="str">
        <f>Exc!A1</f>
        <v>S No</v>
      </c>
      <c r="B1" s="894" t="str">
        <f>Exc!B1</f>
        <v>Section</v>
      </c>
      <c r="C1" s="894" t="str">
        <f>Exc!C1</f>
        <v>Department</v>
      </c>
      <c r="D1" s="894" t="str">
        <f>Exc!D1</f>
        <v>Description</v>
      </c>
      <c r="E1" s="894" t="str">
        <f>Exc!E1</f>
        <v>Sub Phase 1</v>
      </c>
      <c r="F1" s="894" t="str">
        <f>Exc!F1</f>
        <v>Particular</v>
      </c>
      <c r="G1" s="900" t="str">
        <f>Exc!G1</f>
        <v>UOM</v>
      </c>
      <c r="H1" s="895" t="str">
        <f>Exc!H1</f>
        <v>Scope</v>
      </c>
      <c r="I1" s="895" t="str">
        <f>Exc!I1</f>
        <v>DRAWING RELESED</v>
      </c>
      <c r="J1" s="895" t="str">
        <f>Exc!J1</f>
        <v>ACHIVED</v>
      </c>
      <c r="K1" s="895" t="str">
        <f>Exc!K1</f>
        <v>DURATION</v>
      </c>
      <c r="L1" s="896" t="str">
        <f>Exc!L1</f>
        <v>BL Start</v>
      </c>
      <c r="M1" s="896" t="str">
        <f>Exc!M1</f>
        <v>BL Finish</v>
      </c>
      <c r="N1" s="894" t="str">
        <f>Exc!N1</f>
        <v>Current Month Plan</v>
      </c>
      <c r="O1" s="894" t="str">
        <f>Exc!O1</f>
        <v>Current Month Actual</v>
      </c>
      <c r="P1" s="894" t="str">
        <f>Exc!P1</f>
        <v>Cummulative Planned</v>
      </c>
      <c r="Q1" s="894" t="str">
        <f>Exc!Q1</f>
        <v>Cummulative completed</v>
      </c>
      <c r="R1" s="894" t="str">
        <f>Exc!R1</f>
        <v>Balance</v>
      </c>
      <c r="S1" s="898"/>
      <c r="T1" s="898"/>
      <c r="U1" s="898"/>
      <c r="V1" s="898"/>
      <c r="W1" s="898"/>
      <c r="X1" s="898"/>
      <c r="Y1" s="898"/>
      <c r="Z1" s="898"/>
      <c r="AA1" s="898"/>
      <c r="AB1" s="898"/>
      <c r="AC1" s="898"/>
      <c r="AD1" s="898"/>
      <c r="AE1" s="899"/>
      <c r="AF1" s="901"/>
      <c r="AG1" s="901"/>
      <c r="AH1" s="901"/>
      <c r="AI1" s="901"/>
      <c r="AJ1" s="901"/>
      <c r="AK1" s="901"/>
      <c r="AL1" s="901"/>
      <c r="AM1" s="901"/>
      <c r="AN1" s="902"/>
    </row>
    <row r="2" spans="1:40" s="50" customFormat="1">
      <c r="A2" s="792"/>
      <c r="B2" s="911"/>
      <c r="C2" s="912"/>
      <c r="D2" s="913"/>
      <c r="E2" s="913"/>
      <c r="F2" s="793"/>
      <c r="G2" s="793"/>
      <c r="H2" s="794">
        <f>SUM(H4:K37)</f>
        <v>107988.02</v>
      </c>
      <c r="I2" s="794"/>
      <c r="J2" s="925"/>
      <c r="K2" s="925"/>
      <c r="L2" s="926">
        <f>MIN(L4:L37)</f>
        <v>45442</v>
      </c>
      <c r="M2" s="926">
        <f>MAX(M4:M37)</f>
        <v>45804</v>
      </c>
      <c r="N2" s="877"/>
      <c r="O2" s="877"/>
      <c r="P2" s="878"/>
      <c r="Q2" s="878"/>
      <c r="R2" s="877"/>
      <c r="S2" s="903">
        <v>45352</v>
      </c>
      <c r="T2" s="903">
        <v>45383</v>
      </c>
      <c r="U2" s="903">
        <v>45413</v>
      </c>
      <c r="V2" s="903">
        <v>45444</v>
      </c>
      <c r="W2" s="903">
        <v>45474</v>
      </c>
      <c r="X2" s="903">
        <v>45505</v>
      </c>
      <c r="Y2" s="903">
        <v>45536</v>
      </c>
      <c r="Z2" s="903">
        <v>45566</v>
      </c>
      <c r="AA2" s="903">
        <v>45597</v>
      </c>
      <c r="AB2" s="903">
        <v>45627</v>
      </c>
      <c r="AC2" s="903">
        <v>45658</v>
      </c>
      <c r="AD2" s="903">
        <v>45689</v>
      </c>
      <c r="AE2" s="903">
        <v>45717</v>
      </c>
      <c r="AF2" s="795">
        <v>45748</v>
      </c>
      <c r="AG2" s="795">
        <v>45778</v>
      </c>
      <c r="AH2" s="795">
        <v>45809</v>
      </c>
      <c r="AI2" s="903">
        <v>45839</v>
      </c>
      <c r="AJ2" s="903">
        <v>45870</v>
      </c>
      <c r="AK2" s="903">
        <v>45901</v>
      </c>
      <c r="AL2" s="903">
        <v>45931</v>
      </c>
      <c r="AM2" s="903">
        <v>45962</v>
      </c>
      <c r="AN2" s="904"/>
    </row>
    <row r="3" spans="1:40" s="50" customFormat="1">
      <c r="A3" s="931" t="s">
        <v>0</v>
      </c>
      <c r="B3" s="932" t="s">
        <v>2</v>
      </c>
      <c r="C3" s="933" t="s">
        <v>47</v>
      </c>
      <c r="D3" s="934" t="s">
        <v>19</v>
      </c>
      <c r="E3" s="934" t="s">
        <v>20</v>
      </c>
      <c r="F3" s="931" t="s">
        <v>351</v>
      </c>
      <c r="G3" s="931"/>
      <c r="H3" s="917" t="s">
        <v>352</v>
      </c>
      <c r="I3" s="917"/>
      <c r="J3" s="917"/>
      <c r="K3" s="917"/>
      <c r="L3" s="935"/>
      <c r="M3" s="935"/>
      <c r="N3" s="918"/>
      <c r="O3" s="918"/>
      <c r="P3" s="918"/>
      <c r="Q3" s="918"/>
      <c r="R3" s="919" t="e">
        <f>H3-J3</f>
        <v>#VALUE!</v>
      </c>
      <c r="S3" s="920"/>
      <c r="T3" s="920"/>
      <c r="U3" s="920"/>
      <c r="V3" s="434"/>
      <c r="W3" s="434"/>
      <c r="X3" s="434"/>
      <c r="Y3" s="434"/>
      <c r="Z3" s="434"/>
      <c r="AA3" s="434"/>
      <c r="AB3" s="434"/>
      <c r="AC3" s="434"/>
      <c r="AD3" s="434"/>
      <c r="AE3" s="434"/>
      <c r="AF3" s="434">
        <f>AF2</f>
        <v>45748</v>
      </c>
      <c r="AG3" s="434">
        <f t="shared" ref="AG3:AH3" si="0">AG2</f>
        <v>45778</v>
      </c>
      <c r="AH3" s="434">
        <f t="shared" si="0"/>
        <v>45809</v>
      </c>
      <c r="AI3" s="434">
        <f t="shared" ref="AI3" si="1">AI2</f>
        <v>45839</v>
      </c>
      <c r="AJ3" s="434">
        <f t="shared" ref="AJ3" si="2">AJ2</f>
        <v>45870</v>
      </c>
      <c r="AK3" s="434">
        <f t="shared" ref="AK3" si="3">AK2</f>
        <v>45901</v>
      </c>
      <c r="AL3" s="434">
        <f t="shared" ref="AL3" si="4">AL2</f>
        <v>45931</v>
      </c>
      <c r="AM3" s="434">
        <f t="shared" ref="AM3" si="5">AM2</f>
        <v>45962</v>
      </c>
      <c r="AN3" s="434">
        <f t="shared" ref="AN3" si="6">AN2</f>
        <v>0</v>
      </c>
    </row>
    <row r="4" spans="1:40">
      <c r="A4" s="932">
        <v>1</v>
      </c>
      <c r="B4" s="932" t="s">
        <v>2</v>
      </c>
      <c r="C4" s="933" t="s">
        <v>47</v>
      </c>
      <c r="D4" s="934" t="s">
        <v>19</v>
      </c>
      <c r="E4" s="934" t="s">
        <v>20</v>
      </c>
      <c r="F4" s="932" t="s">
        <v>97</v>
      </c>
      <c r="G4" s="932"/>
      <c r="H4" s="921">
        <v>7544.8</v>
      </c>
      <c r="I4" s="921"/>
      <c r="J4" s="921">
        <v>0</v>
      </c>
      <c r="K4" s="921">
        <f>M4-L4+1</f>
        <v>220</v>
      </c>
      <c r="L4" s="918">
        <f>[4]L5!E532</f>
        <v>45442</v>
      </c>
      <c r="M4" s="918">
        <f>[4]L5!F532</f>
        <v>45661</v>
      </c>
      <c r="N4" s="918"/>
      <c r="O4" s="918"/>
      <c r="P4" s="918"/>
      <c r="Q4" s="918"/>
      <c r="R4" s="919">
        <f t="shared" ref="R4:R39" si="7">H4-J4</f>
        <v>7544.8</v>
      </c>
      <c r="S4" s="922"/>
      <c r="T4" s="922"/>
      <c r="U4" s="922"/>
      <c r="V4" s="413"/>
      <c r="W4" s="413"/>
      <c r="X4" s="413"/>
      <c r="Y4" s="413"/>
      <c r="Z4" s="413"/>
      <c r="AA4" s="413">
        <v>150</v>
      </c>
      <c r="AB4" s="413">
        <f>80+100+1</f>
        <v>181</v>
      </c>
      <c r="AC4" s="414">
        <f>255+400</f>
        <v>655</v>
      </c>
      <c r="AD4" s="414">
        <f>1469-100-200-150</f>
        <v>1019</v>
      </c>
      <c r="AE4" s="414">
        <f>1074-200-150</f>
        <v>724</v>
      </c>
      <c r="AF4" s="436">
        <v>885</v>
      </c>
      <c r="AG4" s="436">
        <v>412</v>
      </c>
      <c r="AH4" s="436">
        <v>473</v>
      </c>
      <c r="AI4" s="413">
        <f>20+150</f>
        <v>170</v>
      </c>
      <c r="AJ4" s="413"/>
      <c r="AK4" s="413"/>
      <c r="AL4" s="413"/>
      <c r="AM4" s="907">
        <f>AF4+AG4+AH4</f>
        <v>1770</v>
      </c>
      <c r="AN4" s="907">
        <f>AE4+AF4+AG4</f>
        <v>2021</v>
      </c>
    </row>
    <row r="5" spans="1:40">
      <c r="A5" s="932">
        <v>2</v>
      </c>
      <c r="B5" s="932" t="s">
        <v>2</v>
      </c>
      <c r="C5" s="933" t="s">
        <v>47</v>
      </c>
      <c r="D5" s="934" t="s">
        <v>19</v>
      </c>
      <c r="E5" s="934" t="s">
        <v>20</v>
      </c>
      <c r="F5" s="932" t="s">
        <v>98</v>
      </c>
      <c r="G5" s="932"/>
      <c r="H5" s="921">
        <v>5983.7</v>
      </c>
      <c r="I5" s="921"/>
      <c r="J5" s="921">
        <v>0</v>
      </c>
      <c r="K5" s="921">
        <f t="shared" ref="K5:K32" si="8">M5-L5+1</f>
        <v>127</v>
      </c>
      <c r="L5" s="918">
        <f>[4]L5!E533</f>
        <v>45552</v>
      </c>
      <c r="M5" s="918">
        <f>[4]L5!F533</f>
        <v>45678</v>
      </c>
      <c r="N5" s="918"/>
      <c r="O5" s="918"/>
      <c r="P5" s="918"/>
      <c r="Q5" s="918"/>
      <c r="R5" s="919">
        <f t="shared" si="7"/>
        <v>5983.7</v>
      </c>
      <c r="S5" s="922"/>
      <c r="T5" s="922"/>
      <c r="U5" s="922"/>
      <c r="V5" s="413"/>
      <c r="W5" s="413"/>
      <c r="X5" s="413"/>
      <c r="Y5" s="413"/>
      <c r="Z5" s="414">
        <v>450</v>
      </c>
      <c r="AA5" s="414">
        <v>500</v>
      </c>
      <c r="AB5" s="414">
        <v>670</v>
      </c>
      <c r="AC5" s="414">
        <v>1334</v>
      </c>
      <c r="AD5" s="414">
        <f>2117-300-450</f>
        <v>1367</v>
      </c>
      <c r="AE5" s="413">
        <f>1790-300-500</f>
        <v>990</v>
      </c>
      <c r="AF5" s="437">
        <f>642+150</f>
        <v>792</v>
      </c>
      <c r="AG5" s="437">
        <f>318+300</f>
        <v>618</v>
      </c>
      <c r="AH5" s="437">
        <f>80+151</f>
        <v>231</v>
      </c>
      <c r="AI5" s="413"/>
      <c r="AJ5" s="413"/>
      <c r="AK5" s="413"/>
      <c r="AL5" s="413"/>
      <c r="AM5" s="907">
        <f t="shared" ref="AM5:AM38" si="9">AF5+AG5+AH5</f>
        <v>1641</v>
      </c>
      <c r="AN5" s="907">
        <f t="shared" ref="AN5:AN40" si="10">AE5+AF5+AG5</f>
        <v>2400</v>
      </c>
    </row>
    <row r="6" spans="1:40">
      <c r="A6" s="932">
        <v>3</v>
      </c>
      <c r="B6" s="932" t="s">
        <v>2</v>
      </c>
      <c r="C6" s="933" t="s">
        <v>47</v>
      </c>
      <c r="D6" s="934" t="s">
        <v>19</v>
      </c>
      <c r="E6" s="934" t="s">
        <v>20</v>
      </c>
      <c r="F6" s="932" t="s">
        <v>99</v>
      </c>
      <c r="G6" s="932"/>
      <c r="H6" s="921">
        <v>796.6</v>
      </c>
      <c r="I6" s="921"/>
      <c r="J6" s="921">
        <v>0</v>
      </c>
      <c r="K6" s="921">
        <f t="shared" si="8"/>
        <v>260</v>
      </c>
      <c r="L6" s="918">
        <f>[4]L5!E534</f>
        <v>45478</v>
      </c>
      <c r="M6" s="918">
        <f>[4]L5!F534</f>
        <v>45737</v>
      </c>
      <c r="N6" s="918"/>
      <c r="O6" s="918"/>
      <c r="P6" s="918"/>
      <c r="Q6" s="918"/>
      <c r="R6" s="919">
        <f t="shared" si="7"/>
        <v>796.6</v>
      </c>
      <c r="S6" s="922"/>
      <c r="T6" s="922"/>
      <c r="U6" s="922"/>
      <c r="V6" s="414"/>
      <c r="W6" s="414"/>
      <c r="X6" s="414"/>
      <c r="Y6" s="414"/>
      <c r="Z6" s="414"/>
      <c r="AA6" s="414"/>
      <c r="AB6" s="414">
        <v>80</v>
      </c>
      <c r="AC6" s="414">
        <v>198</v>
      </c>
      <c r="AD6" s="414">
        <f>286-30-80</f>
        <v>176</v>
      </c>
      <c r="AE6" s="414">
        <v>166</v>
      </c>
      <c r="AF6" s="436">
        <v>220</v>
      </c>
      <c r="AG6" s="436">
        <f>169+30</f>
        <v>199</v>
      </c>
      <c r="AH6" s="436">
        <f>94+82</f>
        <v>176</v>
      </c>
      <c r="AI6" s="414"/>
      <c r="AJ6" s="413"/>
      <c r="AK6" s="413"/>
      <c r="AL6" s="413"/>
      <c r="AM6" s="907">
        <f t="shared" si="9"/>
        <v>595</v>
      </c>
      <c r="AN6" s="907">
        <f t="shared" si="10"/>
        <v>585</v>
      </c>
    </row>
    <row r="7" spans="1:40">
      <c r="A7" s="932">
        <v>4</v>
      </c>
      <c r="B7" s="932" t="s">
        <v>2</v>
      </c>
      <c r="C7" s="933" t="s">
        <v>47</v>
      </c>
      <c r="D7" s="934" t="s">
        <v>19</v>
      </c>
      <c r="E7" s="934" t="s">
        <v>20</v>
      </c>
      <c r="F7" s="932" t="s">
        <v>100</v>
      </c>
      <c r="G7" s="932"/>
      <c r="H7" s="921">
        <f>6026-H8</f>
        <v>3780</v>
      </c>
      <c r="I7" s="921"/>
      <c r="J7" s="921">
        <v>2745</v>
      </c>
      <c r="K7" s="921">
        <f t="shared" si="8"/>
        <v>249</v>
      </c>
      <c r="L7" s="918">
        <f>[4]L5!E535</f>
        <v>45444</v>
      </c>
      <c r="M7" s="918">
        <f>[4]L5!F535</f>
        <v>45692</v>
      </c>
      <c r="N7" s="918"/>
      <c r="O7" s="918"/>
      <c r="P7" s="918"/>
      <c r="Q7" s="918"/>
      <c r="R7" s="919">
        <f t="shared" si="7"/>
        <v>1035</v>
      </c>
      <c r="S7" s="922"/>
      <c r="T7" s="922"/>
      <c r="U7" s="922"/>
      <c r="V7" s="414">
        <v>716</v>
      </c>
      <c r="W7" s="414">
        <f>690-150-150</f>
        <v>390</v>
      </c>
      <c r="X7" s="414">
        <f>638+150-150</f>
        <v>638</v>
      </c>
      <c r="Y7" s="414">
        <f>855+150</f>
        <v>1005</v>
      </c>
      <c r="Z7" s="414">
        <f>188+150</f>
        <v>338</v>
      </c>
      <c r="AA7" s="414">
        <f>85+15</f>
        <v>100</v>
      </c>
      <c r="AB7" s="414">
        <v>125</v>
      </c>
      <c r="AC7" s="414">
        <v>359</v>
      </c>
      <c r="AD7" s="413">
        <v>447</v>
      </c>
      <c r="AE7" s="413">
        <v>291</v>
      </c>
      <c r="AF7" s="437">
        <v>155</v>
      </c>
      <c r="AG7" s="437">
        <v>406</v>
      </c>
      <c r="AH7" s="437">
        <v>200</v>
      </c>
      <c r="AI7" s="413"/>
      <c r="AJ7" s="413"/>
      <c r="AK7" s="413"/>
      <c r="AL7" s="413"/>
      <c r="AM7" s="907">
        <f t="shared" si="9"/>
        <v>761</v>
      </c>
      <c r="AN7" s="907">
        <f t="shared" si="10"/>
        <v>852</v>
      </c>
    </row>
    <row r="8" spans="1:40">
      <c r="A8" s="932">
        <v>5</v>
      </c>
      <c r="B8" s="932" t="s">
        <v>2</v>
      </c>
      <c r="C8" s="933" t="s">
        <v>47</v>
      </c>
      <c r="D8" s="934" t="s">
        <v>19</v>
      </c>
      <c r="E8" s="934" t="s">
        <v>20</v>
      </c>
      <c r="F8" s="932" t="s">
        <v>101</v>
      </c>
      <c r="G8" s="932"/>
      <c r="H8" s="921">
        <v>2246</v>
      </c>
      <c r="I8" s="921"/>
      <c r="J8" s="921">
        <v>799</v>
      </c>
      <c r="K8" s="921">
        <f t="shared" si="8"/>
        <v>182</v>
      </c>
      <c r="L8" s="918">
        <f>[4]L5!E536</f>
        <v>45516</v>
      </c>
      <c r="M8" s="918">
        <f>[4]L5!F536</f>
        <v>45697</v>
      </c>
      <c r="N8" s="918"/>
      <c r="O8" s="918"/>
      <c r="P8" s="918"/>
      <c r="Q8" s="918"/>
      <c r="R8" s="919">
        <f t="shared" si="7"/>
        <v>1447</v>
      </c>
      <c r="S8" s="922"/>
      <c r="T8" s="922"/>
      <c r="U8" s="922"/>
      <c r="V8" s="413"/>
      <c r="W8" s="413"/>
      <c r="X8" s="414">
        <v>120</v>
      </c>
      <c r="Y8" s="414">
        <v>120</v>
      </c>
      <c r="Z8" s="414">
        <v>120</v>
      </c>
      <c r="AA8" s="414">
        <f>101+2</f>
        <v>103</v>
      </c>
      <c r="AB8" s="414">
        <v>142</v>
      </c>
      <c r="AC8" s="414">
        <v>100</v>
      </c>
      <c r="AD8" s="414">
        <v>140</v>
      </c>
      <c r="AE8" s="413">
        <v>549</v>
      </c>
      <c r="AF8" s="437">
        <v>160</v>
      </c>
      <c r="AG8" s="437"/>
      <c r="AH8" s="437"/>
      <c r="AI8" s="413"/>
      <c r="AJ8" s="413"/>
      <c r="AK8" s="413"/>
      <c r="AL8" s="413"/>
      <c r="AM8" s="907">
        <f t="shared" si="9"/>
        <v>160</v>
      </c>
      <c r="AN8" s="907">
        <f t="shared" si="10"/>
        <v>709</v>
      </c>
    </row>
    <row r="9" spans="1:40">
      <c r="A9" s="932">
        <v>6</v>
      </c>
      <c r="B9" s="932" t="s">
        <v>2</v>
      </c>
      <c r="C9" s="933" t="s">
        <v>47</v>
      </c>
      <c r="D9" s="934" t="s">
        <v>19</v>
      </c>
      <c r="E9" s="934" t="s">
        <v>20</v>
      </c>
      <c r="F9" s="932" t="s">
        <v>102</v>
      </c>
      <c r="G9" s="932"/>
      <c r="H9" s="921">
        <v>5648.7999999999993</v>
      </c>
      <c r="I9" s="921"/>
      <c r="J9" s="921">
        <v>2071</v>
      </c>
      <c r="K9" s="921">
        <f t="shared" si="8"/>
        <v>239</v>
      </c>
      <c r="L9" s="918">
        <f>[4]L5!E537</f>
        <v>45446</v>
      </c>
      <c r="M9" s="918">
        <f>[4]L5!F537</f>
        <v>45684</v>
      </c>
      <c r="N9" s="918"/>
      <c r="O9" s="918"/>
      <c r="P9" s="918"/>
      <c r="Q9" s="918"/>
      <c r="R9" s="919">
        <f t="shared" si="7"/>
        <v>3577.7999999999993</v>
      </c>
      <c r="S9" s="922"/>
      <c r="T9" s="922"/>
      <c r="U9" s="922"/>
      <c r="V9" s="414"/>
      <c r="W9" s="414">
        <v>1920</v>
      </c>
      <c r="X9" s="414">
        <v>40</v>
      </c>
      <c r="Y9" s="414">
        <v>40</v>
      </c>
      <c r="Z9" s="414">
        <v>500</v>
      </c>
      <c r="AA9" s="414">
        <f>300+120</f>
        <v>420</v>
      </c>
      <c r="AB9" s="414">
        <v>450</v>
      </c>
      <c r="AC9" s="414">
        <f>1260-450</f>
        <v>810</v>
      </c>
      <c r="AD9" s="414">
        <f>840-300-120</f>
        <v>420</v>
      </c>
      <c r="AE9" s="413">
        <v>30</v>
      </c>
      <c r="AF9" s="437">
        <v>511</v>
      </c>
      <c r="AG9" s="437">
        <v>609</v>
      </c>
      <c r="AH9" s="437">
        <v>20</v>
      </c>
      <c r="AI9" s="413">
        <v>20</v>
      </c>
      <c r="AJ9" s="413"/>
      <c r="AK9" s="413"/>
      <c r="AL9" s="413"/>
      <c r="AM9" s="907">
        <f t="shared" si="9"/>
        <v>1140</v>
      </c>
      <c r="AN9" s="907">
        <f t="shared" si="10"/>
        <v>1150</v>
      </c>
    </row>
    <row r="10" spans="1:40">
      <c r="A10" s="932">
        <v>7</v>
      </c>
      <c r="B10" s="932" t="s">
        <v>2</v>
      </c>
      <c r="C10" s="933" t="s">
        <v>47</v>
      </c>
      <c r="D10" s="934" t="s">
        <v>19</v>
      </c>
      <c r="E10" s="934" t="s">
        <v>20</v>
      </c>
      <c r="F10" s="932" t="s">
        <v>103</v>
      </c>
      <c r="G10" s="932"/>
      <c r="H10" s="921">
        <f>10464.7-1413</f>
        <v>9051.7000000000007</v>
      </c>
      <c r="I10" s="921"/>
      <c r="J10" s="921">
        <v>6026</v>
      </c>
      <c r="K10" s="921">
        <f t="shared" si="8"/>
        <v>331</v>
      </c>
      <c r="L10" s="918">
        <f>[4]L5!E538</f>
        <v>45474</v>
      </c>
      <c r="M10" s="918">
        <f>[4]L5!F538</f>
        <v>45804</v>
      </c>
      <c r="N10" s="918"/>
      <c r="O10" s="918"/>
      <c r="P10" s="918"/>
      <c r="Q10" s="918"/>
      <c r="R10" s="919">
        <f t="shared" si="7"/>
        <v>3025.7000000000007</v>
      </c>
      <c r="S10" s="922"/>
      <c r="T10" s="922"/>
      <c r="U10" s="922"/>
      <c r="V10" s="413"/>
      <c r="W10" s="414">
        <f>1626-300-300</f>
        <v>1026</v>
      </c>
      <c r="X10" s="414">
        <f>1494+300+200</f>
        <v>1994</v>
      </c>
      <c r="Y10" s="414">
        <f>192+224+100</f>
        <v>516</v>
      </c>
      <c r="Z10" s="414">
        <v>611</v>
      </c>
      <c r="AA10" s="414">
        <v>885</v>
      </c>
      <c r="AB10" s="413">
        <v>737</v>
      </c>
      <c r="AC10" s="413">
        <v>1074</v>
      </c>
      <c r="AD10" s="413">
        <v>150</v>
      </c>
      <c r="AE10" s="413">
        <v>130</v>
      </c>
      <c r="AF10" s="437">
        <v>30</v>
      </c>
      <c r="AG10" s="437">
        <v>332</v>
      </c>
      <c r="AH10" s="436">
        <v>321</v>
      </c>
      <c r="AI10" s="414">
        <v>280</v>
      </c>
      <c r="AJ10" s="414">
        <v>280</v>
      </c>
      <c r="AK10" s="414"/>
      <c r="AL10" s="414"/>
      <c r="AM10" s="907">
        <f t="shared" si="9"/>
        <v>683</v>
      </c>
      <c r="AN10" s="907">
        <f t="shared" si="10"/>
        <v>492</v>
      </c>
    </row>
    <row r="11" spans="1:40">
      <c r="A11" s="932">
        <v>8</v>
      </c>
      <c r="B11" s="932" t="s">
        <v>2</v>
      </c>
      <c r="C11" s="933" t="s">
        <v>47</v>
      </c>
      <c r="D11" s="934" t="s">
        <v>19</v>
      </c>
      <c r="E11" s="934" t="s">
        <v>20</v>
      </c>
      <c r="F11" s="922" t="s">
        <v>104</v>
      </c>
      <c r="G11" s="922"/>
      <c r="H11" s="921">
        <v>2703.1</v>
      </c>
      <c r="I11" s="921"/>
      <c r="J11" s="921">
        <v>2008</v>
      </c>
      <c r="K11" s="921">
        <f t="shared" si="8"/>
        <v>100</v>
      </c>
      <c r="L11" s="918">
        <f>[4]L5!E539</f>
        <v>45474</v>
      </c>
      <c r="M11" s="918">
        <f>[4]L5!F539</f>
        <v>45573</v>
      </c>
      <c r="N11" s="918"/>
      <c r="O11" s="918"/>
      <c r="P11" s="918"/>
      <c r="Q11" s="918"/>
      <c r="R11" s="919">
        <f t="shared" si="7"/>
        <v>695.09999999999991</v>
      </c>
      <c r="S11" s="922"/>
      <c r="T11" s="922"/>
      <c r="U11" s="922"/>
      <c r="V11" s="413"/>
      <c r="W11" s="414"/>
      <c r="X11" s="414">
        <v>540</v>
      </c>
      <c r="Y11" s="414">
        <v>695</v>
      </c>
      <c r="Z11" s="414">
        <v>260</v>
      </c>
      <c r="AA11" s="414">
        <v>220</v>
      </c>
      <c r="AB11" s="413">
        <v>15</v>
      </c>
      <c r="AC11" s="413"/>
      <c r="AD11" s="413"/>
      <c r="AE11" s="413"/>
      <c r="AF11" s="413"/>
      <c r="AG11" s="413"/>
      <c r="AH11" s="413"/>
      <c r="AI11" s="413"/>
      <c r="AJ11" s="413"/>
      <c r="AK11" s="413"/>
      <c r="AL11" s="413"/>
      <c r="AM11" s="907">
        <f t="shared" si="9"/>
        <v>0</v>
      </c>
      <c r="AN11" s="907">
        <f t="shared" si="10"/>
        <v>0</v>
      </c>
    </row>
    <row r="12" spans="1:40">
      <c r="A12" s="932">
        <v>9</v>
      </c>
      <c r="B12" s="932" t="s">
        <v>2</v>
      </c>
      <c r="C12" s="933" t="s">
        <v>47</v>
      </c>
      <c r="D12" s="934" t="s">
        <v>19</v>
      </c>
      <c r="E12" s="934" t="s">
        <v>20</v>
      </c>
      <c r="F12" s="922" t="s">
        <v>105</v>
      </c>
      <c r="G12" s="922"/>
      <c r="H12" s="921">
        <f>3778.3-H13</f>
        <v>2107.8072990000001</v>
      </c>
      <c r="I12" s="921"/>
      <c r="J12" s="921">
        <v>2702</v>
      </c>
      <c r="K12" s="921">
        <f t="shared" si="8"/>
        <v>244</v>
      </c>
      <c r="L12" s="918">
        <f>[4]L5!E540</f>
        <v>45479</v>
      </c>
      <c r="M12" s="918">
        <f>[4]L5!F540</f>
        <v>45722</v>
      </c>
      <c r="N12" s="918"/>
      <c r="O12" s="918"/>
      <c r="P12" s="918"/>
      <c r="Q12" s="918"/>
      <c r="R12" s="919">
        <f t="shared" si="7"/>
        <v>-594.19270099999994</v>
      </c>
      <c r="S12" s="922"/>
      <c r="T12" s="922"/>
      <c r="U12" s="922"/>
      <c r="V12" s="413"/>
      <c r="W12" s="414"/>
      <c r="X12" s="414">
        <v>100</v>
      </c>
      <c r="Y12" s="414">
        <v>470</v>
      </c>
      <c r="Z12" s="414">
        <v>204</v>
      </c>
      <c r="AA12" s="414">
        <v>448</v>
      </c>
      <c r="AB12" s="414">
        <f>68+2</f>
        <v>70</v>
      </c>
      <c r="AC12" s="413">
        <v>550</v>
      </c>
      <c r="AD12" s="413">
        <v>400</v>
      </c>
      <c r="AE12" s="413"/>
      <c r="AF12" s="413"/>
      <c r="AG12" s="413"/>
      <c r="AH12" s="413"/>
      <c r="AI12" s="413"/>
      <c r="AJ12" s="413"/>
      <c r="AK12" s="413"/>
      <c r="AL12" s="413"/>
      <c r="AM12" s="907">
        <f t="shared" si="9"/>
        <v>0</v>
      </c>
      <c r="AN12" s="907">
        <f t="shared" si="10"/>
        <v>0</v>
      </c>
    </row>
    <row r="13" spans="1:40" ht="23.5" customHeight="1">
      <c r="A13" s="932">
        <v>10</v>
      </c>
      <c r="B13" s="932" t="s">
        <v>2</v>
      </c>
      <c r="C13" s="933" t="s">
        <v>47</v>
      </c>
      <c r="D13" s="934" t="s">
        <v>19</v>
      </c>
      <c r="E13" s="934" t="s">
        <v>20</v>
      </c>
      <c r="F13" s="922" t="s">
        <v>106</v>
      </c>
      <c r="G13" s="922"/>
      <c r="H13" s="921">
        <v>1670.4927010000001</v>
      </c>
      <c r="I13" s="921"/>
      <c r="J13" s="921"/>
      <c r="K13" s="921">
        <f t="shared" si="8"/>
        <v>183</v>
      </c>
      <c r="L13" s="918">
        <f>[4]L5!E541</f>
        <v>45507</v>
      </c>
      <c r="M13" s="918">
        <f>[4]L5!F541</f>
        <v>45689</v>
      </c>
      <c r="N13" s="918"/>
      <c r="O13" s="918"/>
      <c r="P13" s="918"/>
      <c r="Q13" s="918"/>
      <c r="R13" s="919">
        <f t="shared" si="7"/>
        <v>1670.4927010000001</v>
      </c>
      <c r="S13" s="922"/>
      <c r="T13" s="922"/>
      <c r="U13" s="922"/>
      <c r="V13" s="413"/>
      <c r="W13" s="413"/>
      <c r="X13" s="414"/>
      <c r="Y13" s="414"/>
      <c r="Z13" s="414">
        <v>113</v>
      </c>
      <c r="AA13" s="414">
        <v>233</v>
      </c>
      <c r="AB13" s="414">
        <v>269</v>
      </c>
      <c r="AC13" s="414">
        <f>130+100</f>
        <v>230</v>
      </c>
      <c r="AD13" s="413">
        <f>287-100</f>
        <v>187</v>
      </c>
      <c r="AE13" s="413">
        <v>55</v>
      </c>
      <c r="AF13" s="413"/>
      <c r="AG13" s="413"/>
      <c r="AH13" s="413"/>
      <c r="AI13" s="413"/>
      <c r="AJ13" s="413"/>
      <c r="AK13" s="413"/>
      <c r="AL13" s="413"/>
      <c r="AM13" s="907">
        <f t="shared" si="9"/>
        <v>0</v>
      </c>
      <c r="AN13" s="907">
        <f t="shared" si="10"/>
        <v>55</v>
      </c>
    </row>
    <row r="14" spans="1:40">
      <c r="A14" s="932">
        <v>11</v>
      </c>
      <c r="B14" s="932" t="s">
        <v>2</v>
      </c>
      <c r="C14" s="933" t="s">
        <v>47</v>
      </c>
      <c r="D14" s="934" t="s">
        <v>19</v>
      </c>
      <c r="E14" s="934" t="s">
        <v>20</v>
      </c>
      <c r="F14" s="932" t="s">
        <v>107</v>
      </c>
      <c r="G14" s="932"/>
      <c r="H14" s="921">
        <v>1655</v>
      </c>
      <c r="I14" s="921"/>
      <c r="J14" s="921">
        <v>315</v>
      </c>
      <c r="K14" s="921">
        <f t="shared" si="8"/>
        <v>137</v>
      </c>
      <c r="L14" s="918">
        <f>[4]L5!E542</f>
        <v>45483</v>
      </c>
      <c r="M14" s="918">
        <f>[4]L5!F542</f>
        <v>45619</v>
      </c>
      <c r="N14" s="918"/>
      <c r="O14" s="918"/>
      <c r="P14" s="918"/>
      <c r="Q14" s="918"/>
      <c r="R14" s="919">
        <f t="shared" si="7"/>
        <v>1340</v>
      </c>
      <c r="S14" s="922"/>
      <c r="T14" s="922"/>
      <c r="U14" s="922"/>
      <c r="V14" s="413"/>
      <c r="W14" s="414"/>
      <c r="X14" s="414"/>
      <c r="Y14" s="414"/>
      <c r="Z14" s="414">
        <v>520</v>
      </c>
      <c r="AA14" s="413">
        <v>45</v>
      </c>
      <c r="AB14" s="413">
        <v>105</v>
      </c>
      <c r="AC14" s="413">
        <v>479</v>
      </c>
      <c r="AD14" s="413"/>
      <c r="AE14" s="413"/>
      <c r="AF14" s="437">
        <v>80.999999999999986</v>
      </c>
      <c r="AG14" s="437">
        <v>127</v>
      </c>
      <c r="AH14" s="437"/>
      <c r="AI14" s="413"/>
      <c r="AJ14" s="413"/>
      <c r="AK14" s="413"/>
      <c r="AL14" s="413"/>
      <c r="AM14" s="907">
        <f t="shared" si="9"/>
        <v>208</v>
      </c>
      <c r="AN14" s="907">
        <f t="shared" si="10"/>
        <v>208</v>
      </c>
    </row>
    <row r="15" spans="1:40">
      <c r="A15" s="932">
        <v>12</v>
      </c>
      <c r="B15" s="932" t="s">
        <v>2</v>
      </c>
      <c r="C15" s="933" t="s">
        <v>47</v>
      </c>
      <c r="D15" s="934" t="s">
        <v>19</v>
      </c>
      <c r="E15" s="934" t="s">
        <v>20</v>
      </c>
      <c r="F15" s="932" t="s">
        <v>108</v>
      </c>
      <c r="G15" s="932"/>
      <c r="H15" s="921">
        <v>3977.2</v>
      </c>
      <c r="I15" s="921"/>
      <c r="J15" s="921">
        <v>0</v>
      </c>
      <c r="K15" s="921">
        <f t="shared" si="8"/>
        <v>155</v>
      </c>
      <c r="L15" s="918">
        <f>[4]L5!E543</f>
        <v>45489</v>
      </c>
      <c r="M15" s="918">
        <f>[4]L5!F543</f>
        <v>45643</v>
      </c>
      <c r="N15" s="918"/>
      <c r="O15" s="918"/>
      <c r="P15" s="918"/>
      <c r="Q15" s="918"/>
      <c r="R15" s="919">
        <f t="shared" si="7"/>
        <v>3977.2</v>
      </c>
      <c r="S15" s="922"/>
      <c r="T15" s="922"/>
      <c r="U15" s="922"/>
      <c r="V15" s="413"/>
      <c r="W15" s="414"/>
      <c r="X15" s="414"/>
      <c r="Y15" s="414"/>
      <c r="Z15" s="414"/>
      <c r="AA15" s="414"/>
      <c r="AB15" s="414"/>
      <c r="AC15" s="413"/>
      <c r="AD15" s="413">
        <v>125</v>
      </c>
      <c r="AE15" s="413">
        <v>280</v>
      </c>
      <c r="AF15" s="437">
        <v>807</v>
      </c>
      <c r="AG15" s="437">
        <v>177</v>
      </c>
      <c r="AH15" s="437">
        <v>821</v>
      </c>
      <c r="AI15" s="413">
        <v>191</v>
      </c>
      <c r="AJ15" s="413"/>
      <c r="AK15" s="413"/>
      <c r="AL15" s="413"/>
      <c r="AM15" s="907">
        <f t="shared" si="9"/>
        <v>1805</v>
      </c>
      <c r="AN15" s="907">
        <f t="shared" si="10"/>
        <v>1264</v>
      </c>
    </row>
    <row r="16" spans="1:40">
      <c r="A16" s="932">
        <v>13</v>
      </c>
      <c r="B16" s="932" t="s">
        <v>2</v>
      </c>
      <c r="C16" s="933" t="s">
        <v>47</v>
      </c>
      <c r="D16" s="934" t="s">
        <v>19</v>
      </c>
      <c r="E16" s="934" t="s">
        <v>20</v>
      </c>
      <c r="F16" s="932" t="s">
        <v>109</v>
      </c>
      <c r="G16" s="932"/>
      <c r="H16" s="921">
        <v>1359.9666400000001</v>
      </c>
      <c r="I16" s="921"/>
      <c r="J16" s="921">
        <v>0</v>
      </c>
      <c r="K16" s="921">
        <f t="shared" si="8"/>
        <v>100</v>
      </c>
      <c r="L16" s="918">
        <f>[4]L5!E544</f>
        <v>45514</v>
      </c>
      <c r="M16" s="918">
        <f>[4]L5!F544</f>
        <v>45613</v>
      </c>
      <c r="N16" s="918"/>
      <c r="O16" s="918"/>
      <c r="P16" s="918"/>
      <c r="Q16" s="918"/>
      <c r="R16" s="919">
        <f t="shared" si="7"/>
        <v>1359.9666400000001</v>
      </c>
      <c r="S16" s="922"/>
      <c r="T16" s="922"/>
      <c r="U16" s="922"/>
      <c r="V16" s="413"/>
      <c r="W16" s="413"/>
      <c r="X16" s="414"/>
      <c r="Y16" s="414"/>
      <c r="Z16" s="414"/>
      <c r="AA16" s="413"/>
      <c r="AB16" s="413"/>
      <c r="AC16" s="413"/>
      <c r="AD16" s="413">
        <v>605</v>
      </c>
      <c r="AE16" s="413">
        <v>1200</v>
      </c>
      <c r="AF16" s="437">
        <v>485</v>
      </c>
      <c r="AG16" s="437">
        <v>203</v>
      </c>
      <c r="AH16" s="437"/>
      <c r="AI16" s="413"/>
      <c r="AJ16" s="413"/>
      <c r="AK16" s="413"/>
      <c r="AL16" s="413"/>
      <c r="AM16" s="907">
        <f t="shared" si="9"/>
        <v>688</v>
      </c>
      <c r="AN16" s="907">
        <f t="shared" si="10"/>
        <v>1888</v>
      </c>
    </row>
    <row r="17" spans="1:40">
      <c r="A17" s="932">
        <v>14</v>
      </c>
      <c r="B17" s="932" t="s">
        <v>2</v>
      </c>
      <c r="C17" s="933" t="s">
        <v>47</v>
      </c>
      <c r="D17" s="934" t="s">
        <v>19</v>
      </c>
      <c r="E17" s="934" t="s">
        <v>20</v>
      </c>
      <c r="F17" s="932" t="s">
        <v>110</v>
      </c>
      <c r="G17" s="932"/>
      <c r="H17" s="921">
        <f>2510+113.1+2454.5-H16</f>
        <v>3717.6333600000003</v>
      </c>
      <c r="I17" s="921"/>
      <c r="J17" s="921">
        <v>0</v>
      </c>
      <c r="K17" s="921">
        <f t="shared" si="8"/>
        <v>201</v>
      </c>
      <c r="L17" s="918">
        <f>[4]L5!E545</f>
        <v>45504</v>
      </c>
      <c r="M17" s="918">
        <f>[4]L5!F545</f>
        <v>45704</v>
      </c>
      <c r="N17" s="918"/>
      <c r="O17" s="918"/>
      <c r="P17" s="918"/>
      <c r="Q17" s="918"/>
      <c r="R17" s="919">
        <f t="shared" si="7"/>
        <v>3717.6333600000003</v>
      </c>
      <c r="S17" s="922"/>
      <c r="T17" s="922"/>
      <c r="U17" s="922"/>
      <c r="V17" s="413"/>
      <c r="W17" s="414"/>
      <c r="X17" s="414"/>
      <c r="Y17" s="414"/>
      <c r="Z17" s="414"/>
      <c r="AA17" s="414"/>
      <c r="AB17" s="414"/>
      <c r="AC17" s="414">
        <f>800+400</f>
        <v>1200</v>
      </c>
      <c r="AD17" s="414">
        <f>1840-400</f>
        <v>1440</v>
      </c>
      <c r="AE17" s="413">
        <f>3405-500-100</f>
        <v>2805</v>
      </c>
      <c r="AF17" s="437">
        <f>2564-100</f>
        <v>2464</v>
      </c>
      <c r="AG17" s="437">
        <f>945+200</f>
        <v>1145</v>
      </c>
      <c r="AH17" s="437"/>
      <c r="AI17" s="413"/>
      <c r="AJ17" s="413"/>
      <c r="AK17" s="413"/>
      <c r="AL17" s="413"/>
      <c r="AM17" s="907">
        <f t="shared" si="9"/>
        <v>3609</v>
      </c>
      <c r="AN17" s="907">
        <f t="shared" si="10"/>
        <v>6414</v>
      </c>
    </row>
    <row r="18" spans="1:40">
      <c r="A18" s="932">
        <v>15</v>
      </c>
      <c r="B18" s="932" t="s">
        <v>2</v>
      </c>
      <c r="C18" s="933" t="s">
        <v>47</v>
      </c>
      <c r="D18" s="934" t="s">
        <v>19</v>
      </c>
      <c r="E18" s="934" t="s">
        <v>20</v>
      </c>
      <c r="F18" s="932" t="s">
        <v>111</v>
      </c>
      <c r="G18" s="932"/>
      <c r="H18" s="921">
        <v>5266.7000000000007</v>
      </c>
      <c r="I18" s="921"/>
      <c r="J18" s="921">
        <v>0</v>
      </c>
      <c r="K18" s="921">
        <f t="shared" si="8"/>
        <v>165</v>
      </c>
      <c r="L18" s="918">
        <f>[4]L5!E546</f>
        <v>45621</v>
      </c>
      <c r="M18" s="918">
        <f>[4]L5!F546</f>
        <v>45785</v>
      </c>
      <c r="N18" s="918"/>
      <c r="O18" s="918"/>
      <c r="P18" s="918"/>
      <c r="Q18" s="918"/>
      <c r="R18" s="919">
        <f t="shared" si="7"/>
        <v>5266.7000000000007</v>
      </c>
      <c r="S18" s="922"/>
      <c r="T18" s="922"/>
      <c r="U18" s="922"/>
      <c r="V18" s="413"/>
      <c r="W18" s="413"/>
      <c r="X18" s="413"/>
      <c r="Y18" s="413"/>
      <c r="Z18" s="413"/>
      <c r="AA18" s="413"/>
      <c r="AB18" s="414"/>
      <c r="AC18" s="414"/>
      <c r="AD18" s="414">
        <v>850</v>
      </c>
      <c r="AE18" s="414">
        <f>1100-250</f>
        <v>850</v>
      </c>
      <c r="AF18" s="436">
        <f>658-150</f>
        <v>508</v>
      </c>
      <c r="AG18" s="436">
        <v>1174</v>
      </c>
      <c r="AH18" s="437">
        <f>820+250+150</f>
        <v>1220</v>
      </c>
      <c r="AI18" s="413">
        <v>1500</v>
      </c>
      <c r="AJ18" s="413">
        <v>351</v>
      </c>
      <c r="AK18" s="413"/>
      <c r="AL18" s="413"/>
      <c r="AM18" s="907">
        <f t="shared" si="9"/>
        <v>2902</v>
      </c>
      <c r="AN18" s="907">
        <f t="shared" si="10"/>
        <v>2532</v>
      </c>
    </row>
    <row r="19" spans="1:40">
      <c r="A19" s="932">
        <v>16</v>
      </c>
      <c r="B19" s="932" t="s">
        <v>2</v>
      </c>
      <c r="C19" s="933" t="s">
        <v>47</v>
      </c>
      <c r="D19" s="934" t="s">
        <v>19</v>
      </c>
      <c r="E19" s="934" t="s">
        <v>20</v>
      </c>
      <c r="F19" s="932" t="s">
        <v>112</v>
      </c>
      <c r="G19" s="932"/>
      <c r="H19" s="921">
        <f>4320.7+325.32</f>
        <v>4646.0199999999995</v>
      </c>
      <c r="I19" s="921"/>
      <c r="J19" s="921">
        <v>0</v>
      </c>
      <c r="K19" s="921">
        <f t="shared" si="8"/>
        <v>233</v>
      </c>
      <c r="L19" s="918">
        <f>[4]L5!E547</f>
        <v>45502</v>
      </c>
      <c r="M19" s="918">
        <f>[4]L5!F547</f>
        <v>45734</v>
      </c>
      <c r="N19" s="918"/>
      <c r="O19" s="918"/>
      <c r="P19" s="918"/>
      <c r="Q19" s="918"/>
      <c r="R19" s="919">
        <f t="shared" si="7"/>
        <v>4646.0199999999995</v>
      </c>
      <c r="S19" s="922"/>
      <c r="T19" s="922"/>
      <c r="U19" s="922"/>
      <c r="V19" s="413"/>
      <c r="W19" s="414"/>
      <c r="X19" s="414"/>
      <c r="Y19" s="414"/>
      <c r="Z19" s="414"/>
      <c r="AA19" s="414"/>
      <c r="AB19" s="414">
        <v>627</v>
      </c>
      <c r="AC19" s="414">
        <v>625</v>
      </c>
      <c r="AD19" s="414">
        <v>742</v>
      </c>
      <c r="AE19" s="414">
        <v>882</v>
      </c>
      <c r="AF19" s="437">
        <f>1171-200</f>
        <v>971</v>
      </c>
      <c r="AG19" s="437">
        <f>1838-300</f>
        <v>1538</v>
      </c>
      <c r="AH19" s="437">
        <f>564+200</f>
        <v>764</v>
      </c>
      <c r="AI19" s="413">
        <f>192+200</f>
        <v>392</v>
      </c>
      <c r="AJ19" s="413">
        <f>189</f>
        <v>189</v>
      </c>
      <c r="AK19" s="413"/>
      <c r="AL19" s="413"/>
      <c r="AM19" s="907">
        <f t="shared" si="9"/>
        <v>3273</v>
      </c>
      <c r="AN19" s="907">
        <f t="shared" si="10"/>
        <v>3391</v>
      </c>
    </row>
    <row r="20" spans="1:40">
      <c r="A20" s="932">
        <v>17</v>
      </c>
      <c r="B20" s="932" t="s">
        <v>2</v>
      </c>
      <c r="C20" s="933" t="s">
        <v>47</v>
      </c>
      <c r="D20" s="934" t="s">
        <v>19</v>
      </c>
      <c r="E20" s="934" t="s">
        <v>20</v>
      </c>
      <c r="F20" s="932" t="s">
        <v>113</v>
      </c>
      <c r="G20" s="932"/>
      <c r="H20" s="921">
        <v>2728.8999999999996</v>
      </c>
      <c r="I20" s="921"/>
      <c r="J20" s="921">
        <v>1592</v>
      </c>
      <c r="K20" s="921">
        <f t="shared" si="8"/>
        <v>275</v>
      </c>
      <c r="L20" s="918">
        <f>[4]L5!E548</f>
        <v>45466</v>
      </c>
      <c r="M20" s="918">
        <f>[4]L5!F548</f>
        <v>45740</v>
      </c>
      <c r="N20" s="918"/>
      <c r="O20" s="918"/>
      <c r="P20" s="918"/>
      <c r="Q20" s="918"/>
      <c r="R20" s="919">
        <f t="shared" si="7"/>
        <v>1136.8999999999996</v>
      </c>
      <c r="S20" s="922"/>
      <c r="T20" s="922"/>
      <c r="U20" s="922"/>
      <c r="V20" s="413"/>
      <c r="W20" s="414"/>
      <c r="X20" s="414">
        <v>228</v>
      </c>
      <c r="Y20" s="414">
        <v>802</v>
      </c>
      <c r="Z20" s="414">
        <v>62</v>
      </c>
      <c r="AA20" s="414">
        <v>144</v>
      </c>
      <c r="AB20" s="414">
        <v>441</v>
      </c>
      <c r="AC20" s="414">
        <v>81</v>
      </c>
      <c r="AD20" s="414">
        <v>196</v>
      </c>
      <c r="AE20" s="414">
        <v>130</v>
      </c>
      <c r="AF20" s="437">
        <v>213</v>
      </c>
      <c r="AG20" s="437">
        <v>125</v>
      </c>
      <c r="AH20" s="437">
        <v>44</v>
      </c>
      <c r="AI20" s="413">
        <f>13+3</f>
        <v>16</v>
      </c>
      <c r="AJ20" s="413"/>
      <c r="AK20" s="413"/>
      <c r="AL20" s="413"/>
      <c r="AM20" s="907">
        <f t="shared" si="9"/>
        <v>382</v>
      </c>
      <c r="AN20" s="907">
        <f t="shared" si="10"/>
        <v>468</v>
      </c>
    </row>
    <row r="21" spans="1:40">
      <c r="A21" s="932">
        <v>18</v>
      </c>
      <c r="B21" s="932" t="s">
        <v>2</v>
      </c>
      <c r="C21" s="933" t="s">
        <v>47</v>
      </c>
      <c r="D21" s="934" t="s">
        <v>19</v>
      </c>
      <c r="E21" s="934" t="s">
        <v>20</v>
      </c>
      <c r="F21" s="932" t="s">
        <v>237</v>
      </c>
      <c r="G21" s="932"/>
      <c r="H21" s="921">
        <v>673.1</v>
      </c>
      <c r="I21" s="921"/>
      <c r="J21" s="921"/>
      <c r="K21" s="921">
        <f t="shared" si="8"/>
        <v>156</v>
      </c>
      <c r="L21" s="918">
        <f>[4]L5!E549</f>
        <v>45522</v>
      </c>
      <c r="M21" s="918">
        <f>[4]L5!F549</f>
        <v>45677</v>
      </c>
      <c r="N21" s="918"/>
      <c r="O21" s="918"/>
      <c r="P21" s="918"/>
      <c r="Q21" s="918"/>
      <c r="R21" s="919">
        <f t="shared" si="7"/>
        <v>673.1</v>
      </c>
      <c r="S21" s="922"/>
      <c r="T21" s="922"/>
      <c r="U21" s="922"/>
      <c r="V21" s="413"/>
      <c r="W21" s="413"/>
      <c r="X21" s="414"/>
      <c r="Y21" s="414"/>
      <c r="Z21" s="414"/>
      <c r="AA21" s="414"/>
      <c r="AB21" s="414"/>
      <c r="AC21" s="414">
        <v>131</v>
      </c>
      <c r="AD21" s="413">
        <v>182</v>
      </c>
      <c r="AE21" s="413">
        <v>230</v>
      </c>
      <c r="AF21" s="437">
        <v>230</v>
      </c>
      <c r="AG21" s="437">
        <v>0</v>
      </c>
      <c r="AH21" s="437">
        <v>61</v>
      </c>
      <c r="AI21" s="413"/>
      <c r="AJ21" s="413"/>
      <c r="AK21" s="413"/>
      <c r="AL21" s="413"/>
      <c r="AM21" s="907">
        <f t="shared" si="9"/>
        <v>291</v>
      </c>
      <c r="AN21" s="907">
        <f t="shared" si="10"/>
        <v>460</v>
      </c>
    </row>
    <row r="22" spans="1:40">
      <c r="A22" s="932">
        <v>19</v>
      </c>
      <c r="B22" s="932" t="s">
        <v>2</v>
      </c>
      <c r="C22" s="933" t="s">
        <v>47</v>
      </c>
      <c r="D22" s="934" t="s">
        <v>19</v>
      </c>
      <c r="E22" s="934" t="s">
        <v>20</v>
      </c>
      <c r="F22" s="932" t="s">
        <v>238</v>
      </c>
      <c r="G22" s="932"/>
      <c r="H22" s="921">
        <v>523.79999999999995</v>
      </c>
      <c r="I22" s="921"/>
      <c r="J22" s="921"/>
      <c r="K22" s="921">
        <f t="shared" si="8"/>
        <v>174</v>
      </c>
      <c r="L22" s="918">
        <f>[4]L5!E550</f>
        <v>45558</v>
      </c>
      <c r="M22" s="918">
        <f>[4]L5!F550</f>
        <v>45731</v>
      </c>
      <c r="N22" s="918"/>
      <c r="O22" s="918"/>
      <c r="P22" s="918"/>
      <c r="Q22" s="918"/>
      <c r="R22" s="919">
        <f t="shared" si="7"/>
        <v>523.79999999999995</v>
      </c>
      <c r="S22" s="922"/>
      <c r="T22" s="922"/>
      <c r="U22" s="922"/>
      <c r="V22" s="413"/>
      <c r="W22" s="413"/>
      <c r="X22" s="413"/>
      <c r="Y22" s="414"/>
      <c r="Z22" s="414"/>
      <c r="AA22" s="414"/>
      <c r="AB22" s="414"/>
      <c r="AC22" s="414"/>
      <c r="AD22" s="414">
        <v>67</v>
      </c>
      <c r="AE22" s="414">
        <v>159</v>
      </c>
      <c r="AF22" s="437">
        <v>135</v>
      </c>
      <c r="AG22" s="437">
        <v>22</v>
      </c>
      <c r="AH22" s="437">
        <v>80</v>
      </c>
      <c r="AI22" s="413">
        <v>48</v>
      </c>
      <c r="AJ22" s="413"/>
      <c r="AK22" s="413"/>
      <c r="AL22" s="413"/>
      <c r="AM22" s="907">
        <f t="shared" si="9"/>
        <v>237</v>
      </c>
      <c r="AN22" s="907">
        <f t="shared" si="10"/>
        <v>316</v>
      </c>
    </row>
    <row r="23" spans="1:40">
      <c r="A23" s="932">
        <v>20</v>
      </c>
      <c r="B23" s="932" t="s">
        <v>2</v>
      </c>
      <c r="C23" s="933" t="s">
        <v>47</v>
      </c>
      <c r="D23" s="934" t="s">
        <v>19</v>
      </c>
      <c r="E23" s="934" t="s">
        <v>20</v>
      </c>
      <c r="F23" s="932" t="s">
        <v>239</v>
      </c>
      <c r="G23" s="932"/>
      <c r="H23" s="921">
        <v>524.70000000000005</v>
      </c>
      <c r="I23" s="921"/>
      <c r="J23" s="921"/>
      <c r="K23" s="921">
        <f t="shared" si="8"/>
        <v>174</v>
      </c>
      <c r="L23" s="918">
        <f>[4]L5!E551</f>
        <v>45593</v>
      </c>
      <c r="M23" s="918">
        <f>[4]L5!F551</f>
        <v>45766</v>
      </c>
      <c r="N23" s="918"/>
      <c r="O23" s="918"/>
      <c r="P23" s="918"/>
      <c r="Q23" s="918"/>
      <c r="R23" s="919">
        <f t="shared" si="7"/>
        <v>524.70000000000005</v>
      </c>
      <c r="S23" s="922"/>
      <c r="T23" s="922"/>
      <c r="U23" s="922"/>
      <c r="V23" s="413"/>
      <c r="W23" s="413"/>
      <c r="X23" s="413"/>
      <c r="Y23" s="413"/>
      <c r="Z23" s="414">
        <v>60</v>
      </c>
      <c r="AA23" s="414">
        <v>134</v>
      </c>
      <c r="AB23" s="414">
        <v>135</v>
      </c>
      <c r="AC23" s="414">
        <v>55</v>
      </c>
      <c r="AD23" s="414">
        <v>80</v>
      </c>
      <c r="AE23" s="414"/>
      <c r="AF23" s="436"/>
      <c r="AG23" s="437"/>
      <c r="AH23" s="437">
        <v>48</v>
      </c>
      <c r="AI23" s="413"/>
      <c r="AJ23" s="413"/>
      <c r="AK23" s="413"/>
      <c r="AL23" s="413"/>
      <c r="AM23" s="907">
        <f t="shared" si="9"/>
        <v>48</v>
      </c>
      <c r="AN23" s="907">
        <f t="shared" si="10"/>
        <v>0</v>
      </c>
    </row>
    <row r="24" spans="1:40">
      <c r="A24" s="932">
        <v>21</v>
      </c>
      <c r="B24" s="932" t="s">
        <v>2</v>
      </c>
      <c r="C24" s="933" t="s">
        <v>47</v>
      </c>
      <c r="D24" s="934" t="s">
        <v>19</v>
      </c>
      <c r="E24" s="934" t="s">
        <v>20</v>
      </c>
      <c r="F24" s="932" t="s">
        <v>117</v>
      </c>
      <c r="G24" s="932"/>
      <c r="H24" s="921">
        <v>1975.1</v>
      </c>
      <c r="I24" s="921"/>
      <c r="J24" s="921">
        <v>430</v>
      </c>
      <c r="K24" s="921">
        <f t="shared" si="8"/>
        <v>198</v>
      </c>
      <c r="L24" s="918">
        <f>[4]L5!E552</f>
        <v>45529</v>
      </c>
      <c r="M24" s="918">
        <f>[4]L5!F552</f>
        <v>45726</v>
      </c>
      <c r="N24" s="918"/>
      <c r="O24" s="918"/>
      <c r="P24" s="918"/>
      <c r="Q24" s="918"/>
      <c r="R24" s="919">
        <f t="shared" si="7"/>
        <v>1545.1</v>
      </c>
      <c r="S24" s="922"/>
      <c r="T24" s="922"/>
      <c r="U24" s="922"/>
      <c r="V24" s="413"/>
      <c r="W24" s="413"/>
      <c r="X24" s="414"/>
      <c r="Y24" s="414"/>
      <c r="Z24" s="414"/>
      <c r="AA24" s="414">
        <v>320</v>
      </c>
      <c r="AB24" s="414">
        <v>280</v>
      </c>
      <c r="AC24" s="414">
        <v>320</v>
      </c>
      <c r="AD24" s="414"/>
      <c r="AE24" s="414"/>
      <c r="AF24" s="437">
        <v>160</v>
      </c>
      <c r="AG24" s="437">
        <v>320</v>
      </c>
      <c r="AH24" s="437">
        <v>146</v>
      </c>
      <c r="AI24" s="413">
        <v>144</v>
      </c>
      <c r="AJ24" s="413"/>
      <c r="AK24" s="413"/>
      <c r="AL24" s="413"/>
      <c r="AM24" s="907">
        <f t="shared" si="9"/>
        <v>626</v>
      </c>
      <c r="AN24" s="907">
        <f t="shared" si="10"/>
        <v>480</v>
      </c>
    </row>
    <row r="25" spans="1:40">
      <c r="A25" s="932">
        <v>22</v>
      </c>
      <c r="B25" s="932" t="s">
        <v>2</v>
      </c>
      <c r="C25" s="933" t="s">
        <v>47</v>
      </c>
      <c r="D25" s="934" t="s">
        <v>19</v>
      </c>
      <c r="E25" s="934" t="s">
        <v>20</v>
      </c>
      <c r="F25" s="932" t="s">
        <v>240</v>
      </c>
      <c r="G25" s="932"/>
      <c r="H25" s="921">
        <v>343.7</v>
      </c>
      <c r="I25" s="921"/>
      <c r="J25" s="921"/>
      <c r="K25" s="921">
        <f t="shared" si="8"/>
        <v>179</v>
      </c>
      <c r="L25" s="918">
        <f>[4]L5!E553</f>
        <v>45605</v>
      </c>
      <c r="M25" s="918">
        <f>[4]L5!F553</f>
        <v>45783</v>
      </c>
      <c r="N25" s="918"/>
      <c r="O25" s="918"/>
      <c r="P25" s="918"/>
      <c r="Q25" s="918"/>
      <c r="R25" s="919">
        <f t="shared" si="7"/>
        <v>343.7</v>
      </c>
      <c r="S25" s="922"/>
      <c r="T25" s="922"/>
      <c r="U25" s="922"/>
      <c r="V25" s="413"/>
      <c r="W25" s="413"/>
      <c r="X25" s="413"/>
      <c r="Y25" s="413"/>
      <c r="Z25" s="413"/>
      <c r="AA25" s="414"/>
      <c r="AB25" s="414"/>
      <c r="AC25" s="414"/>
      <c r="AD25" s="414"/>
      <c r="AE25" s="414"/>
      <c r="AF25" s="436">
        <v>160</v>
      </c>
      <c r="AG25" s="437">
        <v>160</v>
      </c>
      <c r="AH25" s="437">
        <v>200</v>
      </c>
      <c r="AI25" s="413">
        <v>216</v>
      </c>
      <c r="AJ25" s="413"/>
      <c r="AK25" s="413"/>
      <c r="AL25" s="413"/>
      <c r="AM25" s="907">
        <f t="shared" si="9"/>
        <v>520</v>
      </c>
      <c r="AN25" s="907">
        <f t="shared" si="10"/>
        <v>320</v>
      </c>
    </row>
    <row r="26" spans="1:40">
      <c r="A26" s="932">
        <v>23</v>
      </c>
      <c r="B26" s="932" t="s">
        <v>2</v>
      </c>
      <c r="C26" s="933" t="s">
        <v>47</v>
      </c>
      <c r="D26" s="934" t="s">
        <v>19</v>
      </c>
      <c r="E26" s="934" t="s">
        <v>20</v>
      </c>
      <c r="F26" s="932" t="s">
        <v>241</v>
      </c>
      <c r="G26" s="932"/>
      <c r="H26" s="921">
        <v>392.59999999999997</v>
      </c>
      <c r="I26" s="921"/>
      <c r="J26" s="921"/>
      <c r="K26" s="921">
        <f t="shared" si="8"/>
        <v>179</v>
      </c>
      <c r="L26" s="918">
        <f>[4]L5!E554</f>
        <v>45539</v>
      </c>
      <c r="M26" s="918">
        <f>[4]L5!F554</f>
        <v>45717</v>
      </c>
      <c r="N26" s="918"/>
      <c r="O26" s="918"/>
      <c r="P26" s="918"/>
      <c r="Q26" s="918"/>
      <c r="R26" s="919">
        <f t="shared" si="7"/>
        <v>392.59999999999997</v>
      </c>
      <c r="S26" s="922"/>
      <c r="T26" s="922"/>
      <c r="U26" s="922"/>
      <c r="V26" s="413"/>
      <c r="W26" s="413"/>
      <c r="X26" s="413">
        <v>70</v>
      </c>
      <c r="Y26" s="413">
        <v>175</v>
      </c>
      <c r="Z26" s="413">
        <v>100</v>
      </c>
      <c r="AA26" s="413">
        <v>170</v>
      </c>
      <c r="AB26" s="413"/>
      <c r="AC26" s="414"/>
      <c r="AD26" s="413"/>
      <c r="AE26" s="413"/>
      <c r="AF26" s="437"/>
      <c r="AG26" s="437"/>
      <c r="AH26" s="437">
        <v>49</v>
      </c>
      <c r="AI26" s="413"/>
      <c r="AJ26" s="413"/>
      <c r="AK26" s="413"/>
      <c r="AL26" s="413"/>
      <c r="AM26" s="907">
        <f t="shared" si="9"/>
        <v>49</v>
      </c>
      <c r="AN26" s="907">
        <f t="shared" si="10"/>
        <v>0</v>
      </c>
    </row>
    <row r="27" spans="1:40">
      <c r="A27" s="932">
        <v>24</v>
      </c>
      <c r="B27" s="932" t="s">
        <v>2</v>
      </c>
      <c r="C27" s="933" t="s">
        <v>47</v>
      </c>
      <c r="D27" s="934" t="s">
        <v>19</v>
      </c>
      <c r="E27" s="934" t="s">
        <v>20</v>
      </c>
      <c r="F27" s="932" t="s">
        <v>242</v>
      </c>
      <c r="G27" s="932"/>
      <c r="H27" s="921">
        <v>298.10000000000002</v>
      </c>
      <c r="I27" s="921"/>
      <c r="J27" s="921"/>
      <c r="K27" s="921">
        <f t="shared" si="8"/>
        <v>179</v>
      </c>
      <c r="L27" s="918">
        <f>[4]L5!E555</f>
        <v>45521</v>
      </c>
      <c r="M27" s="918">
        <f>[4]L5!F555</f>
        <v>45699</v>
      </c>
      <c r="N27" s="918"/>
      <c r="O27" s="918"/>
      <c r="P27" s="918"/>
      <c r="Q27" s="918"/>
      <c r="R27" s="919">
        <f t="shared" si="7"/>
        <v>298.10000000000002</v>
      </c>
      <c r="S27" s="922"/>
      <c r="T27" s="922"/>
      <c r="U27" s="922"/>
      <c r="V27" s="413"/>
      <c r="W27" s="413"/>
      <c r="X27" s="414"/>
      <c r="Y27" s="414"/>
      <c r="Z27" s="414"/>
      <c r="AA27" s="414"/>
      <c r="AB27" s="414"/>
      <c r="AC27" s="414"/>
      <c r="AD27" s="413"/>
      <c r="AE27" s="413"/>
      <c r="AF27" s="437">
        <v>120</v>
      </c>
      <c r="AG27" s="437">
        <v>116</v>
      </c>
      <c r="AH27" s="437">
        <v>90</v>
      </c>
      <c r="AI27" s="413">
        <v>203</v>
      </c>
      <c r="AJ27" s="413"/>
      <c r="AK27" s="413"/>
      <c r="AL27" s="413"/>
      <c r="AM27" s="907">
        <f t="shared" si="9"/>
        <v>326</v>
      </c>
      <c r="AN27" s="907">
        <f t="shared" si="10"/>
        <v>236</v>
      </c>
    </row>
    <row r="28" spans="1:40">
      <c r="A28" s="932">
        <v>25</v>
      </c>
      <c r="B28" s="932" t="s">
        <v>2</v>
      </c>
      <c r="C28" s="933" t="s">
        <v>47</v>
      </c>
      <c r="D28" s="934" t="s">
        <v>19</v>
      </c>
      <c r="E28" s="934" t="s">
        <v>20</v>
      </c>
      <c r="F28" s="932" t="s">
        <v>243</v>
      </c>
      <c r="G28" s="932"/>
      <c r="H28" s="921">
        <v>298.10000000000002</v>
      </c>
      <c r="I28" s="921"/>
      <c r="J28" s="921"/>
      <c r="K28" s="921">
        <f t="shared" si="8"/>
        <v>179</v>
      </c>
      <c r="L28" s="918">
        <f>[4]L5!E556</f>
        <v>45531</v>
      </c>
      <c r="M28" s="918">
        <f>[4]L5!F556</f>
        <v>45709</v>
      </c>
      <c r="N28" s="922"/>
      <c r="O28" s="922"/>
      <c r="P28" s="922"/>
      <c r="Q28" s="922"/>
      <c r="R28" s="919">
        <f t="shared" si="7"/>
        <v>298.10000000000002</v>
      </c>
      <c r="S28" s="922"/>
      <c r="T28" s="922"/>
      <c r="U28" s="922"/>
      <c r="V28" s="413"/>
      <c r="W28" s="413"/>
      <c r="X28" s="414"/>
      <c r="Y28" s="414"/>
      <c r="Z28" s="414"/>
      <c r="AA28" s="414"/>
      <c r="AB28" s="414"/>
      <c r="AC28" s="414">
        <v>130</v>
      </c>
      <c r="AD28" s="413">
        <v>55</v>
      </c>
      <c r="AE28" s="413">
        <v>45</v>
      </c>
      <c r="AF28" s="437">
        <v>75</v>
      </c>
      <c r="AG28" s="437">
        <v>120</v>
      </c>
      <c r="AH28" s="437">
        <v>48</v>
      </c>
      <c r="AI28" s="413"/>
      <c r="AJ28" s="413"/>
      <c r="AK28" s="413"/>
      <c r="AL28" s="413"/>
      <c r="AM28" s="907">
        <f t="shared" si="9"/>
        <v>243</v>
      </c>
      <c r="AN28" s="907">
        <f t="shared" si="10"/>
        <v>240</v>
      </c>
    </row>
    <row r="29" spans="1:40">
      <c r="A29" s="932">
        <v>26</v>
      </c>
      <c r="B29" s="932" t="s">
        <v>2</v>
      </c>
      <c r="C29" s="933" t="s">
        <v>47</v>
      </c>
      <c r="D29" s="934" t="s">
        <v>19</v>
      </c>
      <c r="E29" s="934" t="s">
        <v>20</v>
      </c>
      <c r="F29" s="922" t="s">
        <v>244</v>
      </c>
      <c r="G29" s="922"/>
      <c r="H29" s="921">
        <v>166.9</v>
      </c>
      <c r="I29" s="921"/>
      <c r="J29" s="921"/>
      <c r="K29" s="921">
        <f t="shared" si="8"/>
        <v>179</v>
      </c>
      <c r="L29" s="918">
        <f>[4]L5!E557</f>
        <v>45531</v>
      </c>
      <c r="M29" s="918">
        <f>[4]L5!F557</f>
        <v>45709</v>
      </c>
      <c r="N29" s="922"/>
      <c r="O29" s="922"/>
      <c r="P29" s="922"/>
      <c r="Q29" s="922"/>
      <c r="R29" s="919">
        <f t="shared" si="7"/>
        <v>166.9</v>
      </c>
      <c r="S29" s="922"/>
      <c r="T29" s="922"/>
      <c r="U29" s="922"/>
      <c r="V29" s="413"/>
      <c r="W29" s="413"/>
      <c r="X29" s="413"/>
      <c r="Y29" s="414"/>
      <c r="Z29" s="413"/>
      <c r="AA29" s="413"/>
      <c r="AB29" s="413"/>
      <c r="AC29" s="413"/>
      <c r="AD29" s="413"/>
      <c r="AE29" s="413"/>
      <c r="AF29" s="413"/>
      <c r="AG29" s="413"/>
      <c r="AH29" s="413"/>
      <c r="AI29" s="413"/>
      <c r="AJ29" s="413"/>
      <c r="AK29" s="413"/>
      <c r="AL29" s="413"/>
      <c r="AM29" s="907">
        <f t="shared" si="9"/>
        <v>0</v>
      </c>
      <c r="AN29" s="907">
        <f t="shared" si="10"/>
        <v>0</v>
      </c>
    </row>
    <row r="30" spans="1:40">
      <c r="A30" s="932">
        <v>27</v>
      </c>
      <c r="B30" s="932" t="s">
        <v>2</v>
      </c>
      <c r="C30" s="933" t="s">
        <v>47</v>
      </c>
      <c r="D30" s="934" t="s">
        <v>19</v>
      </c>
      <c r="E30" s="934" t="s">
        <v>20</v>
      </c>
      <c r="F30" s="922" t="s">
        <v>123</v>
      </c>
      <c r="G30" s="922"/>
      <c r="H30" s="921">
        <v>176.3</v>
      </c>
      <c r="I30" s="921"/>
      <c r="J30" s="921"/>
      <c r="K30" s="921">
        <f t="shared" si="8"/>
        <v>91</v>
      </c>
      <c r="L30" s="918">
        <f>[4]L5!E558</f>
        <v>45676</v>
      </c>
      <c r="M30" s="918">
        <f>[4]L5!F558</f>
        <v>45766</v>
      </c>
      <c r="N30" s="922"/>
      <c r="O30" s="922"/>
      <c r="P30" s="922"/>
      <c r="Q30" s="922"/>
      <c r="R30" s="919">
        <f t="shared" si="7"/>
        <v>176.3</v>
      </c>
      <c r="S30" s="922"/>
      <c r="T30" s="922"/>
      <c r="U30" s="922"/>
      <c r="V30" s="413"/>
      <c r="W30" s="413"/>
      <c r="X30" s="413"/>
      <c r="Y30" s="413"/>
      <c r="Z30" s="413"/>
      <c r="AA30" s="413"/>
      <c r="AB30" s="413"/>
      <c r="AC30" s="414"/>
      <c r="AD30" s="414"/>
      <c r="AE30" s="414"/>
      <c r="AF30" s="413"/>
      <c r="AG30" s="413"/>
      <c r="AH30" s="413"/>
      <c r="AI30" s="413"/>
      <c r="AJ30" s="413"/>
      <c r="AK30" s="413"/>
      <c r="AL30" s="413"/>
      <c r="AM30" s="907">
        <f t="shared" si="9"/>
        <v>0</v>
      </c>
      <c r="AN30" s="907">
        <f t="shared" si="10"/>
        <v>0</v>
      </c>
    </row>
    <row r="31" spans="1:40">
      <c r="A31" s="932">
        <v>28</v>
      </c>
      <c r="B31" s="932" t="s">
        <v>2</v>
      </c>
      <c r="C31" s="933" t="s">
        <v>47</v>
      </c>
      <c r="D31" s="934" t="s">
        <v>19</v>
      </c>
      <c r="E31" s="934" t="s">
        <v>20</v>
      </c>
      <c r="F31" s="922" t="s">
        <v>124</v>
      </c>
      <c r="G31" s="922"/>
      <c r="H31" s="921">
        <v>1951.1999999999998</v>
      </c>
      <c r="I31" s="921"/>
      <c r="J31" s="921"/>
      <c r="K31" s="921">
        <f t="shared" si="8"/>
        <v>121</v>
      </c>
      <c r="L31" s="918">
        <f>[4]L5!E559</f>
        <v>45578</v>
      </c>
      <c r="M31" s="918">
        <f>[4]L5!F559</f>
        <v>45698</v>
      </c>
      <c r="N31" s="922"/>
      <c r="O31" s="922"/>
      <c r="P31" s="922"/>
      <c r="Q31" s="922"/>
      <c r="R31" s="919">
        <f t="shared" si="7"/>
        <v>1951.1999999999998</v>
      </c>
      <c r="S31" s="922"/>
      <c r="T31" s="922"/>
      <c r="U31" s="922"/>
      <c r="V31" s="413"/>
      <c r="W31" s="413"/>
      <c r="X31" s="413"/>
      <c r="Y31" s="413"/>
      <c r="Z31" s="414"/>
      <c r="AA31" s="414"/>
      <c r="AB31" s="414"/>
      <c r="AC31" s="414"/>
      <c r="AD31" s="414"/>
      <c r="AE31" s="413"/>
      <c r="AF31" s="413"/>
      <c r="AG31" s="413"/>
      <c r="AH31" s="413"/>
      <c r="AI31" s="413"/>
      <c r="AJ31" s="413"/>
      <c r="AK31" s="413"/>
      <c r="AL31" s="413"/>
      <c r="AM31" s="907">
        <f t="shared" si="9"/>
        <v>0</v>
      </c>
      <c r="AN31" s="907">
        <f t="shared" si="10"/>
        <v>0</v>
      </c>
    </row>
    <row r="32" spans="1:40">
      <c r="A32" s="932">
        <v>29</v>
      </c>
      <c r="B32" s="932" t="s">
        <v>2</v>
      </c>
      <c r="C32" s="933" t="s">
        <v>47</v>
      </c>
      <c r="D32" s="934" t="s">
        <v>19</v>
      </c>
      <c r="E32" s="934" t="s">
        <v>20</v>
      </c>
      <c r="F32" s="932" t="s">
        <v>125</v>
      </c>
      <c r="G32" s="932"/>
      <c r="H32" s="921">
        <v>1584.4</v>
      </c>
      <c r="I32" s="921"/>
      <c r="J32" s="921"/>
      <c r="K32" s="921">
        <f t="shared" si="8"/>
        <v>91</v>
      </c>
      <c r="L32" s="918">
        <f>[4]L5!E560</f>
        <v>45657</v>
      </c>
      <c r="M32" s="918">
        <f>[4]L5!F560</f>
        <v>45747</v>
      </c>
      <c r="N32" s="922"/>
      <c r="O32" s="922"/>
      <c r="P32" s="922"/>
      <c r="Q32" s="922"/>
      <c r="R32" s="919">
        <f t="shared" si="7"/>
        <v>1584.4</v>
      </c>
      <c r="S32" s="922"/>
      <c r="T32" s="922"/>
      <c r="U32" s="922"/>
      <c r="V32" s="413"/>
      <c r="W32" s="413"/>
      <c r="X32" s="413"/>
      <c r="Y32" s="413"/>
      <c r="Z32" s="413">
        <v>300</v>
      </c>
      <c r="AA32" s="413">
        <v>300</v>
      </c>
      <c r="AB32" s="413">
        <v>300</v>
      </c>
      <c r="AC32" s="414">
        <v>300</v>
      </c>
      <c r="AD32" s="414"/>
      <c r="AE32" s="414"/>
      <c r="AF32" s="437"/>
      <c r="AG32" s="437">
        <v>300</v>
      </c>
      <c r="AH32" s="437"/>
      <c r="AI32" s="413"/>
      <c r="AJ32" s="413"/>
      <c r="AK32" s="413"/>
      <c r="AL32" s="413"/>
      <c r="AM32" s="907">
        <f t="shared" si="9"/>
        <v>300</v>
      </c>
      <c r="AN32" s="907">
        <f t="shared" si="10"/>
        <v>300</v>
      </c>
    </row>
    <row r="33" spans="1:40" s="62" customFormat="1">
      <c r="A33" s="936">
        <v>30</v>
      </c>
      <c r="B33" s="932" t="s">
        <v>2</v>
      </c>
      <c r="C33" s="933" t="s">
        <v>47</v>
      </c>
      <c r="D33" s="934" t="s">
        <v>19</v>
      </c>
      <c r="E33" s="934" t="s">
        <v>20</v>
      </c>
      <c r="F33" s="923" t="s">
        <v>126</v>
      </c>
      <c r="G33" s="923"/>
      <c r="H33" s="937">
        <v>1362.9</v>
      </c>
      <c r="I33" s="937"/>
      <c r="J33" s="937"/>
      <c r="K33" s="923"/>
      <c r="L33" s="923"/>
      <c r="M33" s="923"/>
      <c r="N33" s="922"/>
      <c r="O33" s="922"/>
      <c r="P33" s="922"/>
      <c r="Q33" s="922"/>
      <c r="R33" s="919">
        <f t="shared" si="7"/>
        <v>1362.9</v>
      </c>
      <c r="S33" s="923"/>
      <c r="T33" s="923"/>
      <c r="U33" s="923"/>
      <c r="V33" s="417"/>
      <c r="W33" s="417"/>
      <c r="X33" s="417"/>
      <c r="Y33" s="417"/>
      <c r="Z33" s="417"/>
      <c r="AA33" s="417"/>
      <c r="AB33" s="417"/>
      <c r="AC33" s="417"/>
      <c r="AD33" s="417"/>
      <c r="AE33" s="418"/>
      <c r="AF33" s="418"/>
      <c r="AG33" s="417"/>
      <c r="AH33" s="417"/>
      <c r="AI33" s="417"/>
      <c r="AJ33" s="417"/>
      <c r="AK33" s="417"/>
      <c r="AL33" s="417"/>
      <c r="AM33" s="907">
        <f t="shared" si="9"/>
        <v>0</v>
      </c>
      <c r="AN33" s="907">
        <f t="shared" si="10"/>
        <v>0</v>
      </c>
    </row>
    <row r="34" spans="1:40" s="62" customFormat="1">
      <c r="A34" s="936">
        <v>31</v>
      </c>
      <c r="B34" s="932" t="s">
        <v>2</v>
      </c>
      <c r="C34" s="933" t="s">
        <v>47</v>
      </c>
      <c r="D34" s="934" t="s">
        <v>19</v>
      </c>
      <c r="E34" s="934" t="s">
        <v>20</v>
      </c>
      <c r="F34" s="923" t="s">
        <v>127</v>
      </c>
      <c r="G34" s="923"/>
      <c r="H34" s="937">
        <v>1927.8</v>
      </c>
      <c r="I34" s="937"/>
      <c r="J34" s="937"/>
      <c r="K34" s="923"/>
      <c r="L34" s="923"/>
      <c r="M34" s="923"/>
      <c r="N34" s="922"/>
      <c r="O34" s="922"/>
      <c r="P34" s="922"/>
      <c r="Q34" s="922"/>
      <c r="R34" s="919">
        <f t="shared" si="7"/>
        <v>1927.8</v>
      </c>
      <c r="S34" s="923"/>
      <c r="T34" s="923"/>
      <c r="U34" s="923"/>
      <c r="V34" s="417"/>
      <c r="W34" s="417"/>
      <c r="X34" s="417"/>
      <c r="Y34" s="417"/>
      <c r="Z34" s="417"/>
      <c r="AA34" s="417"/>
      <c r="AB34" s="417"/>
      <c r="AC34" s="417"/>
      <c r="AD34" s="417"/>
      <c r="AE34" s="418"/>
      <c r="AF34" s="418"/>
      <c r="AG34" s="418"/>
      <c r="AH34" s="417"/>
      <c r="AI34" s="417"/>
      <c r="AJ34" s="417"/>
      <c r="AK34" s="417"/>
      <c r="AL34" s="417"/>
      <c r="AM34" s="907">
        <f t="shared" si="9"/>
        <v>0</v>
      </c>
      <c r="AN34" s="907">
        <f t="shared" si="10"/>
        <v>0</v>
      </c>
    </row>
    <row r="35" spans="1:40" s="62" customFormat="1">
      <c r="A35" s="936">
        <v>32</v>
      </c>
      <c r="B35" s="932" t="s">
        <v>2</v>
      </c>
      <c r="C35" s="933" t="s">
        <v>47</v>
      </c>
      <c r="D35" s="934" t="s">
        <v>19</v>
      </c>
      <c r="E35" s="934" t="s">
        <v>20</v>
      </c>
      <c r="F35" s="923" t="s">
        <v>128</v>
      </c>
      <c r="G35" s="923"/>
      <c r="H35" s="937">
        <v>355</v>
      </c>
      <c r="I35" s="937"/>
      <c r="J35" s="937"/>
      <c r="K35" s="923"/>
      <c r="L35" s="923"/>
      <c r="M35" s="923"/>
      <c r="N35" s="922"/>
      <c r="O35" s="922"/>
      <c r="P35" s="922"/>
      <c r="Q35" s="922"/>
      <c r="R35" s="919">
        <f t="shared" si="7"/>
        <v>355</v>
      </c>
      <c r="S35" s="923"/>
      <c r="T35" s="923"/>
      <c r="U35" s="923"/>
      <c r="V35" s="417"/>
      <c r="W35" s="417"/>
      <c r="X35" s="417"/>
      <c r="Y35" s="417"/>
      <c r="Z35" s="417"/>
      <c r="AA35" s="417"/>
      <c r="AB35" s="417"/>
      <c r="AC35" s="417"/>
      <c r="AD35" s="417"/>
      <c r="AE35" s="418"/>
      <c r="AF35" s="418"/>
      <c r="AG35" s="418"/>
      <c r="AH35" s="417"/>
      <c r="AI35" s="417"/>
      <c r="AJ35" s="417"/>
      <c r="AK35" s="417"/>
      <c r="AL35" s="417"/>
      <c r="AM35" s="907">
        <f t="shared" si="9"/>
        <v>0</v>
      </c>
      <c r="AN35" s="907">
        <f t="shared" si="10"/>
        <v>0</v>
      </c>
    </row>
    <row r="36" spans="1:40" s="62" customFormat="1">
      <c r="A36" s="936">
        <v>33</v>
      </c>
      <c r="B36" s="932" t="s">
        <v>2</v>
      </c>
      <c r="C36" s="933" t="s">
        <v>47</v>
      </c>
      <c r="D36" s="934" t="s">
        <v>19</v>
      </c>
      <c r="E36" s="934" t="s">
        <v>20</v>
      </c>
      <c r="F36" s="923" t="s">
        <v>129</v>
      </c>
      <c r="G36" s="923"/>
      <c r="H36" s="937">
        <f>176.1+16209.2+172-H38</f>
        <v>6496.6999999999989</v>
      </c>
      <c r="I36" s="937"/>
      <c r="J36" s="937"/>
      <c r="K36" s="923"/>
      <c r="L36" s="923"/>
      <c r="M36" s="923"/>
      <c r="N36" s="922"/>
      <c r="O36" s="922"/>
      <c r="P36" s="922"/>
      <c r="Q36" s="922"/>
      <c r="R36" s="919">
        <f t="shared" si="7"/>
        <v>6496.6999999999989</v>
      </c>
      <c r="S36" s="923"/>
      <c r="T36" s="923"/>
      <c r="U36" s="923"/>
      <c r="V36" s="417"/>
      <c r="W36" s="417"/>
      <c r="X36" s="417"/>
      <c r="Y36" s="417"/>
      <c r="Z36" s="417"/>
      <c r="AA36" s="417"/>
      <c r="AB36" s="417"/>
      <c r="AC36" s="417"/>
      <c r="AD36" s="417"/>
      <c r="AE36" s="418"/>
      <c r="AF36" s="418"/>
      <c r="AG36" s="418"/>
      <c r="AH36" s="417"/>
      <c r="AI36" s="417"/>
      <c r="AJ36" s="417"/>
      <c r="AK36" s="417"/>
      <c r="AL36" s="417"/>
      <c r="AM36" s="907">
        <f t="shared" si="9"/>
        <v>0</v>
      </c>
      <c r="AN36" s="907">
        <f t="shared" si="10"/>
        <v>0</v>
      </c>
    </row>
    <row r="37" spans="1:40" s="62" customFormat="1">
      <c r="A37" s="936">
        <v>34</v>
      </c>
      <c r="B37" s="932" t="s">
        <v>2</v>
      </c>
      <c r="C37" s="933" t="s">
        <v>47</v>
      </c>
      <c r="D37" s="934" t="s">
        <v>19</v>
      </c>
      <c r="E37" s="934" t="s">
        <v>20</v>
      </c>
      <c r="F37" s="923" t="s">
        <v>130</v>
      </c>
      <c r="G37" s="923"/>
      <c r="H37" s="937">
        <v>64.2</v>
      </c>
      <c r="I37" s="937"/>
      <c r="J37" s="937"/>
      <c r="K37" s="923"/>
      <c r="L37" s="923"/>
      <c r="M37" s="923"/>
      <c r="N37" s="923"/>
      <c r="O37" s="923"/>
      <c r="P37" s="923"/>
      <c r="Q37" s="923"/>
      <c r="R37" s="919">
        <f t="shared" si="7"/>
        <v>64.2</v>
      </c>
      <c r="S37" s="923"/>
      <c r="T37" s="923"/>
      <c r="U37" s="923"/>
      <c r="V37" s="417"/>
      <c r="W37" s="417"/>
      <c r="X37" s="417"/>
      <c r="Y37" s="417"/>
      <c r="Z37" s="417"/>
      <c r="AA37" s="417"/>
      <c r="AB37" s="417"/>
      <c r="AC37" s="417"/>
      <c r="AD37" s="417"/>
      <c r="AE37" s="417"/>
      <c r="AF37" s="417"/>
      <c r="AG37" s="418"/>
      <c r="AH37" s="417"/>
      <c r="AI37" s="417"/>
      <c r="AJ37" s="417"/>
      <c r="AK37" s="417"/>
      <c r="AL37" s="417"/>
      <c r="AM37" s="907">
        <f t="shared" si="9"/>
        <v>0</v>
      </c>
      <c r="AN37" s="907">
        <f t="shared" si="10"/>
        <v>0</v>
      </c>
    </row>
    <row r="38" spans="1:40" s="62" customFormat="1">
      <c r="A38" s="938">
        <v>35</v>
      </c>
      <c r="B38" s="932" t="s">
        <v>2</v>
      </c>
      <c r="C38" s="933" t="s">
        <v>47</v>
      </c>
      <c r="D38" s="934" t="s">
        <v>19</v>
      </c>
      <c r="E38" s="934" t="s">
        <v>20</v>
      </c>
      <c r="F38" s="938" t="s">
        <v>131</v>
      </c>
      <c r="G38" s="938"/>
      <c r="H38" s="924">
        <f>13060.6-3000</f>
        <v>10060.6</v>
      </c>
      <c r="I38" s="924"/>
      <c r="J38" s="937"/>
      <c r="K38" s="923"/>
      <c r="L38" s="923"/>
      <c r="M38" s="923"/>
      <c r="N38" s="923"/>
      <c r="O38" s="923"/>
      <c r="P38" s="923"/>
      <c r="Q38" s="923"/>
      <c r="R38" s="919">
        <f t="shared" si="7"/>
        <v>10060.6</v>
      </c>
      <c r="S38" s="923"/>
      <c r="T38" s="923"/>
      <c r="U38" s="923"/>
      <c r="V38" s="417"/>
      <c r="W38" s="417"/>
      <c r="X38" s="417"/>
      <c r="Y38" s="417"/>
      <c r="Z38" s="417"/>
      <c r="AA38" s="417"/>
      <c r="AB38" s="417"/>
      <c r="AC38" s="417"/>
      <c r="AD38" s="418"/>
      <c r="AE38" s="418"/>
      <c r="AF38" s="908"/>
      <c r="AG38" s="908"/>
      <c r="AH38" s="909">
        <v>2701</v>
      </c>
      <c r="AI38" s="417">
        <v>2201</v>
      </c>
      <c r="AJ38" s="417">
        <v>2001</v>
      </c>
      <c r="AK38" s="417">
        <v>1801</v>
      </c>
      <c r="AL38" s="417">
        <v>1302</v>
      </c>
      <c r="AM38" s="907">
        <f t="shared" si="9"/>
        <v>2701</v>
      </c>
      <c r="AN38" s="907">
        <f t="shared" si="10"/>
        <v>0</v>
      </c>
    </row>
    <row r="39" spans="1:40" s="62" customFormat="1">
      <c r="A39" s="936"/>
      <c r="B39" s="932" t="s">
        <v>2</v>
      </c>
      <c r="C39" s="933" t="s">
        <v>47</v>
      </c>
      <c r="D39" s="934" t="s">
        <v>19</v>
      </c>
      <c r="E39" s="934" t="s">
        <v>20</v>
      </c>
      <c r="F39" s="923"/>
      <c r="G39" s="923"/>
      <c r="H39" s="937"/>
      <c r="I39" s="937"/>
      <c r="J39" s="937"/>
      <c r="K39" s="923"/>
      <c r="L39" s="923"/>
      <c r="M39" s="923"/>
      <c r="N39" s="923"/>
      <c r="O39" s="923"/>
      <c r="P39" s="923"/>
      <c r="Q39" s="923"/>
      <c r="R39" s="919">
        <f t="shared" si="7"/>
        <v>0</v>
      </c>
      <c r="S39" s="923"/>
      <c r="T39" s="923"/>
      <c r="U39" s="923"/>
      <c r="V39" s="417"/>
      <c r="W39" s="417"/>
      <c r="X39" s="417"/>
      <c r="Y39" s="417"/>
      <c r="Z39" s="417"/>
      <c r="AA39" s="417"/>
      <c r="AB39" s="417"/>
      <c r="AC39" s="417"/>
      <c r="AD39" s="417"/>
      <c r="AE39" s="417"/>
      <c r="AF39" s="417"/>
      <c r="AG39" s="418"/>
      <c r="AH39" s="417"/>
      <c r="AI39" s="910"/>
      <c r="AJ39" s="417"/>
      <c r="AK39" s="418"/>
      <c r="AL39" s="418"/>
      <c r="AM39" s="418"/>
      <c r="AN39" s="907">
        <f t="shared" si="10"/>
        <v>0</v>
      </c>
    </row>
    <row r="40" spans="1:40" s="62" customFormat="1" ht="15" thickBot="1">
      <c r="A40" s="936"/>
      <c r="B40" s="932" t="s">
        <v>2</v>
      </c>
      <c r="C40" s="933" t="s">
        <v>47</v>
      </c>
      <c r="D40" s="934" t="s">
        <v>19</v>
      </c>
      <c r="E40" s="934" t="s">
        <v>20</v>
      </c>
      <c r="F40" s="923"/>
      <c r="G40" s="923"/>
      <c r="H40" s="937"/>
      <c r="I40" s="937"/>
      <c r="J40" s="937"/>
      <c r="K40" s="923"/>
      <c r="L40" s="923"/>
      <c r="M40" s="923"/>
      <c r="N40" s="923"/>
      <c r="O40" s="923"/>
      <c r="P40" s="923"/>
      <c r="Q40" s="923"/>
      <c r="R40" s="923"/>
      <c r="S40" s="923"/>
      <c r="T40" s="923"/>
      <c r="U40" s="923"/>
      <c r="V40" s="417"/>
      <c r="W40" s="417"/>
      <c r="X40" s="417"/>
      <c r="Y40" s="417"/>
      <c r="Z40" s="417"/>
      <c r="AA40" s="417"/>
      <c r="AB40" s="417"/>
      <c r="AC40" s="417"/>
      <c r="AD40" s="417"/>
      <c r="AE40" s="417"/>
      <c r="AF40" s="417"/>
      <c r="AG40" s="418"/>
      <c r="AH40" s="417"/>
      <c r="AI40" s="910"/>
      <c r="AJ40" s="417"/>
      <c r="AK40" s="418"/>
      <c r="AL40" s="418"/>
      <c r="AM40" s="418"/>
      <c r="AN40" s="907">
        <f t="shared" si="10"/>
        <v>0</v>
      </c>
    </row>
    <row r="41" spans="1:40" s="50" customFormat="1" ht="24" thickBot="1">
      <c r="A41" s="927"/>
      <c r="B41" s="892"/>
      <c r="C41" s="892"/>
      <c r="D41" s="892"/>
      <c r="E41" s="892"/>
      <c r="F41" s="906" t="s">
        <v>132</v>
      </c>
      <c r="G41" s="906"/>
      <c r="H41" s="906">
        <v>87100</v>
      </c>
      <c r="I41" s="906"/>
      <c r="J41" s="928"/>
      <c r="K41" s="929"/>
      <c r="L41" s="930"/>
      <c r="M41" s="930"/>
      <c r="N41" s="892"/>
      <c r="O41" s="892"/>
      <c r="P41" s="892"/>
      <c r="Q41" s="892"/>
      <c r="R41" s="892"/>
      <c r="S41" s="905">
        <f>SUM(S4:S40)</f>
        <v>0</v>
      </c>
      <c r="T41" s="905">
        <f>SUM(T4:T40)</f>
        <v>0</v>
      </c>
      <c r="U41" s="905">
        <f>SUM(U4:U40)</f>
        <v>0</v>
      </c>
      <c r="V41" s="915">
        <f>SUM(V4:V40)</f>
        <v>716</v>
      </c>
      <c r="W41" s="915">
        <f t="shared" ref="W41:AL41" si="11">SUM(W4:W40)</f>
        <v>3336</v>
      </c>
      <c r="X41" s="915">
        <f t="shared" si="11"/>
        <v>3730</v>
      </c>
      <c r="Y41" s="915">
        <f t="shared" si="11"/>
        <v>3823</v>
      </c>
      <c r="Z41" s="915">
        <f t="shared" si="11"/>
        <v>3638</v>
      </c>
      <c r="AA41" s="915">
        <f t="shared" si="11"/>
        <v>4172</v>
      </c>
      <c r="AB41" s="915">
        <f t="shared" si="11"/>
        <v>4627</v>
      </c>
      <c r="AC41" s="915">
        <f t="shared" si="11"/>
        <v>8631</v>
      </c>
      <c r="AD41" s="915">
        <f t="shared" si="11"/>
        <v>8648</v>
      </c>
      <c r="AE41" s="915">
        <f t="shared" si="11"/>
        <v>9516</v>
      </c>
      <c r="AF41" s="914">
        <f t="shared" si="11"/>
        <v>9162</v>
      </c>
      <c r="AG41" s="914">
        <f t="shared" si="11"/>
        <v>8103</v>
      </c>
      <c r="AH41" s="914">
        <f t="shared" si="11"/>
        <v>7693</v>
      </c>
      <c r="AI41" s="915">
        <f t="shared" si="11"/>
        <v>5381</v>
      </c>
      <c r="AJ41" s="915">
        <f t="shared" si="11"/>
        <v>2821</v>
      </c>
      <c r="AK41" s="915">
        <f t="shared" si="11"/>
        <v>1801</v>
      </c>
      <c r="AL41" s="915">
        <f t="shared" si="11"/>
        <v>1302</v>
      </c>
      <c r="AM41" s="915">
        <f>SUM(AM4:AM40)</f>
        <v>24958</v>
      </c>
      <c r="AN41" s="916"/>
    </row>
    <row r="42" spans="1:40">
      <c r="H42" s="368"/>
      <c r="I42" s="368"/>
      <c r="J42" s="318"/>
      <c r="K42" s="319"/>
      <c r="L42" s="319"/>
      <c r="M42" s="319"/>
      <c r="S42" s="319"/>
      <c r="T42" s="319"/>
      <c r="U42" s="319"/>
      <c r="V42" s="320">
        <v>1159</v>
      </c>
      <c r="W42" s="320">
        <f>2114+2000</f>
        <v>4114</v>
      </c>
      <c r="X42" s="320">
        <f>4923+2000</f>
        <v>6923</v>
      </c>
      <c r="Y42" s="320">
        <f>4308+2000</f>
        <v>6308</v>
      </c>
      <c r="Z42" s="320">
        <f>4648+2000</f>
        <v>6648</v>
      </c>
      <c r="AA42" s="320">
        <f>5185+2000</f>
        <v>7185</v>
      </c>
      <c r="AB42" s="320">
        <f>8440-2000</f>
        <v>6440</v>
      </c>
      <c r="AC42" s="320">
        <f>8409-2000</f>
        <v>6409</v>
      </c>
      <c r="AD42" s="320">
        <f>8627-2000</f>
        <v>6627</v>
      </c>
      <c r="AE42" s="320">
        <f>8381-2000</f>
        <v>6381</v>
      </c>
      <c r="AF42" s="320">
        <f>8807-2000</f>
        <v>6807</v>
      </c>
      <c r="AG42" s="320">
        <v>6559</v>
      </c>
      <c r="AH42" s="320">
        <v>4310</v>
      </c>
      <c r="AI42" s="320">
        <v>3900</v>
      </c>
      <c r="AJ42" s="320">
        <v>4500</v>
      </c>
      <c r="AK42" s="320">
        <v>4300</v>
      </c>
      <c r="AL42" s="320">
        <v>3500</v>
      </c>
      <c r="AM42" s="320">
        <v>2000</v>
      </c>
      <c r="AN42" s="319"/>
    </row>
    <row r="43" spans="1:40">
      <c r="H43" s="369">
        <f>'MARATHA QTY DISTRIBUATION'!U13</f>
        <v>0</v>
      </c>
      <c r="I43" s="369"/>
      <c r="J43" s="321"/>
      <c r="K43" s="319"/>
      <c r="L43" s="319"/>
      <c r="M43" s="319"/>
      <c r="S43" s="319"/>
      <c r="T43" s="319"/>
      <c r="U43" s="319"/>
      <c r="V43" s="319"/>
      <c r="W43" s="319"/>
      <c r="X43" s="319"/>
      <c r="Y43" s="319"/>
      <c r="Z43" s="319"/>
      <c r="AA43" s="319"/>
      <c r="AB43" s="319"/>
      <c r="AC43" s="319"/>
      <c r="AD43" s="319"/>
      <c r="AE43" s="319"/>
      <c r="AF43" s="319"/>
      <c r="AG43" s="319"/>
      <c r="AH43" s="319"/>
      <c r="AI43" s="319"/>
      <c r="AJ43" s="319"/>
      <c r="AK43" s="319"/>
      <c r="AL43" s="319"/>
      <c r="AM43" s="319"/>
      <c r="AN43" s="319"/>
    </row>
    <row r="44" spans="1:40">
      <c r="H44" s="369">
        <f>H43-H41</f>
        <v>-87100</v>
      </c>
      <c r="I44" s="369"/>
      <c r="J44" s="318"/>
      <c r="K44" s="319"/>
      <c r="L44" s="319"/>
      <c r="M44" s="319"/>
      <c r="S44" s="319"/>
      <c r="T44" s="319"/>
      <c r="U44" s="319"/>
      <c r="V44" s="322">
        <f>V41-V42</f>
        <v>-443</v>
      </c>
      <c r="W44" s="322">
        <f t="shared" ref="W44:AM44" si="12">W41-W42</f>
        <v>-778</v>
      </c>
      <c r="X44" s="322">
        <f t="shared" si="12"/>
        <v>-3193</v>
      </c>
      <c r="Y44" s="322">
        <f t="shared" si="12"/>
        <v>-2485</v>
      </c>
      <c r="Z44" s="322">
        <f t="shared" si="12"/>
        <v>-3010</v>
      </c>
      <c r="AA44" s="322">
        <f t="shared" si="12"/>
        <v>-3013</v>
      </c>
      <c r="AB44" s="322">
        <f t="shared" si="12"/>
        <v>-1813</v>
      </c>
      <c r="AC44" s="322">
        <f t="shared" si="12"/>
        <v>2222</v>
      </c>
      <c r="AD44" s="322">
        <f t="shared" si="12"/>
        <v>2021</v>
      </c>
      <c r="AE44" s="322">
        <f t="shared" si="12"/>
        <v>3135</v>
      </c>
      <c r="AF44" s="322">
        <f t="shared" si="12"/>
        <v>2355</v>
      </c>
      <c r="AG44" s="322">
        <f t="shared" si="12"/>
        <v>1544</v>
      </c>
      <c r="AH44" s="322">
        <f t="shared" si="12"/>
        <v>3383</v>
      </c>
      <c r="AI44" s="322">
        <f t="shared" si="12"/>
        <v>1481</v>
      </c>
      <c r="AJ44" s="322">
        <f t="shared" si="12"/>
        <v>-1679</v>
      </c>
      <c r="AK44" s="322">
        <f t="shared" si="12"/>
        <v>-2499</v>
      </c>
      <c r="AL44" s="322">
        <f t="shared" si="12"/>
        <v>-2198</v>
      </c>
      <c r="AM44" s="322">
        <f t="shared" si="12"/>
        <v>22958</v>
      </c>
      <c r="AN44" s="319"/>
    </row>
    <row r="45" spans="1:40">
      <c r="H45" s="368"/>
      <c r="I45" s="368"/>
      <c r="J45" s="318"/>
      <c r="K45" s="319"/>
      <c r="L45" s="319"/>
      <c r="M45" s="319"/>
      <c r="S45" s="319"/>
      <c r="T45" s="319"/>
      <c r="U45" s="319"/>
      <c r="V45" s="319"/>
      <c r="W45" s="319"/>
      <c r="X45" s="319"/>
      <c r="Y45" s="319" t="s">
        <v>142</v>
      </c>
      <c r="Z45" s="319"/>
      <c r="AA45" s="319"/>
      <c r="AB45" s="319"/>
      <c r="AC45" s="319"/>
      <c r="AD45" s="319"/>
      <c r="AE45" s="319"/>
      <c r="AF45" s="319"/>
      <c r="AG45" s="319"/>
      <c r="AH45" s="319"/>
      <c r="AI45" s="319"/>
      <c r="AJ45" s="319"/>
      <c r="AK45" s="319"/>
      <c r="AL45" s="319"/>
      <c r="AM45" s="319"/>
      <c r="AN45" s="319"/>
    </row>
  </sheetData>
  <autoFilter ref="A2:AN45" xr:uid="{6DC9D718-B632-4AF7-A4E0-B95EC19F0595}"/>
  <phoneticPr fontId="56" type="noConversion"/>
  <pageMargins left="0.7" right="0.7" top="0.75" bottom="0.75" header="0.3" footer="0.3"/>
  <pageSetup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80BBD-CE4D-4790-A31B-0E0749208DD4}">
  <dimension ref="A1:N101"/>
  <sheetViews>
    <sheetView zoomScale="81" zoomScaleNormal="81" workbookViewId="0">
      <selection activeCell="C27" sqref="C27:D27"/>
    </sheetView>
  </sheetViews>
  <sheetFormatPr defaultRowHeight="14.5"/>
  <cols>
    <col min="1" max="1" width="17.1796875" customWidth="1"/>
    <col min="2" max="2" width="27.81640625" customWidth="1"/>
    <col min="5" max="5" width="10.453125" customWidth="1"/>
    <col min="6" max="6" width="10.54296875" customWidth="1"/>
    <col min="8" max="8" width="14.81640625" style="132" customWidth="1"/>
    <col min="9" max="9" width="17.54296875" style="132" customWidth="1"/>
    <col min="11" max="11" width="9.54296875" bestFit="1" customWidth="1"/>
  </cols>
  <sheetData>
    <row r="1" spans="1:14" ht="15" thickBot="1"/>
    <row r="2" spans="1:14" ht="26.5" thickBot="1">
      <c r="A2" s="138">
        <v>45983</v>
      </c>
      <c r="B2" s="149" t="s">
        <v>143</v>
      </c>
      <c r="C2" s="150" t="s">
        <v>94</v>
      </c>
      <c r="D2" s="150" t="s">
        <v>144</v>
      </c>
      <c r="E2" s="150" t="s">
        <v>145</v>
      </c>
      <c r="F2" s="150" t="s">
        <v>146</v>
      </c>
      <c r="G2" s="150" t="s">
        <v>147</v>
      </c>
      <c r="H2" s="151" t="s">
        <v>148</v>
      </c>
      <c r="I2" s="152" t="s">
        <v>149</v>
      </c>
      <c r="J2" s="159" t="s">
        <v>172</v>
      </c>
      <c r="K2" s="160" t="s">
        <v>171</v>
      </c>
    </row>
    <row r="3" spans="1:14">
      <c r="A3" s="158">
        <f>A2-I3-30</f>
        <v>5</v>
      </c>
      <c r="B3" s="133" t="s">
        <v>97</v>
      </c>
      <c r="C3" s="134" t="s">
        <v>150</v>
      </c>
      <c r="D3" s="134" t="s">
        <v>151</v>
      </c>
      <c r="E3" s="135">
        <v>45384</v>
      </c>
      <c r="F3" s="135">
        <v>45787</v>
      </c>
      <c r="G3" s="136">
        <v>0.01</v>
      </c>
      <c r="H3" s="137">
        <v>45536</v>
      </c>
      <c r="I3" s="138">
        <v>45948</v>
      </c>
      <c r="J3" s="154">
        <f>I3-H3</f>
        <v>412</v>
      </c>
      <c r="K3" s="155">
        <f>J3/30</f>
        <v>13.733333333333333</v>
      </c>
    </row>
    <row r="4" spans="1:14">
      <c r="B4" s="34" t="s">
        <v>152</v>
      </c>
      <c r="C4" s="125" t="s">
        <v>169</v>
      </c>
      <c r="D4" s="126" t="s">
        <v>169</v>
      </c>
      <c r="E4" s="127">
        <v>45384</v>
      </c>
      <c r="F4" s="127">
        <v>45413</v>
      </c>
      <c r="G4" s="139"/>
      <c r="H4" s="130">
        <v>45536</v>
      </c>
      <c r="I4" s="140">
        <v>45653</v>
      </c>
      <c r="J4" s="154">
        <f t="shared" ref="J4:J10" si="0">I4-H4</f>
        <v>117</v>
      </c>
      <c r="K4" s="155">
        <f t="shared" ref="K4:K10" si="1">J4/30</f>
        <v>3.9</v>
      </c>
    </row>
    <row r="5" spans="1:14">
      <c r="B5" s="34" t="s">
        <v>153</v>
      </c>
      <c r="C5" s="125" t="s">
        <v>170</v>
      </c>
      <c r="D5" s="126" t="s">
        <v>170</v>
      </c>
      <c r="E5" s="124">
        <v>45414</v>
      </c>
      <c r="F5" s="124">
        <v>45418</v>
      </c>
      <c r="G5" s="139"/>
      <c r="H5" s="130">
        <v>45637</v>
      </c>
      <c r="I5" s="140">
        <v>45824</v>
      </c>
      <c r="J5" s="154">
        <f t="shared" si="0"/>
        <v>187</v>
      </c>
      <c r="K5" s="155">
        <f t="shared" si="1"/>
        <v>6.2333333333333334</v>
      </c>
    </row>
    <row r="6" spans="1:14">
      <c r="B6" s="141" t="s">
        <v>154</v>
      </c>
      <c r="C6" s="121" t="s">
        <v>155</v>
      </c>
      <c r="D6" s="121" t="s">
        <v>156</v>
      </c>
      <c r="E6" s="122">
        <v>45568</v>
      </c>
      <c r="F6" s="122">
        <v>45667</v>
      </c>
      <c r="G6" s="123">
        <v>0</v>
      </c>
      <c r="H6" s="129">
        <v>45643</v>
      </c>
      <c r="I6" s="142">
        <v>45703</v>
      </c>
      <c r="J6" s="154">
        <f t="shared" si="0"/>
        <v>60</v>
      </c>
      <c r="K6" s="155">
        <f t="shared" si="1"/>
        <v>2</v>
      </c>
    </row>
    <row r="7" spans="1:14" ht="26">
      <c r="B7" s="141" t="s">
        <v>157</v>
      </c>
      <c r="C7" s="121" t="s">
        <v>158</v>
      </c>
      <c r="D7" s="121" t="s">
        <v>159</v>
      </c>
      <c r="E7" s="122">
        <v>45547</v>
      </c>
      <c r="F7" s="122">
        <v>45706</v>
      </c>
      <c r="G7" s="123">
        <v>0</v>
      </c>
      <c r="H7" s="129">
        <v>45759</v>
      </c>
      <c r="I7" s="142">
        <v>45854</v>
      </c>
      <c r="J7" s="154">
        <f t="shared" si="0"/>
        <v>95</v>
      </c>
      <c r="K7" s="155">
        <f t="shared" si="1"/>
        <v>3.1666666666666665</v>
      </c>
    </row>
    <row r="8" spans="1:14">
      <c r="B8" s="141" t="s">
        <v>160</v>
      </c>
      <c r="C8" s="121" t="s">
        <v>161</v>
      </c>
      <c r="D8" s="121" t="s">
        <v>162</v>
      </c>
      <c r="E8" s="122">
        <v>45567</v>
      </c>
      <c r="F8" s="122">
        <v>45736</v>
      </c>
      <c r="G8" s="123">
        <v>0</v>
      </c>
      <c r="H8" s="129">
        <v>45779</v>
      </c>
      <c r="I8" s="142">
        <v>45885</v>
      </c>
      <c r="J8" s="154">
        <f t="shared" si="0"/>
        <v>106</v>
      </c>
      <c r="K8" s="155">
        <f t="shared" si="1"/>
        <v>3.5333333333333332</v>
      </c>
    </row>
    <row r="9" spans="1:14" ht="26">
      <c r="B9" s="141" t="s">
        <v>163</v>
      </c>
      <c r="C9" s="121" t="s">
        <v>164</v>
      </c>
      <c r="D9" s="121" t="s">
        <v>165</v>
      </c>
      <c r="E9" s="122">
        <v>45560</v>
      </c>
      <c r="F9" s="122">
        <v>45776</v>
      </c>
      <c r="G9" s="123">
        <v>0</v>
      </c>
      <c r="H9" s="129">
        <v>45775</v>
      </c>
      <c r="I9" s="142">
        <v>45924</v>
      </c>
      <c r="J9" s="154">
        <f t="shared" si="0"/>
        <v>149</v>
      </c>
      <c r="K9" s="155">
        <f t="shared" si="1"/>
        <v>4.9666666666666668</v>
      </c>
    </row>
    <row r="10" spans="1:14" ht="15" thickBot="1">
      <c r="B10" s="143" t="s">
        <v>166</v>
      </c>
      <c r="C10" s="144" t="s">
        <v>167</v>
      </c>
      <c r="D10" s="144" t="s">
        <v>168</v>
      </c>
      <c r="E10" s="145">
        <v>45712</v>
      </c>
      <c r="F10" s="145">
        <v>45787</v>
      </c>
      <c r="G10" s="146">
        <v>0</v>
      </c>
      <c r="H10" s="147">
        <v>45861</v>
      </c>
      <c r="I10" s="148">
        <v>45948</v>
      </c>
      <c r="J10" s="156">
        <f t="shared" si="0"/>
        <v>87</v>
      </c>
      <c r="K10" s="157">
        <f t="shared" si="1"/>
        <v>2.9</v>
      </c>
    </row>
    <row r="11" spans="1:14">
      <c r="H11" s="131"/>
      <c r="I11" s="131"/>
    </row>
    <row r="12" spans="1:14" ht="15" thickBot="1">
      <c r="H12" s="131"/>
      <c r="I12" s="131"/>
    </row>
    <row r="13" spans="1:14" ht="26.5" thickBot="1">
      <c r="A13" s="138">
        <v>45983</v>
      </c>
      <c r="B13" s="149" t="s">
        <v>143</v>
      </c>
      <c r="C13" s="150" t="s">
        <v>94</v>
      </c>
      <c r="D13" s="150" t="s">
        <v>144</v>
      </c>
      <c r="E13" s="150" t="s">
        <v>145</v>
      </c>
      <c r="F13" s="150" t="s">
        <v>146</v>
      </c>
      <c r="G13" s="150" t="s">
        <v>147</v>
      </c>
      <c r="H13" s="151" t="s">
        <v>148</v>
      </c>
      <c r="I13" s="152" t="s">
        <v>149</v>
      </c>
      <c r="J13" s="159" t="s">
        <v>172</v>
      </c>
      <c r="K13" s="160" t="s">
        <v>171</v>
      </c>
    </row>
    <row r="14" spans="1:14">
      <c r="A14" s="158">
        <f>A13-I14-30</f>
        <v>-63</v>
      </c>
      <c r="B14" s="133" t="s">
        <v>98</v>
      </c>
      <c r="C14" s="134" t="s">
        <v>173</v>
      </c>
      <c r="D14" s="134" t="s">
        <v>174</v>
      </c>
      <c r="E14" s="135">
        <v>45527</v>
      </c>
      <c r="F14" s="135">
        <v>45907</v>
      </c>
      <c r="G14" s="136">
        <v>0</v>
      </c>
      <c r="H14" s="137">
        <v>45630</v>
      </c>
      <c r="I14" s="138">
        <v>46016</v>
      </c>
      <c r="J14" s="154">
        <f t="shared" ref="J14:J21" si="2">I14-H14</f>
        <v>386</v>
      </c>
      <c r="K14" s="155">
        <f t="shared" ref="K14:K30" si="3">J14/30</f>
        <v>12.866666666666667</v>
      </c>
      <c r="M14" s="120" t="s">
        <v>148</v>
      </c>
      <c r="N14" s="120" t="s">
        <v>149</v>
      </c>
    </row>
    <row r="15" spans="1:14">
      <c r="A15" s="158"/>
      <c r="B15" s="34" t="s">
        <v>152</v>
      </c>
      <c r="C15" s="125" t="s">
        <v>169</v>
      </c>
      <c r="D15" s="126" t="s">
        <v>169</v>
      </c>
      <c r="E15" s="127">
        <v>45384</v>
      </c>
      <c r="F15" s="127">
        <v>45413</v>
      </c>
      <c r="G15" s="139"/>
      <c r="H15" s="130">
        <v>45630</v>
      </c>
      <c r="I15" s="140">
        <v>45653</v>
      </c>
      <c r="J15" s="154">
        <f t="shared" si="2"/>
        <v>23</v>
      </c>
      <c r="K15" s="155">
        <f t="shared" si="3"/>
        <v>0.76666666666666672</v>
      </c>
      <c r="M15" s="124">
        <v>45630</v>
      </c>
      <c r="N15" s="124">
        <v>45653</v>
      </c>
    </row>
    <row r="16" spans="1:14">
      <c r="A16" s="158"/>
      <c r="B16" s="34" t="s">
        <v>153</v>
      </c>
      <c r="C16" s="125" t="s">
        <v>170</v>
      </c>
      <c r="D16" s="126" t="s">
        <v>170</v>
      </c>
      <c r="E16" s="124">
        <v>45414</v>
      </c>
      <c r="F16" s="124">
        <v>45418</v>
      </c>
      <c r="G16" s="139"/>
      <c r="H16" s="130">
        <v>45653</v>
      </c>
      <c r="I16" s="140">
        <v>45789</v>
      </c>
      <c r="J16" s="154">
        <f t="shared" si="2"/>
        <v>136</v>
      </c>
      <c r="K16" s="155">
        <f t="shared" si="3"/>
        <v>4.5333333333333332</v>
      </c>
    </row>
    <row r="17" spans="2:14">
      <c r="B17" s="141" t="s">
        <v>175</v>
      </c>
      <c r="C17" s="121" t="s">
        <v>176</v>
      </c>
      <c r="D17" s="121" t="s">
        <v>176</v>
      </c>
      <c r="E17" s="122">
        <v>45638</v>
      </c>
      <c r="F17" s="122">
        <v>45652</v>
      </c>
      <c r="G17" s="123">
        <v>0</v>
      </c>
      <c r="H17" s="129">
        <v>45643</v>
      </c>
      <c r="I17" s="142">
        <v>45657</v>
      </c>
      <c r="J17" s="154">
        <f t="shared" si="2"/>
        <v>14</v>
      </c>
      <c r="K17" s="155">
        <f t="shared" si="3"/>
        <v>0.46666666666666667</v>
      </c>
      <c r="N17" s="153">
        <v>45789</v>
      </c>
    </row>
    <row r="18" spans="2:14" ht="26">
      <c r="B18" s="141" t="s">
        <v>177</v>
      </c>
      <c r="C18" s="121" t="s">
        <v>178</v>
      </c>
      <c r="D18" s="121" t="s">
        <v>178</v>
      </c>
      <c r="E18" s="122">
        <v>45623</v>
      </c>
      <c r="F18" s="122">
        <v>45667</v>
      </c>
      <c r="G18" s="123">
        <v>0</v>
      </c>
      <c r="H18" s="129">
        <v>45694</v>
      </c>
      <c r="I18" s="142">
        <v>45738</v>
      </c>
      <c r="J18" s="154">
        <f t="shared" si="2"/>
        <v>44</v>
      </c>
      <c r="K18" s="155">
        <f t="shared" si="3"/>
        <v>1.4666666666666666</v>
      </c>
    </row>
    <row r="19" spans="2:14" ht="26">
      <c r="B19" s="141" t="s">
        <v>179</v>
      </c>
      <c r="C19" s="121" t="s">
        <v>180</v>
      </c>
      <c r="D19" s="121" t="s">
        <v>181</v>
      </c>
      <c r="E19" s="122">
        <v>45658</v>
      </c>
      <c r="F19" s="122">
        <v>45754</v>
      </c>
      <c r="G19" s="123">
        <v>0</v>
      </c>
      <c r="H19" s="129">
        <v>45729</v>
      </c>
      <c r="I19" s="142">
        <v>45927</v>
      </c>
      <c r="J19" s="154">
        <f t="shared" si="2"/>
        <v>198</v>
      </c>
      <c r="K19" s="155">
        <f t="shared" si="3"/>
        <v>6.6</v>
      </c>
    </row>
    <row r="20" spans="2:14" ht="26">
      <c r="B20" s="141" t="s">
        <v>182</v>
      </c>
      <c r="C20" s="121" t="s">
        <v>183</v>
      </c>
      <c r="D20" s="121" t="s">
        <v>184</v>
      </c>
      <c r="E20" s="122">
        <v>45634</v>
      </c>
      <c r="F20" s="122">
        <v>45844</v>
      </c>
      <c r="G20" s="123">
        <v>0</v>
      </c>
      <c r="H20" s="129">
        <v>45729</v>
      </c>
      <c r="I20" s="142">
        <v>45959</v>
      </c>
      <c r="J20" s="154">
        <f t="shared" si="2"/>
        <v>230</v>
      </c>
      <c r="K20" s="155">
        <f t="shared" si="3"/>
        <v>7.666666666666667</v>
      </c>
    </row>
    <row r="21" spans="2:14" ht="26.5" thickBot="1">
      <c r="B21" s="143" t="s">
        <v>185</v>
      </c>
      <c r="C21" s="144" t="s">
        <v>186</v>
      </c>
      <c r="D21" s="144" t="s">
        <v>187</v>
      </c>
      <c r="E21" s="145">
        <v>45861</v>
      </c>
      <c r="F21" s="145">
        <v>45907</v>
      </c>
      <c r="G21" s="146">
        <v>0</v>
      </c>
      <c r="H21" s="147">
        <v>45909</v>
      </c>
      <c r="I21" s="148">
        <v>46016</v>
      </c>
      <c r="J21" s="156">
        <f t="shared" si="2"/>
        <v>107</v>
      </c>
      <c r="K21" s="157">
        <f t="shared" si="3"/>
        <v>3.5666666666666669</v>
      </c>
    </row>
    <row r="22" spans="2:14" ht="26.5" thickBot="1">
      <c r="B22" s="164" t="s">
        <v>143</v>
      </c>
      <c r="C22" s="165" t="s">
        <v>94</v>
      </c>
      <c r="D22" s="165" t="s">
        <v>144</v>
      </c>
      <c r="E22" s="165" t="s">
        <v>145</v>
      </c>
      <c r="F22" s="165" t="s">
        <v>146</v>
      </c>
      <c r="G22" s="165" t="s">
        <v>147</v>
      </c>
      <c r="H22" s="165" t="s">
        <v>148</v>
      </c>
      <c r="I22" s="165" t="s">
        <v>149</v>
      </c>
      <c r="J22" s="159" t="s">
        <v>172</v>
      </c>
      <c r="K22" s="160" t="s">
        <v>171</v>
      </c>
    </row>
    <row r="23" spans="2:14" ht="26">
      <c r="B23" s="161" t="s">
        <v>99</v>
      </c>
      <c r="C23" s="121" t="s">
        <v>188</v>
      </c>
      <c r="D23" s="121" t="s">
        <v>189</v>
      </c>
      <c r="E23" s="122">
        <v>45467</v>
      </c>
      <c r="F23" s="122">
        <v>45815</v>
      </c>
      <c r="G23" s="162">
        <v>0</v>
      </c>
      <c r="H23" s="128">
        <v>45633</v>
      </c>
      <c r="I23" s="128">
        <v>45988</v>
      </c>
      <c r="J23" s="154">
        <f>I23-H23</f>
        <v>355</v>
      </c>
      <c r="K23" s="155">
        <f t="shared" si="3"/>
        <v>11.833333333333334</v>
      </c>
    </row>
    <row r="24" spans="2:14">
      <c r="B24" s="34" t="s">
        <v>152</v>
      </c>
      <c r="C24" s="121"/>
      <c r="D24" s="121"/>
      <c r="E24" s="122"/>
      <c r="F24" s="122"/>
      <c r="G24" s="162"/>
      <c r="H24" s="124">
        <v>45633</v>
      </c>
      <c r="I24" s="124">
        <v>45659</v>
      </c>
      <c r="J24" s="154">
        <f t="shared" ref="J24:J30" si="4">I25-H25</f>
        <v>232</v>
      </c>
      <c r="K24" s="155">
        <f t="shared" si="3"/>
        <v>7.7333333333333334</v>
      </c>
      <c r="M24" s="120" t="s">
        <v>148</v>
      </c>
      <c r="N24" s="120" t="s">
        <v>149</v>
      </c>
    </row>
    <row r="25" spans="2:14" ht="26">
      <c r="B25" s="34" t="s">
        <v>153</v>
      </c>
      <c r="C25" s="121" t="s">
        <v>190</v>
      </c>
      <c r="D25" s="121" t="s">
        <v>191</v>
      </c>
      <c r="E25" s="122">
        <v>45467</v>
      </c>
      <c r="F25" s="122">
        <v>45737</v>
      </c>
      <c r="G25" s="123">
        <v>0.01</v>
      </c>
      <c r="H25" s="153">
        <v>45659</v>
      </c>
      <c r="I25" s="153">
        <v>45891</v>
      </c>
      <c r="J25" s="154">
        <f t="shared" si="4"/>
        <v>79</v>
      </c>
      <c r="K25" s="155">
        <f t="shared" si="3"/>
        <v>2.6333333333333333</v>
      </c>
      <c r="M25" s="124">
        <v>45633</v>
      </c>
      <c r="N25" s="124">
        <v>45659</v>
      </c>
    </row>
    <row r="26" spans="2:14">
      <c r="B26" s="141" t="s">
        <v>175</v>
      </c>
      <c r="C26" s="121" t="s">
        <v>192</v>
      </c>
      <c r="D26" s="121" t="s">
        <v>192</v>
      </c>
      <c r="E26" s="122">
        <v>45580</v>
      </c>
      <c r="F26" s="122">
        <v>45659</v>
      </c>
      <c r="G26" s="123">
        <v>0</v>
      </c>
      <c r="H26" s="128">
        <v>45643</v>
      </c>
      <c r="I26" s="128">
        <v>45722</v>
      </c>
      <c r="J26" s="154">
        <f t="shared" si="4"/>
        <v>157</v>
      </c>
      <c r="K26" s="155">
        <f t="shared" si="3"/>
        <v>5.2333333333333334</v>
      </c>
      <c r="M26" s="153">
        <v>45659</v>
      </c>
    </row>
    <row r="27" spans="2:14" ht="26">
      <c r="B27" s="141" t="s">
        <v>177</v>
      </c>
      <c r="C27" s="121" t="s">
        <v>193</v>
      </c>
      <c r="D27" s="121" t="s">
        <v>194</v>
      </c>
      <c r="E27" s="122">
        <v>45497</v>
      </c>
      <c r="F27" s="122">
        <v>45636</v>
      </c>
      <c r="G27" s="123">
        <v>0</v>
      </c>
      <c r="H27" s="128">
        <v>45643</v>
      </c>
      <c r="I27" s="128">
        <v>45800</v>
      </c>
      <c r="J27" s="154">
        <f t="shared" si="4"/>
        <v>177</v>
      </c>
      <c r="K27" s="155">
        <f t="shared" si="3"/>
        <v>5.9</v>
      </c>
    </row>
    <row r="28" spans="2:14">
      <c r="B28" s="141" t="s">
        <v>179</v>
      </c>
      <c r="C28" s="121" t="s">
        <v>195</v>
      </c>
      <c r="D28" s="121" t="s">
        <v>195</v>
      </c>
      <c r="E28" s="122">
        <v>45625</v>
      </c>
      <c r="F28" s="122">
        <v>45801</v>
      </c>
      <c r="G28" s="123">
        <v>0</v>
      </c>
      <c r="H28" s="128">
        <v>45797</v>
      </c>
      <c r="I28" s="128">
        <v>45974</v>
      </c>
      <c r="J28" s="154">
        <f t="shared" si="4"/>
        <v>180</v>
      </c>
      <c r="K28" s="155">
        <f t="shared" si="3"/>
        <v>6</v>
      </c>
    </row>
    <row r="29" spans="2:14">
      <c r="B29" s="141" t="s">
        <v>182</v>
      </c>
      <c r="C29" s="121" t="s">
        <v>196</v>
      </c>
      <c r="D29" s="121" t="s">
        <v>196</v>
      </c>
      <c r="E29" s="122">
        <v>45625</v>
      </c>
      <c r="F29" s="122">
        <v>45804</v>
      </c>
      <c r="G29" s="123">
        <v>0</v>
      </c>
      <c r="H29" s="128">
        <v>45797</v>
      </c>
      <c r="I29" s="128">
        <v>45977</v>
      </c>
      <c r="J29" s="154">
        <f t="shared" si="4"/>
        <v>51</v>
      </c>
      <c r="K29" s="155">
        <f t="shared" si="3"/>
        <v>1.7</v>
      </c>
    </row>
    <row r="30" spans="2:14" ht="15" thickBot="1">
      <c r="B30" s="143" t="s">
        <v>185</v>
      </c>
      <c r="C30" s="144" t="s">
        <v>197</v>
      </c>
      <c r="D30" s="144" t="s">
        <v>197</v>
      </c>
      <c r="E30" s="145">
        <v>45765</v>
      </c>
      <c r="F30" s="145">
        <v>45815</v>
      </c>
      <c r="G30" s="146">
        <v>0</v>
      </c>
      <c r="H30" s="163">
        <v>45937</v>
      </c>
      <c r="I30" s="163">
        <v>45988</v>
      </c>
      <c r="J30" s="156">
        <f t="shared" si="4"/>
        <v>0</v>
      </c>
      <c r="K30" s="157">
        <f t="shared" si="3"/>
        <v>0</v>
      </c>
    </row>
    <row r="31" spans="2:14">
      <c r="H31" s="131"/>
      <c r="I31" s="131"/>
    </row>
    <row r="32" spans="2:14">
      <c r="H32" s="131"/>
      <c r="I32" s="131"/>
    </row>
    <row r="33" spans="8:9">
      <c r="H33" s="131"/>
      <c r="I33" s="131"/>
    </row>
    <row r="34" spans="8:9">
      <c r="H34" s="131"/>
      <c r="I34" s="131"/>
    </row>
    <row r="35" spans="8:9">
      <c r="H35" s="131"/>
      <c r="I35" s="131"/>
    </row>
    <row r="36" spans="8:9">
      <c r="H36" s="131"/>
      <c r="I36" s="131"/>
    </row>
    <row r="37" spans="8:9">
      <c r="H37" s="131"/>
      <c r="I37" s="131"/>
    </row>
    <row r="38" spans="8:9">
      <c r="H38" s="131"/>
      <c r="I38" s="131"/>
    </row>
    <row r="39" spans="8:9">
      <c r="H39" s="131"/>
      <c r="I39" s="131"/>
    </row>
    <row r="40" spans="8:9">
      <c r="H40" s="131"/>
      <c r="I40" s="131"/>
    </row>
    <row r="41" spans="8:9">
      <c r="H41" s="131"/>
      <c r="I41" s="131"/>
    </row>
    <row r="42" spans="8:9">
      <c r="H42" s="131"/>
      <c r="I42" s="131"/>
    </row>
    <row r="43" spans="8:9">
      <c r="H43" s="131"/>
      <c r="I43" s="131"/>
    </row>
    <row r="44" spans="8:9">
      <c r="H44" s="131"/>
      <c r="I44" s="131"/>
    </row>
    <row r="45" spans="8:9">
      <c r="H45" s="131"/>
      <c r="I45" s="131"/>
    </row>
    <row r="46" spans="8:9">
      <c r="H46" s="131"/>
      <c r="I46" s="131"/>
    </row>
    <row r="47" spans="8:9">
      <c r="H47" s="131"/>
      <c r="I47" s="131"/>
    </row>
    <row r="48" spans="8:9">
      <c r="H48" s="131"/>
      <c r="I48" s="131"/>
    </row>
    <row r="49" spans="8:9">
      <c r="H49" s="131"/>
      <c r="I49" s="131"/>
    </row>
    <row r="50" spans="8:9">
      <c r="H50" s="131"/>
      <c r="I50" s="131"/>
    </row>
    <row r="51" spans="8:9">
      <c r="H51" s="131"/>
      <c r="I51" s="131"/>
    </row>
    <row r="52" spans="8:9">
      <c r="H52" s="131"/>
      <c r="I52" s="131"/>
    </row>
    <row r="53" spans="8:9">
      <c r="H53" s="131"/>
      <c r="I53" s="131"/>
    </row>
    <row r="54" spans="8:9">
      <c r="H54" s="131"/>
      <c r="I54" s="131"/>
    </row>
    <row r="55" spans="8:9">
      <c r="H55" s="131"/>
      <c r="I55" s="131"/>
    </row>
    <row r="56" spans="8:9">
      <c r="H56" s="131"/>
      <c r="I56" s="131"/>
    </row>
    <row r="57" spans="8:9">
      <c r="H57" s="131"/>
      <c r="I57" s="131"/>
    </row>
    <row r="58" spans="8:9">
      <c r="H58" s="131"/>
      <c r="I58" s="131"/>
    </row>
    <row r="59" spans="8:9">
      <c r="H59" s="131"/>
      <c r="I59" s="131"/>
    </row>
    <row r="60" spans="8:9">
      <c r="H60" s="131"/>
      <c r="I60" s="131"/>
    </row>
    <row r="61" spans="8:9">
      <c r="H61" s="131"/>
      <c r="I61" s="131"/>
    </row>
    <row r="62" spans="8:9">
      <c r="H62" s="131"/>
      <c r="I62" s="131"/>
    </row>
    <row r="63" spans="8:9">
      <c r="H63" s="131"/>
      <c r="I63" s="131"/>
    </row>
    <row r="64" spans="8:9">
      <c r="H64" s="131"/>
      <c r="I64" s="131"/>
    </row>
    <row r="65" spans="8:9">
      <c r="H65" s="131"/>
      <c r="I65" s="131"/>
    </row>
    <row r="66" spans="8:9">
      <c r="H66" s="131"/>
      <c r="I66" s="131"/>
    </row>
    <row r="67" spans="8:9">
      <c r="H67" s="131"/>
      <c r="I67" s="131"/>
    </row>
    <row r="68" spans="8:9">
      <c r="H68" s="131"/>
      <c r="I68" s="131"/>
    </row>
    <row r="69" spans="8:9">
      <c r="H69" s="131"/>
      <c r="I69" s="131"/>
    </row>
    <row r="70" spans="8:9">
      <c r="H70" s="131"/>
      <c r="I70" s="131"/>
    </row>
    <row r="71" spans="8:9">
      <c r="H71" s="131"/>
      <c r="I71" s="131"/>
    </row>
    <row r="72" spans="8:9">
      <c r="H72" s="131"/>
      <c r="I72" s="131"/>
    </row>
    <row r="73" spans="8:9">
      <c r="H73" s="131"/>
      <c r="I73" s="131"/>
    </row>
    <row r="74" spans="8:9">
      <c r="H74" s="131"/>
      <c r="I74" s="131"/>
    </row>
    <row r="75" spans="8:9">
      <c r="H75" s="131"/>
      <c r="I75" s="131"/>
    </row>
    <row r="76" spans="8:9">
      <c r="H76" s="131"/>
      <c r="I76" s="131"/>
    </row>
    <row r="77" spans="8:9">
      <c r="H77" s="131"/>
      <c r="I77" s="131"/>
    </row>
    <row r="78" spans="8:9">
      <c r="H78" s="131"/>
      <c r="I78" s="131"/>
    </row>
    <row r="79" spans="8:9">
      <c r="H79" s="131"/>
      <c r="I79" s="131"/>
    </row>
    <row r="80" spans="8:9">
      <c r="H80" s="131"/>
      <c r="I80" s="131"/>
    </row>
    <row r="81" spans="8:9">
      <c r="H81" s="131"/>
      <c r="I81" s="131"/>
    </row>
    <row r="82" spans="8:9">
      <c r="H82" s="131"/>
      <c r="I82" s="131"/>
    </row>
    <row r="83" spans="8:9">
      <c r="H83" s="131"/>
      <c r="I83" s="131"/>
    </row>
    <row r="84" spans="8:9">
      <c r="H84" s="131"/>
      <c r="I84" s="131"/>
    </row>
    <row r="85" spans="8:9">
      <c r="H85" s="131"/>
      <c r="I85" s="131"/>
    </row>
    <row r="86" spans="8:9">
      <c r="H86" s="131"/>
      <c r="I86" s="131"/>
    </row>
    <row r="87" spans="8:9">
      <c r="H87" s="131"/>
      <c r="I87" s="131"/>
    </row>
    <row r="88" spans="8:9">
      <c r="H88" s="131"/>
      <c r="I88" s="131"/>
    </row>
    <row r="89" spans="8:9">
      <c r="H89" s="131"/>
      <c r="I89" s="131"/>
    </row>
    <row r="90" spans="8:9">
      <c r="H90" s="131"/>
      <c r="I90" s="131"/>
    </row>
    <row r="91" spans="8:9">
      <c r="H91" s="131"/>
      <c r="I91" s="131"/>
    </row>
    <row r="92" spans="8:9">
      <c r="H92" s="131"/>
      <c r="I92" s="131"/>
    </row>
    <row r="93" spans="8:9">
      <c r="H93" s="131"/>
      <c r="I93" s="131"/>
    </row>
    <row r="94" spans="8:9">
      <c r="H94" s="131"/>
      <c r="I94" s="131"/>
    </row>
    <row r="95" spans="8:9">
      <c r="H95" s="131"/>
      <c r="I95" s="131"/>
    </row>
    <row r="96" spans="8:9">
      <c r="H96" s="131"/>
      <c r="I96" s="131"/>
    </row>
    <row r="97" spans="8:9">
      <c r="H97" s="131"/>
      <c r="I97" s="131"/>
    </row>
    <row r="98" spans="8:9">
      <c r="H98" s="131"/>
      <c r="I98" s="131"/>
    </row>
    <row r="99" spans="8:9">
      <c r="H99" s="131"/>
      <c r="I99" s="131"/>
    </row>
    <row r="100" spans="8:9">
      <c r="H100" s="131"/>
      <c r="I100" s="131"/>
    </row>
    <row r="101" spans="8:9">
      <c r="H101" s="131"/>
      <c r="I101" s="13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44002-BEC6-4275-9E04-F9CFF5977BF3}">
  <sheetPr>
    <tabColor rgb="FF92D050"/>
  </sheetPr>
  <dimension ref="A1:AS21"/>
  <sheetViews>
    <sheetView topLeftCell="A10" workbookViewId="0">
      <selection activeCell="F19" sqref="F19"/>
    </sheetView>
  </sheetViews>
  <sheetFormatPr defaultColWidth="8.7265625" defaultRowHeight="14.5"/>
  <cols>
    <col min="1" max="1" width="9.08984375" style="56" bestFit="1" customWidth="1"/>
    <col min="2" max="2" width="6.26953125" style="437" hidden="1" customWidth="1"/>
    <col min="3" max="3" width="10" style="437" hidden="1" customWidth="1"/>
    <col min="4" max="5" width="10.08984375" style="437" hidden="1" customWidth="1"/>
    <col min="6" max="6" width="33.90625" style="58" bestFit="1" customWidth="1"/>
    <col min="7" max="7" width="3.7265625" style="543" bestFit="1" customWidth="1"/>
    <col min="8" max="8" width="10.81640625" style="58" bestFit="1" customWidth="1"/>
    <col min="9" max="9" width="17" style="543" bestFit="1" customWidth="1"/>
    <col min="10" max="10" width="8.36328125" style="543" bestFit="1" customWidth="1"/>
    <col min="11" max="11" width="9.81640625" style="58" bestFit="1" customWidth="1"/>
    <col min="12" max="12" width="9.26953125" style="58" bestFit="1" customWidth="1"/>
    <col min="13" max="13" width="9.54296875" style="58" bestFit="1" customWidth="1"/>
    <col min="14" max="14" width="17.7265625" style="543" bestFit="1" customWidth="1"/>
    <col min="15" max="16" width="19.36328125" style="543" bestFit="1" customWidth="1"/>
    <col min="17" max="17" width="21.54296875" style="543" bestFit="1" customWidth="1"/>
    <col min="18" max="18" width="7.26953125" style="543" bestFit="1" customWidth="1"/>
    <col min="19" max="19" width="11.36328125" style="48" bestFit="1" customWidth="1"/>
    <col min="20" max="20" width="11.1796875" style="48" bestFit="1" customWidth="1"/>
    <col min="21" max="21" width="11.08984375" style="48" bestFit="1" customWidth="1"/>
    <col min="22" max="22" width="11.453125" style="48" bestFit="1" customWidth="1"/>
    <col min="23" max="23" width="11.26953125" style="48" bestFit="1" customWidth="1"/>
    <col min="24" max="24" width="10.90625" style="48" bestFit="1" customWidth="1"/>
    <col min="25" max="25" width="11.1796875" style="48" bestFit="1" customWidth="1"/>
    <col min="26" max="26" width="11.6328125" style="48" bestFit="1" customWidth="1"/>
    <col min="27" max="27" width="11.1796875" style="48" bestFit="1" customWidth="1"/>
    <col min="28" max="28" width="11.81640625" style="48" bestFit="1" customWidth="1"/>
    <col min="29" max="29" width="11" style="48" bestFit="1" customWidth="1"/>
    <col min="30" max="30" width="10.36328125" style="48" bestFit="1" customWidth="1"/>
    <col min="31" max="31" width="3.81640625" style="48" bestFit="1" customWidth="1"/>
    <col min="32" max="16384" width="8.7265625" style="48"/>
  </cols>
  <sheetData>
    <row r="1" spans="1:45" s="50" customFormat="1" ht="31.5" thickBot="1">
      <c r="A1" s="893" t="str">
        <f>Exc!A1</f>
        <v>S No</v>
      </c>
      <c r="B1" s="894" t="str">
        <f>Exc!B1</f>
        <v>Section</v>
      </c>
      <c r="C1" s="894" t="str">
        <f>Exc!C1</f>
        <v>Department</v>
      </c>
      <c r="D1" s="894" t="str">
        <f>Exc!D1</f>
        <v>Description</v>
      </c>
      <c r="E1" s="894" t="str">
        <f>Exc!E1</f>
        <v>Sub Phase 1</v>
      </c>
      <c r="F1" s="894" t="str">
        <f>Exc!F1</f>
        <v>Particular</v>
      </c>
      <c r="G1" s="900" t="str">
        <f>Exc!G1</f>
        <v>UOM</v>
      </c>
      <c r="H1" s="895" t="str">
        <f>Exc!H1</f>
        <v>Scope</v>
      </c>
      <c r="I1" s="895" t="str">
        <f>Exc!I1</f>
        <v>DRAWING RELESED</v>
      </c>
      <c r="J1" s="895" t="str">
        <f>Exc!J1</f>
        <v>ACHIVED</v>
      </c>
      <c r="K1" s="895" t="str">
        <f>Exc!K1</f>
        <v>DURATION</v>
      </c>
      <c r="L1" s="896" t="str">
        <f>Exc!L1</f>
        <v>BL Start</v>
      </c>
      <c r="M1" s="896" t="str">
        <f>Exc!M1</f>
        <v>BL Finish</v>
      </c>
      <c r="N1" s="896" t="str">
        <f>Exc!N1</f>
        <v>Current Month Plan</v>
      </c>
      <c r="O1" s="896" t="str">
        <f>Exc!O1</f>
        <v>Current Month Actual</v>
      </c>
      <c r="P1" s="896" t="str">
        <f>Exc!P1</f>
        <v>Cummulative Planned</v>
      </c>
      <c r="Q1" s="896" t="str">
        <f>Exc!Q1</f>
        <v>Cummulative completed</v>
      </c>
      <c r="R1" s="896" t="str">
        <f>Exc!R1</f>
        <v>Balance</v>
      </c>
      <c r="S1" s="894"/>
      <c r="T1" s="894"/>
      <c r="U1" s="894"/>
      <c r="V1" s="894"/>
      <c r="W1" s="894"/>
      <c r="X1" s="898"/>
      <c r="Y1" s="898"/>
      <c r="Z1" s="898"/>
      <c r="AA1" s="898"/>
      <c r="AB1" s="898"/>
      <c r="AC1" s="898"/>
      <c r="AD1" s="898"/>
      <c r="AE1" s="898"/>
      <c r="AF1" s="898"/>
      <c r="AG1" s="898"/>
      <c r="AH1" s="898"/>
      <c r="AI1" s="898"/>
      <c r="AJ1" s="899"/>
      <c r="AK1" s="901"/>
      <c r="AL1" s="901"/>
      <c r="AM1" s="901"/>
      <c r="AN1" s="901"/>
      <c r="AO1" s="901"/>
      <c r="AP1" s="901"/>
      <c r="AQ1" s="901"/>
      <c r="AR1" s="901"/>
      <c r="AS1" s="902"/>
    </row>
    <row r="2" spans="1:45" s="50" customFormat="1" ht="15" thickBot="1">
      <c r="A2" s="49" t="s">
        <v>0</v>
      </c>
      <c r="B2" s="939"/>
      <c r="C2" s="939"/>
      <c r="D2" s="939"/>
      <c r="E2" s="939"/>
      <c r="F2" s="419" t="s">
        <v>92</v>
      </c>
      <c r="G2" s="941"/>
      <c r="H2" s="406" t="s">
        <v>93</v>
      </c>
      <c r="I2" s="790"/>
      <c r="J2" s="790"/>
      <c r="K2" s="408" t="s">
        <v>94</v>
      </c>
      <c r="L2" s="409" t="s">
        <v>95</v>
      </c>
      <c r="M2" s="409" t="s">
        <v>96</v>
      </c>
      <c r="N2" s="409"/>
      <c r="O2" s="409"/>
      <c r="P2" s="409"/>
      <c r="Q2" s="409"/>
      <c r="R2" s="409"/>
      <c r="S2" s="410">
        <f>SUM(S4:S19)</f>
        <v>0</v>
      </c>
      <c r="T2" s="410">
        <f t="shared" ref="T2:AD2" si="0">SUM(T4:T19)</f>
        <v>0</v>
      </c>
      <c r="U2" s="410">
        <f t="shared" si="0"/>
        <v>195.24</v>
      </c>
      <c r="V2" s="410">
        <f t="shared" si="0"/>
        <v>244.05</v>
      </c>
      <c r="W2" s="410">
        <f t="shared" si="0"/>
        <v>504.64499999999998</v>
      </c>
      <c r="X2" s="410">
        <f t="shared" si="0"/>
        <v>715.66800000000001</v>
      </c>
      <c r="Y2" s="410">
        <f t="shared" si="0"/>
        <v>798.99599999999998</v>
      </c>
      <c r="Z2" s="410">
        <f t="shared" si="0"/>
        <v>705.18</v>
      </c>
      <c r="AA2" s="410">
        <f>SUM(AA4:AA19)</f>
        <v>685.16100000000006</v>
      </c>
      <c r="AB2" s="410">
        <f t="shared" si="0"/>
        <v>594.27099999999984</v>
      </c>
      <c r="AC2" s="410">
        <f t="shared" si="0"/>
        <v>326.02199999999999</v>
      </c>
      <c r="AD2" s="411">
        <f t="shared" si="0"/>
        <v>304.36700000000008</v>
      </c>
      <c r="AE2" s="420"/>
    </row>
    <row r="3" spans="1:45" s="50" customFormat="1" ht="15" thickBot="1">
      <c r="A3" s="796" t="s">
        <v>0</v>
      </c>
      <c r="B3" s="796"/>
      <c r="C3" s="796"/>
      <c r="D3" s="796"/>
      <c r="E3" s="796"/>
      <c r="F3" s="796" t="s">
        <v>351</v>
      </c>
      <c r="G3" s="796"/>
      <c r="H3" s="798" t="s">
        <v>352</v>
      </c>
      <c r="I3" s="432"/>
      <c r="J3" s="432"/>
      <c r="K3" s="52"/>
      <c r="L3" s="53">
        <f>MIN(L4:L33)</f>
        <v>45527</v>
      </c>
      <c r="M3" s="53">
        <f>MAX(M4:M33)</f>
        <v>45740</v>
      </c>
      <c r="N3" s="53"/>
      <c r="O3" s="53"/>
      <c r="P3" s="53"/>
      <c r="Q3" s="53"/>
      <c r="R3" s="53"/>
      <c r="S3" s="325">
        <v>45505</v>
      </c>
      <c r="T3" s="325">
        <v>45536</v>
      </c>
      <c r="U3" s="325">
        <v>45566</v>
      </c>
      <c r="V3" s="325">
        <v>45597</v>
      </c>
      <c r="W3" s="325">
        <v>45627</v>
      </c>
      <c r="X3" s="325">
        <v>45658</v>
      </c>
      <c r="Y3" s="325">
        <v>45689</v>
      </c>
      <c r="Z3" s="325">
        <v>45717</v>
      </c>
      <c r="AA3" s="325">
        <v>45748</v>
      </c>
      <c r="AB3" s="325">
        <v>45778</v>
      </c>
      <c r="AC3" s="325">
        <v>45809</v>
      </c>
      <c r="AD3" s="423">
        <v>45839</v>
      </c>
      <c r="AE3" s="420"/>
    </row>
    <row r="4" spans="1:45">
      <c r="A4" s="46">
        <v>1</v>
      </c>
      <c r="F4" s="1115" t="s">
        <v>97</v>
      </c>
      <c r="G4" s="392"/>
      <c r="H4" s="424">
        <v>102</v>
      </c>
      <c r="I4" s="791"/>
      <c r="J4" s="791"/>
      <c r="K4" s="46">
        <f>M4-L4+1</f>
        <v>100</v>
      </c>
      <c r="L4" s="112">
        <f>[4]L5!E562</f>
        <v>45568</v>
      </c>
      <c r="M4" s="112">
        <f>[4]L5!F562</f>
        <v>45667</v>
      </c>
      <c r="N4" s="112"/>
      <c r="O4" s="112"/>
      <c r="P4" s="112"/>
      <c r="Q4" s="112"/>
      <c r="R4" s="112"/>
      <c r="S4" s="326"/>
      <c r="T4" s="326"/>
      <c r="U4" s="414"/>
      <c r="V4" s="414"/>
      <c r="W4" s="414"/>
      <c r="X4" s="414">
        <f>H4*0.4</f>
        <v>40.800000000000004</v>
      </c>
      <c r="Y4" s="414">
        <f>H4*0.32</f>
        <v>32.64</v>
      </c>
      <c r="Z4" s="414">
        <f>H4-Y4-X4</f>
        <v>28.559999999999995</v>
      </c>
      <c r="AA4" s="414"/>
      <c r="AB4" s="414"/>
      <c r="AC4" s="414"/>
      <c r="AD4" s="425"/>
      <c r="AE4" s="421">
        <f>AC4+AA4+AB4</f>
        <v>0</v>
      </c>
    </row>
    <row r="5" spans="1:45">
      <c r="A5" s="46">
        <v>2</v>
      </c>
      <c r="F5" s="1115" t="s">
        <v>98</v>
      </c>
      <c r="G5" s="392"/>
      <c r="H5" s="424">
        <v>19.2</v>
      </c>
      <c r="I5" s="791"/>
      <c r="J5" s="791"/>
      <c r="K5" s="46">
        <f t="shared" ref="K5:K18" si="1">M5-L5+1</f>
        <v>15</v>
      </c>
      <c r="L5" s="112">
        <f>[4]L5!E563</f>
        <v>45638</v>
      </c>
      <c r="M5" s="112">
        <f>[4]L5!F563</f>
        <v>45652</v>
      </c>
      <c r="N5" s="112"/>
      <c r="O5" s="112"/>
      <c r="P5" s="112"/>
      <c r="Q5" s="112"/>
      <c r="R5" s="112"/>
      <c r="S5" s="326"/>
      <c r="T5" s="326"/>
      <c r="U5" s="414"/>
      <c r="V5" s="414"/>
      <c r="W5" s="414"/>
      <c r="X5" s="414"/>
      <c r="Y5" s="414">
        <f>H5*0.55</f>
        <v>10.56</v>
      </c>
      <c r="Z5" s="414">
        <f>H5-Y5</f>
        <v>8.6399999999999988</v>
      </c>
      <c r="AA5" s="414"/>
      <c r="AB5" s="414"/>
      <c r="AC5" s="414"/>
      <c r="AD5" s="425"/>
      <c r="AE5" s="421">
        <f t="shared" ref="AE5:AE7" si="2">AC5+AA5+AB5</f>
        <v>0</v>
      </c>
    </row>
    <row r="6" spans="1:45">
      <c r="A6" s="46">
        <v>3</v>
      </c>
      <c r="F6" s="1115" t="s">
        <v>99</v>
      </c>
      <c r="G6" s="392"/>
      <c r="H6" s="424">
        <v>168</v>
      </c>
      <c r="I6" s="791"/>
      <c r="J6" s="791"/>
      <c r="K6" s="46">
        <f t="shared" si="1"/>
        <v>80</v>
      </c>
      <c r="L6" s="112">
        <f>[4]L5!E564</f>
        <v>45580</v>
      </c>
      <c r="M6" s="112">
        <f>[4]L5!F564</f>
        <v>45659</v>
      </c>
      <c r="N6" s="112"/>
      <c r="O6" s="112"/>
      <c r="P6" s="112"/>
      <c r="Q6" s="112"/>
      <c r="R6" s="112"/>
      <c r="S6" s="326"/>
      <c r="T6" s="326"/>
      <c r="U6" s="414"/>
      <c r="V6" s="414"/>
      <c r="W6" s="414"/>
      <c r="X6" s="414">
        <f>H6*0.28</f>
        <v>47.040000000000006</v>
      </c>
      <c r="Y6" s="414">
        <f>H6*0.26</f>
        <v>43.68</v>
      </c>
      <c r="Z6" s="414">
        <f>H6*0.24</f>
        <v>40.32</v>
      </c>
      <c r="AA6" s="414">
        <f>H6-Z6-Y6-X6</f>
        <v>36.959999999999994</v>
      </c>
      <c r="AB6" s="414"/>
      <c r="AC6" s="414"/>
      <c r="AD6" s="425"/>
      <c r="AE6" s="421">
        <f t="shared" si="2"/>
        <v>36.959999999999994</v>
      </c>
    </row>
    <row r="7" spans="1:45">
      <c r="A7" s="46">
        <v>4</v>
      </c>
      <c r="F7" s="1115" t="s">
        <v>100</v>
      </c>
      <c r="G7" s="392"/>
      <c r="H7" s="424">
        <f>624.6*2</f>
        <v>1249.2</v>
      </c>
      <c r="I7" s="791"/>
      <c r="J7" s="791"/>
      <c r="K7" s="46">
        <f t="shared" si="1"/>
        <v>121</v>
      </c>
      <c r="L7" s="112">
        <f>[4]L5!E565</f>
        <v>45548</v>
      </c>
      <c r="M7" s="112">
        <f>[4]L5!F565</f>
        <v>45668</v>
      </c>
      <c r="N7" s="112"/>
      <c r="O7" s="112"/>
      <c r="P7" s="112"/>
      <c r="Q7" s="112"/>
      <c r="R7" s="112"/>
      <c r="S7" s="326"/>
      <c r="T7" s="327"/>
      <c r="U7" s="414"/>
      <c r="V7" s="414"/>
      <c r="W7" s="414">
        <f>H7*0.15</f>
        <v>187.38</v>
      </c>
      <c r="X7" s="414">
        <f>H7*0.19</f>
        <v>237.34800000000001</v>
      </c>
      <c r="Y7" s="414">
        <f>H7*0.21</f>
        <v>262.33199999999999</v>
      </c>
      <c r="Z7" s="414">
        <f>H7*0.16</f>
        <v>199.87200000000001</v>
      </c>
      <c r="AA7" s="414">
        <f>H7*0.12</f>
        <v>149.904</v>
      </c>
      <c r="AB7" s="414">
        <f>H7*0.1</f>
        <v>124.92000000000002</v>
      </c>
      <c r="AC7" s="414">
        <f>H7-SUM(W7:AB7)</f>
        <v>87.44399999999996</v>
      </c>
      <c r="AD7" s="425"/>
      <c r="AE7" s="421">
        <f t="shared" si="2"/>
        <v>362.26799999999997</v>
      </c>
    </row>
    <row r="8" spans="1:45">
      <c r="A8" s="46">
        <v>5</v>
      </c>
      <c r="F8" s="1115" t="s">
        <v>101</v>
      </c>
      <c r="G8" s="392"/>
      <c r="H8" s="415"/>
      <c r="I8" s="942"/>
      <c r="J8" s="942"/>
      <c r="K8" s="46">
        <f t="shared" si="1"/>
        <v>60</v>
      </c>
      <c r="L8" s="112">
        <f>[4]L5!E566</f>
        <v>45548</v>
      </c>
      <c r="M8" s="112">
        <f>[4]L5!F566</f>
        <v>45607</v>
      </c>
      <c r="N8" s="112"/>
      <c r="O8" s="112"/>
      <c r="P8" s="112"/>
      <c r="Q8" s="112"/>
      <c r="R8" s="112"/>
      <c r="S8" s="326"/>
      <c r="T8" s="326"/>
      <c r="U8" s="414"/>
      <c r="V8" s="414"/>
      <c r="W8" s="414"/>
      <c r="X8" s="414"/>
      <c r="Y8" s="414"/>
      <c r="Z8" s="414"/>
      <c r="AA8" s="414"/>
      <c r="AB8" s="414"/>
      <c r="AC8" s="414"/>
      <c r="AD8" s="425"/>
      <c r="AE8" s="421">
        <f t="shared" ref="AE8:AE19" si="3">Z8+AA8+AB8</f>
        <v>0</v>
      </c>
    </row>
    <row r="9" spans="1:45">
      <c r="A9" s="46">
        <v>6</v>
      </c>
      <c r="F9" s="1115" t="s">
        <v>102</v>
      </c>
      <c r="G9" s="392"/>
      <c r="H9" s="424">
        <v>15</v>
      </c>
      <c r="I9" s="791"/>
      <c r="J9" s="791"/>
      <c r="K9" s="46">
        <f t="shared" si="1"/>
        <v>90</v>
      </c>
      <c r="L9" s="112">
        <f>[4]L5!E567</f>
        <v>45527</v>
      </c>
      <c r="M9" s="112">
        <f>[4]L5!F567</f>
        <v>45616</v>
      </c>
      <c r="N9" s="112"/>
      <c r="O9" s="112"/>
      <c r="P9" s="112"/>
      <c r="Q9" s="112"/>
      <c r="R9" s="112"/>
      <c r="S9" s="326"/>
      <c r="T9" s="326"/>
      <c r="U9" s="414"/>
      <c r="V9" s="414"/>
      <c r="W9" s="414"/>
      <c r="X9" s="414"/>
      <c r="Y9" s="414"/>
      <c r="Z9" s="414"/>
      <c r="AA9" s="414">
        <f>H9</f>
        <v>15</v>
      </c>
      <c r="AB9" s="414"/>
      <c r="AC9" s="414"/>
      <c r="AD9" s="425"/>
      <c r="AE9" s="421">
        <f t="shared" ref="AE9:AE12" si="4">AC9+AA9+AB9</f>
        <v>15</v>
      </c>
    </row>
    <row r="10" spans="1:45">
      <c r="A10" s="113">
        <v>7</v>
      </c>
      <c r="B10" s="940"/>
      <c r="C10" s="940"/>
      <c r="D10" s="940"/>
      <c r="E10" s="940"/>
      <c r="F10" s="1115" t="s">
        <v>103</v>
      </c>
      <c r="G10" s="392"/>
      <c r="H10" s="426">
        <f>59.5+2381</f>
        <v>2440.5</v>
      </c>
      <c r="I10" s="943"/>
      <c r="J10" s="943"/>
      <c r="K10" s="113">
        <f t="shared" si="1"/>
        <v>121</v>
      </c>
      <c r="L10" s="114">
        <f>[4]L5!E568</f>
        <v>45545</v>
      </c>
      <c r="M10" s="114">
        <f>[4]L5!F568</f>
        <v>45665</v>
      </c>
      <c r="N10" s="114"/>
      <c r="O10" s="114"/>
      <c r="P10" s="114"/>
      <c r="Q10" s="114"/>
      <c r="R10" s="114"/>
      <c r="S10" s="326"/>
      <c r="T10" s="327"/>
      <c r="U10" s="414">
        <f>H10*0.08</f>
        <v>195.24</v>
      </c>
      <c r="V10" s="414">
        <f>H10*0.1</f>
        <v>244.05</v>
      </c>
      <c r="W10" s="414">
        <f>H10*0.13</f>
        <v>317.26499999999999</v>
      </c>
      <c r="X10" s="414">
        <f>H10*0.16</f>
        <v>390.48</v>
      </c>
      <c r="Y10" s="414">
        <f>H10*0.14</f>
        <v>341.67</v>
      </c>
      <c r="Z10" s="414">
        <f>H10*0.12</f>
        <v>292.86</v>
      </c>
      <c r="AA10" s="414">
        <f>H10*0.09</f>
        <v>219.64499999999998</v>
      </c>
      <c r="AB10" s="414">
        <f>H10*0.07</f>
        <v>170.83500000000001</v>
      </c>
      <c r="AC10" s="414">
        <f>H10*0.06</f>
        <v>146.43</v>
      </c>
      <c r="AD10" s="425">
        <f>H10-SUM(U10:AC10)</f>
        <v>122.02500000000009</v>
      </c>
      <c r="AE10" s="421">
        <f t="shared" si="4"/>
        <v>536.91</v>
      </c>
    </row>
    <row r="11" spans="1:45">
      <c r="A11" s="113">
        <v>8</v>
      </c>
      <c r="B11" s="940"/>
      <c r="C11" s="940"/>
      <c r="D11" s="940"/>
      <c r="E11" s="940"/>
      <c r="F11" s="1115" t="s">
        <v>104</v>
      </c>
      <c r="G11" s="392"/>
      <c r="H11" s="426">
        <f>228+6.5</f>
        <v>234.5</v>
      </c>
      <c r="I11" s="943"/>
      <c r="J11" s="943"/>
      <c r="K11" s="113">
        <f t="shared" si="1"/>
        <v>10</v>
      </c>
      <c r="L11" s="114">
        <f>[4]L5!E569</f>
        <v>45527</v>
      </c>
      <c r="M11" s="114">
        <f>[4]L5!F569</f>
        <v>45536</v>
      </c>
      <c r="N11" s="114"/>
      <c r="O11" s="114"/>
      <c r="P11" s="114"/>
      <c r="Q11" s="114"/>
      <c r="R11" s="114"/>
      <c r="S11" s="327"/>
      <c r="T11" s="327"/>
      <c r="U11" s="414"/>
      <c r="V11" s="414"/>
      <c r="W11" s="414"/>
      <c r="X11" s="414"/>
      <c r="Y11" s="414"/>
      <c r="Z11" s="414"/>
      <c r="AA11" s="414">
        <f>H11*0.45</f>
        <v>105.52500000000001</v>
      </c>
      <c r="AB11" s="414">
        <f>H11-AA11</f>
        <v>128.97499999999999</v>
      </c>
      <c r="AC11" s="414"/>
      <c r="AD11" s="425"/>
      <c r="AE11" s="421">
        <f t="shared" si="4"/>
        <v>234.5</v>
      </c>
    </row>
    <row r="12" spans="1:45">
      <c r="A12" s="46">
        <v>9</v>
      </c>
      <c r="F12" s="1115" t="s">
        <v>105</v>
      </c>
      <c r="G12" s="392"/>
      <c r="H12" s="424">
        <v>336</v>
      </c>
      <c r="I12" s="791"/>
      <c r="J12" s="791"/>
      <c r="K12" s="46">
        <f t="shared" si="1"/>
        <v>70</v>
      </c>
      <c r="L12" s="112">
        <f>[4]L5!E570</f>
        <v>45543</v>
      </c>
      <c r="M12" s="112">
        <f>[4]L5!F570</f>
        <v>45612</v>
      </c>
      <c r="N12" s="112"/>
      <c r="O12" s="112"/>
      <c r="P12" s="112"/>
      <c r="Q12" s="112"/>
      <c r="R12" s="112"/>
      <c r="S12" s="326"/>
      <c r="T12" s="327"/>
      <c r="U12" s="414"/>
      <c r="V12" s="414"/>
      <c r="W12" s="414"/>
      <c r="X12" s="414"/>
      <c r="Y12" s="414">
        <f>H12*0.14</f>
        <v>47.040000000000006</v>
      </c>
      <c r="Z12" s="414">
        <f>H12*0.24</f>
        <v>80.64</v>
      </c>
      <c r="AA12" s="414">
        <f>H12*0.34</f>
        <v>114.24000000000001</v>
      </c>
      <c r="AB12" s="414">
        <f>H12-SUM(Y12:AA12)</f>
        <v>94.079999999999984</v>
      </c>
      <c r="AC12" s="414"/>
      <c r="AD12" s="425"/>
      <c r="AE12" s="421">
        <f t="shared" si="4"/>
        <v>208.32</v>
      </c>
    </row>
    <row r="13" spans="1:45">
      <c r="A13" s="46">
        <v>10</v>
      </c>
      <c r="F13" s="1115" t="s">
        <v>106</v>
      </c>
      <c r="G13" s="392"/>
      <c r="H13" s="415"/>
      <c r="I13" s="942"/>
      <c r="J13" s="942"/>
      <c r="K13" s="46">
        <f t="shared" si="1"/>
        <v>65</v>
      </c>
      <c r="L13" s="112">
        <f>[4]L5!E571</f>
        <v>45543</v>
      </c>
      <c r="M13" s="112">
        <f>[4]L5!F571</f>
        <v>45607</v>
      </c>
      <c r="N13" s="112"/>
      <c r="O13" s="112"/>
      <c r="P13" s="112"/>
      <c r="Q13" s="112"/>
      <c r="R13" s="112"/>
      <c r="S13" s="326"/>
      <c r="T13" s="326"/>
      <c r="U13" s="414"/>
      <c r="V13" s="414"/>
      <c r="W13" s="414"/>
      <c r="X13" s="414"/>
      <c r="Y13" s="414"/>
      <c r="Z13" s="414"/>
      <c r="AA13" s="414"/>
      <c r="AB13" s="414"/>
      <c r="AC13" s="414"/>
      <c r="AD13" s="425"/>
      <c r="AE13" s="421">
        <f t="shared" si="3"/>
        <v>0</v>
      </c>
    </row>
    <row r="14" spans="1:45">
      <c r="A14" s="46">
        <v>11</v>
      </c>
      <c r="F14" s="1115" t="s">
        <v>107</v>
      </c>
      <c r="G14" s="392"/>
      <c r="H14" s="424">
        <v>22</v>
      </c>
      <c r="I14" s="791"/>
      <c r="J14" s="791"/>
      <c r="K14" s="46">
        <f t="shared" si="1"/>
        <v>30</v>
      </c>
      <c r="L14" s="112">
        <f>[4]L5!E572</f>
        <v>45571</v>
      </c>
      <c r="M14" s="112">
        <f>[4]L5!F572</f>
        <v>45600</v>
      </c>
      <c r="N14" s="112"/>
      <c r="O14" s="112"/>
      <c r="P14" s="112"/>
      <c r="Q14" s="112"/>
      <c r="R14" s="112"/>
      <c r="S14" s="326"/>
      <c r="T14" s="326"/>
      <c r="U14" s="414"/>
      <c r="V14" s="414"/>
      <c r="W14" s="414"/>
      <c r="X14" s="414"/>
      <c r="Y14" s="414"/>
      <c r="Z14" s="414"/>
      <c r="AA14" s="414"/>
      <c r="AB14" s="414">
        <f>H14*0.45</f>
        <v>9.9</v>
      </c>
      <c r="AC14" s="414">
        <f>H14-AB14</f>
        <v>12.1</v>
      </c>
      <c r="AD14" s="425"/>
      <c r="AE14" s="421">
        <f>AC14+AA14+AB14</f>
        <v>22</v>
      </c>
    </row>
    <row r="15" spans="1:45">
      <c r="A15" s="46">
        <v>12</v>
      </c>
      <c r="F15" s="1115" t="s">
        <v>108</v>
      </c>
      <c r="G15" s="392"/>
      <c r="H15" s="424">
        <v>18</v>
      </c>
      <c r="I15" s="791"/>
      <c r="J15" s="791"/>
      <c r="K15" s="46">
        <f t="shared" si="1"/>
        <v>70</v>
      </c>
      <c r="L15" s="112">
        <f>[4]L5!E573</f>
        <v>45533</v>
      </c>
      <c r="M15" s="112">
        <f>[4]L5!F573</f>
        <v>45602</v>
      </c>
      <c r="N15" s="112"/>
      <c r="O15" s="112"/>
      <c r="P15" s="112"/>
      <c r="Q15" s="112"/>
      <c r="R15" s="112"/>
      <c r="S15" s="326"/>
      <c r="T15" s="327"/>
      <c r="U15" s="414"/>
      <c r="V15" s="414"/>
      <c r="W15" s="414"/>
      <c r="X15" s="414"/>
      <c r="Y15" s="414"/>
      <c r="Z15" s="414"/>
      <c r="AA15" s="414"/>
      <c r="AB15" s="414"/>
      <c r="AC15" s="414">
        <f>H15*0.45</f>
        <v>8.1</v>
      </c>
      <c r="AD15" s="425">
        <f>H15-AC15</f>
        <v>9.9</v>
      </c>
      <c r="AE15" s="421">
        <f t="shared" si="3"/>
        <v>0</v>
      </c>
    </row>
    <row r="16" spans="1:45">
      <c r="A16" s="46">
        <v>13</v>
      </c>
      <c r="F16" s="392" t="s">
        <v>109</v>
      </c>
      <c r="G16" s="392"/>
      <c r="H16" s="424">
        <v>83</v>
      </c>
      <c r="I16" s="791"/>
      <c r="J16" s="791"/>
      <c r="K16" s="46">
        <f t="shared" si="1"/>
        <v>45</v>
      </c>
      <c r="L16" s="112">
        <f>[4]L5!E574</f>
        <v>45575</v>
      </c>
      <c r="M16" s="112">
        <f>[4]L5!F574</f>
        <v>45619</v>
      </c>
      <c r="N16" s="112"/>
      <c r="O16" s="112"/>
      <c r="P16" s="112"/>
      <c r="Q16" s="112"/>
      <c r="R16" s="112"/>
      <c r="S16" s="326"/>
      <c r="T16" s="326"/>
      <c r="U16" s="414"/>
      <c r="V16" s="414"/>
      <c r="W16" s="414"/>
      <c r="X16" s="414"/>
      <c r="Y16" s="414"/>
      <c r="Z16" s="414"/>
      <c r="AA16" s="414"/>
      <c r="AB16" s="414">
        <f>H16*0.3</f>
        <v>24.9</v>
      </c>
      <c r="AC16" s="414">
        <f>H16*0.45</f>
        <v>37.35</v>
      </c>
      <c r="AD16" s="425">
        <f>H16-AB16-AC16</f>
        <v>20.75</v>
      </c>
      <c r="AE16" s="421">
        <f t="shared" ref="AE16:AE18" si="5">AC16+AA16+AB16</f>
        <v>62.25</v>
      </c>
    </row>
    <row r="17" spans="1:31">
      <c r="A17" s="46">
        <v>14</v>
      </c>
      <c r="F17" s="1115" t="s">
        <v>111</v>
      </c>
      <c r="G17" s="392"/>
      <c r="H17" s="424">
        <v>44.5</v>
      </c>
      <c r="I17" s="791"/>
      <c r="J17" s="791"/>
      <c r="K17" s="46">
        <f t="shared" si="1"/>
        <v>55</v>
      </c>
      <c r="L17" s="112">
        <f>[4]L5!E575</f>
        <v>45686</v>
      </c>
      <c r="M17" s="112">
        <f>[4]L5!F575</f>
        <v>45740</v>
      </c>
      <c r="N17" s="112"/>
      <c r="O17" s="112"/>
      <c r="P17" s="112"/>
      <c r="Q17" s="112"/>
      <c r="R17" s="112"/>
      <c r="S17" s="326"/>
      <c r="T17" s="326"/>
      <c r="U17" s="414"/>
      <c r="V17" s="414"/>
      <c r="W17" s="414"/>
      <c r="X17" s="414"/>
      <c r="Y17" s="414"/>
      <c r="Z17" s="414"/>
      <c r="AA17" s="414">
        <f>H17*0.3</f>
        <v>13.35</v>
      </c>
      <c r="AB17" s="414">
        <f>H17*0.38</f>
        <v>16.91</v>
      </c>
      <c r="AC17" s="414">
        <f>H17-SUM(W17:AB17)</f>
        <v>14.240000000000002</v>
      </c>
      <c r="AD17" s="425"/>
      <c r="AE17" s="421">
        <f t="shared" si="5"/>
        <v>44.5</v>
      </c>
    </row>
    <row r="18" spans="1:31">
      <c r="A18" s="46">
        <v>15</v>
      </c>
      <c r="F18" s="1115" t="s">
        <v>113</v>
      </c>
      <c r="G18" s="392"/>
      <c r="H18" s="424">
        <f>160.2+76+55.1+48</f>
        <v>339.3</v>
      </c>
      <c r="I18" s="791"/>
      <c r="J18" s="791"/>
      <c r="K18" s="46">
        <f t="shared" si="1"/>
        <v>155</v>
      </c>
      <c r="L18" s="112">
        <f>[4]L5!E576</f>
        <v>45555</v>
      </c>
      <c r="M18" s="112">
        <f>[4]L5!F576</f>
        <v>45709</v>
      </c>
      <c r="N18" s="112"/>
      <c r="O18" s="112"/>
      <c r="P18" s="112"/>
      <c r="Q18" s="112"/>
      <c r="R18" s="112"/>
      <c r="S18" s="326"/>
      <c r="T18" s="327"/>
      <c r="U18" s="414"/>
      <c r="V18" s="414"/>
      <c r="W18" s="414"/>
      <c r="X18" s="414"/>
      <c r="Y18" s="414">
        <f>H18*0.18</f>
        <v>61.073999999999998</v>
      </c>
      <c r="Z18" s="414">
        <f>H18*0.16</f>
        <v>54.288000000000004</v>
      </c>
      <c r="AA18" s="414">
        <f>H18*0.09</f>
        <v>30.536999999999999</v>
      </c>
      <c r="AB18" s="414">
        <f>H18*0.07</f>
        <v>23.751000000000005</v>
      </c>
      <c r="AC18" s="414">
        <f>H18*0.06</f>
        <v>20.358000000000001</v>
      </c>
      <c r="AD18" s="425">
        <f>H18-SUM(U18:AC18)</f>
        <v>149.292</v>
      </c>
      <c r="AE18" s="421">
        <f t="shared" si="5"/>
        <v>74.646000000000001</v>
      </c>
    </row>
    <row r="19" spans="1:31">
      <c r="A19" s="46">
        <v>16</v>
      </c>
      <c r="F19" s="1115" t="s">
        <v>133</v>
      </c>
      <c r="G19" s="392"/>
      <c r="H19" s="424">
        <v>2.4</v>
      </c>
      <c r="I19" s="791"/>
      <c r="J19" s="791"/>
      <c r="K19" s="46"/>
      <c r="L19" s="46"/>
      <c r="M19" s="46"/>
      <c r="N19" s="46"/>
      <c r="O19" s="46"/>
      <c r="P19" s="46"/>
      <c r="Q19" s="46"/>
      <c r="R19" s="46"/>
      <c r="S19" s="326"/>
      <c r="T19" s="326"/>
      <c r="U19" s="414"/>
      <c r="V19" s="414"/>
      <c r="W19" s="414"/>
      <c r="X19" s="414"/>
      <c r="Y19" s="414"/>
      <c r="Z19" s="414"/>
      <c r="AA19" s="414"/>
      <c r="AB19" s="414"/>
      <c r="AC19" s="414"/>
      <c r="AD19" s="425">
        <f>H19</f>
        <v>2.4</v>
      </c>
      <c r="AE19" s="421">
        <f t="shared" si="3"/>
        <v>0</v>
      </c>
    </row>
    <row r="20" spans="1:31" ht="22" customHeight="1" thickBot="1">
      <c r="A20" s="802"/>
      <c r="B20" s="802"/>
      <c r="C20" s="802"/>
      <c r="D20" s="802"/>
      <c r="E20" s="802"/>
      <c r="F20" s="802" t="s">
        <v>132</v>
      </c>
      <c r="G20" s="802"/>
      <c r="H20" s="802">
        <v>5076</v>
      </c>
      <c r="I20" s="802"/>
      <c r="J20" s="802"/>
      <c r="K20" s="802"/>
      <c r="L20" s="802"/>
      <c r="M20" s="802"/>
      <c r="N20" s="944"/>
      <c r="O20" s="944"/>
      <c r="P20" s="944"/>
      <c r="Q20" s="944"/>
      <c r="R20" s="944"/>
      <c r="S20" s="800">
        <f>SUM(S4:S19)</f>
        <v>0</v>
      </c>
      <c r="T20" s="801">
        <f t="shared" ref="T20:AD20" si="6">SUM(T4:T19)</f>
        <v>0</v>
      </c>
      <c r="U20" s="802">
        <f>SUM(U4:U19)</f>
        <v>195.24</v>
      </c>
      <c r="V20" s="802">
        <f t="shared" si="6"/>
        <v>244.05</v>
      </c>
      <c r="W20" s="802">
        <f t="shared" si="6"/>
        <v>504.64499999999998</v>
      </c>
      <c r="X20" s="802">
        <f t="shared" si="6"/>
        <v>715.66800000000001</v>
      </c>
      <c r="Y20" s="800">
        <f t="shared" si="6"/>
        <v>798.99599999999998</v>
      </c>
      <c r="Z20" s="801">
        <f t="shared" si="6"/>
        <v>705.18</v>
      </c>
      <c r="AA20" s="802">
        <f t="shared" si="6"/>
        <v>685.16100000000006</v>
      </c>
      <c r="AB20" s="802">
        <f t="shared" si="6"/>
        <v>594.27099999999984</v>
      </c>
      <c r="AC20" s="802">
        <f t="shared" si="6"/>
        <v>326.02199999999999</v>
      </c>
      <c r="AD20" s="802">
        <f t="shared" si="6"/>
        <v>304.36700000000008</v>
      </c>
      <c r="AE20" s="422"/>
    </row>
    <row r="21" spans="1:31">
      <c r="S21" s="7"/>
      <c r="T21" s="7"/>
      <c r="U21" s="7"/>
      <c r="V21" s="7"/>
      <c r="W21" s="7"/>
      <c r="X21" s="7"/>
      <c r="Y21" s="7"/>
      <c r="Z21" s="7"/>
      <c r="AA21" s="7"/>
      <c r="AB21" s="7"/>
      <c r="AC21" s="7"/>
    </row>
  </sheetData>
  <autoFilter ref="A3:AE20" xr:uid="{63844002-BEC6-4275-9E04-F9CFF5977BF3}"/>
  <pageMargins left="0.7" right="0.7" top="0.75" bottom="0.75" header="0.3" footer="0.3"/>
  <pageSetup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6277-A748-41D6-A680-BF4B4453A6DC}">
  <dimension ref="A1:AJ71"/>
  <sheetViews>
    <sheetView zoomScale="90" zoomScaleNormal="90" workbookViewId="0">
      <pane ySplit="2" topLeftCell="A9" activePane="bottomLeft" state="frozen"/>
      <selection pane="bottomLeft" activeCell="F13" sqref="F13"/>
    </sheetView>
  </sheetViews>
  <sheetFormatPr defaultColWidth="8.7265625" defaultRowHeight="14.5"/>
  <cols>
    <col min="1" max="1" width="4.7265625" style="48" bestFit="1" customWidth="1"/>
    <col min="2" max="2" width="7.08984375" style="544" hidden="1" customWidth="1"/>
    <col min="3" max="3" width="11.1796875" style="544" hidden="1" customWidth="1"/>
    <col min="4" max="4" width="10.6328125" style="544" hidden="1" customWidth="1"/>
    <col min="5" max="5" width="11.08984375" style="544" hidden="1" customWidth="1"/>
    <col min="6" max="6" width="40.08984375" style="48" bestFit="1" customWidth="1"/>
    <col min="7" max="7" width="5.36328125" style="544" bestFit="1" customWidth="1"/>
    <col min="8" max="8" width="11" style="58" bestFit="1" customWidth="1"/>
    <col min="9" max="9" width="17.36328125" style="543" bestFit="1" customWidth="1"/>
    <col min="10" max="10" width="8.54296875" style="543" bestFit="1" customWidth="1"/>
    <col min="11" max="11" width="10.08984375" style="48" bestFit="1" customWidth="1"/>
    <col min="12" max="13" width="9.54296875" style="48" bestFit="1" customWidth="1"/>
    <col min="14" max="14" width="18.08984375" style="544" bestFit="1" customWidth="1"/>
    <col min="15" max="15" width="19.7265625" style="544" bestFit="1" customWidth="1"/>
    <col min="16" max="16" width="19.81640625" style="544" bestFit="1" customWidth="1"/>
    <col min="17" max="17" width="21.90625" style="544" bestFit="1" customWidth="1"/>
    <col min="18" max="18" width="21.90625" style="544" customWidth="1"/>
    <col min="19" max="19" width="11.1796875" style="48" bestFit="1" customWidth="1"/>
    <col min="20" max="20" width="12.08984375" style="48" bestFit="1" customWidth="1"/>
    <col min="21" max="21" width="11.90625" style="48" bestFit="1" customWidth="1"/>
    <col min="22" max="22" width="11.81640625" style="48" bestFit="1" customWidth="1"/>
    <col min="23" max="23" width="12.1796875" style="48" bestFit="1" customWidth="1"/>
    <col min="24" max="24" width="12" style="48" bestFit="1" customWidth="1"/>
    <col min="25" max="25" width="11.7265625" style="48" bestFit="1" customWidth="1"/>
    <col min="26" max="26" width="11.90625" style="48" bestFit="1" customWidth="1"/>
    <col min="27" max="27" width="12.26953125" style="48" bestFit="1" customWidth="1"/>
    <col min="28" max="28" width="11.90625" style="48" bestFit="1" customWidth="1"/>
    <col min="29" max="29" width="12.54296875" style="48" bestFit="1" customWidth="1"/>
    <col min="30" max="30" width="11.81640625" style="48" bestFit="1" customWidth="1"/>
    <col min="31" max="31" width="11.1796875" style="48" bestFit="1" customWidth="1"/>
    <col min="32" max="32" width="1.90625" style="48" bestFit="1" customWidth="1"/>
    <col min="33" max="33" width="12" style="48" bestFit="1" customWidth="1"/>
    <col min="34" max="35" width="1.90625" style="48" bestFit="1" customWidth="1"/>
    <col min="36" max="36" width="4.90625" style="48" bestFit="1" customWidth="1"/>
    <col min="37" max="16384" width="8.7265625" style="48"/>
  </cols>
  <sheetData>
    <row r="1" spans="1:36" s="50" customFormat="1" ht="31.5" thickBot="1">
      <c r="A1" s="893" t="str">
        <f>'PLATE FAB'!A1</f>
        <v>S No</v>
      </c>
      <c r="B1" s="894" t="str">
        <f>'PLATE FAB'!B1</f>
        <v>Section</v>
      </c>
      <c r="C1" s="894" t="str">
        <f>'PLATE FAB'!C1</f>
        <v>Department</v>
      </c>
      <c r="D1" s="894" t="str">
        <f>'PLATE FAB'!D1</f>
        <v>Description</v>
      </c>
      <c r="E1" s="894" t="str">
        <f>'PLATE FAB'!E1</f>
        <v>Sub Phase 1</v>
      </c>
      <c r="F1" s="894" t="str">
        <f>'PLATE FAB'!F1</f>
        <v>Particular</v>
      </c>
      <c r="G1" s="894" t="str">
        <f>'PLATE FAB'!G1</f>
        <v>UOM</v>
      </c>
      <c r="H1" s="895" t="str">
        <f>'PLATE FAB'!H1</f>
        <v>Scope</v>
      </c>
      <c r="I1" s="895" t="str">
        <f>'PLATE FAB'!I1</f>
        <v>DRAWING RELESED</v>
      </c>
      <c r="J1" s="895" t="str">
        <f>'PLATE FAB'!J1</f>
        <v>ACHIVED</v>
      </c>
      <c r="K1" s="895" t="str">
        <f>'PLATE FAB'!K1</f>
        <v>DURATION</v>
      </c>
      <c r="L1" s="896" t="str">
        <f>'PLATE FAB'!L1</f>
        <v>BL Start</v>
      </c>
      <c r="M1" s="896" t="str">
        <f>'PLATE FAB'!M1</f>
        <v>BL Finish</v>
      </c>
      <c r="N1" s="894" t="str">
        <f>'PLATE FAB'!N1</f>
        <v>Current Month Plan</v>
      </c>
      <c r="O1" s="894" t="str">
        <f>'PLATE FAB'!O1</f>
        <v>Current Month Actual</v>
      </c>
      <c r="P1" s="894" t="str">
        <f>'PLATE FAB'!P1</f>
        <v>Cummulative Planned</v>
      </c>
      <c r="Q1" s="894" t="str">
        <f>'PLATE FAB'!Q1</f>
        <v>Cummulative completed</v>
      </c>
      <c r="R1" s="897" t="str">
        <f>'PLATE FAB'!R1</f>
        <v>Balance</v>
      </c>
      <c r="S1" s="898">
        <f>SUM(S3:S24)</f>
        <v>0</v>
      </c>
      <c r="T1" s="898">
        <f t="shared" ref="T1:Z1" si="0">SUM(T3:T24)</f>
        <v>40</v>
      </c>
      <c r="U1" s="898">
        <f t="shared" si="0"/>
        <v>80</v>
      </c>
      <c r="V1" s="898">
        <f t="shared" si="0"/>
        <v>1509.46080564</v>
      </c>
      <c r="W1" s="898">
        <f t="shared" si="0"/>
        <v>1343.61476036</v>
      </c>
      <c r="X1" s="898">
        <f t="shared" si="0"/>
        <v>342.68573000000004</v>
      </c>
      <c r="Y1" s="898">
        <f t="shared" si="0"/>
        <v>695.34355116000006</v>
      </c>
      <c r="Z1" s="898">
        <f t="shared" si="0"/>
        <v>1382.37719358</v>
      </c>
      <c r="AA1" s="898">
        <f>SUM(AA3:AA24)</f>
        <v>2331.2918608300001</v>
      </c>
      <c r="AB1" s="898">
        <f>SUM(AB3:AB24)</f>
        <v>3646.8705253899998</v>
      </c>
      <c r="AC1" s="898">
        <f>SUM(AC3:AC24)</f>
        <v>4842.2184866650014</v>
      </c>
      <c r="AD1" s="898">
        <f>SUM(AD3:AD24)</f>
        <v>3000.6383872750002</v>
      </c>
      <c r="AE1" s="899">
        <f>SUM(AE3:AE24)</f>
        <v>1690.8081575999995</v>
      </c>
      <c r="AG1" s="50">
        <f>SUM(AG3:AG24)</f>
        <v>4238.7239542400002</v>
      </c>
      <c r="AI1" s="50">
        <f>SUM(AI3:AI24)</f>
        <v>0</v>
      </c>
    </row>
    <row r="2" spans="1:36" s="50" customFormat="1">
      <c r="A2" s="430"/>
      <c r="B2" s="431"/>
      <c r="C2" s="431"/>
      <c r="D2" s="431"/>
      <c r="E2" s="431"/>
      <c r="F2" s="431"/>
      <c r="G2" s="431"/>
      <c r="H2" s="432">
        <f>SUM(H3:H24)</f>
        <v>20905.3094585</v>
      </c>
      <c r="I2" s="432"/>
      <c r="J2" s="432"/>
      <c r="K2" s="432"/>
      <c r="L2" s="433">
        <f>MIN(L3:L24)</f>
        <v>45505</v>
      </c>
      <c r="M2" s="433">
        <f>MAX(M3:M24)</f>
        <v>45868</v>
      </c>
      <c r="N2" s="433"/>
      <c r="O2" s="433"/>
      <c r="P2" s="433"/>
      <c r="Q2" s="433"/>
      <c r="R2" s="433"/>
      <c r="S2" s="434">
        <v>45504</v>
      </c>
      <c r="T2" s="434">
        <v>45535</v>
      </c>
      <c r="U2" s="434">
        <v>45565</v>
      </c>
      <c r="V2" s="434">
        <v>45596</v>
      </c>
      <c r="W2" s="434">
        <v>45626</v>
      </c>
      <c r="X2" s="434">
        <v>45657</v>
      </c>
      <c r="Y2" s="434">
        <v>45688</v>
      </c>
      <c r="Z2" s="434">
        <v>45716</v>
      </c>
      <c r="AA2" s="434">
        <v>45747</v>
      </c>
      <c r="AB2" s="434">
        <v>45777</v>
      </c>
      <c r="AC2" s="434">
        <v>45808</v>
      </c>
      <c r="AD2" s="434">
        <v>45838</v>
      </c>
      <c r="AE2" s="55">
        <v>45869</v>
      </c>
    </row>
    <row r="3" spans="1:36">
      <c r="A3" s="435">
        <v>1</v>
      </c>
      <c r="B3" s="413"/>
      <c r="C3" s="413"/>
      <c r="D3" s="413"/>
      <c r="E3" s="413"/>
      <c r="F3" s="508" t="s">
        <v>97</v>
      </c>
      <c r="G3" s="413"/>
      <c r="H3" s="436">
        <f>1602.234616+619.94959</f>
        <v>2222.1842059999999</v>
      </c>
      <c r="I3" s="436"/>
      <c r="J3" s="436"/>
      <c r="K3" s="437">
        <f>M3-L3+1</f>
        <v>153</v>
      </c>
      <c r="L3" s="438">
        <f>[3]L5!E631</f>
        <v>45689</v>
      </c>
      <c r="M3" s="438">
        <f>[3]L5!F631</f>
        <v>45841</v>
      </c>
      <c r="N3" s="438"/>
      <c r="O3" s="438"/>
      <c r="P3" s="438"/>
      <c r="Q3" s="438"/>
      <c r="R3" s="438"/>
      <c r="S3" s="413"/>
      <c r="T3" s="413"/>
      <c r="U3" s="413"/>
      <c r="V3" s="413"/>
      <c r="W3" s="413"/>
      <c r="X3" s="413"/>
      <c r="Y3" s="413"/>
      <c r="Z3" s="414">
        <f>H3*0.18</f>
        <v>399.99315707999995</v>
      </c>
      <c r="AA3" s="414">
        <f>H3*0.2</f>
        <v>444.4368412</v>
      </c>
      <c r="AB3" s="414">
        <f>H3*0.22</f>
        <v>488.88052532</v>
      </c>
      <c r="AC3" s="414">
        <f>H3*0.17</f>
        <v>377.77131502000003</v>
      </c>
      <c r="AD3" s="414">
        <f>H3*0.13</f>
        <v>288.88394677999997</v>
      </c>
      <c r="AE3" s="425">
        <f>H3-Z3-AA3-AB3-AC3-AD3</f>
        <v>222.2184206</v>
      </c>
      <c r="AF3" s="60"/>
      <c r="AG3" s="48">
        <f>SUM(S3:Y3)</f>
        <v>0</v>
      </c>
      <c r="AI3" s="59">
        <f t="shared" ref="AI3:AI24" si="1">H3-SUM(S3:AE3)</f>
        <v>0</v>
      </c>
      <c r="AJ3" s="547">
        <f t="shared" ref="AJ3:AJ5" si="2">AA3+AB3+AC3</f>
        <v>1311.0886815399999</v>
      </c>
    </row>
    <row r="4" spans="1:36">
      <c r="A4" s="435">
        <v>2</v>
      </c>
      <c r="B4" s="413"/>
      <c r="C4" s="413"/>
      <c r="D4" s="413"/>
      <c r="E4" s="413"/>
      <c r="F4" s="508" t="s">
        <v>98</v>
      </c>
      <c r="G4" s="413"/>
      <c r="H4" s="436">
        <v>2573.075566</v>
      </c>
      <c r="I4" s="436"/>
      <c r="J4" s="436"/>
      <c r="K4" s="437">
        <f t="shared" ref="K4:K20" si="3">M4-L4+1</f>
        <v>25</v>
      </c>
      <c r="L4" s="438">
        <f>[3]L5!E632</f>
        <v>45593</v>
      </c>
      <c r="M4" s="438">
        <f>[3]L5!F632</f>
        <v>45617</v>
      </c>
      <c r="N4" s="438"/>
      <c r="O4" s="438"/>
      <c r="P4" s="438"/>
      <c r="Q4" s="438"/>
      <c r="R4" s="438"/>
      <c r="S4" s="413"/>
      <c r="T4" s="413"/>
      <c r="U4" s="413"/>
      <c r="V4" s="414">
        <f>H4*0.54</f>
        <v>1389.46080564</v>
      </c>
      <c r="W4" s="414">
        <f>H4-V4</f>
        <v>1183.61476036</v>
      </c>
      <c r="X4" s="414"/>
      <c r="Y4" s="413"/>
      <c r="Z4" s="413"/>
      <c r="AA4" s="413"/>
      <c r="AB4" s="413"/>
      <c r="AC4" s="413"/>
      <c r="AD4" s="413"/>
      <c r="AE4" s="61"/>
      <c r="AF4" s="60"/>
      <c r="AG4" s="48">
        <f t="shared" ref="AG4:AG24" si="4">SUM(S4:Y4)</f>
        <v>2573.075566</v>
      </c>
      <c r="AI4" s="59">
        <f t="shared" si="1"/>
        <v>0</v>
      </c>
      <c r="AJ4" s="547">
        <f t="shared" si="2"/>
        <v>0</v>
      </c>
    </row>
    <row r="5" spans="1:36">
      <c r="A5" s="435">
        <v>3</v>
      </c>
      <c r="B5" s="413"/>
      <c r="C5" s="413"/>
      <c r="D5" s="413"/>
      <c r="E5" s="413"/>
      <c r="F5" s="508" t="s">
        <v>99</v>
      </c>
      <c r="G5" s="413"/>
      <c r="H5" s="436">
        <v>701.63027</v>
      </c>
      <c r="I5" s="436"/>
      <c r="J5" s="436"/>
      <c r="K5" s="437">
        <f t="shared" si="3"/>
        <v>90</v>
      </c>
      <c r="L5" s="438">
        <f>[3]L5!E633</f>
        <v>45695</v>
      </c>
      <c r="M5" s="438">
        <f>[3]L5!F633</f>
        <v>45784</v>
      </c>
      <c r="N5" s="438"/>
      <c r="O5" s="438"/>
      <c r="P5" s="438"/>
      <c r="Q5" s="438"/>
      <c r="R5" s="438"/>
      <c r="S5" s="413"/>
      <c r="T5" s="413"/>
      <c r="U5" s="413"/>
      <c r="V5" s="413"/>
      <c r="W5" s="413"/>
      <c r="X5" s="413"/>
      <c r="Y5" s="413"/>
      <c r="Z5" s="414">
        <f>H5*0.2</f>
        <v>140.326054</v>
      </c>
      <c r="AA5" s="414">
        <f>H5*0.23</f>
        <v>161.3749621</v>
      </c>
      <c r="AB5" s="414">
        <f>H5*0.3</f>
        <v>210.489081</v>
      </c>
      <c r="AC5" s="414">
        <f>H5-SUM(Z5:AB5)</f>
        <v>189.44017289999999</v>
      </c>
      <c r="AD5" s="414"/>
      <c r="AE5" s="425"/>
      <c r="AF5" s="60"/>
      <c r="AG5" s="48">
        <f t="shared" si="4"/>
        <v>0</v>
      </c>
      <c r="AI5" s="59">
        <f t="shared" si="1"/>
        <v>0</v>
      </c>
      <c r="AJ5" s="547">
        <f t="shared" si="2"/>
        <v>561.304216</v>
      </c>
    </row>
    <row r="6" spans="1:36">
      <c r="A6" s="435">
        <v>4</v>
      </c>
      <c r="B6" s="413"/>
      <c r="C6" s="413"/>
      <c r="D6" s="413"/>
      <c r="E6" s="413"/>
      <c r="F6" s="508" t="s">
        <v>100</v>
      </c>
      <c r="G6" s="413"/>
      <c r="H6" s="436">
        <v>966.08990000000006</v>
      </c>
      <c r="I6" s="436"/>
      <c r="J6" s="436"/>
      <c r="K6" s="437">
        <f t="shared" si="3"/>
        <v>160</v>
      </c>
      <c r="L6" s="438">
        <f>[3]L5!E634</f>
        <v>45658</v>
      </c>
      <c r="M6" s="438">
        <f>[3]L5!F634</f>
        <v>45817</v>
      </c>
      <c r="N6" s="438"/>
      <c r="O6" s="438"/>
      <c r="P6" s="438"/>
      <c r="Q6" s="438"/>
      <c r="R6" s="438"/>
      <c r="S6" s="413"/>
      <c r="T6" s="413"/>
      <c r="U6" s="413"/>
      <c r="V6" s="413"/>
      <c r="W6" s="413"/>
      <c r="X6" s="413"/>
      <c r="Y6" s="414">
        <f>H6*0.13</f>
        <v>125.59168700000001</v>
      </c>
      <c r="Z6" s="414">
        <f>H6*0.21</f>
        <v>202.87887900000001</v>
      </c>
      <c r="AA6" s="414">
        <f>H6*0.26</f>
        <v>251.18337400000001</v>
      </c>
      <c r="AB6" s="414">
        <f>H6*0.22</f>
        <v>212.53977800000001</v>
      </c>
      <c r="AC6" s="414">
        <f>H6*0.13</f>
        <v>125.59168700000001</v>
      </c>
      <c r="AD6" s="414">
        <f>H6-SUM(Y6:AC6)</f>
        <v>48.304495000000088</v>
      </c>
      <c r="AE6" s="61"/>
      <c r="AF6" s="60"/>
      <c r="AG6" s="48">
        <f t="shared" si="4"/>
        <v>125.59168700000001</v>
      </c>
      <c r="AI6" s="59">
        <f t="shared" si="1"/>
        <v>0</v>
      </c>
      <c r="AJ6" s="547">
        <f>AA6+AB6+AC6</f>
        <v>589.31483900000001</v>
      </c>
    </row>
    <row r="7" spans="1:36">
      <c r="A7" s="435">
        <v>5</v>
      </c>
      <c r="B7" s="413"/>
      <c r="C7" s="413"/>
      <c r="D7" s="413"/>
      <c r="E7" s="413"/>
      <c r="F7" s="508" t="s">
        <v>101</v>
      </c>
      <c r="G7" s="413"/>
      <c r="H7" s="437"/>
      <c r="I7" s="437"/>
      <c r="J7" s="437"/>
      <c r="K7" s="437">
        <f t="shared" si="3"/>
        <v>55</v>
      </c>
      <c r="L7" s="438">
        <f>[3]L5!E635</f>
        <v>45696</v>
      </c>
      <c r="M7" s="438">
        <f>[3]L5!F635</f>
        <v>45750</v>
      </c>
      <c r="N7" s="438"/>
      <c r="O7" s="438"/>
      <c r="P7" s="438"/>
      <c r="Q7" s="438"/>
      <c r="R7" s="438"/>
      <c r="S7" s="413"/>
      <c r="T7" s="413"/>
      <c r="U7" s="413"/>
      <c r="V7" s="413"/>
      <c r="W7" s="413"/>
      <c r="X7" s="413"/>
      <c r="Y7" s="413"/>
      <c r="Z7" s="413"/>
      <c r="AA7" s="413"/>
      <c r="AB7" s="413"/>
      <c r="AC7" s="413"/>
      <c r="AD7" s="413"/>
      <c r="AE7" s="61"/>
      <c r="AF7" s="60"/>
      <c r="AG7" s="48">
        <f t="shared" si="4"/>
        <v>0</v>
      </c>
      <c r="AI7" s="59">
        <f t="shared" si="1"/>
        <v>0</v>
      </c>
      <c r="AJ7" s="547">
        <f t="shared" ref="AJ7:AJ24" si="5">AA7+AB7+AC7</f>
        <v>0</v>
      </c>
    </row>
    <row r="8" spans="1:36">
      <c r="A8" s="435">
        <v>6</v>
      </c>
      <c r="B8" s="413"/>
      <c r="C8" s="413"/>
      <c r="D8" s="413"/>
      <c r="E8" s="413"/>
      <c r="F8" s="508" t="s">
        <v>102</v>
      </c>
      <c r="G8" s="413"/>
      <c r="H8" s="436">
        <v>163.36616500000002</v>
      </c>
      <c r="I8" s="436"/>
      <c r="J8" s="436"/>
      <c r="K8" s="437">
        <f t="shared" si="3"/>
        <v>132</v>
      </c>
      <c r="L8" s="438">
        <f>[3]L5!E636</f>
        <v>45686</v>
      </c>
      <c r="M8" s="438">
        <f>[3]L5!F636</f>
        <v>45817</v>
      </c>
      <c r="N8" s="438"/>
      <c r="O8" s="438"/>
      <c r="P8" s="438"/>
      <c r="Q8" s="438"/>
      <c r="R8" s="438"/>
      <c r="S8" s="413"/>
      <c r="T8" s="413"/>
      <c r="U8" s="413"/>
      <c r="V8" s="413"/>
      <c r="W8" s="413"/>
      <c r="X8" s="413"/>
      <c r="Y8" s="414">
        <f>H8*0.2</f>
        <v>32.673233000000003</v>
      </c>
      <c r="Z8" s="413"/>
      <c r="AA8" s="414"/>
      <c r="AB8" s="414">
        <f>H8*0.44</f>
        <v>71.881112600000009</v>
      </c>
      <c r="AC8" s="413"/>
      <c r="AD8" s="414">
        <f>H8-SUM(Y8:AC8)</f>
        <v>58.811819400000019</v>
      </c>
      <c r="AE8" s="61"/>
      <c r="AF8" s="60"/>
      <c r="AG8" s="48">
        <f t="shared" si="4"/>
        <v>32.673233000000003</v>
      </c>
      <c r="AI8" s="59">
        <f t="shared" si="1"/>
        <v>0</v>
      </c>
      <c r="AJ8" s="547">
        <f t="shared" si="5"/>
        <v>71.881112600000009</v>
      </c>
    </row>
    <row r="9" spans="1:36">
      <c r="A9" s="435">
        <v>7</v>
      </c>
      <c r="B9" s="413"/>
      <c r="C9" s="413"/>
      <c r="D9" s="413"/>
      <c r="E9" s="413"/>
      <c r="F9" s="508" t="s">
        <v>103</v>
      </c>
      <c r="G9" s="413"/>
      <c r="H9" s="436">
        <v>4025.5819300000003</v>
      </c>
      <c r="I9" s="436"/>
      <c r="J9" s="436"/>
      <c r="K9" s="437">
        <f t="shared" si="3"/>
        <v>355</v>
      </c>
      <c r="L9" s="438">
        <f>[3]L5!E637</f>
        <v>45505</v>
      </c>
      <c r="M9" s="438">
        <f>[3]L5!F637</f>
        <v>45859</v>
      </c>
      <c r="N9" s="438"/>
      <c r="O9" s="438"/>
      <c r="P9" s="438"/>
      <c r="Q9" s="438"/>
      <c r="R9" s="438"/>
      <c r="S9" s="413"/>
      <c r="T9" s="413">
        <v>40</v>
      </c>
      <c r="U9" s="413">
        <v>80</v>
      </c>
      <c r="V9" s="413">
        <v>120</v>
      </c>
      <c r="W9" s="413">
        <v>160</v>
      </c>
      <c r="X9" s="414">
        <f>H9*0.08</f>
        <v>322.04655440000005</v>
      </c>
      <c r="Y9" s="414">
        <f>H9*0.12</f>
        <v>483.06983160000004</v>
      </c>
      <c r="Z9" s="414">
        <f>H9*0.14</f>
        <v>563.58147020000013</v>
      </c>
      <c r="AA9" s="414">
        <f>H9*0.18</f>
        <v>724.60474740000006</v>
      </c>
      <c r="AB9" s="414">
        <f>H9*0.14</f>
        <v>563.58147020000013</v>
      </c>
      <c r="AC9" s="414">
        <f>H9*0.11</f>
        <v>442.81401230000006</v>
      </c>
      <c r="AD9" s="414">
        <f>H9*0.08</f>
        <v>322.04655440000005</v>
      </c>
      <c r="AE9" s="425">
        <f>H9-SUM(T9:AD9)</f>
        <v>203.83728949999932</v>
      </c>
      <c r="AF9" s="60"/>
      <c r="AG9" s="48">
        <f t="shared" si="4"/>
        <v>1205.1163860000001</v>
      </c>
      <c r="AI9" s="59">
        <f t="shared" si="1"/>
        <v>0</v>
      </c>
      <c r="AJ9" s="547">
        <f t="shared" si="5"/>
        <v>1731.0002299000002</v>
      </c>
    </row>
    <row r="10" spans="1:36">
      <c r="A10" s="435">
        <v>8</v>
      </c>
      <c r="B10" s="413"/>
      <c r="C10" s="413"/>
      <c r="D10" s="413"/>
      <c r="E10" s="413"/>
      <c r="F10" s="508" t="s">
        <v>104</v>
      </c>
      <c r="G10" s="413"/>
      <c r="H10" s="436">
        <v>103.19587799999999</v>
      </c>
      <c r="I10" s="436"/>
      <c r="J10" s="436"/>
      <c r="K10" s="437">
        <f t="shared" si="3"/>
        <v>131</v>
      </c>
      <c r="L10" s="438">
        <f>[3]L5!E638</f>
        <v>45638</v>
      </c>
      <c r="M10" s="438">
        <f>[3]L5!F638</f>
        <v>45768</v>
      </c>
      <c r="N10" s="438"/>
      <c r="O10" s="438"/>
      <c r="P10" s="438"/>
      <c r="Q10" s="438"/>
      <c r="R10" s="438"/>
      <c r="S10" s="413"/>
      <c r="T10" s="413"/>
      <c r="U10" s="413"/>
      <c r="V10" s="413"/>
      <c r="W10" s="413"/>
      <c r="X10" s="414">
        <f>H10*0.2</f>
        <v>20.639175600000002</v>
      </c>
      <c r="Y10" s="414">
        <f>H10*0.3</f>
        <v>30.958763399999995</v>
      </c>
      <c r="Z10" s="414">
        <f>H10*0.23</f>
        <v>23.735051939999998</v>
      </c>
      <c r="AA10" s="414">
        <f>H10*0.17</f>
        <v>17.543299260000001</v>
      </c>
      <c r="AB10" s="414">
        <f>H10-SUM(X10:AA10)</f>
        <v>10.319587799999994</v>
      </c>
      <c r="AC10" s="413"/>
      <c r="AD10" s="413"/>
      <c r="AE10" s="61"/>
      <c r="AF10" s="60"/>
      <c r="AG10" s="48">
        <f t="shared" si="4"/>
        <v>51.597938999999997</v>
      </c>
      <c r="AI10" s="59">
        <f t="shared" si="1"/>
        <v>0</v>
      </c>
      <c r="AJ10" s="547">
        <f t="shared" si="5"/>
        <v>27.862887059999995</v>
      </c>
    </row>
    <row r="11" spans="1:36">
      <c r="A11" s="435">
        <v>9</v>
      </c>
      <c r="B11" s="413"/>
      <c r="C11" s="413"/>
      <c r="D11" s="413"/>
      <c r="E11" s="413"/>
      <c r="F11" s="508" t="s">
        <v>105</v>
      </c>
      <c r="G11" s="413"/>
      <c r="H11" s="436">
        <v>459.308156</v>
      </c>
      <c r="I11" s="436"/>
      <c r="J11" s="436"/>
      <c r="K11" s="437">
        <f t="shared" si="3"/>
        <v>40</v>
      </c>
      <c r="L11" s="438">
        <f>[3]L5!E639</f>
        <v>45773</v>
      </c>
      <c r="M11" s="438">
        <f>[3]L5!F639</f>
        <v>45812</v>
      </c>
      <c r="N11" s="438"/>
      <c r="O11" s="438"/>
      <c r="P11" s="438"/>
      <c r="Q11" s="438"/>
      <c r="R11" s="438"/>
      <c r="S11" s="413"/>
      <c r="T11" s="413"/>
      <c r="U11" s="413"/>
      <c r="V11" s="413"/>
      <c r="W11" s="413"/>
      <c r="X11" s="413"/>
      <c r="Y11" s="413"/>
      <c r="Z11" s="413"/>
      <c r="AA11" s="413"/>
      <c r="AB11" s="414">
        <f>H11*0.15</f>
        <v>68.896223399999997</v>
      </c>
      <c r="AC11" s="414">
        <f>H11*0.55</f>
        <v>252.61948580000001</v>
      </c>
      <c r="AD11" s="414">
        <f>H11-AB11-AC11</f>
        <v>137.79244679999999</v>
      </c>
      <c r="AE11" s="61"/>
      <c r="AF11" s="60"/>
      <c r="AG11" s="48">
        <f t="shared" si="4"/>
        <v>0</v>
      </c>
      <c r="AI11" s="59">
        <f t="shared" si="1"/>
        <v>0</v>
      </c>
      <c r="AJ11" s="547">
        <f t="shared" si="5"/>
        <v>321.5157092</v>
      </c>
    </row>
    <row r="12" spans="1:36">
      <c r="A12" s="435">
        <v>10</v>
      </c>
      <c r="B12" s="413"/>
      <c r="C12" s="413"/>
      <c r="D12" s="413"/>
      <c r="E12" s="413"/>
      <c r="F12" s="508" t="s">
        <v>106</v>
      </c>
      <c r="G12" s="413"/>
      <c r="H12" s="437"/>
      <c r="I12" s="437"/>
      <c r="J12" s="437"/>
      <c r="K12" s="437">
        <f t="shared" si="3"/>
        <v>91</v>
      </c>
      <c r="L12" s="438">
        <f>[3]L5!E640</f>
        <v>45719</v>
      </c>
      <c r="M12" s="438">
        <f>[3]L5!F640</f>
        <v>45809</v>
      </c>
      <c r="N12" s="438"/>
      <c r="O12" s="438"/>
      <c r="P12" s="438"/>
      <c r="Q12" s="438"/>
      <c r="R12" s="438"/>
      <c r="S12" s="413"/>
      <c r="T12" s="413"/>
      <c r="U12" s="413"/>
      <c r="V12" s="413"/>
      <c r="W12" s="413"/>
      <c r="X12" s="413"/>
      <c r="Y12" s="413"/>
      <c r="Z12" s="413"/>
      <c r="AA12" s="413"/>
      <c r="AB12" s="413"/>
      <c r="AC12" s="413"/>
      <c r="AD12" s="413"/>
      <c r="AE12" s="61"/>
      <c r="AF12" s="60"/>
      <c r="AG12" s="48">
        <f t="shared" si="4"/>
        <v>0</v>
      </c>
      <c r="AI12" s="59">
        <f t="shared" si="1"/>
        <v>0</v>
      </c>
      <c r="AJ12" s="547">
        <f t="shared" si="5"/>
        <v>0</v>
      </c>
    </row>
    <row r="13" spans="1:36">
      <c r="A13" s="435">
        <v>11</v>
      </c>
      <c r="B13" s="413"/>
      <c r="C13" s="413"/>
      <c r="D13" s="413"/>
      <c r="E13" s="413"/>
      <c r="F13" s="413" t="s">
        <v>107</v>
      </c>
      <c r="G13" s="413"/>
      <c r="H13" s="436">
        <v>108.54159999999999</v>
      </c>
      <c r="I13" s="436"/>
      <c r="J13" s="436"/>
      <c r="K13" s="437">
        <f t="shared" si="3"/>
        <v>115</v>
      </c>
      <c r="L13" s="438">
        <f>[3]L5!E641</f>
        <v>45738</v>
      </c>
      <c r="M13" s="438">
        <f>[3]L5!F641</f>
        <v>45852</v>
      </c>
      <c r="N13" s="438"/>
      <c r="O13" s="438"/>
      <c r="P13" s="438"/>
      <c r="Q13" s="438"/>
      <c r="R13" s="438"/>
      <c r="S13" s="413"/>
      <c r="T13" s="413"/>
      <c r="U13" s="413"/>
      <c r="V13" s="413"/>
      <c r="W13" s="413"/>
      <c r="X13" s="413"/>
      <c r="Y13" s="413"/>
      <c r="Z13" s="413"/>
      <c r="AA13" s="414">
        <f>H13*0.14</f>
        <v>15.195824</v>
      </c>
      <c r="AB13" s="414">
        <f>H13*0.22</f>
        <v>23.879151999999998</v>
      </c>
      <c r="AC13" s="414">
        <f>H13*0.35</f>
        <v>37.98955999999999</v>
      </c>
      <c r="AD13" s="414">
        <f>H13*0.17</f>
        <v>18.452071999999998</v>
      </c>
      <c r="AE13" s="425">
        <f t="shared" ref="AE13:AE18" si="6">H13-AA13-AB13-AC13-AD13</f>
        <v>13.024992000000008</v>
      </c>
      <c r="AF13" s="60"/>
      <c r="AG13" s="48">
        <f t="shared" si="4"/>
        <v>0</v>
      </c>
      <c r="AI13" s="59">
        <f t="shared" si="1"/>
        <v>0</v>
      </c>
      <c r="AJ13" s="547">
        <f t="shared" si="5"/>
        <v>77.06453599999999</v>
      </c>
    </row>
    <row r="14" spans="1:36">
      <c r="A14" s="435">
        <v>12</v>
      </c>
      <c r="B14" s="413"/>
      <c r="C14" s="413"/>
      <c r="D14" s="413"/>
      <c r="E14" s="413"/>
      <c r="F14" s="413" t="s">
        <v>108</v>
      </c>
      <c r="G14" s="413"/>
      <c r="H14" s="436">
        <v>233.14151699999999</v>
      </c>
      <c r="I14" s="436"/>
      <c r="J14" s="436"/>
      <c r="K14" s="437">
        <f t="shared" si="3"/>
        <v>100</v>
      </c>
      <c r="L14" s="438">
        <f>[3]L5!E642</f>
        <v>45761</v>
      </c>
      <c r="M14" s="438">
        <f>[3]L5!F642</f>
        <v>45860</v>
      </c>
      <c r="N14" s="438"/>
      <c r="O14" s="438"/>
      <c r="P14" s="438"/>
      <c r="Q14" s="438"/>
      <c r="R14" s="438"/>
      <c r="S14" s="413"/>
      <c r="T14" s="413"/>
      <c r="U14" s="414"/>
      <c r="V14" s="414"/>
      <c r="W14" s="414"/>
      <c r="X14" s="413"/>
      <c r="Y14" s="413"/>
      <c r="Z14" s="413"/>
      <c r="AA14" s="413"/>
      <c r="AB14" s="414">
        <f>H14*0.24</f>
        <v>55.953964079999999</v>
      </c>
      <c r="AC14" s="414">
        <f>H14*0.37</f>
        <v>86.262361290000001</v>
      </c>
      <c r="AD14" s="414">
        <f>H14*0.27</f>
        <v>62.948209590000005</v>
      </c>
      <c r="AE14" s="425">
        <f t="shared" si="6"/>
        <v>27.976982039999996</v>
      </c>
      <c r="AF14" s="60"/>
      <c r="AG14" s="48">
        <f t="shared" si="4"/>
        <v>0</v>
      </c>
      <c r="AI14" s="59">
        <f t="shared" si="1"/>
        <v>0</v>
      </c>
      <c r="AJ14" s="547">
        <f t="shared" si="5"/>
        <v>142.21632536999999</v>
      </c>
    </row>
    <row r="15" spans="1:36">
      <c r="A15" s="435">
        <v>13</v>
      </c>
      <c r="B15" s="413"/>
      <c r="C15" s="413"/>
      <c r="D15" s="413"/>
      <c r="E15" s="413"/>
      <c r="F15" s="413" t="s">
        <v>109</v>
      </c>
      <c r="G15" s="413"/>
      <c r="H15" s="436">
        <v>741.61174800000003</v>
      </c>
      <c r="I15" s="436"/>
      <c r="J15" s="436"/>
      <c r="K15" s="437">
        <f t="shared" si="3"/>
        <v>75</v>
      </c>
      <c r="L15" s="438">
        <f>[3]L5!E643</f>
        <v>45781</v>
      </c>
      <c r="M15" s="438">
        <f>[3]L5!F643</f>
        <v>45855</v>
      </c>
      <c r="N15" s="438"/>
      <c r="O15" s="438"/>
      <c r="P15" s="438"/>
      <c r="Q15" s="438"/>
      <c r="R15" s="438"/>
      <c r="S15" s="413"/>
      <c r="T15" s="413"/>
      <c r="U15" s="413"/>
      <c r="V15" s="414"/>
      <c r="W15" s="414"/>
      <c r="X15" s="413"/>
      <c r="Y15" s="413"/>
      <c r="Z15" s="413"/>
      <c r="AA15" s="413"/>
      <c r="AB15" s="413"/>
      <c r="AC15" s="414">
        <f>H15*0.33</f>
        <v>244.73187684000001</v>
      </c>
      <c r="AD15" s="414">
        <f>H15*0.37</f>
        <v>274.39634676000003</v>
      </c>
      <c r="AE15" s="425">
        <f t="shared" si="6"/>
        <v>222.48352439999996</v>
      </c>
      <c r="AF15" s="60"/>
      <c r="AG15" s="48">
        <f t="shared" si="4"/>
        <v>0</v>
      </c>
      <c r="AI15" s="59">
        <f t="shared" si="1"/>
        <v>0</v>
      </c>
      <c r="AJ15" s="547">
        <f t="shared" si="5"/>
        <v>244.73187684000001</v>
      </c>
    </row>
    <row r="16" spans="1:36">
      <c r="A16" s="435">
        <v>14</v>
      </c>
      <c r="B16" s="413"/>
      <c r="C16" s="413"/>
      <c r="D16" s="413"/>
      <c r="E16" s="413"/>
      <c r="F16" s="413" t="s">
        <v>110</v>
      </c>
      <c r="G16" s="413"/>
      <c r="H16" s="436">
        <f>1292.103864+314.8177</f>
        <v>1606.921564</v>
      </c>
      <c r="I16" s="436"/>
      <c r="J16" s="436"/>
      <c r="K16" s="437">
        <f t="shared" si="3"/>
        <v>121</v>
      </c>
      <c r="L16" s="438">
        <f>[3]L5!E644</f>
        <v>45748</v>
      </c>
      <c r="M16" s="438">
        <f>[3]L5!F644</f>
        <v>45868</v>
      </c>
      <c r="N16" s="438"/>
      <c r="O16" s="438"/>
      <c r="P16" s="438"/>
      <c r="Q16" s="438"/>
      <c r="R16" s="438"/>
      <c r="S16" s="413"/>
      <c r="T16" s="413"/>
      <c r="U16" s="413"/>
      <c r="V16" s="413"/>
      <c r="W16" s="413"/>
      <c r="X16" s="414"/>
      <c r="Y16" s="414"/>
      <c r="Z16" s="414"/>
      <c r="AA16" s="414"/>
      <c r="AB16" s="414">
        <f>H16*0.24</f>
        <v>385.66117535999996</v>
      </c>
      <c r="AC16" s="414">
        <f>H16*0.37</f>
        <v>594.56097867999995</v>
      </c>
      <c r="AD16" s="414">
        <f>H16*0.27</f>
        <v>433.86882228000002</v>
      </c>
      <c r="AE16" s="425">
        <f t="shared" si="6"/>
        <v>192.83058768000001</v>
      </c>
      <c r="AF16" s="60"/>
      <c r="AG16" s="48">
        <f t="shared" si="4"/>
        <v>0</v>
      </c>
      <c r="AI16" s="59">
        <f t="shared" si="1"/>
        <v>0</v>
      </c>
      <c r="AJ16" s="547">
        <f t="shared" si="5"/>
        <v>980.22215403999985</v>
      </c>
    </row>
    <row r="17" spans="1:36">
      <c r="A17" s="435">
        <v>15</v>
      </c>
      <c r="B17" s="413"/>
      <c r="C17" s="413"/>
      <c r="D17" s="413"/>
      <c r="E17" s="413"/>
      <c r="F17" s="413" t="s">
        <v>111</v>
      </c>
      <c r="G17" s="413"/>
      <c r="H17" s="436">
        <v>2549.1072965000003</v>
      </c>
      <c r="I17" s="436"/>
      <c r="J17" s="436"/>
      <c r="K17" s="437">
        <f t="shared" si="3"/>
        <v>146</v>
      </c>
      <c r="L17" s="438">
        <f>[3]L5!E645</f>
        <v>45722</v>
      </c>
      <c r="M17" s="438">
        <f>[3]L5!F645</f>
        <v>45867</v>
      </c>
      <c r="N17" s="438"/>
      <c r="O17" s="438"/>
      <c r="P17" s="438"/>
      <c r="Q17" s="438"/>
      <c r="R17" s="438"/>
      <c r="S17" s="413"/>
      <c r="T17" s="413"/>
      <c r="U17" s="413"/>
      <c r="V17" s="413"/>
      <c r="W17" s="413"/>
      <c r="X17" s="413"/>
      <c r="Y17" s="414"/>
      <c r="Z17" s="414"/>
      <c r="AA17" s="414">
        <f>H17*0.14</f>
        <v>356.87502151000007</v>
      </c>
      <c r="AB17" s="414">
        <f>H17*0.22</f>
        <v>560.80360523000002</v>
      </c>
      <c r="AC17" s="414">
        <f>H17*0.35</f>
        <v>892.18755377500008</v>
      </c>
      <c r="AD17" s="414">
        <f>H17*0.17</f>
        <v>433.34824040500007</v>
      </c>
      <c r="AE17" s="425">
        <f t="shared" si="6"/>
        <v>305.89287558000035</v>
      </c>
      <c r="AF17" s="60"/>
      <c r="AG17" s="48">
        <f t="shared" si="4"/>
        <v>0</v>
      </c>
      <c r="AI17" s="59">
        <f t="shared" si="1"/>
        <v>0</v>
      </c>
      <c r="AJ17" s="547">
        <f t="shared" si="5"/>
        <v>1809.866180515</v>
      </c>
    </row>
    <row r="18" spans="1:36">
      <c r="A18" s="435">
        <v>16</v>
      </c>
      <c r="B18" s="413"/>
      <c r="C18" s="413"/>
      <c r="D18" s="413"/>
      <c r="E18" s="413"/>
      <c r="F18" s="413" t="s">
        <v>112</v>
      </c>
      <c r="G18" s="413"/>
      <c r="H18" s="436">
        <f>1866.91562+128.8177</f>
        <v>1995.73332</v>
      </c>
      <c r="I18" s="436"/>
      <c r="J18" s="436"/>
      <c r="K18" s="437">
        <f t="shared" si="3"/>
        <v>126</v>
      </c>
      <c r="L18" s="438">
        <f>[3]L5!E646</f>
        <v>45725</v>
      </c>
      <c r="M18" s="438">
        <f>[3]L5!F646</f>
        <v>45850</v>
      </c>
      <c r="N18" s="438"/>
      <c r="O18" s="438"/>
      <c r="P18" s="438"/>
      <c r="Q18" s="438"/>
      <c r="R18" s="438"/>
      <c r="S18" s="413"/>
      <c r="T18" s="413"/>
      <c r="U18" s="413"/>
      <c r="V18" s="413"/>
      <c r="W18" s="413"/>
      <c r="X18" s="414"/>
      <c r="Y18" s="414"/>
      <c r="Z18" s="414"/>
      <c r="AA18" s="414">
        <f>H18*0.14</f>
        <v>279.40266480000003</v>
      </c>
      <c r="AB18" s="414">
        <f>H18*0.22</f>
        <v>439.06133040000003</v>
      </c>
      <c r="AC18" s="414">
        <f>H18*0.35</f>
        <v>698.50666200000001</v>
      </c>
      <c r="AD18" s="414">
        <f>H18*0.17</f>
        <v>339.27466440000001</v>
      </c>
      <c r="AE18" s="425">
        <f t="shared" si="6"/>
        <v>239.48799839999981</v>
      </c>
      <c r="AF18" s="60"/>
      <c r="AG18" s="48">
        <f t="shared" si="4"/>
        <v>0</v>
      </c>
      <c r="AI18" s="59">
        <f t="shared" si="1"/>
        <v>0</v>
      </c>
      <c r="AJ18" s="547">
        <f t="shared" si="5"/>
        <v>1416.9706572</v>
      </c>
    </row>
    <row r="19" spans="1:36">
      <c r="A19" s="435">
        <v>17</v>
      </c>
      <c r="B19" s="413"/>
      <c r="C19" s="413"/>
      <c r="D19" s="413"/>
      <c r="E19" s="413"/>
      <c r="F19" s="413" t="s">
        <v>113</v>
      </c>
      <c r="G19" s="413"/>
      <c r="H19" s="436">
        <v>288.125452</v>
      </c>
      <c r="I19" s="436"/>
      <c r="J19" s="436"/>
      <c r="K19" s="437">
        <f t="shared" si="3"/>
        <v>170</v>
      </c>
      <c r="L19" s="438">
        <f>[3]L5!E647</f>
        <v>45678</v>
      </c>
      <c r="M19" s="438">
        <f>[3]L5!F647</f>
        <v>45847</v>
      </c>
      <c r="N19" s="438"/>
      <c r="O19" s="438"/>
      <c r="P19" s="438"/>
      <c r="Q19" s="438"/>
      <c r="R19" s="438"/>
      <c r="S19" s="413"/>
      <c r="T19" s="413"/>
      <c r="U19" s="413"/>
      <c r="V19" s="413"/>
      <c r="W19" s="413"/>
      <c r="X19" s="413"/>
      <c r="Y19" s="414">
        <f>H19*0.08</f>
        <v>23.050036160000001</v>
      </c>
      <c r="Z19" s="414">
        <f>H19*0.18</f>
        <v>51.86258136</v>
      </c>
      <c r="AA19" s="414">
        <f>H19*0.28</f>
        <v>80.67512656000001</v>
      </c>
      <c r="AB19" s="414">
        <f>H19*0.2</f>
        <v>57.625090400000005</v>
      </c>
      <c r="AC19" s="414">
        <f>H19*0.13</f>
        <v>37.456308759999999</v>
      </c>
      <c r="AD19" s="414">
        <f>H19*0.08</f>
        <v>23.050036160000001</v>
      </c>
      <c r="AE19" s="425">
        <f>H19-Y19-Z19-AA19-AB19-AC19-AD19</f>
        <v>14.406272599999998</v>
      </c>
      <c r="AF19" s="60"/>
      <c r="AG19" s="48">
        <f>SUM(S19:AC19)</f>
        <v>250.66914323999998</v>
      </c>
      <c r="AI19" s="59">
        <f t="shared" si="1"/>
        <v>0</v>
      </c>
      <c r="AJ19" s="547">
        <f t="shared" si="5"/>
        <v>175.75652572000001</v>
      </c>
    </row>
    <row r="20" spans="1:36">
      <c r="A20" s="435">
        <v>18</v>
      </c>
      <c r="B20" s="413"/>
      <c r="C20" s="413"/>
      <c r="D20" s="413"/>
      <c r="E20" s="413"/>
      <c r="F20" s="413" t="s">
        <v>135</v>
      </c>
      <c r="G20" s="413"/>
      <c r="H20" s="436">
        <v>2072.0767900000001</v>
      </c>
      <c r="I20" s="436"/>
      <c r="J20" s="436"/>
      <c r="K20" s="437">
        <f t="shared" si="3"/>
        <v>91</v>
      </c>
      <c r="L20" s="438">
        <f>[3]L5!E648</f>
        <v>45768</v>
      </c>
      <c r="M20" s="438">
        <f>[3]L5!F648</f>
        <v>45858</v>
      </c>
      <c r="N20" s="438"/>
      <c r="O20" s="438"/>
      <c r="P20" s="438"/>
      <c r="Q20" s="438"/>
      <c r="R20" s="438"/>
      <c r="S20" s="413"/>
      <c r="T20" s="413"/>
      <c r="U20" s="413"/>
      <c r="V20" s="413"/>
      <c r="W20" s="413"/>
      <c r="X20" s="413"/>
      <c r="Y20" s="413"/>
      <c r="Z20" s="413"/>
      <c r="AA20" s="414"/>
      <c r="AB20" s="414">
        <f>H20*0.24</f>
        <v>497.29842960000002</v>
      </c>
      <c r="AC20" s="414">
        <f>H20*0.37</f>
        <v>766.6684123</v>
      </c>
      <c r="AD20" s="414">
        <f>H20*0.27</f>
        <v>559.46073330000002</v>
      </c>
      <c r="AE20" s="425">
        <f>H20-AA20-AB20-AC20-AD20</f>
        <v>248.6492148000001</v>
      </c>
      <c r="AF20" s="60"/>
      <c r="AG20" s="48">
        <f t="shared" si="4"/>
        <v>0</v>
      </c>
      <c r="AI20" s="59">
        <f t="shared" si="1"/>
        <v>0</v>
      </c>
      <c r="AJ20" s="547">
        <f t="shared" si="5"/>
        <v>1263.9668419</v>
      </c>
    </row>
    <row r="21" spans="1:36">
      <c r="A21" s="435">
        <v>19</v>
      </c>
      <c r="B21" s="413"/>
      <c r="C21" s="413"/>
      <c r="D21" s="413"/>
      <c r="E21" s="413"/>
      <c r="F21" s="413" t="s">
        <v>133</v>
      </c>
      <c r="G21" s="413"/>
      <c r="H21" s="436">
        <v>1.8</v>
      </c>
      <c r="I21" s="436"/>
      <c r="J21" s="436"/>
      <c r="K21" s="413"/>
      <c r="L21" s="413"/>
      <c r="M21" s="413"/>
      <c r="N21" s="413"/>
      <c r="O21" s="413"/>
      <c r="P21" s="413"/>
      <c r="Q21" s="413"/>
      <c r="R21" s="413"/>
      <c r="S21" s="413"/>
      <c r="T21" s="413"/>
      <c r="U21" s="413"/>
      <c r="V21" s="413"/>
      <c r="W21" s="413"/>
      <c r="X21" s="413"/>
      <c r="Y21" s="413"/>
      <c r="Z21" s="413"/>
      <c r="AA21" s="413"/>
      <c r="AB21" s="413"/>
      <c r="AC21" s="414">
        <f>H21</f>
        <v>1.8</v>
      </c>
      <c r="AD21" s="414"/>
      <c r="AE21" s="425"/>
      <c r="AF21" s="60"/>
      <c r="AG21" s="48">
        <f t="shared" si="4"/>
        <v>0</v>
      </c>
      <c r="AI21" s="59">
        <f t="shared" si="1"/>
        <v>0</v>
      </c>
      <c r="AJ21" s="547">
        <f t="shared" si="5"/>
        <v>1.8</v>
      </c>
    </row>
    <row r="22" spans="1:36">
      <c r="A22" s="435">
        <v>20</v>
      </c>
      <c r="B22" s="413"/>
      <c r="C22" s="413"/>
      <c r="D22" s="413"/>
      <c r="E22" s="413"/>
      <c r="F22" s="413" t="s">
        <v>136</v>
      </c>
      <c r="G22" s="413"/>
      <c r="H22" s="436">
        <f>33.9972+1.9</f>
        <v>35.897199999999998</v>
      </c>
      <c r="I22" s="436"/>
      <c r="J22" s="436"/>
      <c r="K22" s="413"/>
      <c r="L22" s="413"/>
      <c r="M22" s="413"/>
      <c r="N22" s="413"/>
      <c r="O22" s="413"/>
      <c r="P22" s="413"/>
      <c r="Q22" s="413"/>
      <c r="R22" s="413"/>
      <c r="S22" s="413"/>
      <c r="T22" s="413"/>
      <c r="U22" s="413"/>
      <c r="V22" s="413"/>
      <c r="W22" s="413"/>
      <c r="X22" s="413"/>
      <c r="Y22" s="413"/>
      <c r="Z22" s="413"/>
      <c r="AA22" s="413"/>
      <c r="AB22" s="413"/>
      <c r="AC22" s="414">
        <f>H22</f>
        <v>35.897199999999998</v>
      </c>
      <c r="AD22" s="414"/>
      <c r="AE22" s="425"/>
      <c r="AF22" s="60"/>
      <c r="AG22" s="48">
        <f t="shared" si="4"/>
        <v>0</v>
      </c>
      <c r="AI22" s="59">
        <f t="shared" si="1"/>
        <v>0</v>
      </c>
      <c r="AJ22" s="547">
        <f t="shared" si="5"/>
        <v>35.897199999999998</v>
      </c>
    </row>
    <row r="23" spans="1:36">
      <c r="A23" s="435">
        <v>21</v>
      </c>
      <c r="B23" s="413"/>
      <c r="C23" s="413"/>
      <c r="D23" s="413"/>
      <c r="E23" s="413"/>
      <c r="F23" s="413" t="s">
        <v>137</v>
      </c>
      <c r="G23" s="413"/>
      <c r="H23" s="436">
        <v>10.120900000000001</v>
      </c>
      <c r="I23" s="436"/>
      <c r="J23" s="436"/>
      <c r="K23" s="413"/>
      <c r="L23" s="413"/>
      <c r="M23" s="413"/>
      <c r="N23" s="413"/>
      <c r="O23" s="413"/>
      <c r="P23" s="413"/>
      <c r="Q23" s="413"/>
      <c r="R23" s="413"/>
      <c r="S23" s="413"/>
      <c r="T23" s="413"/>
      <c r="U23" s="413"/>
      <c r="V23" s="413"/>
      <c r="W23" s="413"/>
      <c r="X23" s="413"/>
      <c r="Y23" s="413"/>
      <c r="Z23" s="413"/>
      <c r="AA23" s="413"/>
      <c r="AB23" s="413"/>
      <c r="AC23" s="414">
        <f>H23</f>
        <v>10.120900000000001</v>
      </c>
      <c r="AD23" s="414"/>
      <c r="AE23" s="425"/>
      <c r="AF23" s="60"/>
      <c r="AG23" s="48">
        <f t="shared" si="4"/>
        <v>0</v>
      </c>
      <c r="AI23" s="59">
        <f t="shared" si="1"/>
        <v>0</v>
      </c>
      <c r="AJ23" s="547">
        <f t="shared" si="5"/>
        <v>10.120900000000001</v>
      </c>
    </row>
    <row r="24" spans="1:36">
      <c r="A24" s="435">
        <v>22</v>
      </c>
      <c r="B24" s="413"/>
      <c r="C24" s="413"/>
      <c r="D24" s="413"/>
      <c r="E24" s="413"/>
      <c r="F24" s="413" t="s">
        <v>138</v>
      </c>
      <c r="G24" s="413"/>
      <c r="H24" s="436">
        <v>47.8</v>
      </c>
      <c r="I24" s="436"/>
      <c r="J24" s="436"/>
      <c r="K24" s="413"/>
      <c r="L24" s="413"/>
      <c r="M24" s="413"/>
      <c r="N24" s="413"/>
      <c r="O24" s="413"/>
      <c r="P24" s="413"/>
      <c r="Q24" s="413"/>
      <c r="R24" s="413"/>
      <c r="S24" s="413"/>
      <c r="T24" s="413"/>
      <c r="U24" s="413"/>
      <c r="V24" s="413"/>
      <c r="W24" s="413"/>
      <c r="X24" s="413"/>
      <c r="Y24" s="413"/>
      <c r="Z24" s="413"/>
      <c r="AA24" s="413"/>
      <c r="AB24" s="413"/>
      <c r="AC24" s="414">
        <f>H24</f>
        <v>47.8</v>
      </c>
      <c r="AD24" s="414"/>
      <c r="AE24" s="425"/>
      <c r="AF24" s="60"/>
      <c r="AG24" s="48">
        <f t="shared" si="4"/>
        <v>0</v>
      </c>
      <c r="AI24" s="59">
        <f t="shared" si="1"/>
        <v>0</v>
      </c>
      <c r="AJ24" s="547">
        <f t="shared" si="5"/>
        <v>47.8</v>
      </c>
    </row>
    <row r="25" spans="1:36" ht="15" thickBot="1">
      <c r="A25" s="439"/>
      <c r="B25" s="440"/>
      <c r="C25" s="440"/>
      <c r="D25" s="440"/>
      <c r="E25" s="440"/>
      <c r="F25" s="440"/>
      <c r="G25" s="440"/>
      <c r="H25" s="441"/>
      <c r="I25" s="441"/>
      <c r="J25" s="441"/>
      <c r="K25" s="440"/>
      <c r="L25" s="440"/>
      <c r="M25" s="440"/>
      <c r="N25" s="440"/>
      <c r="O25" s="440"/>
      <c r="P25" s="440"/>
      <c r="Q25" s="440"/>
      <c r="R25" s="440"/>
      <c r="S25" s="442"/>
      <c r="T25" s="442">
        <f>SUM(T3:T24)</f>
        <v>40</v>
      </c>
      <c r="U25" s="442">
        <f t="shared" ref="U25:AI25" si="7">SUM(U3:U24)</f>
        <v>80</v>
      </c>
      <c r="V25" s="442">
        <f t="shared" si="7"/>
        <v>1509.46080564</v>
      </c>
      <c r="W25" s="442">
        <f t="shared" si="7"/>
        <v>1343.61476036</v>
      </c>
      <c r="X25" s="442">
        <f t="shared" si="7"/>
        <v>342.68573000000004</v>
      </c>
      <c r="Y25" s="442">
        <f t="shared" si="7"/>
        <v>695.34355116000006</v>
      </c>
      <c r="Z25" s="442">
        <f t="shared" si="7"/>
        <v>1382.37719358</v>
      </c>
      <c r="AA25" s="442">
        <f t="shared" si="7"/>
        <v>2331.2918608300001</v>
      </c>
      <c r="AB25" s="442">
        <f t="shared" si="7"/>
        <v>3646.8705253899998</v>
      </c>
      <c r="AC25" s="442">
        <f t="shared" si="7"/>
        <v>4842.2184866650014</v>
      </c>
      <c r="AD25" s="442">
        <f t="shared" si="7"/>
        <v>3000.6383872750002</v>
      </c>
      <c r="AE25" s="443">
        <f t="shared" si="7"/>
        <v>1690.8081575999995</v>
      </c>
      <c r="AF25" s="63">
        <f t="shared" si="7"/>
        <v>0</v>
      </c>
      <c r="AG25" s="63">
        <f t="shared" si="7"/>
        <v>4238.7239542400002</v>
      </c>
      <c r="AH25" s="63">
        <f t="shared" si="7"/>
        <v>0</v>
      </c>
      <c r="AI25" s="63">
        <f t="shared" si="7"/>
        <v>0</v>
      </c>
    </row>
    <row r="27" spans="1:36" hidden="1"/>
    <row r="28" spans="1:36" hidden="1"/>
    <row r="29" spans="1:36" hidden="1">
      <c r="S29" s="389">
        <v>45412</v>
      </c>
      <c r="T29" s="389">
        <v>45443</v>
      </c>
      <c r="U29" s="389">
        <v>45473</v>
      </c>
      <c r="V29" s="389">
        <v>45504</v>
      </c>
      <c r="W29" s="389">
        <v>45535</v>
      </c>
      <c r="X29" s="389">
        <v>45565</v>
      </c>
      <c r="Y29" s="389">
        <v>45596</v>
      </c>
      <c r="Z29" s="389">
        <v>45626</v>
      </c>
      <c r="AA29" s="389">
        <v>45657</v>
      </c>
    </row>
    <row r="30" spans="1:36" hidden="1">
      <c r="F30" s="50" t="s">
        <v>246</v>
      </c>
      <c r="G30" s="50"/>
      <c r="H30" s="387">
        <f>SUM(H31:H46)</f>
        <v>18739.414568499997</v>
      </c>
      <c r="I30" s="387"/>
      <c r="J30" s="387"/>
      <c r="K30" s="50"/>
      <c r="L30" s="388">
        <f>[3]L5!E72</f>
        <v>45399</v>
      </c>
      <c r="M30" s="388">
        <f>[3]L5!F72</f>
        <v>45762</v>
      </c>
      <c r="N30" s="388"/>
      <c r="O30" s="388"/>
      <c r="P30" s="388"/>
      <c r="Q30" s="388"/>
      <c r="R30" s="388"/>
      <c r="S30" s="393">
        <f t="shared" ref="S30:AA30" si="8">SUM(S31:S46)</f>
        <v>0</v>
      </c>
      <c r="T30" s="393">
        <f t="shared" si="8"/>
        <v>0</v>
      </c>
      <c r="U30" s="393">
        <f t="shared" si="8"/>
        <v>163.36616500000002</v>
      </c>
      <c r="V30" s="393">
        <f t="shared" si="8"/>
        <v>2625.2418848000002</v>
      </c>
      <c r="W30" s="393">
        <f t="shared" si="8"/>
        <v>4151.8312182</v>
      </c>
      <c r="X30" s="393">
        <f t="shared" si="8"/>
        <v>1861.3960717000002</v>
      </c>
      <c r="Y30" s="393">
        <f t="shared" si="8"/>
        <v>4280.0199726000001</v>
      </c>
      <c r="Z30" s="393">
        <f t="shared" si="8"/>
        <v>4253.7502431250005</v>
      </c>
      <c r="AA30" s="393">
        <f t="shared" si="8"/>
        <v>1403.8090130750002</v>
      </c>
    </row>
    <row r="31" spans="1:36" hidden="1">
      <c r="F31" s="394" t="s">
        <v>247</v>
      </c>
      <c r="G31" s="394"/>
      <c r="H31" s="57">
        <f>H3</f>
        <v>2222.1842059999999</v>
      </c>
      <c r="I31" s="57"/>
      <c r="J31" s="57"/>
      <c r="L31" s="390">
        <f>[3]L5!E73</f>
        <v>45399</v>
      </c>
      <c r="M31" s="390">
        <f>[3]L5!F74</f>
        <v>45736</v>
      </c>
      <c r="N31" s="390"/>
      <c r="O31" s="390"/>
      <c r="P31" s="390"/>
      <c r="Q31" s="390"/>
      <c r="R31" s="390"/>
      <c r="S31" s="59"/>
      <c r="T31" s="59"/>
      <c r="U31" s="59"/>
      <c r="V31" s="59"/>
      <c r="W31" s="59"/>
      <c r="X31" s="59">
        <f>H31*0.25</f>
        <v>555.54605149999998</v>
      </c>
      <c r="Y31" s="59">
        <f>H31*0.35</f>
        <v>777.76447209999992</v>
      </c>
      <c r="Z31" s="59">
        <f>H31-Y31-X31</f>
        <v>888.87368240000001</v>
      </c>
      <c r="AA31" s="59"/>
      <c r="AC31" s="59"/>
      <c r="AD31" s="59"/>
      <c r="AE31" s="59"/>
    </row>
    <row r="32" spans="1:36" hidden="1">
      <c r="F32" s="394" t="s">
        <v>248</v>
      </c>
      <c r="G32" s="394"/>
      <c r="H32" s="57">
        <f>H4</f>
        <v>2573.075566</v>
      </c>
      <c r="I32" s="57"/>
      <c r="J32" s="57"/>
      <c r="L32" s="390">
        <f>[3]L5!E75</f>
        <v>45576</v>
      </c>
      <c r="M32" s="390">
        <f>[3]L5!F75</f>
        <v>45592</v>
      </c>
      <c r="N32" s="390"/>
      <c r="O32" s="390"/>
      <c r="P32" s="390"/>
      <c r="Q32" s="390"/>
      <c r="R32" s="390"/>
      <c r="S32" s="59"/>
      <c r="T32" s="59"/>
      <c r="U32" s="59"/>
      <c r="V32" s="59"/>
      <c r="W32" s="59"/>
      <c r="X32" s="59"/>
      <c r="Y32" s="59">
        <f>H32/2</f>
        <v>1286.537783</v>
      </c>
      <c r="Z32" s="59">
        <f>H32-Y32</f>
        <v>1286.537783</v>
      </c>
      <c r="AA32" s="59"/>
      <c r="AC32" s="59"/>
      <c r="AD32" s="59"/>
      <c r="AE32" s="59"/>
    </row>
    <row r="33" spans="6:31" hidden="1">
      <c r="F33" s="394" t="s">
        <v>249</v>
      </c>
      <c r="G33" s="394"/>
      <c r="H33" s="57">
        <f>H15</f>
        <v>741.61174800000003</v>
      </c>
      <c r="I33" s="57"/>
      <c r="J33" s="57"/>
      <c r="L33" s="390">
        <f>[3]L5!E76</f>
        <v>45549</v>
      </c>
      <c r="M33" s="390">
        <f>[3]L5!F76</f>
        <v>45691</v>
      </c>
      <c r="N33" s="390"/>
      <c r="O33" s="390"/>
      <c r="P33" s="390"/>
      <c r="Q33" s="390"/>
      <c r="R33" s="390"/>
      <c r="S33" s="59"/>
      <c r="T33" s="59"/>
      <c r="U33" s="59"/>
      <c r="V33" s="59"/>
      <c r="W33" s="59"/>
      <c r="X33" s="59">
        <f>H33*0.4</f>
        <v>296.64469920000005</v>
      </c>
      <c r="Y33" s="59">
        <f>H33-X33</f>
        <v>444.96704879999999</v>
      </c>
      <c r="Z33" s="59"/>
      <c r="AA33" s="59"/>
      <c r="AC33" s="59"/>
      <c r="AD33" s="59"/>
      <c r="AE33" s="59"/>
    </row>
    <row r="34" spans="6:31" hidden="1">
      <c r="F34" s="394" t="s">
        <v>250</v>
      </c>
      <c r="G34" s="394"/>
      <c r="H34" s="57">
        <f>H16</f>
        <v>1606.921564</v>
      </c>
      <c r="I34" s="57"/>
      <c r="J34" s="57"/>
      <c r="L34" s="390">
        <f>[3]L5!E77</f>
        <v>45658</v>
      </c>
      <c r="M34" s="390">
        <f>[3]L5!F77</f>
        <v>45731</v>
      </c>
      <c r="N34" s="390"/>
      <c r="O34" s="390"/>
      <c r="P34" s="390"/>
      <c r="Q34" s="390"/>
      <c r="R34" s="390"/>
      <c r="S34" s="59"/>
      <c r="T34" s="59"/>
      <c r="U34" s="59"/>
      <c r="V34" s="59"/>
      <c r="W34" s="59"/>
      <c r="X34" s="59">
        <f>H34*0.25</f>
        <v>401.730391</v>
      </c>
      <c r="Y34" s="59">
        <f>H34*0.35</f>
        <v>562.42254739999998</v>
      </c>
      <c r="Z34" s="59">
        <f>H34-Y34-X34</f>
        <v>642.76862559999995</v>
      </c>
      <c r="AA34" s="59"/>
      <c r="AC34" s="59"/>
      <c r="AD34" s="59"/>
      <c r="AE34" s="59"/>
    </row>
    <row r="35" spans="6:31" hidden="1">
      <c r="F35" s="394" t="s">
        <v>251</v>
      </c>
      <c r="G35" s="394"/>
      <c r="H35" s="57">
        <f>H17</f>
        <v>2549.1072965000003</v>
      </c>
      <c r="I35" s="57"/>
      <c r="J35" s="57"/>
      <c r="L35" s="390">
        <f>[3]L5!E79</f>
        <v>45707</v>
      </c>
      <c r="M35" s="390">
        <f>[3]L5!F79</f>
        <v>45725</v>
      </c>
      <c r="N35" s="390"/>
      <c r="O35" s="390"/>
      <c r="P35" s="390"/>
      <c r="Q35" s="390"/>
      <c r="R35" s="390"/>
      <c r="S35" s="59"/>
      <c r="T35" s="59"/>
      <c r="U35" s="59"/>
      <c r="V35" s="59"/>
      <c r="W35" s="59"/>
      <c r="X35" s="59"/>
      <c r="Y35" s="59">
        <f>H35*0.2</f>
        <v>509.82145930000007</v>
      </c>
      <c r="Z35" s="59">
        <f>H35*0.25</f>
        <v>637.27682412500008</v>
      </c>
      <c r="AA35" s="59">
        <f>H35-Y35-Z35</f>
        <v>1402.0090130750002</v>
      </c>
      <c r="AC35" s="59"/>
      <c r="AD35" s="59"/>
      <c r="AE35" s="59"/>
    </row>
    <row r="36" spans="6:31" hidden="1">
      <c r="F36" s="394" t="s">
        <v>252</v>
      </c>
      <c r="G36" s="394"/>
      <c r="H36" s="57">
        <f>H18</f>
        <v>1995.73332</v>
      </c>
      <c r="I36" s="57"/>
      <c r="J36" s="57"/>
      <c r="L36" s="390">
        <f>[3]L5!E80</f>
        <v>45657</v>
      </c>
      <c r="M36" s="390">
        <f>[3]L5!F80</f>
        <v>45711</v>
      </c>
      <c r="N36" s="390"/>
      <c r="O36" s="390"/>
      <c r="P36" s="390"/>
      <c r="Q36" s="390"/>
      <c r="R36" s="390"/>
      <c r="S36" s="59"/>
      <c r="T36" s="59"/>
      <c r="U36" s="59"/>
      <c r="V36" s="59"/>
      <c r="W36" s="59"/>
      <c r="X36" s="59">
        <f>H36*0.25</f>
        <v>498.93333000000001</v>
      </c>
      <c r="Y36" s="59">
        <f>H36*0.35</f>
        <v>698.50666200000001</v>
      </c>
      <c r="Z36" s="59">
        <f>H36-Y36-X36</f>
        <v>798.29332799999997</v>
      </c>
      <c r="AA36" s="59"/>
      <c r="AC36" s="59"/>
      <c r="AD36" s="59"/>
      <c r="AE36" s="59"/>
    </row>
    <row r="37" spans="6:31" hidden="1">
      <c r="F37" s="394" t="s">
        <v>253</v>
      </c>
      <c r="G37" s="394"/>
      <c r="H37" s="57">
        <f>H5</f>
        <v>701.63027</v>
      </c>
      <c r="I37" s="57"/>
      <c r="J37" s="57"/>
      <c r="L37" s="390">
        <f>[3]L5!E81</f>
        <v>45502</v>
      </c>
      <c r="M37" s="390">
        <f>[3]L5!F81</f>
        <v>45713</v>
      </c>
      <c r="N37" s="390"/>
      <c r="O37" s="390"/>
      <c r="P37" s="390"/>
      <c r="Q37" s="390"/>
      <c r="R37" s="390"/>
      <c r="S37" s="59"/>
      <c r="T37" s="59"/>
      <c r="U37" s="59"/>
      <c r="V37" s="59">
        <f>H37*0.3</f>
        <v>210.489081</v>
      </c>
      <c r="W37" s="59">
        <f>H37-V37</f>
        <v>491.141189</v>
      </c>
      <c r="X37" s="59"/>
      <c r="Y37" s="59"/>
      <c r="Z37" s="59"/>
      <c r="AA37" s="59"/>
      <c r="AC37" s="59"/>
      <c r="AD37" s="59"/>
      <c r="AE37" s="59"/>
    </row>
    <row r="38" spans="6:31" hidden="1">
      <c r="F38" s="394" t="s">
        <v>254</v>
      </c>
      <c r="G38" s="394"/>
      <c r="H38" s="57">
        <f>H6</f>
        <v>966.08990000000006</v>
      </c>
      <c r="I38" s="57"/>
      <c r="J38" s="57"/>
      <c r="L38" s="390">
        <f>[3]L5!E82</f>
        <v>45502</v>
      </c>
      <c r="M38" s="390">
        <f>[3]L5!F82</f>
        <v>45665</v>
      </c>
      <c r="N38" s="390"/>
      <c r="O38" s="390"/>
      <c r="P38" s="390"/>
      <c r="Q38" s="390"/>
      <c r="R38" s="390"/>
      <c r="S38" s="59"/>
      <c r="T38" s="59"/>
      <c r="U38" s="59"/>
      <c r="V38" s="59">
        <f>H38</f>
        <v>966.08990000000006</v>
      </c>
      <c r="W38" s="59"/>
      <c r="X38" s="59"/>
      <c r="Y38" s="59"/>
      <c r="Z38" s="59"/>
      <c r="AA38" s="59"/>
      <c r="AC38" s="59"/>
      <c r="AD38" s="59"/>
      <c r="AE38" s="59"/>
    </row>
    <row r="39" spans="6:31" hidden="1">
      <c r="F39" s="394" t="s">
        <v>255</v>
      </c>
      <c r="G39" s="394"/>
      <c r="H39" s="57">
        <f>H8</f>
        <v>163.36616500000002</v>
      </c>
      <c r="I39" s="57"/>
      <c r="J39" s="57"/>
      <c r="L39" s="390">
        <f>[3]L5!E83</f>
        <v>45502</v>
      </c>
      <c r="M39" s="390">
        <f>[3]L5!F83</f>
        <v>45641</v>
      </c>
      <c r="N39" s="390"/>
      <c r="O39" s="390"/>
      <c r="P39" s="390"/>
      <c r="Q39" s="390"/>
      <c r="R39" s="390"/>
      <c r="S39" s="59"/>
      <c r="T39" s="59"/>
      <c r="U39" s="59">
        <f>H39</f>
        <v>163.36616500000002</v>
      </c>
      <c r="V39" s="59"/>
      <c r="W39" s="59"/>
      <c r="X39" s="59"/>
      <c r="Y39" s="59"/>
      <c r="Z39" s="59"/>
      <c r="AA39" s="59"/>
      <c r="AC39" s="59"/>
      <c r="AD39" s="59"/>
      <c r="AE39" s="59"/>
    </row>
    <row r="40" spans="6:31" hidden="1">
      <c r="F40" s="394" t="s">
        <v>256</v>
      </c>
      <c r="G40" s="394"/>
      <c r="H40" s="57">
        <f>H9</f>
        <v>4025.5819300000003</v>
      </c>
      <c r="I40" s="57"/>
      <c r="J40" s="57"/>
      <c r="L40" s="390">
        <f>[3]L5!E84</f>
        <v>45502</v>
      </c>
      <c r="M40" s="390">
        <f>[3]L5!F84</f>
        <v>45678</v>
      </c>
      <c r="N40" s="390"/>
      <c r="O40" s="390"/>
      <c r="P40" s="390"/>
      <c r="Q40" s="390"/>
      <c r="R40" s="390"/>
      <c r="S40" s="59"/>
      <c r="T40" s="59"/>
      <c r="U40" s="59"/>
      <c r="V40" s="59">
        <f>H40*0.3</f>
        <v>1207.674579</v>
      </c>
      <c r="W40" s="59">
        <f>H40-V40</f>
        <v>2817.9073510000003</v>
      </c>
      <c r="X40" s="59"/>
      <c r="Y40" s="59"/>
      <c r="Z40" s="59"/>
      <c r="AA40" s="59"/>
      <c r="AC40" s="59"/>
      <c r="AD40" s="59"/>
      <c r="AE40" s="59"/>
    </row>
    <row r="41" spans="6:31" hidden="1">
      <c r="F41" s="394" t="s">
        <v>257</v>
      </c>
      <c r="G41" s="394"/>
      <c r="H41" s="57">
        <f>H10</f>
        <v>103.19587799999999</v>
      </c>
      <c r="I41" s="57"/>
      <c r="J41" s="57"/>
      <c r="L41" s="390">
        <f>[3]L5!E85</f>
        <v>45600</v>
      </c>
      <c r="M41" s="390">
        <f>[3]L5!F85</f>
        <v>45672</v>
      </c>
      <c r="N41" s="390"/>
      <c r="O41" s="390"/>
      <c r="P41" s="390"/>
      <c r="Q41" s="390"/>
      <c r="R41" s="390"/>
      <c r="S41" s="59"/>
      <c r="T41" s="59"/>
      <c r="U41" s="59"/>
      <c r="V41" s="59">
        <f>H41</f>
        <v>103.19587799999999</v>
      </c>
      <c r="W41" s="59"/>
      <c r="X41" s="59"/>
      <c r="Y41" s="59"/>
      <c r="Z41" s="59"/>
      <c r="AA41" s="59"/>
      <c r="AC41" s="59"/>
      <c r="AD41" s="59"/>
      <c r="AE41" s="59"/>
    </row>
    <row r="42" spans="6:31" hidden="1">
      <c r="F42" s="394" t="s">
        <v>258</v>
      </c>
      <c r="G42" s="394"/>
      <c r="H42" s="57">
        <f>H11</f>
        <v>459.308156</v>
      </c>
      <c r="I42" s="57"/>
      <c r="J42" s="57"/>
      <c r="L42" s="390">
        <f>[3]L5!E86</f>
        <v>45602</v>
      </c>
      <c r="M42" s="390">
        <f>[3]L5!F86</f>
        <v>45684</v>
      </c>
      <c r="N42" s="390"/>
      <c r="O42" s="390"/>
      <c r="P42" s="390"/>
      <c r="Q42" s="390"/>
      <c r="R42" s="390"/>
      <c r="S42" s="59"/>
      <c r="T42" s="59"/>
      <c r="U42" s="59"/>
      <c r="V42" s="59">
        <f>H42*0.3</f>
        <v>137.79244679999999</v>
      </c>
      <c r="W42" s="59">
        <f>H42-V42</f>
        <v>321.5157092</v>
      </c>
      <c r="X42" s="59"/>
      <c r="Y42" s="59"/>
      <c r="Z42" s="59"/>
      <c r="AA42" s="59"/>
      <c r="AC42" s="59"/>
      <c r="AD42" s="59"/>
      <c r="AE42" s="59"/>
    </row>
    <row r="43" spans="6:31" hidden="1">
      <c r="F43" s="394" t="s">
        <v>259</v>
      </c>
      <c r="G43" s="394"/>
      <c r="H43" s="57">
        <f>H13</f>
        <v>108.54159999999999</v>
      </c>
      <c r="I43" s="57"/>
      <c r="J43" s="57"/>
      <c r="L43" s="390">
        <f>[3]L5!E87</f>
        <v>45601</v>
      </c>
      <c r="M43" s="390">
        <f>[3]L5!F87</f>
        <v>45737</v>
      </c>
      <c r="N43" s="390"/>
      <c r="O43" s="390"/>
      <c r="P43" s="390"/>
      <c r="Q43" s="390"/>
      <c r="R43" s="390"/>
      <c r="S43" s="59"/>
      <c r="T43" s="59"/>
      <c r="U43" s="59"/>
      <c r="V43" s="59"/>
      <c r="W43" s="59"/>
      <c r="X43" s="59">
        <f>H43</f>
        <v>108.54159999999999</v>
      </c>
      <c r="Y43" s="59"/>
      <c r="Z43" s="59"/>
      <c r="AA43" s="59"/>
      <c r="AC43" s="59"/>
      <c r="AD43" s="59"/>
      <c r="AE43" s="59"/>
    </row>
    <row r="44" spans="6:31" hidden="1">
      <c r="F44" s="394" t="s">
        <v>260</v>
      </c>
      <c r="G44" s="394"/>
      <c r="H44" s="57">
        <f>H14</f>
        <v>233.14151699999999</v>
      </c>
      <c r="I44" s="57"/>
      <c r="J44" s="57"/>
      <c r="L44" s="390">
        <f>[3]L5!E88</f>
        <v>45606</v>
      </c>
      <c r="M44" s="390">
        <f>[3]L5!F88</f>
        <v>45739</v>
      </c>
      <c r="N44" s="390"/>
      <c r="O44" s="390"/>
      <c r="P44" s="390"/>
      <c r="Q44" s="390"/>
      <c r="R44" s="390"/>
      <c r="S44" s="59"/>
      <c r="T44" s="59"/>
      <c r="U44" s="59"/>
      <c r="V44" s="59"/>
      <c r="W44" s="59">
        <f>H44</f>
        <v>233.14151699999999</v>
      </c>
      <c r="X44" s="59"/>
      <c r="Y44" s="59"/>
      <c r="Z44" s="59"/>
      <c r="AA44" s="59"/>
      <c r="AC44" s="59"/>
      <c r="AD44" s="59"/>
      <c r="AE44" s="59"/>
    </row>
    <row r="45" spans="6:31" hidden="1">
      <c r="F45" s="394" t="s">
        <v>261</v>
      </c>
      <c r="G45" s="394"/>
      <c r="H45" s="57">
        <f>H19</f>
        <v>288.125452</v>
      </c>
      <c r="I45" s="57"/>
      <c r="J45" s="57"/>
      <c r="L45" s="390">
        <f>[3]L5!E89</f>
        <v>45604</v>
      </c>
      <c r="M45" s="390">
        <f>[3]L5!F89</f>
        <v>45646</v>
      </c>
      <c r="N45" s="390"/>
      <c r="O45" s="390"/>
      <c r="P45" s="390"/>
      <c r="Q45" s="390"/>
      <c r="R45" s="390"/>
      <c r="S45" s="59"/>
      <c r="T45" s="59"/>
      <c r="U45" s="59"/>
      <c r="V45" s="59"/>
      <c r="W45" s="59">
        <f>H45</f>
        <v>288.125452</v>
      </c>
      <c r="X45" s="59"/>
      <c r="Y45" s="59"/>
      <c r="Z45" s="59"/>
      <c r="AA45" s="59"/>
      <c r="AC45" s="59"/>
      <c r="AD45" s="59"/>
      <c r="AE45" s="59"/>
    </row>
    <row r="46" spans="6:31" hidden="1">
      <c r="F46" s="394" t="s">
        <v>262</v>
      </c>
      <c r="G46" s="394"/>
      <c r="H46" s="57">
        <f>H21</f>
        <v>1.8</v>
      </c>
      <c r="I46" s="57"/>
      <c r="J46" s="57"/>
      <c r="L46" s="390">
        <f>[3]L5!E90</f>
        <v>45739</v>
      </c>
      <c r="M46" s="390">
        <f>[3]L5!F90</f>
        <v>45762</v>
      </c>
      <c r="N46" s="390"/>
      <c r="O46" s="390"/>
      <c r="P46" s="390"/>
      <c r="Q46" s="390"/>
      <c r="R46" s="390"/>
      <c r="S46" s="59"/>
      <c r="T46" s="59"/>
      <c r="U46" s="59"/>
      <c r="V46" s="59"/>
      <c r="W46" s="59"/>
      <c r="X46" s="59"/>
      <c r="Y46" s="59"/>
      <c r="Z46" s="59"/>
      <c r="AA46" s="59">
        <f>H46</f>
        <v>1.8</v>
      </c>
      <c r="AC46" s="59"/>
      <c r="AD46" s="59"/>
      <c r="AE46" s="59"/>
    </row>
    <row r="47" spans="6:31" hidden="1">
      <c r="F47" s="394" t="s">
        <v>263</v>
      </c>
      <c r="G47" s="394"/>
      <c r="H47" s="57">
        <f>H2-H30</f>
        <v>2165.8948900000032</v>
      </c>
      <c r="I47" s="57"/>
      <c r="J47" s="57"/>
      <c r="S47" s="59"/>
      <c r="T47" s="59"/>
      <c r="U47" s="59"/>
      <c r="V47" s="59"/>
      <c r="W47" s="59"/>
      <c r="X47" s="59"/>
      <c r="Y47" s="59">
        <f>H47*0.2</f>
        <v>433.17897800000065</v>
      </c>
      <c r="Z47" s="59">
        <f>H47*0.22</f>
        <v>476.49687580000074</v>
      </c>
      <c r="AA47" s="59">
        <f>H47-Y47-Z47</f>
        <v>1256.2190362000019</v>
      </c>
    </row>
    <row r="48" spans="6:31" hidden="1">
      <c r="S48" s="63">
        <f t="shared" ref="S48:AA48" si="9">S47+S30</f>
        <v>0</v>
      </c>
      <c r="T48" s="63">
        <f t="shared" si="9"/>
        <v>0</v>
      </c>
      <c r="U48" s="63">
        <f t="shared" si="9"/>
        <v>163.36616500000002</v>
      </c>
      <c r="V48" s="63">
        <f t="shared" si="9"/>
        <v>2625.2418848000002</v>
      </c>
      <c r="W48" s="63">
        <f t="shared" si="9"/>
        <v>4151.8312182</v>
      </c>
      <c r="X48" s="63">
        <f t="shared" si="9"/>
        <v>1861.3960717000002</v>
      </c>
      <c r="Y48" s="63">
        <f t="shared" si="9"/>
        <v>4713.1989506000009</v>
      </c>
      <c r="Z48" s="63">
        <f t="shared" si="9"/>
        <v>4730.2471189250009</v>
      </c>
      <c r="AA48" s="63">
        <f t="shared" si="9"/>
        <v>2660.0280492750021</v>
      </c>
      <c r="AB48" s="63">
        <f>H30+H47-SUM(S48:AA48)</f>
        <v>0</v>
      </c>
    </row>
    <row r="49" spans="6:27" hidden="1"/>
    <row r="50" spans="6:27" hidden="1">
      <c r="F50" s="50" t="s">
        <v>264</v>
      </c>
      <c r="G50" s="50"/>
      <c r="S50" s="389">
        <v>45412</v>
      </c>
      <c r="T50" s="389">
        <v>45443</v>
      </c>
      <c r="U50" s="389">
        <v>45473</v>
      </c>
      <c r="V50" s="389">
        <v>45504</v>
      </c>
      <c r="W50" s="389">
        <v>45535</v>
      </c>
      <c r="X50" s="389">
        <v>45565</v>
      </c>
      <c r="Y50" s="389">
        <v>45596</v>
      </c>
      <c r="Z50" s="389">
        <v>45626</v>
      </c>
      <c r="AA50" s="389">
        <v>45657</v>
      </c>
    </row>
    <row r="51" spans="6:27" hidden="1">
      <c r="F51" s="394" t="s">
        <v>247</v>
      </c>
      <c r="G51" s="394"/>
      <c r="H51" s="57">
        <f>H31</f>
        <v>2222.1842059999999</v>
      </c>
      <c r="I51" s="57"/>
      <c r="J51" s="57"/>
      <c r="L51" s="390">
        <f>M51-14</f>
        <v>45722</v>
      </c>
      <c r="M51" s="390">
        <f>M31</f>
        <v>45736</v>
      </c>
      <c r="N51" s="390"/>
      <c r="O51" s="390"/>
      <c r="P51" s="390"/>
      <c r="Q51" s="390"/>
      <c r="R51" s="390"/>
      <c r="Z51" s="59">
        <f>H51</f>
        <v>2222.1842059999999</v>
      </c>
    </row>
    <row r="52" spans="6:27" hidden="1">
      <c r="F52" s="394" t="s">
        <v>248</v>
      </c>
      <c r="G52" s="394"/>
      <c r="H52" s="57">
        <f t="shared" ref="H52:H67" si="10">H32</f>
        <v>2573.075566</v>
      </c>
      <c r="I52" s="57"/>
      <c r="J52" s="57"/>
      <c r="L52" s="390">
        <f t="shared" ref="L52:L66" si="11">M52-14</f>
        <v>45578</v>
      </c>
      <c r="M52" s="390">
        <f t="shared" ref="M52:M66" si="12">M32</f>
        <v>45592</v>
      </c>
      <c r="N52" s="390"/>
      <c r="O52" s="390"/>
      <c r="P52" s="390"/>
      <c r="Q52" s="390"/>
      <c r="R52" s="390"/>
      <c r="Z52" s="59">
        <f>H52</f>
        <v>2573.075566</v>
      </c>
    </row>
    <row r="53" spans="6:27" hidden="1">
      <c r="F53" s="394" t="s">
        <v>249</v>
      </c>
      <c r="G53" s="394"/>
      <c r="H53" s="57">
        <f t="shared" si="10"/>
        <v>741.61174800000003</v>
      </c>
      <c r="I53" s="57"/>
      <c r="J53" s="57"/>
      <c r="L53" s="390">
        <f t="shared" si="11"/>
        <v>45677</v>
      </c>
      <c r="M53" s="390">
        <f t="shared" si="12"/>
        <v>45691</v>
      </c>
      <c r="N53" s="390"/>
      <c r="O53" s="390"/>
      <c r="P53" s="390"/>
      <c r="Q53" s="390"/>
      <c r="R53" s="390"/>
      <c r="Y53" s="59">
        <f>H53</f>
        <v>741.61174800000003</v>
      </c>
    </row>
    <row r="54" spans="6:27" hidden="1">
      <c r="F54" s="394" t="s">
        <v>250</v>
      </c>
      <c r="G54" s="394"/>
      <c r="H54" s="57">
        <f t="shared" si="10"/>
        <v>1606.921564</v>
      </c>
      <c r="I54" s="57"/>
      <c r="J54" s="57"/>
      <c r="L54" s="390">
        <f t="shared" si="11"/>
        <v>45717</v>
      </c>
      <c r="M54" s="390">
        <f t="shared" si="12"/>
        <v>45731</v>
      </c>
      <c r="N54" s="390"/>
      <c r="O54" s="390"/>
      <c r="P54" s="390"/>
      <c r="Q54" s="390"/>
      <c r="R54" s="390"/>
      <c r="Z54" s="59">
        <f>H54</f>
        <v>1606.921564</v>
      </c>
    </row>
    <row r="55" spans="6:27" hidden="1">
      <c r="F55" s="394" t="s">
        <v>251</v>
      </c>
      <c r="G55" s="394"/>
      <c r="H55" s="57">
        <f t="shared" si="10"/>
        <v>2549.1072965000003</v>
      </c>
      <c r="I55" s="57"/>
      <c r="J55" s="57"/>
      <c r="L55" s="390">
        <f t="shared" si="11"/>
        <v>45711</v>
      </c>
      <c r="M55" s="390">
        <f t="shared" si="12"/>
        <v>45725</v>
      </c>
      <c r="N55" s="390"/>
      <c r="O55" s="390"/>
      <c r="P55" s="390"/>
      <c r="Q55" s="390"/>
      <c r="R55" s="390"/>
      <c r="AA55" s="59">
        <f>H55</f>
        <v>2549.1072965000003</v>
      </c>
    </row>
    <row r="56" spans="6:27" hidden="1">
      <c r="F56" s="394" t="s">
        <v>252</v>
      </c>
      <c r="G56" s="394"/>
      <c r="H56" s="57">
        <f t="shared" si="10"/>
        <v>1995.73332</v>
      </c>
      <c r="I56" s="57"/>
      <c r="J56" s="57"/>
      <c r="L56" s="390">
        <f t="shared" si="11"/>
        <v>45697</v>
      </c>
      <c r="M56" s="390">
        <f t="shared" si="12"/>
        <v>45711</v>
      </c>
      <c r="N56" s="390"/>
      <c r="O56" s="390"/>
      <c r="P56" s="390"/>
      <c r="Q56" s="390"/>
      <c r="R56" s="390"/>
      <c r="Z56" s="59">
        <f>H56</f>
        <v>1995.73332</v>
      </c>
    </row>
    <row r="57" spans="6:27" hidden="1">
      <c r="F57" s="394" t="s">
        <v>253</v>
      </c>
      <c r="G57" s="394"/>
      <c r="H57" s="57">
        <f t="shared" si="10"/>
        <v>701.63027</v>
      </c>
      <c r="I57" s="57"/>
      <c r="J57" s="57"/>
      <c r="L57" s="390">
        <f t="shared" si="11"/>
        <v>45699</v>
      </c>
      <c r="M57" s="390">
        <f t="shared" si="12"/>
        <v>45713</v>
      </c>
      <c r="N57" s="390"/>
      <c r="O57" s="390"/>
      <c r="P57" s="390"/>
      <c r="Q57" s="390"/>
      <c r="R57" s="390"/>
      <c r="W57" s="59">
        <f>H57</f>
        <v>701.63027</v>
      </c>
    </row>
    <row r="58" spans="6:27" hidden="1">
      <c r="F58" s="394" t="s">
        <v>254</v>
      </c>
      <c r="G58" s="394"/>
      <c r="H58" s="57">
        <f t="shared" si="10"/>
        <v>966.08990000000006</v>
      </c>
      <c r="I58" s="57"/>
      <c r="J58" s="57"/>
      <c r="L58" s="390">
        <f t="shared" si="11"/>
        <v>45651</v>
      </c>
      <c r="M58" s="390">
        <f t="shared" si="12"/>
        <v>45665</v>
      </c>
      <c r="N58" s="390"/>
      <c r="O58" s="390"/>
      <c r="P58" s="390"/>
      <c r="Q58" s="390"/>
      <c r="R58" s="390"/>
      <c r="V58" s="59">
        <f>H58</f>
        <v>966.08990000000006</v>
      </c>
    </row>
    <row r="59" spans="6:27" hidden="1">
      <c r="F59" s="394" t="s">
        <v>255</v>
      </c>
      <c r="G59" s="394"/>
      <c r="H59" s="57">
        <f t="shared" si="10"/>
        <v>163.36616500000002</v>
      </c>
      <c r="I59" s="57"/>
      <c r="J59" s="57"/>
      <c r="L59" s="390">
        <f t="shared" si="11"/>
        <v>45627</v>
      </c>
      <c r="M59" s="390">
        <f t="shared" si="12"/>
        <v>45641</v>
      </c>
      <c r="N59" s="390"/>
      <c r="O59" s="390"/>
      <c r="P59" s="390"/>
      <c r="Q59" s="390"/>
      <c r="R59" s="390"/>
      <c r="U59" s="59">
        <f>H59</f>
        <v>163.36616500000002</v>
      </c>
    </row>
    <row r="60" spans="6:27" hidden="1">
      <c r="F60" s="394" t="s">
        <v>256</v>
      </c>
      <c r="G60" s="394"/>
      <c r="H60" s="57">
        <f t="shared" si="10"/>
        <v>4025.5819300000003</v>
      </c>
      <c r="I60" s="57"/>
      <c r="J60" s="57"/>
      <c r="L60" s="390">
        <f t="shared" si="11"/>
        <v>45664</v>
      </c>
      <c r="M60" s="390">
        <f t="shared" si="12"/>
        <v>45678</v>
      </c>
      <c r="N60" s="390"/>
      <c r="O60" s="390"/>
      <c r="P60" s="390"/>
      <c r="Q60" s="390"/>
      <c r="R60" s="390"/>
      <c r="W60" s="59">
        <f>H60</f>
        <v>4025.5819300000003</v>
      </c>
    </row>
    <row r="61" spans="6:27" hidden="1">
      <c r="F61" s="394" t="s">
        <v>257</v>
      </c>
      <c r="G61" s="394"/>
      <c r="H61" s="57">
        <f t="shared" si="10"/>
        <v>103.19587799999999</v>
      </c>
      <c r="I61" s="57"/>
      <c r="J61" s="57"/>
      <c r="L61" s="390">
        <f t="shared" si="11"/>
        <v>45658</v>
      </c>
      <c r="M61" s="390">
        <f t="shared" si="12"/>
        <v>45672</v>
      </c>
      <c r="N61" s="390"/>
      <c r="O61" s="390"/>
      <c r="P61" s="390"/>
      <c r="Q61" s="390"/>
      <c r="R61" s="390"/>
      <c r="V61" s="59">
        <f>H61</f>
        <v>103.19587799999999</v>
      </c>
    </row>
    <row r="62" spans="6:27" hidden="1">
      <c r="F62" s="394" t="s">
        <v>258</v>
      </c>
      <c r="G62" s="394"/>
      <c r="H62" s="57">
        <f t="shared" si="10"/>
        <v>459.308156</v>
      </c>
      <c r="I62" s="57"/>
      <c r="J62" s="57"/>
      <c r="L62" s="390">
        <f t="shared" si="11"/>
        <v>45670</v>
      </c>
      <c r="M62" s="390">
        <f t="shared" si="12"/>
        <v>45684</v>
      </c>
      <c r="N62" s="390"/>
      <c r="O62" s="390"/>
      <c r="P62" s="390"/>
      <c r="Q62" s="390"/>
      <c r="R62" s="390"/>
      <c r="W62" s="59">
        <f>H62</f>
        <v>459.308156</v>
      </c>
    </row>
    <row r="63" spans="6:27" hidden="1">
      <c r="F63" s="394" t="s">
        <v>259</v>
      </c>
      <c r="G63" s="394"/>
      <c r="H63" s="57">
        <f t="shared" si="10"/>
        <v>108.54159999999999</v>
      </c>
      <c r="I63" s="57"/>
      <c r="J63" s="57"/>
      <c r="L63" s="390">
        <f t="shared" si="11"/>
        <v>45723</v>
      </c>
      <c r="M63" s="390">
        <f t="shared" si="12"/>
        <v>45737</v>
      </c>
      <c r="N63" s="390"/>
      <c r="O63" s="390"/>
      <c r="P63" s="390"/>
      <c r="Q63" s="390"/>
      <c r="R63" s="390"/>
      <c r="X63" s="59">
        <f>H63</f>
        <v>108.54159999999999</v>
      </c>
    </row>
    <row r="64" spans="6:27" hidden="1">
      <c r="F64" s="394" t="s">
        <v>260</v>
      </c>
      <c r="G64" s="394"/>
      <c r="H64" s="57">
        <f t="shared" si="10"/>
        <v>233.14151699999999</v>
      </c>
      <c r="I64" s="57"/>
      <c r="J64" s="57"/>
      <c r="L64" s="390">
        <f t="shared" si="11"/>
        <v>45725</v>
      </c>
      <c r="M64" s="390">
        <f t="shared" si="12"/>
        <v>45739</v>
      </c>
      <c r="N64" s="390"/>
      <c r="O64" s="390"/>
      <c r="P64" s="390"/>
      <c r="Q64" s="390"/>
      <c r="R64" s="390"/>
      <c r="W64" s="59">
        <f>H64</f>
        <v>233.14151699999999</v>
      </c>
    </row>
    <row r="65" spans="6:28" hidden="1">
      <c r="F65" s="394" t="s">
        <v>261</v>
      </c>
      <c r="G65" s="394"/>
      <c r="H65" s="57">
        <f t="shared" si="10"/>
        <v>288.125452</v>
      </c>
      <c r="I65" s="57"/>
      <c r="J65" s="57"/>
      <c r="L65" s="390">
        <f t="shared" si="11"/>
        <v>45632</v>
      </c>
      <c r="M65" s="390">
        <f t="shared" si="12"/>
        <v>45646</v>
      </c>
      <c r="N65" s="390"/>
      <c r="O65" s="390"/>
      <c r="P65" s="390"/>
      <c r="Q65" s="390"/>
      <c r="R65" s="390"/>
      <c r="W65" s="59">
        <f>H65</f>
        <v>288.125452</v>
      </c>
    </row>
    <row r="66" spans="6:28" hidden="1">
      <c r="F66" s="394" t="s">
        <v>262</v>
      </c>
      <c r="G66" s="394"/>
      <c r="H66" s="57">
        <f t="shared" si="10"/>
        <v>1.8</v>
      </c>
      <c r="I66" s="57"/>
      <c r="J66" s="57"/>
      <c r="L66" s="390">
        <f t="shared" si="11"/>
        <v>45748</v>
      </c>
      <c r="M66" s="390">
        <f t="shared" si="12"/>
        <v>45762</v>
      </c>
      <c r="N66" s="390"/>
      <c r="O66" s="390"/>
      <c r="P66" s="390"/>
      <c r="Q66" s="390"/>
      <c r="R66" s="390"/>
      <c r="AA66" s="59">
        <f>H66</f>
        <v>1.8</v>
      </c>
    </row>
    <row r="67" spans="6:28" hidden="1">
      <c r="F67" s="394" t="s">
        <v>263</v>
      </c>
      <c r="G67" s="394"/>
      <c r="H67" s="57">
        <f t="shared" si="10"/>
        <v>2165.8948900000032</v>
      </c>
      <c r="I67" s="57"/>
      <c r="J67" s="57"/>
      <c r="AA67" s="59">
        <f>H67</f>
        <v>2165.8948900000032</v>
      </c>
    </row>
    <row r="68" spans="6:28" hidden="1">
      <c r="F68" s="394"/>
      <c r="G68" s="394"/>
      <c r="H68" s="57"/>
      <c r="I68" s="57"/>
      <c r="J68" s="57"/>
      <c r="L68" s="390">
        <f>MIN(L51:L67)</f>
        <v>45578</v>
      </c>
      <c r="M68" s="390">
        <f>MAX(M51:M67)</f>
        <v>45762</v>
      </c>
      <c r="N68" s="390"/>
      <c r="O68" s="390"/>
      <c r="P68" s="390"/>
      <c r="Q68" s="390"/>
      <c r="R68" s="390"/>
      <c r="AA68" s="59"/>
    </row>
    <row r="69" spans="6:28" hidden="1">
      <c r="F69" s="394"/>
      <c r="G69" s="394"/>
      <c r="H69" s="57"/>
      <c r="I69" s="57"/>
      <c r="J69" s="57"/>
      <c r="L69" s="390">
        <f ca="1">TODAY()</f>
        <v>45821</v>
      </c>
      <c r="M69" s="390">
        <f ca="1">M68+H70</f>
        <v>46005</v>
      </c>
      <c r="N69" s="390"/>
      <c r="O69" s="390"/>
      <c r="P69" s="390"/>
      <c r="Q69" s="390"/>
      <c r="R69" s="390"/>
      <c r="AA69" s="59"/>
    </row>
    <row r="70" spans="6:28" hidden="1">
      <c r="H70" s="58">
        <f ca="1">L69-L68</f>
        <v>243</v>
      </c>
      <c r="M70" s="48" t="s">
        <v>42</v>
      </c>
      <c r="S70" s="63">
        <f>SUM(S51:S67)</f>
        <v>0</v>
      </c>
      <c r="T70" s="63">
        <f t="shared" ref="T70:AB70" si="13">SUM(T51:T67)</f>
        <v>0</v>
      </c>
      <c r="U70" s="63">
        <f t="shared" si="13"/>
        <v>163.36616500000002</v>
      </c>
      <c r="V70" s="63">
        <f t="shared" si="13"/>
        <v>1069.2857779999999</v>
      </c>
      <c r="W70" s="63">
        <f t="shared" si="13"/>
        <v>5707.7873250000002</v>
      </c>
      <c r="X70" s="63">
        <f t="shared" si="13"/>
        <v>108.54159999999999</v>
      </c>
      <c r="Y70" s="63">
        <f t="shared" si="13"/>
        <v>741.61174800000003</v>
      </c>
      <c r="Z70" s="63">
        <f t="shared" si="13"/>
        <v>8397.914655999999</v>
      </c>
      <c r="AA70" s="63">
        <f t="shared" si="13"/>
        <v>4716.8021865000037</v>
      </c>
      <c r="AB70" s="63">
        <f t="shared" si="13"/>
        <v>0</v>
      </c>
    </row>
    <row r="71" spans="6:28" hidden="1">
      <c r="M71" s="48" t="s">
        <v>44</v>
      </c>
    </row>
  </sheetData>
  <autoFilter ref="A2:AJ25" xr:uid="{B4EE6277-A748-41D6-A680-BF4B4453A6DC}"/>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9B03-A887-4B32-97A5-082B3EF2D26C}">
  <dimension ref="A1:AH30"/>
  <sheetViews>
    <sheetView topLeftCell="D4" zoomScale="69" zoomScaleNormal="69" workbookViewId="0">
      <selection activeCell="F20" sqref="F20"/>
    </sheetView>
  </sheetViews>
  <sheetFormatPr defaultColWidth="8.7265625" defaultRowHeight="19.5" customHeight="1"/>
  <cols>
    <col min="1" max="1" width="5.453125" style="58" customWidth="1"/>
    <col min="2" max="5" width="5.453125" style="543" customWidth="1"/>
    <col min="6" max="6" width="54.54296875" style="48" bestFit="1" customWidth="1"/>
    <col min="7" max="7" width="5.1796875" style="544" bestFit="1" customWidth="1"/>
    <col min="8" max="8" width="9.453125" style="58" bestFit="1" customWidth="1"/>
    <col min="9" max="10" width="9.453125" style="543" customWidth="1"/>
    <col min="11" max="11" width="9.453125" style="58" customWidth="1"/>
    <col min="12" max="15" width="9.81640625" style="64" customWidth="1"/>
    <col min="16" max="16" width="19.1796875" style="64" bestFit="1" customWidth="1"/>
    <col min="17" max="17" width="21.453125" style="64" bestFit="1" customWidth="1"/>
    <col min="18" max="18" width="21.453125" style="64" customWidth="1"/>
    <col min="19" max="22" width="11" style="48" customWidth="1"/>
    <col min="23" max="33" width="10.1796875" style="48" customWidth="1"/>
    <col min="34" max="16384" width="8.7265625" style="48"/>
  </cols>
  <sheetData>
    <row r="1" spans="1:34" s="50" customFormat="1" ht="47" thickBot="1">
      <c r="A1" s="893" t="str">
        <f>Exc!A1</f>
        <v>S No</v>
      </c>
      <c r="B1" s="894" t="str">
        <f>Exc!B1</f>
        <v>Section</v>
      </c>
      <c r="C1" s="894" t="str">
        <f>Exc!C1</f>
        <v>Department</v>
      </c>
      <c r="D1" s="894" t="str">
        <f>Exc!D1</f>
        <v>Description</v>
      </c>
      <c r="E1" s="894" t="str">
        <f>Exc!E1</f>
        <v>Sub Phase 1</v>
      </c>
      <c r="F1" s="894" t="str">
        <f>Exc!F1</f>
        <v>Particular</v>
      </c>
      <c r="G1" s="894" t="str">
        <f>Exc!G1</f>
        <v>UOM</v>
      </c>
      <c r="H1" s="895" t="str">
        <f>Exc!H1</f>
        <v>Scope</v>
      </c>
      <c r="I1" s="895" t="str">
        <f>Exc!I1</f>
        <v>DRAWING RELESED</v>
      </c>
      <c r="J1" s="895" t="str">
        <f>Exc!J1</f>
        <v>ACHIVED</v>
      </c>
      <c r="K1" s="895" t="str">
        <f>Exc!K1</f>
        <v>DURATION</v>
      </c>
      <c r="L1" s="896" t="str">
        <f>Exc!L1</f>
        <v>BL Start</v>
      </c>
      <c r="M1" s="896" t="str">
        <f>Exc!M1</f>
        <v>BL Finish</v>
      </c>
      <c r="N1" s="894" t="str">
        <f>Exc!N1</f>
        <v>Current Month Plan</v>
      </c>
      <c r="O1" s="894" t="str">
        <f>Exc!O1</f>
        <v>Current Month Actual</v>
      </c>
      <c r="P1" s="894" t="str">
        <f>Exc!P1</f>
        <v>Cummulative Planned</v>
      </c>
      <c r="Q1" s="894" t="str">
        <f>Exc!Q1</f>
        <v>Cummulative completed</v>
      </c>
      <c r="R1" s="897" t="str">
        <f>Exc!R1</f>
        <v>Balance</v>
      </c>
      <c r="S1" s="898"/>
      <c r="T1" s="898"/>
      <c r="U1" s="898"/>
      <c r="V1" s="898"/>
      <c r="W1" s="898">
        <v>0</v>
      </c>
      <c r="X1" s="898">
        <v>0</v>
      </c>
      <c r="Y1" s="898">
        <v>57.325848299999961</v>
      </c>
      <c r="Z1" s="898">
        <v>221.00230116000012</v>
      </c>
      <c r="AA1" s="898">
        <v>284.1380005799997</v>
      </c>
      <c r="AB1" s="898">
        <v>317.73163761999967</v>
      </c>
      <c r="AC1" s="898">
        <v>260.0938920399999</v>
      </c>
      <c r="AD1" s="898">
        <v>-335.98975142000018</v>
      </c>
      <c r="AE1" s="899">
        <v>-769.69790828000032</v>
      </c>
      <c r="AF1" s="50">
        <v>-0.81467850000058206</v>
      </c>
      <c r="AG1" s="50" t="s">
        <v>275</v>
      </c>
    </row>
    <row r="2" spans="1:34" ht="19.5" customHeight="1" thickBot="1">
      <c r="A2" s="1195" t="s">
        <v>134</v>
      </c>
      <c r="B2" s="1196"/>
      <c r="C2" s="1196"/>
      <c r="D2" s="1196"/>
      <c r="E2" s="1196"/>
      <c r="F2" s="1197"/>
      <c r="G2" s="1197"/>
      <c r="H2" s="1197"/>
      <c r="I2" s="1197"/>
      <c r="J2" s="1197"/>
      <c r="K2" s="1197"/>
      <c r="L2" s="1197"/>
      <c r="M2" s="1197"/>
      <c r="N2" s="1197"/>
      <c r="O2" s="1197"/>
      <c r="P2" s="1197"/>
      <c r="Q2" s="1197"/>
      <c r="R2" s="1197"/>
      <c r="S2" s="1197"/>
      <c r="T2" s="1197"/>
      <c r="U2" s="1197"/>
      <c r="V2" s="1197"/>
      <c r="W2" s="542">
        <v>363</v>
      </c>
      <c r="X2" s="542">
        <v>999</v>
      </c>
      <c r="Y2" s="542">
        <v>1067</v>
      </c>
      <c r="Z2" s="542">
        <v>2541</v>
      </c>
      <c r="AA2" s="542">
        <v>3353</v>
      </c>
      <c r="AB2" s="542">
        <v>3495</v>
      </c>
      <c r="AC2" s="542">
        <v>3946</v>
      </c>
      <c r="AD2" s="542">
        <v>2983</v>
      </c>
      <c r="AE2" s="542">
        <v>1339</v>
      </c>
      <c r="AF2" s="542">
        <v>819</v>
      </c>
    </row>
    <row r="3" spans="1:34" s="50" customFormat="1" ht="19.5" customHeight="1" thickBot="1">
      <c r="A3" s="803" t="s">
        <v>0</v>
      </c>
      <c r="B3" s="945"/>
      <c r="C3" s="945"/>
      <c r="D3" s="945"/>
      <c r="E3" s="945"/>
      <c r="F3" s="407" t="s">
        <v>92</v>
      </c>
      <c r="G3" s="407"/>
      <c r="H3" s="407" t="s">
        <v>93</v>
      </c>
      <c r="I3" s="407"/>
      <c r="J3" s="407"/>
      <c r="K3" s="408"/>
      <c r="L3" s="409" t="s">
        <v>95</v>
      </c>
      <c r="M3" s="409" t="s">
        <v>96</v>
      </c>
      <c r="N3" s="409"/>
      <c r="O3" s="409"/>
      <c r="P3" s="409"/>
      <c r="Q3" s="409"/>
      <c r="R3" s="409"/>
      <c r="S3" s="410">
        <f>SUM(S5:S26)</f>
        <v>0</v>
      </c>
      <c r="T3" s="410">
        <f t="shared" ref="T3:V3" si="0">SUM(T5:T26)</f>
        <v>0</v>
      </c>
      <c r="U3" s="410">
        <f t="shared" si="0"/>
        <v>0</v>
      </c>
      <c r="V3" s="410">
        <f t="shared" si="0"/>
        <v>0</v>
      </c>
      <c r="W3" s="410">
        <f>SUM(W5:W26)+W1</f>
        <v>363</v>
      </c>
      <c r="X3" s="410">
        <f t="shared" ref="X3:AF3" si="1">SUM(X5:X26)+X1</f>
        <v>999</v>
      </c>
      <c r="Y3" s="410">
        <f t="shared" si="1"/>
        <v>1067</v>
      </c>
      <c r="Z3" s="410">
        <f t="shared" si="1"/>
        <v>2541</v>
      </c>
      <c r="AA3" s="410">
        <f t="shared" si="1"/>
        <v>3353</v>
      </c>
      <c r="AB3" s="410">
        <f t="shared" si="1"/>
        <v>3495</v>
      </c>
      <c r="AC3" s="410">
        <f t="shared" si="1"/>
        <v>3946</v>
      </c>
      <c r="AD3" s="410">
        <f t="shared" si="1"/>
        <v>2983</v>
      </c>
      <c r="AE3" s="410">
        <f t="shared" si="1"/>
        <v>1339</v>
      </c>
      <c r="AF3" s="410">
        <f t="shared" si="1"/>
        <v>819</v>
      </c>
      <c r="AG3" s="448"/>
    </row>
    <row r="4" spans="1:34" s="50" customFormat="1" ht="19.5" customHeight="1" thickBot="1">
      <c r="A4" s="803" t="s">
        <v>0</v>
      </c>
      <c r="B4" s="429"/>
      <c r="C4" s="429"/>
      <c r="D4" s="429"/>
      <c r="E4" s="429"/>
      <c r="F4" s="797" t="s">
        <v>351</v>
      </c>
      <c r="G4" s="797"/>
      <c r="H4" s="799" t="s">
        <v>352</v>
      </c>
      <c r="I4" s="946"/>
      <c r="J4" s="946"/>
      <c r="K4" s="52"/>
      <c r="L4" s="53">
        <f>MIN(L5:L26)</f>
        <v>45557</v>
      </c>
      <c r="M4" s="53">
        <f>MAX(M5:M26)</f>
        <v>45844</v>
      </c>
      <c r="N4" s="53"/>
      <c r="O4" s="53"/>
      <c r="P4" s="53"/>
      <c r="Q4" s="53"/>
      <c r="R4" s="53"/>
      <c r="S4" s="54">
        <v>45536</v>
      </c>
      <c r="T4" s="54">
        <v>45566</v>
      </c>
      <c r="U4" s="54">
        <v>45597</v>
      </c>
      <c r="V4" s="54">
        <v>45627</v>
      </c>
      <c r="W4" s="54">
        <v>45658</v>
      </c>
      <c r="X4" s="54">
        <v>45689</v>
      </c>
      <c r="Y4" s="54">
        <v>45717</v>
      </c>
      <c r="Z4" s="805">
        <v>45748</v>
      </c>
      <c r="AA4" s="805">
        <v>45778</v>
      </c>
      <c r="AB4" s="805">
        <v>45809</v>
      </c>
      <c r="AC4" s="54">
        <v>45839</v>
      </c>
      <c r="AD4" s="54">
        <v>45870</v>
      </c>
      <c r="AE4" s="54">
        <v>45901</v>
      </c>
      <c r="AF4" s="54">
        <v>45931</v>
      </c>
      <c r="AG4" s="449">
        <v>1</v>
      </c>
    </row>
    <row r="5" spans="1:34" ht="19.5" customHeight="1">
      <c r="A5" s="804">
        <v>1</v>
      </c>
      <c r="B5" s="413"/>
      <c r="C5" s="413"/>
      <c r="D5" s="413"/>
      <c r="E5" s="413"/>
      <c r="F5" s="413" t="s">
        <v>97</v>
      </c>
      <c r="G5" s="413"/>
      <c r="H5" s="108">
        <v>2222.1842059999999</v>
      </c>
      <c r="I5" s="108"/>
      <c r="J5" s="108"/>
      <c r="K5" s="66">
        <v>160</v>
      </c>
      <c r="L5" s="67">
        <f>[4]L5!E597</f>
        <v>45567</v>
      </c>
      <c r="M5" s="67">
        <f>[4]L5!F597</f>
        <v>45736</v>
      </c>
      <c r="N5" s="67"/>
      <c r="O5" s="67"/>
      <c r="P5" s="67"/>
      <c r="Q5" s="67"/>
      <c r="R5" s="67"/>
      <c r="S5" s="323"/>
      <c r="T5" s="324"/>
      <c r="U5" s="324"/>
      <c r="V5" s="324"/>
      <c r="W5" s="413"/>
      <c r="X5" s="413"/>
      <c r="Y5" s="413"/>
      <c r="Z5" s="414">
        <f>H5*0.2</f>
        <v>444.4368412</v>
      </c>
      <c r="AA5" s="414">
        <f>H5*0.35</f>
        <v>777.76447209999992</v>
      </c>
      <c r="AB5" s="414">
        <f>H5*0.3</f>
        <v>666.65526179999995</v>
      </c>
      <c r="AC5" s="414">
        <f>H5-AB5-AA5-Z5</f>
        <v>333.32763089999992</v>
      </c>
      <c r="AD5" s="414"/>
      <c r="AE5" s="414"/>
      <c r="AF5" s="413"/>
      <c r="AG5" s="416">
        <f>Z5+AA5+AB5</f>
        <v>1888.8565751000001</v>
      </c>
      <c r="AH5" s="59">
        <f>H5-SUM(S5:AF5)</f>
        <v>0</v>
      </c>
    </row>
    <row r="6" spans="1:34" ht="19" customHeight="1">
      <c r="A6" s="804">
        <v>2</v>
      </c>
      <c r="B6" s="413"/>
      <c r="C6" s="413"/>
      <c r="D6" s="413"/>
      <c r="E6" s="413"/>
      <c r="F6" s="413" t="s">
        <v>98</v>
      </c>
      <c r="G6" s="413"/>
      <c r="H6" s="108">
        <v>2573.075566</v>
      </c>
      <c r="I6" s="108"/>
      <c r="J6" s="108"/>
      <c r="K6" s="66">
        <v>45</v>
      </c>
      <c r="L6" s="67">
        <f>[4]L5!E598</f>
        <v>45658</v>
      </c>
      <c r="M6" s="67">
        <f>[4]L5!F598</f>
        <v>45844</v>
      </c>
      <c r="N6" s="67"/>
      <c r="O6" s="67"/>
      <c r="P6" s="67"/>
      <c r="Q6" s="67"/>
      <c r="R6" s="67"/>
      <c r="S6" s="323"/>
      <c r="T6" s="323"/>
      <c r="U6" s="323"/>
      <c r="V6" s="323"/>
      <c r="W6" s="413"/>
      <c r="X6" s="414">
        <v>753</v>
      </c>
      <c r="Y6" s="414">
        <v>350</v>
      </c>
      <c r="Z6" s="414">
        <v>579</v>
      </c>
      <c r="AA6" s="414">
        <v>450</v>
      </c>
      <c r="AB6" s="414">
        <v>263</v>
      </c>
      <c r="AC6" s="414">
        <f>H6-SUM(X6:AB6)</f>
        <v>178.07556599999998</v>
      </c>
      <c r="AD6" s="413"/>
      <c r="AE6" s="413"/>
      <c r="AF6" s="413"/>
      <c r="AG6" s="416">
        <f t="shared" ref="AG6:AG8" si="2">Z6+AA6+AB6</f>
        <v>1292</v>
      </c>
      <c r="AH6" s="59">
        <f t="shared" ref="AH6:AH26" si="3">H6-SUM(S6:AF6)</f>
        <v>0</v>
      </c>
    </row>
    <row r="7" spans="1:34" ht="19.5" customHeight="1">
      <c r="A7" s="804">
        <v>3</v>
      </c>
      <c r="B7" s="413"/>
      <c r="C7" s="413"/>
      <c r="D7" s="413"/>
      <c r="E7" s="413"/>
      <c r="F7" s="413" t="s">
        <v>99</v>
      </c>
      <c r="G7" s="413"/>
      <c r="H7" s="108">
        <v>701.63027</v>
      </c>
      <c r="I7" s="108"/>
      <c r="J7" s="108"/>
      <c r="K7" s="66">
        <v>140</v>
      </c>
      <c r="L7" s="67">
        <f>[4]L5!E599</f>
        <v>45625</v>
      </c>
      <c r="M7" s="67">
        <f>[4]L5!F599</f>
        <v>45801</v>
      </c>
      <c r="N7" s="67"/>
      <c r="O7" s="67"/>
      <c r="P7" s="67"/>
      <c r="Q7" s="67"/>
      <c r="R7" s="67"/>
      <c r="S7" s="323"/>
      <c r="T7" s="323"/>
      <c r="U7" s="323"/>
      <c r="V7" s="324"/>
      <c r="W7" s="413"/>
      <c r="X7" s="413"/>
      <c r="Y7" s="413"/>
      <c r="Z7" s="414">
        <f>H7*0.1</f>
        <v>70.163027</v>
      </c>
      <c r="AA7" s="414">
        <f>H7*0.18</f>
        <v>126.29344859999999</v>
      </c>
      <c r="AB7" s="414">
        <f>H7*0.24</f>
        <v>168.39126479999999</v>
      </c>
      <c r="AC7" s="414">
        <f>H7*0.28</f>
        <v>196.4564756</v>
      </c>
      <c r="AD7" s="414">
        <f>H7-SUM(Z7:AC7)</f>
        <v>140.326054</v>
      </c>
      <c r="AE7" s="414"/>
      <c r="AF7" s="413"/>
      <c r="AG7" s="416">
        <f t="shared" si="2"/>
        <v>364.84774039999996</v>
      </c>
      <c r="AH7" s="59">
        <f t="shared" si="3"/>
        <v>0</v>
      </c>
    </row>
    <row r="8" spans="1:34" ht="19.5" customHeight="1">
      <c r="A8" s="804">
        <v>4</v>
      </c>
      <c r="B8" s="413"/>
      <c r="C8" s="413"/>
      <c r="D8" s="413"/>
      <c r="E8" s="413"/>
      <c r="F8" s="413" t="s">
        <v>100</v>
      </c>
      <c r="G8" s="413"/>
      <c r="H8" s="108">
        <v>966.08990000000006</v>
      </c>
      <c r="I8" s="108"/>
      <c r="J8" s="108"/>
      <c r="K8" s="66">
        <v>85</v>
      </c>
      <c r="L8" s="67">
        <f>[4]L5!E600</f>
        <v>45567</v>
      </c>
      <c r="M8" s="67">
        <f>[4]L5!F600</f>
        <v>45756</v>
      </c>
      <c r="N8" s="67"/>
      <c r="O8" s="67"/>
      <c r="P8" s="67"/>
      <c r="Q8" s="67"/>
      <c r="R8" s="67"/>
      <c r="S8" s="323"/>
      <c r="T8" s="324"/>
      <c r="U8" s="324"/>
      <c r="V8" s="324"/>
      <c r="W8" s="413"/>
      <c r="X8" s="414">
        <v>51</v>
      </c>
      <c r="Y8" s="414">
        <v>72</v>
      </c>
      <c r="Z8" s="414">
        <v>68</v>
      </c>
      <c r="AA8" s="414">
        <v>162</v>
      </c>
      <c r="AB8" s="414">
        <v>219</v>
      </c>
      <c r="AC8" s="414">
        <v>183</v>
      </c>
      <c r="AD8" s="413">
        <v>144</v>
      </c>
      <c r="AE8" s="414">
        <f>H8-SUM(X8:AD8)</f>
        <v>67.089900000000057</v>
      </c>
      <c r="AF8" s="413"/>
      <c r="AG8" s="416">
        <f t="shared" si="2"/>
        <v>449</v>
      </c>
      <c r="AH8" s="59">
        <f t="shared" si="3"/>
        <v>0</v>
      </c>
    </row>
    <row r="9" spans="1:34" ht="25" customHeight="1">
      <c r="A9" s="415">
        <v>5</v>
      </c>
      <c r="B9" s="437"/>
      <c r="C9" s="437"/>
      <c r="D9" s="437"/>
      <c r="E9" s="437"/>
      <c r="F9" s="413" t="s">
        <v>101</v>
      </c>
      <c r="G9" s="413"/>
      <c r="H9" s="66"/>
      <c r="I9" s="66"/>
      <c r="J9" s="66"/>
      <c r="K9" s="66">
        <v>30</v>
      </c>
      <c r="L9" s="67">
        <f>[4]L5!E601</f>
        <v>45610</v>
      </c>
      <c r="M9" s="67">
        <f>[4]L5!F601</f>
        <v>45717</v>
      </c>
      <c r="N9" s="67"/>
      <c r="O9" s="67"/>
      <c r="P9" s="67"/>
      <c r="Q9" s="67"/>
      <c r="R9" s="67"/>
      <c r="S9" s="323"/>
      <c r="T9" s="323"/>
      <c r="U9" s="323"/>
      <c r="V9" s="323"/>
      <c r="W9" s="413"/>
      <c r="X9" s="413"/>
      <c r="Y9" s="413"/>
      <c r="Z9" s="413"/>
      <c r="AA9" s="413"/>
      <c r="AB9" s="413"/>
      <c r="AC9" s="450"/>
      <c r="AD9" s="413"/>
      <c r="AE9" s="413"/>
      <c r="AF9" s="413"/>
      <c r="AG9" s="416">
        <f t="shared" ref="AG9:AG27" si="4">Y9+Z9+AA9</f>
        <v>0</v>
      </c>
      <c r="AH9" s="59">
        <f t="shared" si="3"/>
        <v>0</v>
      </c>
    </row>
    <row r="10" spans="1:34" ht="15" customHeight="1">
      <c r="A10" s="415">
        <v>6</v>
      </c>
      <c r="B10" s="437"/>
      <c r="C10" s="437"/>
      <c r="D10" s="437"/>
      <c r="E10" s="437"/>
      <c r="F10" s="413" t="s">
        <v>102</v>
      </c>
      <c r="G10" s="413"/>
      <c r="H10" s="66">
        <v>163.36616500000002</v>
      </c>
      <c r="I10" s="66"/>
      <c r="J10" s="66"/>
      <c r="K10" s="66">
        <v>80</v>
      </c>
      <c r="L10" s="67">
        <f>[4]L5!E602</f>
        <v>45655</v>
      </c>
      <c r="M10" s="67">
        <f>[4]L5!F602</f>
        <v>45719</v>
      </c>
      <c r="N10" s="67"/>
      <c r="O10" s="67"/>
      <c r="P10" s="67"/>
      <c r="Q10" s="67"/>
      <c r="R10" s="67"/>
      <c r="S10" s="323"/>
      <c r="T10" s="323"/>
      <c r="U10" s="323"/>
      <c r="V10" s="323"/>
      <c r="W10" s="413"/>
      <c r="X10" s="413"/>
      <c r="Y10" s="413"/>
      <c r="Z10" s="413"/>
      <c r="AA10" s="413"/>
      <c r="AB10" s="414">
        <v>49</v>
      </c>
      <c r="AC10" s="414">
        <v>74</v>
      </c>
      <c r="AD10" s="414">
        <f>H10-AC10-AB10</f>
        <v>40.366165000000024</v>
      </c>
      <c r="AE10" s="413"/>
      <c r="AF10" s="413"/>
      <c r="AG10" s="416">
        <f t="shared" si="4"/>
        <v>0</v>
      </c>
      <c r="AH10" s="59">
        <f t="shared" si="3"/>
        <v>0</v>
      </c>
    </row>
    <row r="11" spans="1:34" ht="19.5" customHeight="1">
      <c r="A11" s="804">
        <v>7</v>
      </c>
      <c r="B11" s="413"/>
      <c r="C11" s="413"/>
      <c r="D11" s="413"/>
      <c r="E11" s="413"/>
      <c r="F11" s="413" t="s">
        <v>103</v>
      </c>
      <c r="G11" s="413"/>
      <c r="H11" s="108">
        <v>4025.5819300000003</v>
      </c>
      <c r="I11" s="108"/>
      <c r="J11" s="108"/>
      <c r="K11" s="66">
        <v>160</v>
      </c>
      <c r="L11" s="67">
        <f>[4]L5!E603</f>
        <v>45573</v>
      </c>
      <c r="M11" s="67">
        <f>[4]L5!F603</f>
        <v>45836</v>
      </c>
      <c r="N11" s="67"/>
      <c r="O11" s="67"/>
      <c r="P11" s="67"/>
      <c r="Q11" s="67"/>
      <c r="R11" s="67"/>
      <c r="S11" s="323"/>
      <c r="T11" s="323"/>
      <c r="U11" s="323"/>
      <c r="V11" s="323"/>
      <c r="W11" s="413">
        <f>350</f>
        <v>350</v>
      </c>
      <c r="X11" s="413">
        <v>150</v>
      </c>
      <c r="Y11" s="413">
        <f t="shared" ref="Y11:AD11" si="5">350+150</f>
        <v>500</v>
      </c>
      <c r="Z11" s="413">
        <f t="shared" si="5"/>
        <v>500</v>
      </c>
      <c r="AA11" s="413">
        <f t="shared" si="5"/>
        <v>500</v>
      </c>
      <c r="AB11" s="413">
        <f t="shared" si="5"/>
        <v>500</v>
      </c>
      <c r="AC11" s="413">
        <f t="shared" si="5"/>
        <v>500</v>
      </c>
      <c r="AD11" s="413">
        <f t="shared" si="5"/>
        <v>500</v>
      </c>
      <c r="AE11" s="414">
        <f>250+80</f>
        <v>330</v>
      </c>
      <c r="AF11" s="414">
        <f>H11-SUM(W11:AE11)</f>
        <v>195.58193000000028</v>
      </c>
      <c r="AG11" s="416">
        <f t="shared" ref="AG11:AG13" si="6">Z11+AA11+AB11</f>
        <v>1500</v>
      </c>
      <c r="AH11" s="59">
        <f t="shared" si="3"/>
        <v>0</v>
      </c>
    </row>
    <row r="12" spans="1:34" ht="19.5" customHeight="1">
      <c r="A12" s="804">
        <v>8</v>
      </c>
      <c r="B12" s="413"/>
      <c r="C12" s="413"/>
      <c r="D12" s="413"/>
      <c r="E12" s="413"/>
      <c r="F12" s="413" t="s">
        <v>104</v>
      </c>
      <c r="G12" s="413"/>
      <c r="H12" s="108">
        <v>103.19587799999999</v>
      </c>
      <c r="I12" s="108"/>
      <c r="J12" s="108"/>
      <c r="K12" s="66">
        <v>63</v>
      </c>
      <c r="L12" s="67">
        <f>[4]L5!E604</f>
        <v>45562</v>
      </c>
      <c r="M12" s="67">
        <f>[4]L5!F604</f>
        <v>45706</v>
      </c>
      <c r="N12" s="67"/>
      <c r="O12" s="67"/>
      <c r="P12" s="67"/>
      <c r="Q12" s="67"/>
      <c r="R12" s="67"/>
      <c r="S12" s="323"/>
      <c r="T12" s="323"/>
      <c r="U12" s="323"/>
      <c r="V12" s="323"/>
      <c r="W12" s="413">
        <v>13</v>
      </c>
      <c r="X12" s="413">
        <v>20</v>
      </c>
      <c r="Y12" s="413">
        <v>20</v>
      </c>
      <c r="Z12" s="413">
        <v>20</v>
      </c>
      <c r="AA12" s="413">
        <v>20</v>
      </c>
      <c r="AB12" s="413"/>
      <c r="AC12" s="450"/>
      <c r="AD12" s="414">
        <f>H12-SUM(W12:AA12)</f>
        <v>10.195877999999993</v>
      </c>
      <c r="AE12" s="413"/>
      <c r="AF12" s="413"/>
      <c r="AG12" s="416">
        <f t="shared" si="6"/>
        <v>40</v>
      </c>
      <c r="AH12" s="59">
        <f t="shared" si="3"/>
        <v>0</v>
      </c>
    </row>
    <row r="13" spans="1:34" ht="19.5" customHeight="1">
      <c r="A13" s="804">
        <v>9</v>
      </c>
      <c r="B13" s="413"/>
      <c r="C13" s="413"/>
      <c r="D13" s="413"/>
      <c r="E13" s="413"/>
      <c r="F13" s="413" t="s">
        <v>105</v>
      </c>
      <c r="G13" s="413"/>
      <c r="H13" s="108">
        <v>459.308156</v>
      </c>
      <c r="I13" s="108"/>
      <c r="J13" s="108"/>
      <c r="K13" s="66">
        <v>40</v>
      </c>
      <c r="L13" s="67">
        <f>[4]L5!E605</f>
        <v>45582</v>
      </c>
      <c r="M13" s="67">
        <f>[4]L5!F605</f>
        <v>45683</v>
      </c>
      <c r="N13" s="67"/>
      <c r="O13" s="67"/>
      <c r="P13" s="67"/>
      <c r="Q13" s="67"/>
      <c r="R13" s="67"/>
      <c r="S13" s="323"/>
      <c r="T13" s="324"/>
      <c r="U13" s="324"/>
      <c r="V13" s="324"/>
      <c r="W13" s="413"/>
      <c r="X13" s="413"/>
      <c r="Y13" s="413"/>
      <c r="Z13" s="413"/>
      <c r="AA13" s="414">
        <v>120</v>
      </c>
      <c r="AB13" s="414">
        <v>210</v>
      </c>
      <c r="AC13" s="414">
        <f>H13-AB13-AA13</f>
        <v>129.308156</v>
      </c>
      <c r="AD13" s="414"/>
      <c r="AE13" s="414"/>
      <c r="AF13" s="414"/>
      <c r="AG13" s="416">
        <f t="shared" si="6"/>
        <v>330</v>
      </c>
      <c r="AH13" s="59">
        <f t="shared" si="3"/>
        <v>0</v>
      </c>
    </row>
    <row r="14" spans="1:34" ht="36" customHeight="1">
      <c r="A14" s="415">
        <v>10</v>
      </c>
      <c r="B14" s="437"/>
      <c r="C14" s="437"/>
      <c r="D14" s="437"/>
      <c r="E14" s="437"/>
      <c r="F14" s="413" t="s">
        <v>106</v>
      </c>
      <c r="G14" s="413"/>
      <c r="H14" s="66"/>
      <c r="I14" s="66"/>
      <c r="J14" s="66"/>
      <c r="K14" s="66">
        <v>56</v>
      </c>
      <c r="L14" s="67">
        <f>[4]L5!E606</f>
        <v>45569</v>
      </c>
      <c r="M14" s="67">
        <f>[4]L5!F606</f>
        <v>45719</v>
      </c>
      <c r="N14" s="67"/>
      <c r="O14" s="67"/>
      <c r="P14" s="67"/>
      <c r="Q14" s="67"/>
      <c r="R14" s="67"/>
      <c r="S14" s="323"/>
      <c r="T14" s="323"/>
      <c r="U14" s="323"/>
      <c r="V14" s="323"/>
      <c r="W14" s="413"/>
      <c r="X14" s="413"/>
      <c r="Y14" s="413"/>
      <c r="Z14" s="413"/>
      <c r="AA14" s="413"/>
      <c r="AB14" s="413"/>
      <c r="AC14" s="450"/>
      <c r="AD14" s="413"/>
      <c r="AE14" s="413"/>
      <c r="AF14" s="413"/>
      <c r="AG14" s="416">
        <f t="shared" si="4"/>
        <v>0</v>
      </c>
      <c r="AH14" s="59">
        <f t="shared" si="3"/>
        <v>0</v>
      </c>
    </row>
    <row r="15" spans="1:34" ht="21.65" customHeight="1">
      <c r="A15" s="804">
        <v>11</v>
      </c>
      <c r="B15" s="413"/>
      <c r="C15" s="413"/>
      <c r="D15" s="413"/>
      <c r="E15" s="413"/>
      <c r="F15" s="413" t="s">
        <v>107</v>
      </c>
      <c r="G15" s="413"/>
      <c r="H15" s="108">
        <v>108.54159999999999</v>
      </c>
      <c r="I15" s="108"/>
      <c r="J15" s="108"/>
      <c r="K15" s="66">
        <v>115</v>
      </c>
      <c r="L15" s="67">
        <f>[4]L5!E607</f>
        <v>45557</v>
      </c>
      <c r="M15" s="67">
        <f>[4]L5!F607</f>
        <v>45691</v>
      </c>
      <c r="N15" s="67"/>
      <c r="O15" s="67"/>
      <c r="P15" s="67"/>
      <c r="Q15" s="67"/>
      <c r="R15" s="67"/>
      <c r="S15" s="323"/>
      <c r="T15" s="323"/>
      <c r="U15" s="323"/>
      <c r="V15" s="323"/>
      <c r="W15" s="413"/>
      <c r="X15" s="413"/>
      <c r="Y15" s="413"/>
      <c r="Z15" s="413">
        <v>13</v>
      </c>
      <c r="AA15" s="413">
        <v>25</v>
      </c>
      <c r="AB15" s="413">
        <v>25</v>
      </c>
      <c r="AC15" s="413">
        <v>35</v>
      </c>
      <c r="AD15" s="414">
        <v>10.54</v>
      </c>
      <c r="AE15" s="413"/>
      <c r="AF15" s="413"/>
      <c r="AG15" s="416">
        <f t="shared" ref="AG15:AG18" si="7">Z15+AA15+AB15</f>
        <v>63</v>
      </c>
      <c r="AH15" s="59">
        <f t="shared" si="3"/>
        <v>1.5999999999962711E-3</v>
      </c>
    </row>
    <row r="16" spans="1:34" ht="19.5" customHeight="1">
      <c r="A16" s="804">
        <v>12</v>
      </c>
      <c r="B16" s="413"/>
      <c r="C16" s="413"/>
      <c r="D16" s="413"/>
      <c r="E16" s="413"/>
      <c r="F16" s="413" t="s">
        <v>108</v>
      </c>
      <c r="G16" s="413"/>
      <c r="H16" s="108">
        <v>233.14151699999999</v>
      </c>
      <c r="I16" s="108"/>
      <c r="J16" s="108"/>
      <c r="K16" s="66">
        <v>70</v>
      </c>
      <c r="L16" s="67">
        <f>[4]L5!E608</f>
        <v>45572</v>
      </c>
      <c r="M16" s="67">
        <f>[4]L5!F608</f>
        <v>45678</v>
      </c>
      <c r="N16" s="67"/>
      <c r="O16" s="67"/>
      <c r="P16" s="67"/>
      <c r="Q16" s="67"/>
      <c r="R16" s="67"/>
      <c r="S16" s="323"/>
      <c r="T16" s="323"/>
      <c r="U16" s="323"/>
      <c r="V16" s="323"/>
      <c r="W16" s="413"/>
      <c r="X16" s="413"/>
      <c r="Y16" s="413"/>
      <c r="Z16" s="413"/>
      <c r="AA16" s="413">
        <v>52</v>
      </c>
      <c r="AB16" s="413">
        <v>58</v>
      </c>
      <c r="AC16" s="413">
        <v>63</v>
      </c>
      <c r="AD16" s="414">
        <f>H16-AC16-AB16-AA16</f>
        <v>60.141516999999993</v>
      </c>
      <c r="AE16" s="414"/>
      <c r="AF16" s="413"/>
      <c r="AG16" s="416">
        <f t="shared" si="7"/>
        <v>110</v>
      </c>
      <c r="AH16" s="59">
        <f t="shared" si="3"/>
        <v>0</v>
      </c>
    </row>
    <row r="17" spans="1:34" ht="16" customHeight="1">
      <c r="A17" s="804">
        <v>13</v>
      </c>
      <c r="B17" s="413"/>
      <c r="C17" s="413"/>
      <c r="D17" s="413"/>
      <c r="E17" s="413"/>
      <c r="F17" s="413" t="s">
        <v>109</v>
      </c>
      <c r="G17" s="413"/>
      <c r="H17" s="108">
        <v>741.61174800000003</v>
      </c>
      <c r="I17" s="108"/>
      <c r="J17" s="108"/>
      <c r="K17" s="66">
        <v>45</v>
      </c>
      <c r="L17" s="67">
        <f>[4]L5!E609</f>
        <v>45733</v>
      </c>
      <c r="M17" s="67">
        <f>[4]L5!F609</f>
        <v>45802</v>
      </c>
      <c r="N17" s="67"/>
      <c r="O17" s="67"/>
      <c r="P17" s="67"/>
      <c r="Q17" s="67"/>
      <c r="R17" s="67"/>
      <c r="S17" s="323"/>
      <c r="T17" s="323"/>
      <c r="U17" s="323"/>
      <c r="V17" s="323"/>
      <c r="W17" s="413"/>
      <c r="X17" s="413"/>
      <c r="Y17" s="414">
        <f>$H$16*0.1</f>
        <v>23.3141517</v>
      </c>
      <c r="Z17" s="414">
        <f>$H$16*0.2</f>
        <v>46.6283034</v>
      </c>
      <c r="AA17" s="414">
        <f>$H$16*0.24</f>
        <v>55.953964079999999</v>
      </c>
      <c r="AB17" s="414">
        <f>$H$16*0.22</f>
        <v>51.291133739999999</v>
      </c>
      <c r="AC17" s="414">
        <f>$H$16*0.14</f>
        <v>32.639812380000002</v>
      </c>
      <c r="AD17" s="414">
        <f>H17-SUM(Y17:AC17)</f>
        <v>531.78438270000004</v>
      </c>
      <c r="AE17" s="413"/>
      <c r="AF17" s="413"/>
      <c r="AG17" s="416">
        <f t="shared" si="7"/>
        <v>153.87340122000001</v>
      </c>
      <c r="AH17" s="59">
        <f t="shared" si="3"/>
        <v>0</v>
      </c>
    </row>
    <row r="18" spans="1:34" ht="34.5" customHeight="1">
      <c r="A18" s="804">
        <v>14</v>
      </c>
      <c r="B18" s="413"/>
      <c r="C18" s="413"/>
      <c r="D18" s="413"/>
      <c r="E18" s="413"/>
      <c r="F18" s="508" t="s">
        <v>110</v>
      </c>
      <c r="G18" s="413"/>
      <c r="H18" s="108">
        <v>1606.921564</v>
      </c>
      <c r="I18" s="108"/>
      <c r="J18" s="108"/>
      <c r="K18" s="66">
        <v>105</v>
      </c>
      <c r="L18" s="67">
        <f>[4]L5!E610</f>
        <v>45640</v>
      </c>
      <c r="M18" s="67">
        <f>[4]L5!F610</f>
        <v>45815</v>
      </c>
      <c r="N18" s="67"/>
      <c r="O18" s="67"/>
      <c r="P18" s="67"/>
      <c r="Q18" s="67"/>
      <c r="R18" s="67"/>
      <c r="S18" s="323"/>
      <c r="T18" s="323"/>
      <c r="U18" s="323"/>
      <c r="V18" s="323"/>
      <c r="W18" s="413"/>
      <c r="X18" s="413"/>
      <c r="Y18" s="413"/>
      <c r="Z18" s="414">
        <f>$H$17*0.13</f>
        <v>96.409527240000003</v>
      </c>
      <c r="AA18" s="414">
        <f>$H$17*0.18</f>
        <v>133.49011464</v>
      </c>
      <c r="AB18" s="414">
        <f>$H$17*0.23</f>
        <v>170.57070204000001</v>
      </c>
      <c r="AC18" s="414">
        <f>$H$17*0.21</f>
        <v>155.73846707999999</v>
      </c>
      <c r="AD18" s="414">
        <f>$H$17*0.14</f>
        <v>103.82564472000001</v>
      </c>
      <c r="AE18" s="414">
        <f>H18-SUM(Y18:AD18)</f>
        <v>946.88710828000001</v>
      </c>
      <c r="AF18" s="413"/>
      <c r="AG18" s="416">
        <f t="shared" si="7"/>
        <v>400.47034392</v>
      </c>
      <c r="AH18" s="59">
        <f t="shared" si="3"/>
        <v>0</v>
      </c>
    </row>
    <row r="19" spans="1:34" ht="27.65" customHeight="1">
      <c r="A19" s="415">
        <v>15</v>
      </c>
      <c r="B19" s="437"/>
      <c r="C19" s="437"/>
      <c r="D19" s="437"/>
      <c r="E19" s="437"/>
      <c r="F19" s="413" t="s">
        <v>111</v>
      </c>
      <c r="G19" s="413"/>
      <c r="H19" s="66">
        <v>2549.1072965000003</v>
      </c>
      <c r="I19" s="66"/>
      <c r="J19" s="66"/>
      <c r="K19" s="66">
        <v>73</v>
      </c>
      <c r="L19" s="67">
        <f>[4]L5!E611</f>
        <v>45723</v>
      </c>
      <c r="M19" s="67">
        <f>[4]L5!F611</f>
        <v>45812</v>
      </c>
      <c r="N19" s="67"/>
      <c r="O19" s="67"/>
      <c r="P19" s="67"/>
      <c r="Q19" s="67"/>
      <c r="R19" s="67"/>
      <c r="S19" s="323"/>
      <c r="T19" s="323"/>
      <c r="U19" s="323"/>
      <c r="V19" s="323"/>
      <c r="W19" s="413"/>
      <c r="X19" s="413"/>
      <c r="Y19" s="413"/>
      <c r="Z19" s="413"/>
      <c r="AA19" s="413"/>
      <c r="AB19" s="413"/>
      <c r="AC19" s="413">
        <v>550</v>
      </c>
      <c r="AD19" s="413">
        <v>750</v>
      </c>
      <c r="AE19" s="413">
        <v>650</v>
      </c>
      <c r="AF19" s="414">
        <f>H19-AE19-AD19-AC19</f>
        <v>599.1072965000003</v>
      </c>
      <c r="AG19" s="416">
        <f t="shared" si="4"/>
        <v>0</v>
      </c>
      <c r="AH19" s="59">
        <f t="shared" si="3"/>
        <v>0</v>
      </c>
    </row>
    <row r="20" spans="1:34" ht="19.5" customHeight="1">
      <c r="A20" s="804">
        <v>16</v>
      </c>
      <c r="B20" s="413"/>
      <c r="C20" s="413"/>
      <c r="D20" s="413"/>
      <c r="E20" s="413"/>
      <c r="F20" s="413" t="s">
        <v>112</v>
      </c>
      <c r="G20" s="413"/>
      <c r="H20" s="108">
        <v>1995.73332</v>
      </c>
      <c r="I20" s="108"/>
      <c r="J20" s="108"/>
      <c r="K20" s="66">
        <v>106</v>
      </c>
      <c r="L20" s="67">
        <f>[4]L5!E612</f>
        <v>45645</v>
      </c>
      <c r="M20" s="67">
        <f>[4]L5!F612</f>
        <v>45748</v>
      </c>
      <c r="N20" s="67"/>
      <c r="O20" s="67"/>
      <c r="P20" s="67"/>
      <c r="Q20" s="67"/>
      <c r="R20" s="67"/>
      <c r="S20" s="323"/>
      <c r="T20" s="323"/>
      <c r="U20" s="323"/>
      <c r="V20" s="323"/>
      <c r="W20" s="413"/>
      <c r="X20" s="413"/>
      <c r="Y20" s="413"/>
      <c r="Z20" s="413">
        <v>450</v>
      </c>
      <c r="AA20" s="413">
        <v>370</v>
      </c>
      <c r="AB20" s="413">
        <v>200</v>
      </c>
      <c r="AC20" s="413">
        <v>470</v>
      </c>
      <c r="AD20" s="414">
        <f>H20-SUM(Z20:AC20)</f>
        <v>505.73332000000005</v>
      </c>
      <c r="AE20" s="413"/>
      <c r="AF20" s="413"/>
      <c r="AG20" s="416">
        <f t="shared" ref="AG20:AG22" si="8">Z20+AA20+AB20</f>
        <v>1020</v>
      </c>
      <c r="AH20" s="59">
        <f t="shared" si="3"/>
        <v>0</v>
      </c>
    </row>
    <row r="21" spans="1:34" ht="19.5" customHeight="1">
      <c r="A21" s="804">
        <v>17</v>
      </c>
      <c r="B21" s="413"/>
      <c r="C21" s="413"/>
      <c r="D21" s="413"/>
      <c r="E21" s="413"/>
      <c r="F21" s="413" t="s">
        <v>113</v>
      </c>
      <c r="G21" s="413"/>
      <c r="H21" s="108">
        <v>288.125452</v>
      </c>
      <c r="I21" s="108"/>
      <c r="J21" s="108"/>
      <c r="K21" s="66">
        <v>136</v>
      </c>
      <c r="L21" s="67">
        <f>[4]L5!E613</f>
        <v>45596</v>
      </c>
      <c r="M21" s="67">
        <f>[4]L5!F613</f>
        <v>45825</v>
      </c>
      <c r="N21" s="67"/>
      <c r="O21" s="67"/>
      <c r="P21" s="67"/>
      <c r="Q21" s="67"/>
      <c r="R21" s="67"/>
      <c r="S21" s="323"/>
      <c r="T21" s="323"/>
      <c r="U21" s="323"/>
      <c r="V21" s="323"/>
      <c r="W21" s="413"/>
      <c r="X21" s="413">
        <v>25</v>
      </c>
      <c r="Y21" s="413">
        <v>44</v>
      </c>
      <c r="Z21" s="413">
        <v>32</v>
      </c>
      <c r="AA21" s="413">
        <v>26</v>
      </c>
      <c r="AB21" s="413">
        <v>46</v>
      </c>
      <c r="AC21" s="413">
        <v>35</v>
      </c>
      <c r="AD21" s="413"/>
      <c r="AE21" s="413">
        <v>55</v>
      </c>
      <c r="AF21" s="414">
        <f>H21-SUM(X21:AE21)</f>
        <v>25.125451999999996</v>
      </c>
      <c r="AG21" s="416">
        <f t="shared" si="8"/>
        <v>104</v>
      </c>
      <c r="AH21" s="59">
        <f t="shared" si="3"/>
        <v>0</v>
      </c>
    </row>
    <row r="22" spans="1:34" ht="19.5" customHeight="1">
      <c r="A22" s="804">
        <v>18</v>
      </c>
      <c r="B22" s="413"/>
      <c r="C22" s="413"/>
      <c r="D22" s="413"/>
      <c r="E22" s="413"/>
      <c r="F22" s="413" t="s">
        <v>245</v>
      </c>
      <c r="G22" s="413"/>
      <c r="H22" s="108">
        <v>2072.0767900000001</v>
      </c>
      <c r="I22" s="108"/>
      <c r="J22" s="108"/>
      <c r="K22" s="66">
        <v>91</v>
      </c>
      <c r="L22" s="67">
        <f>[4]L5!E614</f>
        <v>45747</v>
      </c>
      <c r="M22" s="67">
        <f>[4]L5!F614</f>
        <v>45836</v>
      </c>
      <c r="N22" s="67"/>
      <c r="O22" s="67"/>
      <c r="P22" s="67"/>
      <c r="Q22" s="67"/>
      <c r="R22" s="67"/>
      <c r="S22" s="323"/>
      <c r="T22" s="323"/>
      <c r="U22" s="323"/>
      <c r="V22" s="323"/>
      <c r="W22" s="413"/>
      <c r="X22" s="413"/>
      <c r="Y22" s="413"/>
      <c r="Z22" s="413"/>
      <c r="AA22" s="413">
        <v>250</v>
      </c>
      <c r="AB22" s="413">
        <v>550</v>
      </c>
      <c r="AC22" s="413">
        <v>750</v>
      </c>
      <c r="AD22" s="414">
        <f>H22-AC22-AB22-AA22</f>
        <v>522.07679000000007</v>
      </c>
      <c r="AE22" s="413"/>
      <c r="AF22" s="413"/>
      <c r="AG22" s="416">
        <f t="shared" si="8"/>
        <v>800</v>
      </c>
      <c r="AH22" s="59">
        <f t="shared" si="3"/>
        <v>0</v>
      </c>
    </row>
    <row r="23" spans="1:34" ht="24.65" customHeight="1">
      <c r="A23" s="415">
        <v>19</v>
      </c>
      <c r="B23" s="437"/>
      <c r="C23" s="437"/>
      <c r="D23" s="437"/>
      <c r="E23" s="437"/>
      <c r="F23" s="413" t="s">
        <v>133</v>
      </c>
      <c r="G23" s="413"/>
      <c r="H23" s="66">
        <v>1.8</v>
      </c>
      <c r="I23" s="66"/>
      <c r="J23" s="66"/>
      <c r="K23" s="66"/>
      <c r="L23" s="67"/>
      <c r="M23" s="67"/>
      <c r="N23" s="67"/>
      <c r="O23" s="67"/>
      <c r="P23" s="67"/>
      <c r="Q23" s="67"/>
      <c r="R23" s="67"/>
      <c r="S23" s="323"/>
      <c r="T23" s="323"/>
      <c r="U23" s="323"/>
      <c r="V23" s="323"/>
      <c r="W23" s="413"/>
      <c r="X23" s="413"/>
      <c r="Y23" s="413"/>
      <c r="Z23" s="413"/>
      <c r="AA23" s="413"/>
      <c r="AB23" s="413"/>
      <c r="AC23" s="450"/>
      <c r="AD23" s="413"/>
      <c r="AE23" s="414">
        <f>H23</f>
        <v>1.8</v>
      </c>
      <c r="AF23" s="413"/>
      <c r="AG23" s="416">
        <f t="shared" si="4"/>
        <v>0</v>
      </c>
      <c r="AH23" s="59">
        <f>H23-SUM(S23:AF23)</f>
        <v>0</v>
      </c>
    </row>
    <row r="24" spans="1:34" ht="19.5" customHeight="1">
      <c r="A24" s="804">
        <v>20</v>
      </c>
      <c r="B24" s="413"/>
      <c r="C24" s="413"/>
      <c r="D24" s="413"/>
      <c r="E24" s="413"/>
      <c r="F24" s="413" t="s">
        <v>136</v>
      </c>
      <c r="G24" s="413"/>
      <c r="H24" s="108">
        <v>35.897199999999998</v>
      </c>
      <c r="I24" s="108"/>
      <c r="J24" s="108"/>
      <c r="K24" s="66"/>
      <c r="L24" s="67"/>
      <c r="M24" s="67"/>
      <c r="N24" s="67"/>
      <c r="O24" s="67"/>
      <c r="P24" s="67"/>
      <c r="Q24" s="67"/>
      <c r="R24" s="67"/>
      <c r="S24" s="323"/>
      <c r="T24" s="323"/>
      <c r="U24" s="323"/>
      <c r="V24" s="324"/>
      <c r="W24" s="413"/>
      <c r="X24" s="413"/>
      <c r="Y24" s="414">
        <f>$H$23/5</f>
        <v>0.36</v>
      </c>
      <c r="Z24" s="414">
        <f>$H$23/5</f>
        <v>0.36</v>
      </c>
      <c r="AA24" s="414">
        <f>$H$23/5</f>
        <v>0.36</v>
      </c>
      <c r="AB24" s="414">
        <f>$H$23/5</f>
        <v>0.36</v>
      </c>
      <c r="AC24" s="414">
        <f>$H$23/5</f>
        <v>0.36</v>
      </c>
      <c r="AD24" s="413"/>
      <c r="AE24" s="413"/>
      <c r="AF24" s="413"/>
      <c r="AG24" s="416">
        <f>Z24+AA24+AB24</f>
        <v>1.08</v>
      </c>
      <c r="AH24" s="59">
        <f t="shared" si="3"/>
        <v>34.097200000000001</v>
      </c>
    </row>
    <row r="25" spans="1:34" ht="19" customHeight="1">
      <c r="A25" s="415">
        <v>21</v>
      </c>
      <c r="B25" s="437"/>
      <c r="C25" s="437"/>
      <c r="D25" s="437"/>
      <c r="E25" s="437"/>
      <c r="F25" s="413" t="s">
        <v>137</v>
      </c>
      <c r="G25" s="413"/>
      <c r="H25" s="66">
        <v>10.120900000000001</v>
      </c>
      <c r="I25" s="66"/>
      <c r="J25" s="66"/>
      <c r="K25" s="66"/>
      <c r="L25" s="67"/>
      <c r="M25" s="67"/>
      <c r="N25" s="67"/>
      <c r="O25" s="67"/>
      <c r="P25" s="67"/>
      <c r="Q25" s="67"/>
      <c r="R25" s="67"/>
      <c r="S25" s="323"/>
      <c r="T25" s="323"/>
      <c r="U25" s="323"/>
      <c r="V25" s="323"/>
      <c r="W25" s="413"/>
      <c r="X25" s="413"/>
      <c r="Y25" s="413"/>
      <c r="Z25" s="413"/>
      <c r="AA25" s="413"/>
      <c r="AB25" s="413"/>
      <c r="AC25" s="450"/>
      <c r="AD25" s="413"/>
      <c r="AE25" s="414">
        <f>H25</f>
        <v>10.120900000000001</v>
      </c>
      <c r="AF25" s="413"/>
      <c r="AG25" s="416">
        <f t="shared" si="4"/>
        <v>0</v>
      </c>
      <c r="AH25" s="59">
        <f t="shared" si="3"/>
        <v>0</v>
      </c>
    </row>
    <row r="26" spans="1:34" ht="21" customHeight="1" thickBot="1">
      <c r="A26" s="427">
        <v>22</v>
      </c>
      <c r="B26" s="441"/>
      <c r="C26" s="441"/>
      <c r="D26" s="441"/>
      <c r="E26" s="441"/>
      <c r="F26" s="440" t="s">
        <v>138</v>
      </c>
      <c r="G26" s="440"/>
      <c r="H26" s="451">
        <v>47.8</v>
      </c>
      <c r="I26" s="451"/>
      <c r="J26" s="451"/>
      <c r="K26" s="451"/>
      <c r="L26" s="452"/>
      <c r="M26" s="452"/>
      <c r="N26" s="452"/>
      <c r="O26" s="452"/>
      <c r="P26" s="452"/>
      <c r="Q26" s="452"/>
      <c r="R26" s="452"/>
      <c r="S26" s="428"/>
      <c r="T26" s="428"/>
      <c r="U26" s="428"/>
      <c r="V26" s="428"/>
      <c r="W26" s="440"/>
      <c r="X26" s="440"/>
      <c r="Y26" s="440"/>
      <c r="Z26" s="440"/>
      <c r="AA26" s="440"/>
      <c r="AB26" s="440"/>
      <c r="AC26" s="453"/>
      <c r="AD26" s="440"/>
      <c r="AE26" s="454">
        <f>H26</f>
        <v>47.8</v>
      </c>
      <c r="AF26" s="440"/>
      <c r="AG26" s="416">
        <f t="shared" si="4"/>
        <v>0</v>
      </c>
      <c r="AH26" s="59">
        <f t="shared" si="3"/>
        <v>0</v>
      </c>
    </row>
    <row r="27" spans="1:34" ht="19.5" customHeight="1">
      <c r="A27" s="444"/>
      <c r="B27" s="444"/>
      <c r="C27" s="444"/>
      <c r="D27" s="444"/>
      <c r="E27" s="444"/>
      <c r="F27" s="445"/>
      <c r="G27" s="445"/>
      <c r="H27" s="444"/>
      <c r="I27" s="444"/>
      <c r="J27" s="444"/>
      <c r="K27" s="444"/>
      <c r="L27" s="446"/>
      <c r="M27" s="446"/>
      <c r="N27" s="446"/>
      <c r="O27" s="446"/>
      <c r="P27" s="446"/>
      <c r="Q27" s="446"/>
      <c r="R27" s="446"/>
      <c r="S27" s="447"/>
      <c r="T27" s="447"/>
      <c r="U27" s="447"/>
      <c r="V27" s="447"/>
      <c r="W27" s="447"/>
      <c r="X27" s="447"/>
      <c r="Y27" s="447"/>
      <c r="Z27" s="447"/>
      <c r="AA27" s="447"/>
      <c r="AB27" s="447"/>
      <c r="AC27" s="447"/>
      <c r="AD27" s="445"/>
      <c r="AE27" s="445"/>
      <c r="AF27" s="445"/>
      <c r="AG27" s="416">
        <f t="shared" si="4"/>
        <v>0</v>
      </c>
    </row>
    <row r="28" spans="1:34" ht="19.5" customHeight="1" thickBot="1">
      <c r="A28" s="806"/>
      <c r="B28" s="806"/>
      <c r="C28" s="806"/>
      <c r="D28" s="806"/>
      <c r="E28" s="806"/>
      <c r="F28" s="806" t="s">
        <v>132</v>
      </c>
      <c r="G28" s="806"/>
      <c r="H28" s="806">
        <v>5076</v>
      </c>
      <c r="I28" s="806"/>
      <c r="J28" s="806"/>
      <c r="K28" s="802">
        <v>685.16100000000006</v>
      </c>
      <c r="L28" s="802">
        <v>594.27099999999984</v>
      </c>
      <c r="M28" s="802">
        <v>326.02199999999999</v>
      </c>
      <c r="N28" s="802"/>
      <c r="O28" s="802"/>
      <c r="P28" s="802"/>
      <c r="Q28" s="802"/>
      <c r="R28" s="802"/>
      <c r="S28" s="802">
        <v>304.36700000000008</v>
      </c>
      <c r="T28" s="111"/>
      <c r="U28" s="111"/>
      <c r="V28" s="111"/>
      <c r="W28" s="111"/>
      <c r="X28" s="111"/>
      <c r="Y28" s="111"/>
      <c r="Z28" s="806">
        <f>Z3</f>
        <v>2541</v>
      </c>
      <c r="AA28" s="806">
        <f t="shared" ref="AA28:AF28" si="9">AA3</f>
        <v>3353</v>
      </c>
      <c r="AB28" s="806">
        <f t="shared" si="9"/>
        <v>3495</v>
      </c>
      <c r="AC28" s="802">
        <f t="shared" si="9"/>
        <v>3946</v>
      </c>
      <c r="AD28" s="802">
        <f t="shared" si="9"/>
        <v>2983</v>
      </c>
      <c r="AE28" s="802">
        <f t="shared" si="9"/>
        <v>1339</v>
      </c>
      <c r="AF28" s="802">
        <f t="shared" si="9"/>
        <v>819</v>
      </c>
      <c r="AG28" s="47"/>
    </row>
    <row r="29" spans="1:34" ht="19.5" customHeight="1">
      <c r="A29" s="46"/>
      <c r="B29" s="46"/>
      <c r="C29" s="46"/>
      <c r="D29" s="46"/>
      <c r="E29" s="46"/>
      <c r="F29" s="47"/>
      <c r="G29" s="47"/>
      <c r="H29" s="46"/>
      <c r="I29" s="46"/>
      <c r="J29" s="46"/>
      <c r="K29" s="46"/>
      <c r="L29" s="67"/>
      <c r="M29" s="67"/>
      <c r="N29" s="67"/>
      <c r="O29" s="67"/>
      <c r="P29" s="67"/>
      <c r="Q29" s="67"/>
      <c r="R29" s="67"/>
      <c r="S29" s="47"/>
      <c r="T29" s="47"/>
      <c r="U29" s="47"/>
      <c r="V29" s="47"/>
      <c r="W29" s="47"/>
      <c r="X29" s="47"/>
      <c r="Y29" s="47"/>
      <c r="Z29" s="47"/>
      <c r="AA29" s="47"/>
      <c r="AB29" s="47"/>
      <c r="AC29" s="47"/>
      <c r="AD29" s="47"/>
      <c r="AE29" s="47"/>
      <c r="AF29" s="47"/>
      <c r="AG29" s="47"/>
    </row>
    <row r="30" spans="1:34" ht="19.5" customHeight="1">
      <c r="A30" s="46"/>
      <c r="B30" s="46"/>
      <c r="C30" s="46"/>
      <c r="D30" s="46"/>
      <c r="E30" s="46"/>
      <c r="F30" s="47"/>
      <c r="G30" s="47"/>
      <c r="H30" s="46"/>
      <c r="I30" s="46"/>
      <c r="J30" s="46"/>
      <c r="K30" s="46"/>
      <c r="L30" s="67"/>
      <c r="M30" s="67"/>
      <c r="N30" s="67"/>
      <c r="O30" s="67"/>
      <c r="P30" s="67"/>
      <c r="Q30" s="67"/>
      <c r="R30" s="67"/>
      <c r="S30" s="108"/>
      <c r="T30" s="108"/>
      <c r="U30" s="108"/>
      <c r="V30" s="108"/>
      <c r="W30" s="108"/>
      <c r="X30" s="108"/>
      <c r="Y30" s="108"/>
      <c r="Z30" s="108"/>
      <c r="AA30" s="108"/>
      <c r="AB30" s="108"/>
      <c r="AC30" s="108"/>
      <c r="AD30" s="108"/>
      <c r="AE30" s="108"/>
      <c r="AF30" s="108"/>
      <c r="AG30" s="47"/>
    </row>
  </sheetData>
  <autoFilter ref="A3:AH28" xr:uid="{3C899B03-A887-4B32-97A5-082B3EF2D26C}"/>
  <mergeCells count="1">
    <mergeCell ref="A2:V2"/>
  </mergeCells>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59A3-0F3D-4021-9D41-C7B90DBA4358}">
  <dimension ref="A1:AO26"/>
  <sheetViews>
    <sheetView topLeftCell="E1" zoomScale="60" zoomScaleNormal="60" workbookViewId="0">
      <selection activeCell="I12" sqref="I12"/>
    </sheetView>
  </sheetViews>
  <sheetFormatPr defaultColWidth="8.7265625" defaultRowHeight="14.5"/>
  <cols>
    <col min="1" max="1" width="12.36328125" style="58" bestFit="1" customWidth="1"/>
    <col min="2" max="2" width="7.08984375" style="543" bestFit="1" customWidth="1"/>
    <col min="3" max="3" width="10.90625" style="543" bestFit="1" customWidth="1"/>
    <col min="4" max="4" width="10.7265625" style="543" bestFit="1" customWidth="1"/>
    <col min="5" max="5" width="10.7265625" style="543" customWidth="1"/>
    <col min="6" max="6" width="39.453125" style="58" bestFit="1" customWidth="1"/>
    <col min="7" max="7" width="5.26953125" style="543" bestFit="1" customWidth="1"/>
    <col min="8" max="10" width="13.90625" style="58" bestFit="1" customWidth="1"/>
    <col min="11" max="13" width="13.90625" style="543" customWidth="1"/>
    <col min="14" max="14" width="17.36328125" style="64" bestFit="1" customWidth="1"/>
    <col min="15" max="15" width="17.1796875" style="64" bestFit="1" customWidth="1"/>
    <col min="16" max="18" width="17.1796875" style="64" customWidth="1"/>
    <col min="19" max="19" width="21.36328125" style="64" bestFit="1" customWidth="1"/>
    <col min="20" max="20" width="21.36328125" style="64" customWidth="1"/>
    <col min="21" max="21" width="14.81640625" style="48" bestFit="1" customWidth="1"/>
    <col min="22" max="22" width="14.6328125" style="48" bestFit="1" customWidth="1"/>
    <col min="23" max="23" width="14.453125" style="48" bestFit="1" customWidth="1"/>
    <col min="24" max="24" width="14.90625" style="48" bestFit="1" customWidth="1"/>
    <col min="25" max="25" width="14.6328125" style="48" bestFit="1" customWidth="1"/>
    <col min="26" max="26" width="14.1796875" style="48" bestFit="1" customWidth="1"/>
    <col min="27" max="27" width="14.6328125" style="48" bestFit="1" customWidth="1"/>
    <col min="28" max="28" width="14.90625" style="48" bestFit="1" customWidth="1"/>
    <col min="29" max="29" width="14.6328125" style="48" bestFit="1" customWidth="1"/>
    <col min="30" max="30" width="15.08984375" style="48" bestFit="1" customWidth="1"/>
    <col min="31" max="31" width="14.36328125" style="48" bestFit="1" customWidth="1"/>
    <col min="32" max="32" width="13.7265625" style="48" bestFit="1" customWidth="1"/>
    <col min="33" max="33" width="14.81640625" style="48" bestFit="1" customWidth="1"/>
    <col min="34" max="34" width="14.6328125" style="48" bestFit="1" customWidth="1"/>
    <col min="35" max="35" width="14.453125" style="48" bestFit="1" customWidth="1"/>
    <col min="36" max="36" width="14.90625" style="48" bestFit="1" customWidth="1"/>
    <col min="37" max="37" width="5.26953125" style="48" bestFit="1" customWidth="1"/>
    <col min="38" max="16384" width="8.7265625" style="48"/>
  </cols>
  <sheetData>
    <row r="1" spans="1:37" s="50" customFormat="1" ht="31.5" thickBot="1">
      <c r="A1" s="893" t="str">
        <f>Exc!A1</f>
        <v>S No</v>
      </c>
      <c r="B1" s="894" t="str">
        <f>Exc!B1</f>
        <v>Section</v>
      </c>
      <c r="C1" s="894" t="str">
        <f>Exc!C1</f>
        <v>Department</v>
      </c>
      <c r="D1" s="894" t="str">
        <f>Exc!D1</f>
        <v>Description</v>
      </c>
      <c r="E1" s="894" t="str">
        <f>Exc!E1</f>
        <v>Sub Phase 1</v>
      </c>
      <c r="F1" s="894" t="str">
        <f>Exc!F1</f>
        <v>Particular</v>
      </c>
      <c r="G1" s="894" t="str">
        <f>Exc!G1</f>
        <v>UOM</v>
      </c>
      <c r="H1" s="895"/>
      <c r="I1" s="895"/>
      <c r="J1" s="895" t="str">
        <f>Exc!H1</f>
        <v>Scope</v>
      </c>
      <c r="K1" s="895" t="str">
        <f>Exc!I1</f>
        <v>DRAWING RELESED</v>
      </c>
      <c r="L1" s="896" t="str">
        <f>Exc!J1</f>
        <v>ACHIVED</v>
      </c>
      <c r="M1" s="896" t="str">
        <f>Exc!K1</f>
        <v>DURATION</v>
      </c>
      <c r="N1" s="894" t="str">
        <f>Exc!L1</f>
        <v>BL Start</v>
      </c>
      <c r="O1" s="894" t="str">
        <f>Exc!M1</f>
        <v>BL Finish</v>
      </c>
      <c r="P1" s="894" t="str">
        <f>Exc!N1</f>
        <v>Current Month Plan</v>
      </c>
      <c r="Q1" s="894" t="str">
        <f>Exc!O1</f>
        <v>Current Month Actual</v>
      </c>
      <c r="R1" s="897" t="str">
        <f>Exc!P1</f>
        <v>Cummulative Planned</v>
      </c>
      <c r="S1" s="898" t="str">
        <f>Exc!Q1</f>
        <v>Cummulative completed</v>
      </c>
      <c r="T1" s="898" t="str">
        <f>Exc!R1</f>
        <v>Balance</v>
      </c>
      <c r="U1" s="898"/>
      <c r="V1" s="898"/>
      <c r="W1" s="898"/>
      <c r="X1" s="898"/>
      <c r="Y1" s="898">
        <v>0</v>
      </c>
      <c r="Z1" s="898">
        <v>0</v>
      </c>
      <c r="AA1" s="898">
        <v>0</v>
      </c>
      <c r="AB1" s="898">
        <v>0</v>
      </c>
      <c r="AC1" s="898">
        <v>0</v>
      </c>
      <c r="AD1" s="898">
        <v>-0.1999999999998181</v>
      </c>
      <c r="AE1" s="899">
        <v>0</v>
      </c>
      <c r="AF1" s="50">
        <v>9.0000000000145519E-2</v>
      </c>
      <c r="AG1" s="50">
        <v>368.20600000000013</v>
      </c>
      <c r="AH1" s="50">
        <v>367.75889999999981</v>
      </c>
      <c r="AI1" s="50">
        <v>368.58800000000019</v>
      </c>
      <c r="AJ1" s="50">
        <v>0.35999999999989996</v>
      </c>
      <c r="AK1" s="50" t="s">
        <v>275</v>
      </c>
    </row>
    <row r="2" spans="1:37" ht="16" customHeight="1" thickBot="1">
      <c r="A2" s="1198" t="s">
        <v>134</v>
      </c>
      <c r="B2" s="1198"/>
      <c r="C2" s="1198"/>
      <c r="D2" s="1198"/>
      <c r="E2" s="1198"/>
      <c r="F2" s="1198"/>
      <c r="G2" s="1198"/>
      <c r="H2" s="1198"/>
      <c r="I2" s="1198"/>
      <c r="J2" s="1198"/>
      <c r="K2" s="1198"/>
      <c r="L2" s="1198"/>
      <c r="M2" s="1198"/>
      <c r="N2" s="1198"/>
      <c r="O2" s="1198"/>
      <c r="P2" s="1198"/>
      <c r="Q2" s="1198"/>
      <c r="R2" s="1198"/>
      <c r="S2" s="1198"/>
      <c r="T2" s="1198"/>
      <c r="U2" s="1198"/>
      <c r="V2" s="1198"/>
      <c r="W2" s="1198"/>
      <c r="X2" s="1198"/>
      <c r="Y2" s="546">
        <v>67</v>
      </c>
      <c r="Z2" s="546">
        <v>378</v>
      </c>
      <c r="AA2" s="546">
        <v>906</v>
      </c>
      <c r="AB2" s="546">
        <v>1419</v>
      </c>
      <c r="AC2" s="546">
        <v>1878</v>
      </c>
      <c r="AD2" s="546">
        <v>2257</v>
      </c>
      <c r="AE2" s="546">
        <v>3295</v>
      </c>
      <c r="AF2" s="546">
        <v>3778</v>
      </c>
      <c r="AG2" s="546">
        <v>3419</v>
      </c>
      <c r="AH2" s="546">
        <v>2442</v>
      </c>
      <c r="AI2" s="546">
        <v>1555</v>
      </c>
      <c r="AJ2" s="546">
        <v>111</v>
      </c>
    </row>
    <row r="3" spans="1:37" s="50" customFormat="1">
      <c r="A3" s="406" t="s">
        <v>0</v>
      </c>
      <c r="B3" s="790"/>
      <c r="C3" s="790"/>
      <c r="D3" s="790"/>
      <c r="E3" s="790"/>
      <c r="F3" s="408" t="s">
        <v>92</v>
      </c>
      <c r="G3" s="408"/>
      <c r="H3" s="455" t="s">
        <v>139</v>
      </c>
      <c r="I3" s="455" t="s">
        <v>65</v>
      </c>
      <c r="J3" s="408" t="s">
        <v>93</v>
      </c>
      <c r="K3" s="408"/>
      <c r="L3" s="408"/>
      <c r="M3" s="408"/>
      <c r="N3" s="409" t="s">
        <v>95</v>
      </c>
      <c r="O3" s="409" t="s">
        <v>96</v>
      </c>
      <c r="P3" s="409"/>
      <c r="Q3" s="409"/>
      <c r="R3" s="409"/>
      <c r="S3" s="409"/>
      <c r="T3" s="409"/>
      <c r="U3" s="410">
        <f>SUM(U5:U26)</f>
        <v>21505.365003999999</v>
      </c>
      <c r="V3" s="410">
        <f>SUM(V5:V26)</f>
        <v>21505.365003999999</v>
      </c>
      <c r="W3" s="410">
        <f t="shared" ref="W3:X3" si="0">SUM(W5:W26)</f>
        <v>21505.365003999999</v>
      </c>
      <c r="X3" s="410">
        <f t="shared" si="0"/>
        <v>21505.365003999999</v>
      </c>
      <c r="Y3" s="410">
        <f>SUM(Y5:Y23)-Y1</f>
        <v>67</v>
      </c>
      <c r="Z3" s="410">
        <f t="shared" ref="Z3:AJ3" si="1">SUM(Z5:Z26)-Z1</f>
        <v>378</v>
      </c>
      <c r="AA3" s="410">
        <f t="shared" si="1"/>
        <v>906</v>
      </c>
      <c r="AB3" s="410">
        <f t="shared" si="1"/>
        <v>1419</v>
      </c>
      <c r="AC3" s="410">
        <f>SUM(AC5:AC24)-AC1</f>
        <v>1878</v>
      </c>
      <c r="AD3" s="410">
        <f t="shared" si="1"/>
        <v>2257</v>
      </c>
      <c r="AE3" s="410">
        <f t="shared" si="1"/>
        <v>3295</v>
      </c>
      <c r="AF3" s="410">
        <f t="shared" si="1"/>
        <v>3778</v>
      </c>
      <c r="AG3" s="410">
        <f t="shared" si="1"/>
        <v>3419</v>
      </c>
      <c r="AH3" s="410">
        <f t="shared" si="1"/>
        <v>2442</v>
      </c>
      <c r="AI3" s="410">
        <f t="shared" si="1"/>
        <v>1555</v>
      </c>
      <c r="AJ3" s="410">
        <f t="shared" si="1"/>
        <v>111</v>
      </c>
      <c r="AK3" s="456"/>
    </row>
    <row r="4" spans="1:37" s="50" customFormat="1">
      <c r="A4" s="412" t="str">
        <f>A3</f>
        <v>S No</v>
      </c>
      <c r="B4" s="947"/>
      <c r="C4" s="947"/>
      <c r="D4" s="947"/>
      <c r="E4" s="947"/>
      <c r="F4" s="51" t="s">
        <v>353</v>
      </c>
      <c r="G4" s="51"/>
      <c r="H4" s="52">
        <f>SUM(H5:H25)</f>
        <v>10147.199999999999</v>
      </c>
      <c r="I4" s="52">
        <f>SUM(I5:I25)</f>
        <v>32863.530008000002</v>
      </c>
      <c r="J4" s="52">
        <f>SUM(J5:J25)</f>
        <v>43010.730007999999</v>
      </c>
      <c r="K4" s="52"/>
      <c r="L4" s="52"/>
      <c r="M4" s="52"/>
      <c r="N4" s="65">
        <f>MIN(N5:N26)</f>
        <v>21505.365003999999</v>
      </c>
      <c r="O4" s="65">
        <f>MAX(O5:O26)</f>
        <v>45888</v>
      </c>
      <c r="P4" s="65"/>
      <c r="Q4" s="65"/>
      <c r="R4" s="65"/>
      <c r="S4" s="65"/>
      <c r="T4" s="65"/>
      <c r="U4" s="54">
        <v>45505</v>
      </c>
      <c r="V4" s="54">
        <v>45536</v>
      </c>
      <c r="W4" s="54">
        <v>45566</v>
      </c>
      <c r="X4" s="54">
        <v>45597</v>
      </c>
      <c r="Y4" s="54">
        <v>45627</v>
      </c>
      <c r="Z4" s="54">
        <v>45658</v>
      </c>
      <c r="AA4" s="54">
        <v>45689</v>
      </c>
      <c r="AB4" s="54">
        <v>45717</v>
      </c>
      <c r="AC4" s="54">
        <v>45748</v>
      </c>
      <c r="AD4" s="54">
        <v>45778</v>
      </c>
      <c r="AE4" s="54">
        <v>45809</v>
      </c>
      <c r="AF4" s="54">
        <v>45839</v>
      </c>
      <c r="AG4" s="54">
        <v>45870</v>
      </c>
      <c r="AH4" s="54">
        <v>45901</v>
      </c>
      <c r="AI4" s="54">
        <v>45931</v>
      </c>
      <c r="AJ4" s="54">
        <v>45962</v>
      </c>
      <c r="AK4" s="457"/>
    </row>
    <row r="5" spans="1:37">
      <c r="A5" s="415">
        <v>1</v>
      </c>
      <c r="B5" s="437"/>
      <c r="C5" s="437"/>
      <c r="D5" s="437"/>
      <c r="E5" s="437"/>
      <c r="F5" s="1117" t="s">
        <v>97</v>
      </c>
      <c r="G5" s="437"/>
      <c r="H5" s="66">
        <f>38+64</f>
        <v>102</v>
      </c>
      <c r="I5" s="66">
        <f>556.43+1571.681</f>
        <v>2128.1109999999999</v>
      </c>
      <c r="J5" s="66">
        <f>I5+H5</f>
        <v>2230.1109999999999</v>
      </c>
      <c r="K5" s="66"/>
      <c r="L5" s="66"/>
      <c r="M5" s="66"/>
      <c r="N5" s="67">
        <f>[4]L5!E616</f>
        <v>45560</v>
      </c>
      <c r="O5" s="67">
        <f>[4]L5!F616</f>
        <v>45776</v>
      </c>
      <c r="P5" s="67"/>
      <c r="Q5" s="67"/>
      <c r="R5" s="67"/>
      <c r="S5" s="67"/>
      <c r="T5" s="67"/>
      <c r="U5" s="46"/>
      <c r="V5" s="46"/>
      <c r="W5" s="46"/>
      <c r="X5" s="46"/>
      <c r="Y5" s="414"/>
      <c r="Z5" s="414"/>
      <c r="AA5" s="414"/>
      <c r="AB5" s="414"/>
      <c r="AC5" s="436">
        <v>229</v>
      </c>
      <c r="AD5" s="436">
        <v>255</v>
      </c>
      <c r="AE5" s="436">
        <v>508</v>
      </c>
      <c r="AF5" s="414">
        <v>700</v>
      </c>
      <c r="AG5" s="414">
        <f>J5-SUM(AC5:AF5)</f>
        <v>538.11099999999988</v>
      </c>
      <c r="AH5" s="414"/>
      <c r="AI5" s="414"/>
      <c r="AJ5" s="414"/>
      <c r="AK5" s="425">
        <f>AC5+AD5+AE5</f>
        <v>992</v>
      </c>
    </row>
    <row r="6" spans="1:37">
      <c r="A6" s="415">
        <v>2</v>
      </c>
      <c r="B6" s="437"/>
      <c r="C6" s="437"/>
      <c r="D6" s="437"/>
      <c r="E6" s="437"/>
      <c r="F6" s="1117" t="s">
        <v>98</v>
      </c>
      <c r="G6" s="437"/>
      <c r="H6" s="66">
        <v>19.2</v>
      </c>
      <c r="I6" s="66">
        <v>676.24200000000008</v>
      </c>
      <c r="J6" s="66">
        <f>I6+H6</f>
        <v>695.44200000000012</v>
      </c>
      <c r="K6" s="66"/>
      <c r="L6" s="66"/>
      <c r="M6" s="66"/>
      <c r="N6" s="67">
        <f>[4]L5!E617</f>
        <v>45634</v>
      </c>
      <c r="O6" s="67">
        <f>[4]L5!F617</f>
        <v>45844</v>
      </c>
      <c r="P6" s="67"/>
      <c r="Q6" s="67"/>
      <c r="R6" s="67"/>
      <c r="S6" s="67"/>
      <c r="T6" s="67"/>
      <c r="U6" s="46"/>
      <c r="V6" s="46"/>
      <c r="W6" s="46"/>
      <c r="X6" s="46"/>
      <c r="Y6" s="414"/>
      <c r="Z6" s="414"/>
      <c r="AA6" s="414"/>
      <c r="AB6" s="414">
        <v>65</v>
      </c>
      <c r="AC6" s="436">
        <v>96</v>
      </c>
      <c r="AD6" s="436">
        <f>80+29.44</f>
        <v>109.44</v>
      </c>
      <c r="AE6" s="436">
        <v>99</v>
      </c>
      <c r="AF6" s="414">
        <v>121</v>
      </c>
      <c r="AG6" s="414">
        <v>205</v>
      </c>
      <c r="AH6" s="414"/>
      <c r="AI6" s="414"/>
      <c r="AJ6" s="414"/>
      <c r="AK6" s="425">
        <f t="shared" ref="AK6:AK23" si="2">AC6+AD6+AE6</f>
        <v>304.44</v>
      </c>
    </row>
    <row r="7" spans="1:37">
      <c r="A7" s="415">
        <v>3</v>
      </c>
      <c r="B7" s="437"/>
      <c r="C7" s="437"/>
      <c r="D7" s="437"/>
      <c r="E7" s="437"/>
      <c r="F7" s="1116" t="s">
        <v>99</v>
      </c>
      <c r="G7" s="437"/>
      <c r="H7" s="66">
        <v>168</v>
      </c>
      <c r="I7" s="66">
        <v>272.00542399999995</v>
      </c>
      <c r="J7" s="66">
        <f>I7+H7</f>
        <v>440.00542399999995</v>
      </c>
      <c r="K7" s="66"/>
      <c r="L7" s="66"/>
      <c r="M7" s="66"/>
      <c r="N7" s="67">
        <f>[4]L5!E618</f>
        <v>45625</v>
      </c>
      <c r="O7" s="67">
        <f>[4]L5!F618</f>
        <v>45804</v>
      </c>
      <c r="P7" s="67"/>
      <c r="Q7" s="67"/>
      <c r="R7" s="67"/>
      <c r="S7" s="67"/>
      <c r="T7" s="67"/>
      <c r="U7" s="46"/>
      <c r="V7" s="46"/>
      <c r="W7" s="46"/>
      <c r="X7" s="46"/>
      <c r="Y7" s="414"/>
      <c r="Z7" s="414"/>
      <c r="AA7" s="414"/>
      <c r="AB7" s="414"/>
      <c r="AC7" s="436">
        <v>19</v>
      </c>
      <c r="AD7" s="436">
        <v>54</v>
      </c>
      <c r="AE7" s="436">
        <v>90</v>
      </c>
      <c r="AF7" s="414">
        <v>62</v>
      </c>
      <c r="AG7" s="414">
        <v>83</v>
      </c>
      <c r="AH7" s="414">
        <v>97</v>
      </c>
      <c r="AI7" s="414">
        <v>35.01</v>
      </c>
      <c r="AJ7" s="414"/>
      <c r="AK7" s="425">
        <f t="shared" si="2"/>
        <v>163</v>
      </c>
    </row>
    <row r="8" spans="1:37" ht="14.15" customHeight="1">
      <c r="A8" s="415">
        <v>4</v>
      </c>
      <c r="B8" s="437"/>
      <c r="C8" s="437"/>
      <c r="D8" s="437"/>
      <c r="E8" s="437"/>
      <c r="F8" s="1116" t="s">
        <v>100</v>
      </c>
      <c r="G8" s="437"/>
      <c r="H8" s="66">
        <f>1249.2-H9</f>
        <v>881.04</v>
      </c>
      <c r="I8" s="66">
        <f>3165.498-I9</f>
        <v>2219.2980000000002</v>
      </c>
      <c r="J8" s="66">
        <f t="shared" ref="J8:J23" si="3">I8+H8</f>
        <v>3100.3380000000002</v>
      </c>
      <c r="K8" s="66"/>
      <c r="L8" s="66"/>
      <c r="M8" s="66"/>
      <c r="N8" s="67">
        <f>[4]L5!E619</f>
        <v>45572</v>
      </c>
      <c r="O8" s="67">
        <f>[4]L5!F619</f>
        <v>45821</v>
      </c>
      <c r="P8" s="67"/>
      <c r="Q8" s="67"/>
      <c r="R8" s="67"/>
      <c r="S8" s="67"/>
      <c r="T8" s="67"/>
      <c r="U8" s="46"/>
      <c r="V8" s="46"/>
      <c r="W8" s="46"/>
      <c r="X8" s="46"/>
      <c r="Y8" s="414">
        <v>67</v>
      </c>
      <c r="Z8" s="414">
        <v>318</v>
      </c>
      <c r="AA8" s="414">
        <v>539</v>
      </c>
      <c r="AB8" s="414">
        <v>530</v>
      </c>
      <c r="AC8" s="436">
        <v>403</v>
      </c>
      <c r="AD8" s="436">
        <v>559</v>
      </c>
      <c r="AE8" s="436">
        <v>295</v>
      </c>
      <c r="AF8" s="414">
        <v>169</v>
      </c>
      <c r="AG8" s="414">
        <v>85</v>
      </c>
      <c r="AH8" s="414">
        <v>79</v>
      </c>
      <c r="AI8" s="414">
        <v>56.338000000000193</v>
      </c>
      <c r="AJ8" s="414"/>
      <c r="AK8" s="425">
        <f t="shared" si="2"/>
        <v>1257</v>
      </c>
    </row>
    <row r="9" spans="1:37" ht="17.5" customHeight="1">
      <c r="A9" s="415">
        <v>5</v>
      </c>
      <c r="B9" s="437"/>
      <c r="C9" s="437"/>
      <c r="D9" s="437"/>
      <c r="E9" s="437"/>
      <c r="F9" s="1116" t="s">
        <v>101</v>
      </c>
      <c r="G9" s="437"/>
      <c r="H9" s="66">
        <v>368.16</v>
      </c>
      <c r="I9" s="66">
        <f>933.4+12.8</f>
        <v>946.19999999999993</v>
      </c>
      <c r="J9" s="66">
        <f t="shared" si="3"/>
        <v>1314.36</v>
      </c>
      <c r="K9" s="66"/>
      <c r="L9" s="66"/>
      <c r="M9" s="66"/>
      <c r="N9" s="67">
        <f>[4]L5!E620</f>
        <v>45654</v>
      </c>
      <c r="O9" s="67">
        <f>[4]L5!F620</f>
        <v>45886</v>
      </c>
      <c r="P9" s="67"/>
      <c r="Q9" s="67"/>
      <c r="R9" s="67"/>
      <c r="S9" s="67"/>
      <c r="T9" s="67"/>
      <c r="U9" s="46"/>
      <c r="V9" s="46"/>
      <c r="W9" s="46"/>
      <c r="X9" s="46"/>
      <c r="Y9" s="414"/>
      <c r="Z9" s="413"/>
      <c r="AA9" s="413"/>
      <c r="AB9" s="413"/>
      <c r="AC9" s="436">
        <v>44</v>
      </c>
      <c r="AD9" s="436">
        <v>58</v>
      </c>
      <c r="AE9" s="436">
        <v>205</v>
      </c>
      <c r="AF9" s="414">
        <v>220</v>
      </c>
      <c r="AG9" s="414">
        <f>35+12+33+40</f>
        <v>120</v>
      </c>
      <c r="AH9" s="414">
        <v>297</v>
      </c>
      <c r="AI9" s="414">
        <f>154+35+70</f>
        <v>259</v>
      </c>
      <c r="AJ9" s="414">
        <v>111.3599999999999</v>
      </c>
      <c r="AK9" s="425">
        <f t="shared" si="2"/>
        <v>307</v>
      </c>
    </row>
    <row r="10" spans="1:37">
      <c r="A10" s="415">
        <v>6</v>
      </c>
      <c r="B10" s="437"/>
      <c r="C10" s="437"/>
      <c r="D10" s="437"/>
      <c r="E10" s="437"/>
      <c r="F10" s="1116" t="s">
        <v>102</v>
      </c>
      <c r="G10" s="437"/>
      <c r="H10" s="66">
        <v>15</v>
      </c>
      <c r="I10" s="66">
        <v>186.71</v>
      </c>
      <c r="J10" s="66">
        <f t="shared" si="3"/>
        <v>201.71</v>
      </c>
      <c r="K10" s="66"/>
      <c r="L10" s="66"/>
      <c r="M10" s="66"/>
      <c r="N10" s="67">
        <f>[4]L5!E621</f>
        <v>45614</v>
      </c>
      <c r="O10" s="67">
        <f>[4]L5!F621</f>
        <v>45759</v>
      </c>
      <c r="P10" s="67"/>
      <c r="Q10" s="67"/>
      <c r="R10" s="67"/>
      <c r="S10" s="67"/>
      <c r="T10" s="67"/>
      <c r="U10" s="46"/>
      <c r="V10" s="46"/>
      <c r="W10" s="46"/>
      <c r="X10" s="46"/>
      <c r="Y10" s="413"/>
      <c r="Z10" s="413"/>
      <c r="AA10" s="413"/>
      <c r="AB10" s="414">
        <v>4</v>
      </c>
      <c r="AC10" s="436">
        <v>4</v>
      </c>
      <c r="AD10" s="436">
        <v>10</v>
      </c>
      <c r="AE10" s="436">
        <v>51</v>
      </c>
      <c r="AF10" s="414">
        <v>58</v>
      </c>
      <c r="AG10" s="414">
        <v>31</v>
      </c>
      <c r="AH10" s="414">
        <v>27</v>
      </c>
      <c r="AI10" s="414">
        <v>16.710000000000008</v>
      </c>
      <c r="AJ10" s="414"/>
      <c r="AK10" s="425">
        <f t="shared" si="2"/>
        <v>65</v>
      </c>
    </row>
    <row r="11" spans="1:37">
      <c r="A11" s="415">
        <v>7</v>
      </c>
      <c r="B11" s="437"/>
      <c r="C11" s="437"/>
      <c r="D11" s="437"/>
      <c r="E11" s="437"/>
      <c r="F11" s="1116" t="s">
        <v>103</v>
      </c>
      <c r="G11" s="437"/>
      <c r="H11" s="66">
        <f>2440.5</f>
        <v>2440.5</v>
      </c>
      <c r="I11" s="66">
        <v>788.86199999999985</v>
      </c>
      <c r="J11" s="66">
        <f t="shared" si="3"/>
        <v>3229.3620000000001</v>
      </c>
      <c r="K11" s="66"/>
      <c r="L11" s="66"/>
      <c r="M11" s="66"/>
      <c r="N11" s="67">
        <f>[4]L5!E622</f>
        <v>45570</v>
      </c>
      <c r="O11" s="67">
        <f>[4]L5!F622</f>
        <v>45836</v>
      </c>
      <c r="P11" s="67"/>
      <c r="Q11" s="67"/>
      <c r="R11" s="67"/>
      <c r="S11" s="67"/>
      <c r="T11" s="67"/>
      <c r="U11" s="46"/>
      <c r="V11" s="46"/>
      <c r="W11" s="46"/>
      <c r="X11" s="46"/>
      <c r="Y11" s="413"/>
      <c r="Z11" s="413"/>
      <c r="AA11" s="414">
        <f>70+30+34+30+44</f>
        <v>208</v>
      </c>
      <c r="AB11" s="414">
        <f>70+40+30+56+73+33+23</f>
        <v>325</v>
      </c>
      <c r="AC11" s="436">
        <f>70+40+50+30+44+56+45+30+23</f>
        <v>388</v>
      </c>
      <c r="AD11" s="436">
        <f>70+40+50+30+44+32+44+33.36</f>
        <v>343.36</v>
      </c>
      <c r="AE11" s="436">
        <f>70+40+50+30+44+24+44+30</f>
        <v>332</v>
      </c>
      <c r="AF11" s="414">
        <f>70+40+50+30+44+30+34+32</f>
        <v>330</v>
      </c>
      <c r="AG11" s="414">
        <f>70+40+50+30+44+56+34+43+34</f>
        <v>401</v>
      </c>
      <c r="AH11" s="414">
        <f>280+30+37+44+32</f>
        <v>423</v>
      </c>
      <c r="AI11" s="414">
        <f>350+37+15+33+44</f>
        <v>479</v>
      </c>
      <c r="AJ11" s="414"/>
      <c r="AK11" s="425">
        <f t="shared" si="2"/>
        <v>1063.3600000000001</v>
      </c>
    </row>
    <row r="12" spans="1:37">
      <c r="A12" s="415">
        <v>8</v>
      </c>
      <c r="B12" s="437"/>
      <c r="C12" s="437"/>
      <c r="D12" s="437"/>
      <c r="E12" s="437"/>
      <c r="F12" s="1117" t="s">
        <v>104</v>
      </c>
      <c r="G12" s="437"/>
      <c r="H12" s="66">
        <v>234.5</v>
      </c>
      <c r="I12" s="66">
        <v>1353.16</v>
      </c>
      <c r="J12" s="66">
        <f t="shared" si="3"/>
        <v>1587.66</v>
      </c>
      <c r="K12" s="66"/>
      <c r="L12" s="66"/>
      <c r="M12" s="66"/>
      <c r="N12" s="67">
        <f>[4]L5!E623</f>
        <v>45534</v>
      </c>
      <c r="O12" s="67">
        <f>[4]L5!F623</f>
        <v>45755</v>
      </c>
      <c r="P12" s="67"/>
      <c r="Q12" s="67"/>
      <c r="R12" s="67"/>
      <c r="S12" s="67"/>
      <c r="T12" s="67"/>
      <c r="U12" s="46"/>
      <c r="V12" s="46"/>
      <c r="W12" s="46"/>
      <c r="X12" s="46"/>
      <c r="Y12" s="413"/>
      <c r="Z12" s="413"/>
      <c r="AA12" s="413"/>
      <c r="AB12" s="413"/>
      <c r="AC12" s="436">
        <v>180</v>
      </c>
      <c r="AD12" s="436">
        <v>50</v>
      </c>
      <c r="AE12" s="436">
        <v>132</v>
      </c>
      <c r="AF12" s="414">
        <v>632</v>
      </c>
      <c r="AG12" s="414">
        <f>250+30</f>
        <v>280</v>
      </c>
      <c r="AH12" s="414">
        <f>150+40+40+50</f>
        <v>280</v>
      </c>
      <c r="AI12" s="414">
        <v>33.660000000000082</v>
      </c>
      <c r="AJ12" s="413"/>
      <c r="AK12" s="425">
        <f t="shared" si="2"/>
        <v>362</v>
      </c>
    </row>
    <row r="13" spans="1:37">
      <c r="A13" s="415">
        <v>9</v>
      </c>
      <c r="B13" s="437"/>
      <c r="C13" s="437"/>
      <c r="D13" s="437"/>
      <c r="E13" s="437"/>
      <c r="F13" s="1117" t="s">
        <v>105</v>
      </c>
      <c r="G13" s="437"/>
      <c r="H13" s="66">
        <f>336-H14</f>
        <v>260</v>
      </c>
      <c r="I13" s="66">
        <v>972.75999999999965</v>
      </c>
      <c r="J13" s="66">
        <f t="shared" si="3"/>
        <v>1232.7599999999998</v>
      </c>
      <c r="K13" s="66"/>
      <c r="L13" s="66"/>
      <c r="M13" s="66"/>
      <c r="N13" s="67">
        <f>[4]L5!E624</f>
        <v>45648</v>
      </c>
      <c r="O13" s="67">
        <f>[4]L5!F624</f>
        <v>45794</v>
      </c>
      <c r="P13" s="67"/>
      <c r="Q13" s="67"/>
      <c r="R13" s="67"/>
      <c r="S13" s="67"/>
      <c r="T13" s="67"/>
      <c r="U13" s="46"/>
      <c r="V13" s="46"/>
      <c r="W13" s="46"/>
      <c r="X13" s="46"/>
      <c r="Y13" s="413"/>
      <c r="Z13" s="413"/>
      <c r="AA13" s="413"/>
      <c r="AB13" s="414">
        <f>100</f>
        <v>100</v>
      </c>
      <c r="AC13" s="436">
        <f>100</f>
        <v>100</v>
      </c>
      <c r="AD13" s="436">
        <f>60+60+80</f>
        <v>200</v>
      </c>
      <c r="AE13" s="436">
        <f>60+100+80</f>
        <v>240</v>
      </c>
      <c r="AF13" s="414">
        <f>103+60+80</f>
        <v>243</v>
      </c>
      <c r="AG13" s="414">
        <f>18+46+40+80+13</f>
        <v>197</v>
      </c>
      <c r="AH13" s="414">
        <f>10+33+42</f>
        <v>85</v>
      </c>
      <c r="AI13" s="414">
        <v>67.759999999999764</v>
      </c>
      <c r="AJ13" s="414"/>
      <c r="AK13" s="425">
        <f t="shared" si="2"/>
        <v>540</v>
      </c>
    </row>
    <row r="14" spans="1:37">
      <c r="A14" s="415">
        <v>10</v>
      </c>
      <c r="B14" s="437"/>
      <c r="C14" s="437"/>
      <c r="D14" s="437"/>
      <c r="E14" s="437"/>
      <c r="F14" s="1117" t="s">
        <v>106</v>
      </c>
      <c r="G14" s="437"/>
      <c r="H14" s="66">
        <v>76</v>
      </c>
      <c r="I14" s="66">
        <v>1075.0900000000001</v>
      </c>
      <c r="J14" s="66">
        <f t="shared" si="3"/>
        <v>1151.0900000000001</v>
      </c>
      <c r="K14" s="66"/>
      <c r="L14" s="66"/>
      <c r="M14" s="66"/>
      <c r="N14" s="67">
        <f>[4]L5!E625</f>
        <v>45599</v>
      </c>
      <c r="O14" s="67">
        <f>[4]L5!F625</f>
        <v>45812</v>
      </c>
      <c r="P14" s="67"/>
      <c r="Q14" s="67"/>
      <c r="R14" s="67"/>
      <c r="S14" s="67"/>
      <c r="T14" s="67"/>
      <c r="U14" s="46"/>
      <c r="V14" s="46"/>
      <c r="W14" s="46"/>
      <c r="X14" s="46"/>
      <c r="Y14" s="413"/>
      <c r="Z14" s="413"/>
      <c r="AA14" s="413"/>
      <c r="AB14" s="414">
        <f>132</f>
        <v>132</v>
      </c>
      <c r="AC14" s="436">
        <f>157</f>
        <v>157</v>
      </c>
      <c r="AD14" s="436">
        <f>46+180+22</f>
        <v>248</v>
      </c>
      <c r="AE14" s="436">
        <f>76+140+10</f>
        <v>226</v>
      </c>
      <c r="AF14" s="414">
        <f>152+44+2.09</f>
        <v>198.09</v>
      </c>
      <c r="AG14" s="414">
        <f>134+56</f>
        <v>190</v>
      </c>
      <c r="AH14" s="414"/>
      <c r="AI14" s="414"/>
      <c r="AJ14" s="414"/>
      <c r="AK14" s="425">
        <f t="shared" si="2"/>
        <v>631</v>
      </c>
    </row>
    <row r="15" spans="1:37">
      <c r="A15" s="415">
        <v>11</v>
      </c>
      <c r="B15" s="437"/>
      <c r="C15" s="437"/>
      <c r="D15" s="437"/>
      <c r="E15" s="437"/>
      <c r="F15" s="1117" t="s">
        <v>107</v>
      </c>
      <c r="G15" s="437"/>
      <c r="H15" s="66">
        <v>22</v>
      </c>
      <c r="I15" s="66">
        <v>328.17000000000007</v>
      </c>
      <c r="J15" s="66">
        <f t="shared" si="3"/>
        <v>350.17000000000007</v>
      </c>
      <c r="K15" s="66"/>
      <c r="L15" s="66"/>
      <c r="M15" s="66"/>
      <c r="N15" s="67">
        <f>[4]L5!E626</f>
        <v>45631</v>
      </c>
      <c r="O15" s="67">
        <f>[4]L5!F626</f>
        <v>45756</v>
      </c>
      <c r="P15" s="67"/>
      <c r="Q15" s="67"/>
      <c r="R15" s="67"/>
      <c r="S15" s="67"/>
      <c r="T15" s="67"/>
      <c r="U15" s="46"/>
      <c r="V15" s="46"/>
      <c r="W15" s="46"/>
      <c r="X15" s="46"/>
      <c r="Y15" s="413"/>
      <c r="Z15" s="413"/>
      <c r="AA15" s="413"/>
      <c r="AB15" s="413"/>
      <c r="AC15" s="437"/>
      <c r="AD15" s="436">
        <f>34</f>
        <v>34</v>
      </c>
      <c r="AE15" s="436">
        <f>66</f>
        <v>66</v>
      </c>
      <c r="AF15" s="414">
        <v>88</v>
      </c>
      <c r="AG15" s="414">
        <v>88</v>
      </c>
      <c r="AH15" s="414">
        <v>74.17</v>
      </c>
      <c r="AI15" s="414"/>
      <c r="AJ15" s="414"/>
      <c r="AK15" s="425">
        <f t="shared" si="2"/>
        <v>100</v>
      </c>
    </row>
    <row r="16" spans="1:37" ht="10.5" customHeight="1">
      <c r="A16" s="415">
        <v>12</v>
      </c>
      <c r="B16" s="437"/>
      <c r="C16" s="437"/>
      <c r="D16" s="437"/>
      <c r="E16" s="437"/>
      <c r="F16" s="1117" t="s">
        <v>108</v>
      </c>
      <c r="G16" s="437"/>
      <c r="H16" s="66">
        <v>18</v>
      </c>
      <c r="I16" s="66">
        <v>625.62919999999997</v>
      </c>
      <c r="J16" s="66">
        <f t="shared" si="3"/>
        <v>643.62919999999997</v>
      </c>
      <c r="K16" s="66"/>
      <c r="L16" s="66"/>
      <c r="M16" s="66"/>
      <c r="N16" s="67">
        <f>[4]L5!E627</f>
        <v>45616</v>
      </c>
      <c r="O16" s="67">
        <f>[4]L5!F627</f>
        <v>45729</v>
      </c>
      <c r="P16" s="67"/>
      <c r="Q16" s="67"/>
      <c r="R16" s="67"/>
      <c r="S16" s="67"/>
      <c r="T16" s="67"/>
      <c r="U16" s="46"/>
      <c r="V16" s="46"/>
      <c r="W16" s="46"/>
      <c r="X16" s="46"/>
      <c r="Y16" s="413"/>
      <c r="Z16" s="413"/>
      <c r="AA16" s="413"/>
      <c r="AB16" s="413"/>
      <c r="AC16" s="436"/>
      <c r="AD16" s="436"/>
      <c r="AE16" s="436">
        <v>44</v>
      </c>
      <c r="AF16" s="414">
        <v>88</v>
      </c>
      <c r="AG16" s="414">
        <v>148</v>
      </c>
      <c r="AH16" s="414">
        <v>188</v>
      </c>
      <c r="AI16" s="414">
        <v>175.63</v>
      </c>
      <c r="AJ16" s="414"/>
      <c r="AK16" s="425">
        <f t="shared" si="2"/>
        <v>44</v>
      </c>
    </row>
    <row r="17" spans="1:41" ht="20.149999999999999" customHeight="1">
      <c r="A17" s="415">
        <v>13</v>
      </c>
      <c r="B17" s="437"/>
      <c r="C17" s="437"/>
      <c r="D17" s="437"/>
      <c r="E17" s="437"/>
      <c r="F17" s="1117" t="s">
        <v>109</v>
      </c>
      <c r="G17" s="437"/>
      <c r="H17" s="66">
        <v>48</v>
      </c>
      <c r="I17" s="66">
        <v>524.35320000000002</v>
      </c>
      <c r="J17" s="66">
        <f t="shared" si="3"/>
        <v>572.35320000000002</v>
      </c>
      <c r="K17" s="66"/>
      <c r="L17" s="66"/>
      <c r="M17" s="66"/>
      <c r="N17" s="67">
        <f>[4]L5!E628</f>
        <v>45654</v>
      </c>
      <c r="O17" s="67">
        <f>[4]L5!F628</f>
        <v>45822</v>
      </c>
      <c r="P17" s="67"/>
      <c r="Q17" s="67"/>
      <c r="R17" s="67"/>
      <c r="S17" s="67"/>
      <c r="T17" s="67"/>
      <c r="U17" s="46"/>
      <c r="V17" s="46"/>
      <c r="W17" s="46"/>
      <c r="X17" s="46"/>
      <c r="Y17" s="414"/>
      <c r="Z17" s="413"/>
      <c r="AA17" s="413"/>
      <c r="AB17" s="413"/>
      <c r="AC17" s="437"/>
      <c r="AD17" s="436">
        <v>66</v>
      </c>
      <c r="AE17" s="436">
        <v>145</v>
      </c>
      <c r="AF17" s="414">
        <v>167</v>
      </c>
      <c r="AG17" s="414">
        <v>102</v>
      </c>
      <c r="AH17" s="414">
        <v>92.35</v>
      </c>
      <c r="AI17" s="414"/>
      <c r="AJ17" s="414"/>
      <c r="AK17" s="425">
        <f t="shared" si="2"/>
        <v>211</v>
      </c>
    </row>
    <row r="18" spans="1:41" ht="11.15" customHeight="1">
      <c r="A18" s="415">
        <v>14</v>
      </c>
      <c r="B18" s="437"/>
      <c r="C18" s="437"/>
      <c r="D18" s="437"/>
      <c r="E18" s="437"/>
      <c r="F18" s="437" t="s">
        <v>110</v>
      </c>
      <c r="G18" s="437"/>
      <c r="H18" s="66">
        <f>16+19</f>
        <v>35</v>
      </c>
      <c r="I18" s="66">
        <v>623.66399999999999</v>
      </c>
      <c r="J18" s="66">
        <f t="shared" si="3"/>
        <v>658.66399999999999</v>
      </c>
      <c r="K18" s="66"/>
      <c r="L18" s="66"/>
      <c r="M18" s="66"/>
      <c r="N18" s="67">
        <f>[4]L5!E629</f>
        <v>45667</v>
      </c>
      <c r="O18" s="67">
        <f>[4]L5!F629</f>
        <v>45873</v>
      </c>
      <c r="P18" s="67"/>
      <c r="Q18" s="67"/>
      <c r="R18" s="67"/>
      <c r="S18" s="67"/>
      <c r="T18" s="67"/>
      <c r="U18" s="46"/>
      <c r="V18" s="46"/>
      <c r="W18" s="46"/>
      <c r="X18" s="46"/>
      <c r="Y18" s="414"/>
      <c r="Z18" s="413"/>
      <c r="AA18" s="414">
        <v>45</v>
      </c>
      <c r="AB18" s="414">
        <v>87</v>
      </c>
      <c r="AC18" s="436">
        <v>56</v>
      </c>
      <c r="AD18" s="436">
        <v>157</v>
      </c>
      <c r="AE18" s="436">
        <v>113</v>
      </c>
      <c r="AF18" s="414">
        <v>63</v>
      </c>
      <c r="AG18" s="414">
        <v>54</v>
      </c>
      <c r="AH18" s="414">
        <v>83.66</v>
      </c>
      <c r="AI18" s="414"/>
      <c r="AJ18" s="414"/>
      <c r="AK18" s="425">
        <f t="shared" si="2"/>
        <v>326</v>
      </c>
    </row>
    <row r="19" spans="1:41" ht="13" customHeight="1">
      <c r="A19" s="415">
        <v>15</v>
      </c>
      <c r="B19" s="437"/>
      <c r="C19" s="437"/>
      <c r="D19" s="437"/>
      <c r="E19" s="437"/>
      <c r="F19" s="437" t="s">
        <v>111</v>
      </c>
      <c r="G19" s="437"/>
      <c r="H19" s="66">
        <v>44.5</v>
      </c>
      <c r="I19" s="66">
        <v>1535.4412800000002</v>
      </c>
      <c r="J19" s="66">
        <f t="shared" si="3"/>
        <v>1579.9412800000002</v>
      </c>
      <c r="K19" s="66"/>
      <c r="L19" s="66"/>
      <c r="M19" s="66"/>
      <c r="N19" s="67">
        <f>[4]L5!E630</f>
        <v>45756</v>
      </c>
      <c r="O19" s="67">
        <f>[4]L5!F630</f>
        <v>45847</v>
      </c>
      <c r="P19" s="67"/>
      <c r="Q19" s="67"/>
      <c r="R19" s="67"/>
      <c r="S19" s="67"/>
      <c r="T19" s="67"/>
      <c r="U19" s="46"/>
      <c r="V19" s="46"/>
      <c r="W19" s="46"/>
      <c r="X19" s="46"/>
      <c r="Y19" s="414"/>
      <c r="Z19" s="414"/>
      <c r="AA19" s="414"/>
      <c r="AB19" s="414"/>
      <c r="AC19" s="437"/>
      <c r="AD19" s="437"/>
      <c r="AE19" s="436">
        <v>450</v>
      </c>
      <c r="AF19" s="414">
        <v>357</v>
      </c>
      <c r="AG19" s="414">
        <v>413</v>
      </c>
      <c r="AH19" s="414">
        <v>239</v>
      </c>
      <c r="AI19" s="414">
        <v>120.94</v>
      </c>
      <c r="AJ19" s="414"/>
      <c r="AK19" s="425">
        <f t="shared" si="2"/>
        <v>450</v>
      </c>
    </row>
    <row r="20" spans="1:41" ht="27" customHeight="1">
      <c r="A20" s="415">
        <v>16</v>
      </c>
      <c r="B20" s="437"/>
      <c r="C20" s="437"/>
      <c r="D20" s="437"/>
      <c r="E20" s="437"/>
      <c r="F20" s="437" t="s">
        <v>112</v>
      </c>
      <c r="G20" s="437"/>
      <c r="H20" s="66"/>
      <c r="I20" s="66">
        <v>1137.4838999999999</v>
      </c>
      <c r="J20" s="66">
        <f t="shared" si="3"/>
        <v>1137.4838999999999</v>
      </c>
      <c r="K20" s="66"/>
      <c r="L20" s="66"/>
      <c r="M20" s="66"/>
      <c r="N20" s="67">
        <f>[4]L5!E631</f>
        <v>45667</v>
      </c>
      <c r="O20" s="67">
        <f>[4]L5!F631</f>
        <v>45888</v>
      </c>
      <c r="P20" s="67"/>
      <c r="Q20" s="67"/>
      <c r="R20" s="67"/>
      <c r="S20" s="67"/>
      <c r="T20" s="67"/>
      <c r="U20" s="46"/>
      <c r="V20" s="46"/>
      <c r="W20" s="46"/>
      <c r="X20" s="46"/>
      <c r="Y20" s="414"/>
      <c r="Z20" s="413"/>
      <c r="AA20" s="413"/>
      <c r="AB20" s="413"/>
      <c r="AC20" s="437"/>
      <c r="AD20" s="437"/>
      <c r="AE20" s="436">
        <f>150+44</f>
        <v>194</v>
      </c>
      <c r="AF20" s="414">
        <f>180+22</f>
        <v>202</v>
      </c>
      <c r="AG20" s="414">
        <f>225+30</f>
        <v>255</v>
      </c>
      <c r="AH20" s="414">
        <v>266.48389999999995</v>
      </c>
      <c r="AI20" s="414">
        <f>210+10</f>
        <v>220</v>
      </c>
      <c r="AJ20" s="414"/>
      <c r="AK20" s="425">
        <f t="shared" si="2"/>
        <v>194</v>
      </c>
    </row>
    <row r="21" spans="1:41" ht="26.15" customHeight="1">
      <c r="A21" s="415">
        <v>17</v>
      </c>
      <c r="B21" s="437"/>
      <c r="C21" s="437"/>
      <c r="D21" s="437"/>
      <c r="E21" s="437"/>
      <c r="F21" s="1117" t="s">
        <v>113</v>
      </c>
      <c r="G21" s="437"/>
      <c r="H21" s="66">
        <v>339.3</v>
      </c>
      <c r="I21" s="66">
        <v>855.14499999999987</v>
      </c>
      <c r="J21" s="66">
        <f t="shared" si="3"/>
        <v>1194.4449999999999</v>
      </c>
      <c r="K21" s="66"/>
      <c r="L21" s="66"/>
      <c r="M21" s="66"/>
      <c r="N21" s="67">
        <f>[4]L5!E632</f>
        <v>45516</v>
      </c>
      <c r="O21" s="67">
        <f>[4]L5!F632</f>
        <v>45852</v>
      </c>
      <c r="P21" s="67"/>
      <c r="Q21" s="67"/>
      <c r="R21" s="67"/>
      <c r="S21" s="67"/>
      <c r="T21" s="67"/>
      <c r="U21" s="46"/>
      <c r="V21" s="46"/>
      <c r="W21" s="46"/>
      <c r="X21" s="46"/>
      <c r="Y21" s="413"/>
      <c r="Z21" s="414">
        <v>60</v>
      </c>
      <c r="AA21" s="414">
        <v>114</v>
      </c>
      <c r="AB21" s="414">
        <v>176</v>
      </c>
      <c r="AC21" s="436">
        <f>182+20</f>
        <v>202</v>
      </c>
      <c r="AD21" s="436">
        <f>103+10</f>
        <v>113</v>
      </c>
      <c r="AE21" s="436">
        <f>88+17</f>
        <v>105</v>
      </c>
      <c r="AF21" s="414">
        <f>13+67</f>
        <v>80</v>
      </c>
      <c r="AG21" s="414">
        <v>167</v>
      </c>
      <c r="AH21" s="414">
        <v>148</v>
      </c>
      <c r="AI21" s="414">
        <v>29.444999999999936</v>
      </c>
      <c r="AJ21" s="413"/>
      <c r="AK21" s="425">
        <f t="shared" si="2"/>
        <v>420</v>
      </c>
    </row>
    <row r="22" spans="1:41" ht="29.5" customHeight="1">
      <c r="A22" s="415">
        <v>18</v>
      </c>
      <c r="B22" s="437"/>
      <c r="C22" s="437"/>
      <c r="D22" s="437"/>
      <c r="E22" s="437"/>
      <c r="F22" s="458" t="s">
        <v>140</v>
      </c>
      <c r="G22" s="458"/>
      <c r="H22" s="109">
        <v>2.4</v>
      </c>
      <c r="I22" s="109">
        <v>93.44</v>
      </c>
      <c r="J22" s="108">
        <f t="shared" si="3"/>
        <v>95.84</v>
      </c>
      <c r="K22" s="108"/>
      <c r="L22" s="108"/>
      <c r="M22" s="108"/>
      <c r="N22" s="67">
        <f>[4]L5!E633</f>
        <v>45766</v>
      </c>
      <c r="O22" s="67">
        <f>[4]L5!F633</f>
        <v>45825</v>
      </c>
      <c r="P22" s="67"/>
      <c r="Q22" s="67"/>
      <c r="R22" s="67"/>
      <c r="S22" s="67"/>
      <c r="T22" s="67"/>
      <c r="U22" s="110"/>
      <c r="V22" s="110"/>
      <c r="W22" s="110"/>
      <c r="X22" s="110"/>
      <c r="Y22" s="414"/>
      <c r="Z22" s="414"/>
      <c r="AA22" s="414"/>
      <c r="AB22" s="414"/>
      <c r="AC22" s="414"/>
      <c r="AD22" s="414"/>
      <c r="AE22" s="414"/>
      <c r="AF22" s="414"/>
      <c r="AG22" s="414">
        <f>$J$21/3</f>
        <v>398.14833333333331</v>
      </c>
      <c r="AH22" s="414">
        <f>$J$21/3</f>
        <v>398.14833333333331</v>
      </c>
      <c r="AI22" s="414">
        <f>$J$21/3</f>
        <v>398.14833333333331</v>
      </c>
      <c r="AJ22" s="414"/>
      <c r="AK22" s="425">
        <f t="shared" si="2"/>
        <v>0</v>
      </c>
    </row>
    <row r="23" spans="1:41" ht="18.649999999999999" customHeight="1" thickBot="1">
      <c r="A23" s="427">
        <v>19</v>
      </c>
      <c r="B23" s="441"/>
      <c r="C23" s="441"/>
      <c r="D23" s="441"/>
      <c r="E23" s="441"/>
      <c r="F23" s="459" t="s">
        <v>141</v>
      </c>
      <c r="G23" s="459"/>
      <c r="H23" s="460"/>
      <c r="I23" s="461">
        <v>90</v>
      </c>
      <c r="J23" s="462">
        <f t="shared" si="3"/>
        <v>90</v>
      </c>
      <c r="K23" s="462"/>
      <c r="L23" s="462"/>
      <c r="M23" s="462"/>
      <c r="N23" s="452">
        <f>[4]L5!E634</f>
        <v>45698</v>
      </c>
      <c r="O23" s="452">
        <f>[4]L5!F634</f>
        <v>45787</v>
      </c>
      <c r="P23" s="452"/>
      <c r="Q23" s="452"/>
      <c r="R23" s="452"/>
      <c r="S23" s="452"/>
      <c r="T23" s="452"/>
      <c r="U23" s="463"/>
      <c r="V23" s="463"/>
      <c r="W23" s="463"/>
      <c r="X23" s="463"/>
      <c r="Y23" s="454"/>
      <c r="Z23" s="454"/>
      <c r="AA23" s="454"/>
      <c r="AB23" s="454"/>
      <c r="AC23" s="454"/>
      <c r="AD23" s="454"/>
      <c r="AE23" s="454"/>
      <c r="AF23" s="454"/>
      <c r="AG23" s="454">
        <f>$J$22/3</f>
        <v>31.946666666666669</v>
      </c>
      <c r="AH23" s="454">
        <f>$J$22/3</f>
        <v>31.946666666666669</v>
      </c>
      <c r="AI23" s="454">
        <f>$J$22/3</f>
        <v>31.946666666666669</v>
      </c>
      <c r="AJ23" s="454"/>
      <c r="AK23" s="425">
        <f t="shared" si="2"/>
        <v>0</v>
      </c>
    </row>
    <row r="24" spans="1:41" ht="24" thickBot="1">
      <c r="A24" s="802"/>
      <c r="B24" s="802"/>
      <c r="C24" s="802"/>
      <c r="D24" s="802"/>
      <c r="E24" s="802"/>
      <c r="F24" s="802" t="s">
        <v>132</v>
      </c>
      <c r="G24" s="802"/>
      <c r="H24" s="802">
        <v>5073.5999999999995</v>
      </c>
      <c r="I24" s="802">
        <v>16431.765004000001</v>
      </c>
      <c r="J24" s="802">
        <v>21505.365003999999</v>
      </c>
      <c r="K24" s="802"/>
      <c r="L24" s="802"/>
      <c r="M24" s="802"/>
      <c r="N24" s="802">
        <v>21505.365003999999</v>
      </c>
      <c r="O24" s="802">
        <v>21505.365003999999</v>
      </c>
      <c r="P24" s="802"/>
      <c r="Q24" s="802"/>
      <c r="R24" s="802"/>
      <c r="S24" s="802"/>
      <c r="T24" s="802"/>
      <c r="U24" s="802">
        <v>21505.365003999999</v>
      </c>
      <c r="V24" s="802">
        <v>21505.365003999999</v>
      </c>
      <c r="W24" s="802">
        <v>21505.365003999999</v>
      </c>
      <c r="X24" s="802">
        <v>21505.365003999999</v>
      </c>
      <c r="Y24" s="802"/>
      <c r="Z24" s="802"/>
      <c r="AA24" s="802"/>
      <c r="AB24" s="802"/>
      <c r="AC24" s="802"/>
      <c r="AD24" s="802"/>
      <c r="AE24" s="802"/>
      <c r="AF24" s="802"/>
      <c r="AG24" s="802"/>
      <c r="AH24" s="802"/>
      <c r="AI24" s="802"/>
      <c r="AJ24" s="802"/>
      <c r="AK24" s="802"/>
      <c r="AL24" s="802"/>
      <c r="AM24" s="802"/>
      <c r="AN24" s="802"/>
      <c r="AO24" s="802"/>
    </row>
    <row r="26" spans="1:41">
      <c r="J26" s="57"/>
      <c r="K26" s="57"/>
      <c r="L26" s="57"/>
      <c r="M26" s="57"/>
    </row>
  </sheetData>
  <autoFilter ref="A4:AK24" xr:uid="{ED9059A3-0F3D-4021-9D41-C7B90DBA4358}"/>
  <mergeCells count="1">
    <mergeCell ref="A2:X2"/>
  </mergeCells>
  <pageMargins left="0.7" right="0.7" top="0.75" bottom="0.75" header="0.3" footer="0.3"/>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5A16-3768-45BE-B615-A1EE153515ED}">
  <dimension ref="A1:W5"/>
  <sheetViews>
    <sheetView zoomScale="71" zoomScaleNormal="71" workbookViewId="0">
      <selection activeCell="O14" sqref="O14"/>
    </sheetView>
  </sheetViews>
  <sheetFormatPr defaultRowHeight="14.5"/>
  <cols>
    <col min="1" max="1" width="11.1796875" style="1109" bestFit="1" customWidth="1"/>
    <col min="2" max="23" width="7.81640625" style="1109" customWidth="1"/>
    <col min="24" max="16384" width="8.7265625" style="1109"/>
  </cols>
  <sheetData>
    <row r="1" spans="1:23">
      <c r="A1" s="1111" t="s">
        <v>2255</v>
      </c>
      <c r="B1" s="1112">
        <v>45352</v>
      </c>
      <c r="C1" s="1112">
        <v>45383</v>
      </c>
      <c r="D1" s="1112">
        <v>45413</v>
      </c>
      <c r="E1" s="1112">
        <v>45444</v>
      </c>
      <c r="F1" s="1112">
        <v>45474</v>
      </c>
      <c r="G1" s="1112">
        <v>45505</v>
      </c>
      <c r="H1" s="1112">
        <v>45536</v>
      </c>
      <c r="I1" s="1112">
        <v>45566</v>
      </c>
      <c r="J1" s="1112">
        <v>45597</v>
      </c>
      <c r="K1" s="1112">
        <v>45627</v>
      </c>
      <c r="L1" s="1112">
        <v>45658</v>
      </c>
      <c r="M1" s="1112">
        <v>45689</v>
      </c>
      <c r="N1" s="1112">
        <v>45717</v>
      </c>
      <c r="O1" s="1112">
        <v>45748</v>
      </c>
      <c r="P1" s="1112">
        <v>45778</v>
      </c>
      <c r="Q1" s="1112">
        <v>45809</v>
      </c>
      <c r="R1" s="1112">
        <v>45839</v>
      </c>
      <c r="S1" s="1112">
        <v>45870</v>
      </c>
      <c r="T1" s="1112">
        <v>45901</v>
      </c>
      <c r="U1" s="1112">
        <v>45931</v>
      </c>
      <c r="V1" s="1112">
        <v>45962</v>
      </c>
      <c r="W1" s="1112">
        <v>45992</v>
      </c>
    </row>
    <row r="2" spans="1:23">
      <c r="A2" s="1113" t="s">
        <v>2247</v>
      </c>
      <c r="B2" s="1110">
        <v>663</v>
      </c>
      <c r="C2" s="1110">
        <v>1003</v>
      </c>
      <c r="D2" s="1110">
        <v>1000</v>
      </c>
      <c r="E2" s="1110">
        <v>1108</v>
      </c>
      <c r="F2" s="1110">
        <v>178</v>
      </c>
      <c r="G2" s="1110">
        <v>384</v>
      </c>
      <c r="H2" s="1110">
        <v>529</v>
      </c>
      <c r="I2" s="1110">
        <v>367</v>
      </c>
      <c r="J2" s="1110">
        <v>368</v>
      </c>
      <c r="K2" s="1110">
        <v>532</v>
      </c>
      <c r="L2" s="1110">
        <v>882</v>
      </c>
      <c r="M2" s="1110">
        <v>865</v>
      </c>
      <c r="N2" s="1110">
        <v>865</v>
      </c>
      <c r="O2" s="1110">
        <v>865</v>
      </c>
      <c r="P2" s="1114"/>
      <c r="Q2" s="1114"/>
      <c r="R2" s="1114"/>
      <c r="S2" s="1114"/>
      <c r="T2" s="1114"/>
      <c r="U2" s="1114"/>
      <c r="V2" s="1114"/>
      <c r="W2" s="1114"/>
    </row>
    <row r="3" spans="1:23">
      <c r="A3" s="1113" t="s">
        <v>2248</v>
      </c>
      <c r="B3" s="1110">
        <v>20</v>
      </c>
      <c r="C3" s="1110">
        <v>80</v>
      </c>
      <c r="D3" s="1110">
        <v>150</v>
      </c>
      <c r="E3" s="1110">
        <v>200</v>
      </c>
      <c r="F3" s="1110">
        <v>9</v>
      </c>
      <c r="G3" s="1110">
        <v>11</v>
      </c>
      <c r="H3" s="1110">
        <v>29</v>
      </c>
      <c r="I3" s="1110">
        <v>29</v>
      </c>
      <c r="J3" s="1110">
        <v>29</v>
      </c>
      <c r="K3" s="1110">
        <v>44</v>
      </c>
      <c r="L3" s="1110">
        <v>44</v>
      </c>
      <c r="M3" s="1110">
        <v>289</v>
      </c>
      <c r="N3" s="1110">
        <v>314</v>
      </c>
      <c r="O3" s="1110">
        <v>314</v>
      </c>
      <c r="P3" s="1114"/>
      <c r="Q3" s="1114"/>
      <c r="R3" s="1114"/>
      <c r="S3" s="1114"/>
      <c r="T3" s="1114"/>
      <c r="U3" s="1114"/>
      <c r="V3" s="1114"/>
      <c r="W3" s="1114"/>
    </row>
    <row r="4" spans="1:23">
      <c r="A4" s="1113" t="s">
        <v>2249</v>
      </c>
      <c r="B4" s="1114"/>
      <c r="C4" s="1114"/>
      <c r="D4" s="1114"/>
      <c r="E4" s="1114"/>
      <c r="F4" s="1114"/>
      <c r="G4" s="1114"/>
      <c r="H4" s="1114"/>
      <c r="I4" s="1114"/>
      <c r="J4" s="1114"/>
      <c r="K4" s="1114"/>
      <c r="L4" s="1114"/>
      <c r="M4" s="1114"/>
      <c r="N4" s="1114"/>
      <c r="O4" s="1114"/>
      <c r="P4" s="1114"/>
      <c r="Q4" s="1114"/>
      <c r="R4" s="1114"/>
      <c r="S4" s="1114"/>
      <c r="T4" s="1114"/>
      <c r="U4" s="1114"/>
      <c r="V4" s="1114"/>
      <c r="W4" s="1114"/>
    </row>
    <row r="5" spans="1:23">
      <c r="A5" s="1113" t="s">
        <v>2250</v>
      </c>
      <c r="B5" s="1114"/>
      <c r="C5" s="1114"/>
      <c r="D5" s="1114"/>
      <c r="E5" s="1114"/>
      <c r="F5" s="1114"/>
      <c r="G5" s="1114"/>
      <c r="H5" s="1114"/>
      <c r="I5" s="1114"/>
      <c r="J5" s="1114"/>
      <c r="K5" s="1114"/>
      <c r="L5" s="1114"/>
      <c r="M5" s="1114"/>
      <c r="N5" s="1114"/>
      <c r="O5" s="1114"/>
      <c r="P5" s="1114"/>
      <c r="Q5" s="1114"/>
      <c r="R5" s="1114"/>
      <c r="S5" s="1114"/>
      <c r="T5" s="1114"/>
      <c r="U5" s="1114"/>
      <c r="V5" s="1114"/>
      <c r="W5" s="1114"/>
    </row>
  </sheetData>
  <conditionalFormatting sqref="A2:A5">
    <cfRule type="cellIs" dxfId="50" priority="1" operator="equal">
      <formula>0</formula>
    </cfRule>
  </conditionalFormatting>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93E5C-0327-41F0-99CA-11539115BA3D}">
  <dimension ref="A1:N23"/>
  <sheetViews>
    <sheetView workbookViewId="0">
      <selection activeCell="P5" sqref="P5"/>
    </sheetView>
  </sheetViews>
  <sheetFormatPr defaultRowHeight="14.5"/>
  <cols>
    <col min="11" max="11" width="13.08984375" customWidth="1"/>
    <col min="12" max="12" width="13.36328125" customWidth="1"/>
    <col min="13" max="14" width="8.7265625" style="132"/>
  </cols>
  <sheetData>
    <row r="1" spans="1:14">
      <c r="A1" s="1121" t="str" cm="1">
        <f t="array" ref="A1:E23">TRANSPOSE('Manpower Trend - A'!A1:W5)</f>
        <v>Department (P)</v>
      </c>
      <c r="B1" s="1111" t="str">
        <v>Civil (P)</v>
      </c>
      <c r="C1" s="1111" t="str">
        <v>Mechanical(P)</v>
      </c>
      <c r="D1" s="1111" t="str">
        <v>E&amp;I(P)</v>
      </c>
      <c r="E1" s="1111" t="str">
        <v>Process(P)</v>
      </c>
      <c r="F1" s="1121" t="str" cm="1">
        <f t="array" ref="F1:J23">TRANSPOSE('Manpower Trend - P'!A1:W5)</f>
        <v>Department (A)</v>
      </c>
      <c r="G1" s="1111" t="str">
        <v>Civil (A)</v>
      </c>
      <c r="H1" s="1111" t="str">
        <v>Mechanical (A)</v>
      </c>
      <c r="I1" s="1111" t="str">
        <v>E&amp;I(A)</v>
      </c>
      <c r="J1" t="str">
        <v>Process(A)</v>
      </c>
      <c r="K1" t="s">
        <v>2257</v>
      </c>
      <c r="L1" s="1109" t="s">
        <v>2258</v>
      </c>
      <c r="M1" s="132" t="s">
        <v>2259</v>
      </c>
      <c r="N1" s="132" t="s">
        <v>2260</v>
      </c>
    </row>
    <row r="2" spans="1:14">
      <c r="A2" s="1112">
        <v>45352</v>
      </c>
      <c r="B2" s="1110">
        <v>663</v>
      </c>
      <c r="C2" s="1110">
        <v>20</v>
      </c>
      <c r="D2" s="1114">
        <v>0</v>
      </c>
      <c r="E2" s="1114">
        <v>0</v>
      </c>
      <c r="F2" s="1112">
        <v>45352</v>
      </c>
      <c r="G2" s="1110">
        <v>663</v>
      </c>
      <c r="H2" s="1110">
        <v>20</v>
      </c>
      <c r="I2" s="1114">
        <v>0</v>
      </c>
      <c r="J2">
        <v>0</v>
      </c>
      <c r="K2" s="569">
        <f>B2+C2+D2+E2</f>
        <v>683</v>
      </c>
      <c r="L2" s="569">
        <f>G2+H2+I2+J2</f>
        <v>683</v>
      </c>
      <c r="M2" s="341">
        <f>MAX(K2:K23)</f>
        <v>1308</v>
      </c>
      <c r="N2" s="341">
        <f>MAX(L2:L23)</f>
        <v>2808</v>
      </c>
    </row>
    <row r="3" spans="1:14">
      <c r="A3" s="1112">
        <v>45383</v>
      </c>
      <c r="B3" s="1110">
        <v>1003</v>
      </c>
      <c r="C3" s="1110">
        <v>80</v>
      </c>
      <c r="D3" s="1114">
        <v>0</v>
      </c>
      <c r="E3" s="1114">
        <v>0</v>
      </c>
      <c r="F3" s="1112">
        <v>45383</v>
      </c>
      <c r="G3" s="1110">
        <v>1003</v>
      </c>
      <c r="H3" s="1110">
        <v>80</v>
      </c>
      <c r="I3" s="1114">
        <v>0</v>
      </c>
      <c r="J3">
        <v>0</v>
      </c>
      <c r="K3" s="569">
        <f t="shared" ref="K3:K23" si="0">B3+C3+D3+E3</f>
        <v>1083</v>
      </c>
      <c r="L3" s="569">
        <f t="shared" ref="L3:L23" si="1">G3+H3+I3+J3</f>
        <v>1083</v>
      </c>
    </row>
    <row r="4" spans="1:14">
      <c r="A4" s="1112">
        <v>45413</v>
      </c>
      <c r="B4" s="1110">
        <v>1000</v>
      </c>
      <c r="C4" s="1110">
        <v>150</v>
      </c>
      <c r="D4" s="1114">
        <v>0</v>
      </c>
      <c r="E4" s="1114">
        <v>0</v>
      </c>
      <c r="F4" s="1112">
        <v>45413</v>
      </c>
      <c r="G4" s="1110">
        <v>1000</v>
      </c>
      <c r="H4" s="1110">
        <v>150</v>
      </c>
      <c r="I4" s="1114">
        <v>0</v>
      </c>
      <c r="J4">
        <v>0</v>
      </c>
      <c r="K4" s="569">
        <f t="shared" si="0"/>
        <v>1150</v>
      </c>
      <c r="L4" s="569">
        <f t="shared" si="1"/>
        <v>1150</v>
      </c>
    </row>
    <row r="5" spans="1:14">
      <c r="A5" s="1112">
        <v>45444</v>
      </c>
      <c r="B5" s="1110">
        <v>1108</v>
      </c>
      <c r="C5" s="1110">
        <v>200</v>
      </c>
      <c r="D5" s="1114">
        <v>0</v>
      </c>
      <c r="E5" s="1114">
        <v>0</v>
      </c>
      <c r="F5" s="1112">
        <v>45444</v>
      </c>
      <c r="G5" s="1110">
        <v>1108</v>
      </c>
      <c r="H5" s="1110">
        <v>200</v>
      </c>
      <c r="I5" s="1114">
        <v>0</v>
      </c>
      <c r="J5">
        <v>0</v>
      </c>
      <c r="K5" s="569">
        <f t="shared" si="0"/>
        <v>1308</v>
      </c>
      <c r="L5" s="569">
        <f t="shared" si="1"/>
        <v>1308</v>
      </c>
    </row>
    <row r="6" spans="1:14">
      <c r="A6" s="1112">
        <v>45474</v>
      </c>
      <c r="B6" s="1110">
        <v>178</v>
      </c>
      <c r="C6" s="1110">
        <v>9</v>
      </c>
      <c r="D6" s="1114">
        <v>0</v>
      </c>
      <c r="E6" s="1114">
        <v>0</v>
      </c>
      <c r="F6" s="1112">
        <v>45474</v>
      </c>
      <c r="G6" s="1110">
        <v>663</v>
      </c>
      <c r="H6" s="1110">
        <v>20</v>
      </c>
      <c r="I6" s="1114">
        <v>0</v>
      </c>
      <c r="J6">
        <v>0</v>
      </c>
      <c r="K6" s="569">
        <f t="shared" si="0"/>
        <v>187</v>
      </c>
      <c r="L6" s="569">
        <f t="shared" si="1"/>
        <v>683</v>
      </c>
    </row>
    <row r="7" spans="1:14">
      <c r="A7" s="1112">
        <v>45505</v>
      </c>
      <c r="B7" s="1110">
        <v>384</v>
      </c>
      <c r="C7" s="1110">
        <v>11</v>
      </c>
      <c r="D7" s="1114">
        <v>0</v>
      </c>
      <c r="E7" s="1114">
        <v>0</v>
      </c>
      <c r="F7" s="1112">
        <v>45505</v>
      </c>
      <c r="G7" s="1110">
        <v>1003</v>
      </c>
      <c r="H7" s="1110">
        <v>80</v>
      </c>
      <c r="I7" s="1114">
        <v>0</v>
      </c>
      <c r="J7">
        <v>0</v>
      </c>
      <c r="K7" s="569">
        <f t="shared" si="0"/>
        <v>395</v>
      </c>
      <c r="L7" s="569">
        <f t="shared" si="1"/>
        <v>1083</v>
      </c>
    </row>
    <row r="8" spans="1:14">
      <c r="A8" s="1112">
        <v>45536</v>
      </c>
      <c r="B8" s="1110">
        <v>529</v>
      </c>
      <c r="C8" s="1110">
        <v>29</v>
      </c>
      <c r="D8" s="1114">
        <v>0</v>
      </c>
      <c r="E8" s="1114">
        <v>0</v>
      </c>
      <c r="F8" s="1112">
        <v>45536</v>
      </c>
      <c r="G8" s="1110">
        <v>1000</v>
      </c>
      <c r="H8" s="1110">
        <v>20</v>
      </c>
      <c r="I8" s="1114">
        <v>0</v>
      </c>
      <c r="J8">
        <v>0</v>
      </c>
      <c r="K8" s="569">
        <f t="shared" si="0"/>
        <v>558</v>
      </c>
      <c r="L8" s="569">
        <f t="shared" si="1"/>
        <v>1020</v>
      </c>
    </row>
    <row r="9" spans="1:14">
      <c r="A9" s="1112">
        <v>45566</v>
      </c>
      <c r="B9" s="1110">
        <v>367</v>
      </c>
      <c r="C9" s="1110">
        <v>29</v>
      </c>
      <c r="D9" s="1114">
        <v>0</v>
      </c>
      <c r="E9" s="1114">
        <v>0</v>
      </c>
      <c r="F9" s="1112">
        <v>45566</v>
      </c>
      <c r="G9" s="1110">
        <v>708</v>
      </c>
      <c r="H9" s="1110">
        <v>20</v>
      </c>
      <c r="I9" s="1114">
        <v>0</v>
      </c>
      <c r="J9">
        <v>0</v>
      </c>
      <c r="K9" s="569">
        <f t="shared" si="0"/>
        <v>396</v>
      </c>
      <c r="L9" s="569">
        <f t="shared" si="1"/>
        <v>728</v>
      </c>
    </row>
    <row r="10" spans="1:14">
      <c r="A10" s="1112">
        <v>45597</v>
      </c>
      <c r="B10" s="1110">
        <v>368</v>
      </c>
      <c r="C10" s="1110">
        <v>29</v>
      </c>
      <c r="D10" s="1114">
        <v>0</v>
      </c>
      <c r="E10" s="1114">
        <v>0</v>
      </c>
      <c r="F10" s="1112">
        <v>45597</v>
      </c>
      <c r="G10" s="1110">
        <v>708</v>
      </c>
      <c r="H10" s="1110">
        <v>20</v>
      </c>
      <c r="I10" s="1114">
        <v>0</v>
      </c>
      <c r="J10">
        <v>0</v>
      </c>
      <c r="K10" s="569">
        <f t="shared" si="0"/>
        <v>397</v>
      </c>
      <c r="L10" s="569">
        <f t="shared" si="1"/>
        <v>728</v>
      </c>
    </row>
    <row r="11" spans="1:14">
      <c r="A11" s="1112">
        <v>45627</v>
      </c>
      <c r="B11" s="1110">
        <v>532</v>
      </c>
      <c r="C11" s="1110">
        <v>44</v>
      </c>
      <c r="D11" s="1114">
        <v>0</v>
      </c>
      <c r="E11" s="1114">
        <v>0</v>
      </c>
      <c r="F11" s="1112">
        <v>45627</v>
      </c>
      <c r="G11" s="1110">
        <v>708</v>
      </c>
      <c r="H11" s="1110">
        <v>20</v>
      </c>
      <c r="I11" s="1114">
        <v>0</v>
      </c>
      <c r="J11">
        <v>0</v>
      </c>
      <c r="K11" s="569">
        <f t="shared" si="0"/>
        <v>576</v>
      </c>
      <c r="L11" s="569">
        <f t="shared" si="1"/>
        <v>728</v>
      </c>
    </row>
    <row r="12" spans="1:14">
      <c r="A12" s="1112">
        <v>45658</v>
      </c>
      <c r="B12" s="1110">
        <v>882</v>
      </c>
      <c r="C12" s="1110">
        <v>44</v>
      </c>
      <c r="D12" s="1114">
        <v>0</v>
      </c>
      <c r="E12" s="1114">
        <v>0</v>
      </c>
      <c r="F12" s="1112">
        <v>45658</v>
      </c>
      <c r="G12" s="1110">
        <v>1454</v>
      </c>
      <c r="H12" s="1110">
        <v>576</v>
      </c>
      <c r="I12" s="1114">
        <v>0</v>
      </c>
      <c r="J12">
        <v>0</v>
      </c>
      <c r="K12" s="569">
        <f t="shared" si="0"/>
        <v>926</v>
      </c>
      <c r="L12" s="569">
        <f t="shared" si="1"/>
        <v>2030</v>
      </c>
    </row>
    <row r="13" spans="1:14">
      <c r="A13" s="1112">
        <v>45689</v>
      </c>
      <c r="B13" s="1110">
        <v>865</v>
      </c>
      <c r="C13" s="1110">
        <v>289</v>
      </c>
      <c r="D13" s="1114">
        <v>0</v>
      </c>
      <c r="E13" s="1114">
        <v>0</v>
      </c>
      <c r="F13" s="1112">
        <v>45689</v>
      </c>
      <c r="G13" s="1110">
        <v>708</v>
      </c>
      <c r="H13" s="1110">
        <v>643</v>
      </c>
      <c r="I13" s="1114">
        <v>0</v>
      </c>
      <c r="J13">
        <v>0</v>
      </c>
      <c r="K13" s="569">
        <f t="shared" si="0"/>
        <v>1154</v>
      </c>
      <c r="L13" s="569">
        <f t="shared" si="1"/>
        <v>1351</v>
      </c>
    </row>
    <row r="14" spans="1:14">
      <c r="A14" s="1112">
        <v>45717</v>
      </c>
      <c r="B14" s="1110">
        <v>865</v>
      </c>
      <c r="C14" s="1110">
        <v>314</v>
      </c>
      <c r="D14" s="1114">
        <v>0</v>
      </c>
      <c r="E14" s="1114">
        <v>0</v>
      </c>
      <c r="F14" s="1112">
        <v>45717</v>
      </c>
      <c r="G14" s="1110">
        <v>1544</v>
      </c>
      <c r="H14" s="1110">
        <v>1140</v>
      </c>
      <c r="I14" s="1114">
        <v>0</v>
      </c>
      <c r="J14">
        <v>0</v>
      </c>
      <c r="K14" s="569">
        <f t="shared" si="0"/>
        <v>1179</v>
      </c>
      <c r="L14" s="569">
        <f t="shared" si="1"/>
        <v>2684</v>
      </c>
    </row>
    <row r="15" spans="1:14">
      <c r="A15" s="1112">
        <v>45748</v>
      </c>
      <c r="B15" s="1110">
        <v>865</v>
      </c>
      <c r="C15" s="1110">
        <v>314</v>
      </c>
      <c r="D15" s="1114">
        <v>0</v>
      </c>
      <c r="E15" s="1114">
        <v>0</v>
      </c>
      <c r="F15" s="1112">
        <v>45748</v>
      </c>
      <c r="G15" s="1110">
        <v>1603</v>
      </c>
      <c r="H15" s="1110">
        <v>1205</v>
      </c>
      <c r="I15" s="1114">
        <v>0</v>
      </c>
      <c r="J15">
        <v>0</v>
      </c>
      <c r="K15" s="569">
        <f t="shared" si="0"/>
        <v>1179</v>
      </c>
      <c r="L15" s="569">
        <f t="shared" si="1"/>
        <v>2808</v>
      </c>
    </row>
    <row r="16" spans="1:14">
      <c r="A16" s="1112">
        <v>45778</v>
      </c>
      <c r="B16" s="1114">
        <v>0</v>
      </c>
      <c r="C16" s="1114">
        <v>0</v>
      </c>
      <c r="D16" s="1114">
        <v>0</v>
      </c>
      <c r="E16" s="1114">
        <v>0</v>
      </c>
      <c r="F16" s="1112">
        <v>45778</v>
      </c>
      <c r="G16" s="1114">
        <v>0</v>
      </c>
      <c r="H16" s="1114">
        <v>0</v>
      </c>
      <c r="I16" s="1114">
        <v>0</v>
      </c>
      <c r="J16">
        <v>0</v>
      </c>
      <c r="K16" s="569">
        <f t="shared" si="0"/>
        <v>0</v>
      </c>
      <c r="L16" s="569">
        <f t="shared" si="1"/>
        <v>0</v>
      </c>
    </row>
    <row r="17" spans="1:12">
      <c r="A17" s="1112">
        <v>45809</v>
      </c>
      <c r="B17" s="1114">
        <v>0</v>
      </c>
      <c r="C17" s="1114">
        <v>0</v>
      </c>
      <c r="D17" s="1114">
        <v>0</v>
      </c>
      <c r="E17" s="1114">
        <v>0</v>
      </c>
      <c r="F17" s="1112">
        <v>45809</v>
      </c>
      <c r="G17" s="1114">
        <v>0</v>
      </c>
      <c r="H17" s="1114">
        <v>0</v>
      </c>
      <c r="I17" s="1114">
        <v>0</v>
      </c>
      <c r="J17">
        <v>0</v>
      </c>
      <c r="K17" s="569">
        <f t="shared" si="0"/>
        <v>0</v>
      </c>
      <c r="L17" s="569">
        <f t="shared" si="1"/>
        <v>0</v>
      </c>
    </row>
    <row r="18" spans="1:12">
      <c r="A18" s="1112">
        <v>45839</v>
      </c>
      <c r="B18" s="1114">
        <v>0</v>
      </c>
      <c r="C18" s="1114">
        <v>0</v>
      </c>
      <c r="D18" s="1114">
        <v>0</v>
      </c>
      <c r="E18" s="1114">
        <v>0</v>
      </c>
      <c r="F18" s="1112">
        <v>45839</v>
      </c>
      <c r="G18" s="1114">
        <v>0</v>
      </c>
      <c r="H18" s="1114">
        <v>0</v>
      </c>
      <c r="I18" s="1114">
        <v>0</v>
      </c>
      <c r="J18">
        <v>0</v>
      </c>
      <c r="K18" s="569">
        <f t="shared" si="0"/>
        <v>0</v>
      </c>
      <c r="L18" s="569">
        <f t="shared" si="1"/>
        <v>0</v>
      </c>
    </row>
    <row r="19" spans="1:12">
      <c r="A19" s="1112">
        <v>45870</v>
      </c>
      <c r="B19" s="1114">
        <v>0</v>
      </c>
      <c r="C19" s="1114">
        <v>0</v>
      </c>
      <c r="D19" s="1114">
        <v>0</v>
      </c>
      <c r="E19" s="1114">
        <v>0</v>
      </c>
      <c r="F19" s="1112">
        <v>45870</v>
      </c>
      <c r="G19" s="1114">
        <v>0</v>
      </c>
      <c r="H19" s="1114">
        <v>0</v>
      </c>
      <c r="I19" s="1114">
        <v>0</v>
      </c>
      <c r="J19">
        <v>0</v>
      </c>
      <c r="K19" s="569">
        <f t="shared" si="0"/>
        <v>0</v>
      </c>
      <c r="L19" s="569">
        <f t="shared" si="1"/>
        <v>0</v>
      </c>
    </row>
    <row r="20" spans="1:12">
      <c r="A20" s="1112">
        <v>45901</v>
      </c>
      <c r="B20" s="1114">
        <v>0</v>
      </c>
      <c r="C20" s="1114">
        <v>0</v>
      </c>
      <c r="D20" s="1114">
        <v>0</v>
      </c>
      <c r="E20" s="1114">
        <v>0</v>
      </c>
      <c r="F20" s="1112">
        <v>45901</v>
      </c>
      <c r="G20" s="1114">
        <v>0</v>
      </c>
      <c r="H20" s="1114">
        <v>0</v>
      </c>
      <c r="I20" s="1114">
        <v>0</v>
      </c>
      <c r="J20">
        <v>0</v>
      </c>
      <c r="K20" s="569">
        <f t="shared" si="0"/>
        <v>0</v>
      </c>
      <c r="L20" s="569">
        <f t="shared" si="1"/>
        <v>0</v>
      </c>
    </row>
    <row r="21" spans="1:12">
      <c r="A21" s="1112">
        <v>45931</v>
      </c>
      <c r="B21" s="1114">
        <v>0</v>
      </c>
      <c r="C21" s="1114">
        <v>0</v>
      </c>
      <c r="D21" s="1114">
        <v>0</v>
      </c>
      <c r="E21" s="1114">
        <v>0</v>
      </c>
      <c r="F21" s="1112">
        <v>45931</v>
      </c>
      <c r="G21" s="1114">
        <v>0</v>
      </c>
      <c r="H21" s="1114">
        <v>0</v>
      </c>
      <c r="I21" s="1114">
        <v>0</v>
      </c>
      <c r="J21">
        <v>0</v>
      </c>
      <c r="K21" s="569">
        <f t="shared" si="0"/>
        <v>0</v>
      </c>
      <c r="L21" s="569">
        <f t="shared" si="1"/>
        <v>0</v>
      </c>
    </row>
    <row r="22" spans="1:12">
      <c r="A22" s="1112">
        <v>45962</v>
      </c>
      <c r="B22" s="1114">
        <v>0</v>
      </c>
      <c r="C22" s="1114">
        <v>0</v>
      </c>
      <c r="D22" s="1114">
        <v>0</v>
      </c>
      <c r="E22" s="1114">
        <v>0</v>
      </c>
      <c r="F22" s="1112">
        <v>45962</v>
      </c>
      <c r="G22" s="1114">
        <v>0</v>
      </c>
      <c r="H22" s="1114">
        <v>0</v>
      </c>
      <c r="I22" s="1114">
        <v>0</v>
      </c>
      <c r="J22">
        <v>0</v>
      </c>
      <c r="K22" s="569">
        <f t="shared" si="0"/>
        <v>0</v>
      </c>
      <c r="L22" s="569">
        <f t="shared" si="1"/>
        <v>0</v>
      </c>
    </row>
    <row r="23" spans="1:12">
      <c r="A23" s="1112">
        <v>45992</v>
      </c>
      <c r="B23" s="1114">
        <v>0</v>
      </c>
      <c r="C23" s="1114">
        <v>0</v>
      </c>
      <c r="D23" s="1114">
        <v>0</v>
      </c>
      <c r="E23" s="1114">
        <v>0</v>
      </c>
      <c r="F23" s="1112">
        <v>45992</v>
      </c>
      <c r="G23" s="1114">
        <v>0</v>
      </c>
      <c r="H23" s="1114">
        <v>0</v>
      </c>
      <c r="I23" s="1114">
        <v>0</v>
      </c>
      <c r="J23">
        <v>0</v>
      </c>
      <c r="K23" s="569">
        <f t="shared" si="0"/>
        <v>0</v>
      </c>
      <c r="L23" s="569">
        <f t="shared" si="1"/>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DDAD-CDE2-48D7-8A6F-FD9A464A7286}">
  <dimension ref="A1:W5"/>
  <sheetViews>
    <sheetView workbookViewId="0">
      <selection activeCell="S18" sqref="S18"/>
    </sheetView>
  </sheetViews>
  <sheetFormatPr defaultRowHeight="14.5"/>
  <cols>
    <col min="1" max="1" width="11.7265625" style="1109" bestFit="1" customWidth="1"/>
    <col min="2" max="2" width="7.54296875" style="1109" bestFit="1" customWidth="1"/>
    <col min="3" max="3" width="6.453125" style="1109" bestFit="1" customWidth="1"/>
    <col min="4" max="4" width="7.1796875" style="1109" bestFit="1" customWidth="1"/>
    <col min="5" max="5" width="6.26953125" style="1109" bestFit="1" customWidth="1"/>
    <col min="6" max="6" width="5.7265625" style="1109" bestFit="1" customWidth="1"/>
    <col min="7" max="7" width="6.7265625" style="1109" bestFit="1" customWidth="1"/>
    <col min="8" max="8" width="6.54296875" style="1109" bestFit="1" customWidth="1"/>
    <col min="9" max="9" width="6.453125" style="1109" bestFit="1" customWidth="1"/>
    <col min="10" max="11" width="7.26953125" style="1109" customWidth="1"/>
    <col min="12" max="12" width="6.81640625" style="1109" bestFit="1" customWidth="1"/>
    <col min="13" max="13" width="7.54296875" style="1109" customWidth="1"/>
    <col min="14" max="14" width="8.1796875" style="1109" customWidth="1"/>
    <col min="15" max="15" width="9" style="1109" customWidth="1"/>
    <col min="16" max="16" width="7.1796875" style="1109" bestFit="1" customWidth="1"/>
    <col min="17" max="17" width="6.26953125" style="1109" bestFit="1" customWidth="1"/>
    <col min="18" max="18" width="5.7265625" style="1109" bestFit="1" customWidth="1"/>
    <col min="19" max="19" width="6.7265625" style="1109" bestFit="1" customWidth="1"/>
    <col min="20" max="20" width="6.54296875" style="1109" bestFit="1" customWidth="1"/>
    <col min="21" max="21" width="6.453125" style="1109" bestFit="1" customWidth="1"/>
    <col min="22" max="22" width="6.81640625" style="1109" bestFit="1" customWidth="1"/>
    <col min="23" max="23" width="6.54296875" style="1109" bestFit="1" customWidth="1"/>
    <col min="24" max="16384" width="8.7265625" style="1109"/>
  </cols>
  <sheetData>
    <row r="1" spans="1:23">
      <c r="A1" s="1111" t="s">
        <v>2256</v>
      </c>
      <c r="B1" s="1112">
        <v>45352</v>
      </c>
      <c r="C1" s="1112">
        <v>45383</v>
      </c>
      <c r="D1" s="1112">
        <v>45413</v>
      </c>
      <c r="E1" s="1112">
        <v>45444</v>
      </c>
      <c r="F1" s="1112">
        <v>45474</v>
      </c>
      <c r="G1" s="1112">
        <v>45505</v>
      </c>
      <c r="H1" s="1112">
        <v>45536</v>
      </c>
      <c r="I1" s="1112">
        <v>45566</v>
      </c>
      <c r="J1" s="1112">
        <v>45597</v>
      </c>
      <c r="K1" s="1112">
        <v>45627</v>
      </c>
      <c r="L1" s="1112">
        <v>45658</v>
      </c>
      <c r="M1" s="1112">
        <v>45689</v>
      </c>
      <c r="N1" s="1112">
        <v>45717</v>
      </c>
      <c r="O1" s="1112">
        <v>45748</v>
      </c>
      <c r="P1" s="1112">
        <v>45778</v>
      </c>
      <c r="Q1" s="1112">
        <v>45809</v>
      </c>
      <c r="R1" s="1112">
        <v>45839</v>
      </c>
      <c r="S1" s="1112">
        <v>45870</v>
      </c>
      <c r="T1" s="1112">
        <v>45901</v>
      </c>
      <c r="U1" s="1112">
        <v>45931</v>
      </c>
      <c r="V1" s="1112">
        <v>45962</v>
      </c>
      <c r="W1" s="1112">
        <v>45992</v>
      </c>
    </row>
    <row r="2" spans="1:23">
      <c r="A2" s="1113" t="s">
        <v>2251</v>
      </c>
      <c r="B2" s="1110">
        <v>663</v>
      </c>
      <c r="C2" s="1110">
        <v>1003</v>
      </c>
      <c r="D2" s="1110">
        <v>1000</v>
      </c>
      <c r="E2" s="1110">
        <v>1108</v>
      </c>
      <c r="F2" s="1122">
        <v>663</v>
      </c>
      <c r="G2" s="1122">
        <v>1003</v>
      </c>
      <c r="H2" s="1122">
        <v>1000</v>
      </c>
      <c r="I2" s="1122">
        <v>708</v>
      </c>
      <c r="J2" s="1122">
        <v>708</v>
      </c>
      <c r="K2" s="1122">
        <v>708</v>
      </c>
      <c r="L2" s="1122">
        <v>1454</v>
      </c>
      <c r="M2" s="1122">
        <v>708</v>
      </c>
      <c r="N2" s="1122">
        <v>1544</v>
      </c>
      <c r="O2" s="1110">
        <v>1603</v>
      </c>
      <c r="P2" s="1114"/>
      <c r="Q2" s="1114"/>
      <c r="R2" s="1114"/>
      <c r="S2" s="1114"/>
      <c r="T2" s="1114"/>
      <c r="U2" s="1114"/>
      <c r="V2" s="1114"/>
      <c r="W2" s="1114"/>
    </row>
    <row r="3" spans="1:23">
      <c r="A3" s="1113" t="s">
        <v>2252</v>
      </c>
      <c r="B3" s="1110">
        <v>20</v>
      </c>
      <c r="C3" s="1110">
        <v>80</v>
      </c>
      <c r="D3" s="1110">
        <v>150</v>
      </c>
      <c r="E3" s="1110">
        <v>200</v>
      </c>
      <c r="F3" s="1122">
        <v>20</v>
      </c>
      <c r="G3" s="1122">
        <v>80</v>
      </c>
      <c r="H3" s="1122">
        <v>20</v>
      </c>
      <c r="I3" s="1122">
        <v>20</v>
      </c>
      <c r="J3" s="1122">
        <v>20</v>
      </c>
      <c r="K3" s="1122">
        <v>20</v>
      </c>
      <c r="L3" s="1122">
        <v>576</v>
      </c>
      <c r="M3" s="1122">
        <v>643</v>
      </c>
      <c r="N3" s="1122">
        <v>1140</v>
      </c>
      <c r="O3" s="1110">
        <v>1205</v>
      </c>
      <c r="P3" s="1114"/>
      <c r="Q3" s="1114"/>
      <c r="R3" s="1114"/>
      <c r="S3" s="1114"/>
      <c r="T3" s="1114"/>
      <c r="U3" s="1114"/>
      <c r="V3" s="1114"/>
      <c r="W3" s="1114"/>
    </row>
    <row r="4" spans="1:23">
      <c r="A4" s="1113" t="s">
        <v>2253</v>
      </c>
      <c r="B4" s="1114"/>
      <c r="C4" s="1114"/>
      <c r="D4" s="1114"/>
      <c r="E4" s="1114"/>
      <c r="F4" s="1114"/>
      <c r="G4" s="1114"/>
      <c r="H4" s="1114"/>
      <c r="I4" s="1114"/>
      <c r="J4" s="1114"/>
      <c r="K4" s="1114"/>
      <c r="L4" s="1114"/>
      <c r="M4" s="1114"/>
      <c r="N4" s="1114"/>
      <c r="O4" s="1114"/>
      <c r="P4" s="1114"/>
      <c r="Q4" s="1114"/>
      <c r="R4" s="1114"/>
      <c r="S4" s="1114"/>
      <c r="T4" s="1114"/>
      <c r="U4" s="1114"/>
      <c r="V4" s="1114"/>
      <c r="W4" s="1114"/>
    </row>
    <row r="5" spans="1:23">
      <c r="A5" s="1113" t="s">
        <v>2254</v>
      </c>
      <c r="B5" s="1114"/>
      <c r="C5" s="1114"/>
      <c r="D5" s="1114"/>
      <c r="E5" s="1114"/>
      <c r="F5" s="1114"/>
      <c r="G5" s="1114"/>
      <c r="H5" s="1114"/>
      <c r="I5" s="1114"/>
      <c r="J5" s="1114"/>
      <c r="K5" s="1114"/>
      <c r="L5" s="1114"/>
      <c r="M5" s="1114"/>
      <c r="N5" s="1114"/>
      <c r="O5" s="1114"/>
      <c r="P5" s="1114"/>
      <c r="Q5" s="1114"/>
      <c r="R5" s="1114"/>
      <c r="S5" s="1114"/>
      <c r="T5" s="1114"/>
      <c r="U5" s="1114"/>
      <c r="V5" s="1114"/>
      <c r="W5" s="1114"/>
    </row>
  </sheetData>
  <conditionalFormatting sqref="A2:A5">
    <cfRule type="cellIs" dxfId="49" priority="1" operator="equal">
      <formula>0</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FB10E-21BC-4746-BAF9-CB71F0CB6AC7}">
  <dimension ref="A1:I9"/>
  <sheetViews>
    <sheetView zoomScale="90" zoomScaleNormal="90" workbookViewId="0">
      <pane ySplit="1" topLeftCell="A2" activePane="bottomLeft" state="frozen"/>
      <selection activeCell="E823" sqref="E823"/>
      <selection pane="bottomLeft" activeCell="H15" sqref="H15:I15"/>
    </sheetView>
  </sheetViews>
  <sheetFormatPr defaultColWidth="8.7265625" defaultRowHeight="14.5"/>
  <cols>
    <col min="1" max="1" width="5" style="993" bestFit="1" customWidth="1"/>
    <col min="2" max="2" width="33.81640625" style="993" bestFit="1" customWidth="1"/>
    <col min="3" max="4" width="15" style="993" customWidth="1"/>
    <col min="5" max="6" width="17.453125" style="993" customWidth="1"/>
    <col min="7" max="8" width="17.453125" style="974" customWidth="1"/>
    <col min="9" max="9" width="31.81640625" style="993" customWidth="1"/>
    <col min="10" max="16384" width="8.7265625" style="993"/>
  </cols>
  <sheetData>
    <row r="1" spans="1:9" ht="46.5">
      <c r="A1" s="1076" t="s">
        <v>0</v>
      </c>
      <c r="B1" s="1076" t="s">
        <v>1</v>
      </c>
      <c r="C1" s="1076" t="s">
        <v>2201</v>
      </c>
      <c r="D1" s="1076" t="s">
        <v>2202</v>
      </c>
      <c r="E1" s="1076" t="s">
        <v>2203</v>
      </c>
      <c r="F1" s="1076" t="s">
        <v>2204</v>
      </c>
      <c r="G1" s="1076" t="s">
        <v>2205</v>
      </c>
      <c r="H1" s="1076" t="s">
        <v>2206</v>
      </c>
      <c r="I1" s="1076" t="s">
        <v>621</v>
      </c>
    </row>
    <row r="2" spans="1:9" ht="15.65" customHeight="1">
      <c r="A2" s="1006">
        <v>1</v>
      </c>
      <c r="B2" s="1044" t="s">
        <v>2207</v>
      </c>
      <c r="C2" s="1006">
        <v>18</v>
      </c>
      <c r="D2" s="1006">
        <v>0</v>
      </c>
      <c r="E2" s="1006"/>
      <c r="F2" s="1006"/>
      <c r="G2" s="1006" t="s">
        <v>2208</v>
      </c>
      <c r="H2" s="1006" t="s">
        <v>2209</v>
      </c>
      <c r="I2" s="1006" t="s">
        <v>2210</v>
      </c>
    </row>
    <row r="3" spans="1:9" ht="15.65" customHeight="1">
      <c r="A3" s="1006">
        <v>2</v>
      </c>
      <c r="B3" s="1044"/>
      <c r="C3" s="1006"/>
      <c r="D3" s="1006"/>
      <c r="E3" s="1006"/>
      <c r="F3" s="1006"/>
      <c r="G3" s="1006"/>
      <c r="H3" s="1006"/>
      <c r="I3" s="1006"/>
    </row>
    <row r="4" spans="1:9" ht="15.65" customHeight="1">
      <c r="A4" s="1006">
        <v>3</v>
      </c>
      <c r="B4" s="1044"/>
      <c r="C4" s="1006"/>
      <c r="D4" s="1006"/>
      <c r="E4" s="1006"/>
      <c r="F4" s="1006"/>
      <c r="G4" s="1006"/>
      <c r="H4" s="1006"/>
      <c r="I4" s="1006"/>
    </row>
    <row r="5" spans="1:9" ht="15.65" customHeight="1">
      <c r="A5" s="1006">
        <v>4</v>
      </c>
      <c r="B5" s="1044"/>
      <c r="C5" s="1006"/>
      <c r="D5" s="1006"/>
      <c r="E5" s="1006"/>
      <c r="F5" s="1006"/>
      <c r="G5" s="1006"/>
      <c r="H5" s="1006"/>
      <c r="I5" s="1006"/>
    </row>
    <row r="6" spans="1:9">
      <c r="A6" s="1006">
        <v>5</v>
      </c>
      <c r="B6" s="1044"/>
      <c r="C6" s="1006"/>
      <c r="D6" s="1006"/>
      <c r="E6" s="1006"/>
      <c r="F6" s="1006"/>
      <c r="G6" s="1006"/>
      <c r="H6" s="1006"/>
      <c r="I6" s="1006"/>
    </row>
    <row r="7" spans="1:9">
      <c r="A7" s="1006">
        <v>6</v>
      </c>
      <c r="B7" s="1044"/>
      <c r="C7" s="1006"/>
      <c r="D7" s="1006"/>
      <c r="E7" s="1006"/>
      <c r="F7" s="1006"/>
      <c r="G7" s="1006"/>
      <c r="H7" s="1006"/>
      <c r="I7" s="1006"/>
    </row>
    <row r="8" spans="1:9">
      <c r="A8" s="1006">
        <v>7</v>
      </c>
      <c r="B8" s="1044"/>
      <c r="C8" s="1006"/>
      <c r="D8" s="1006"/>
      <c r="E8" s="1006"/>
      <c r="F8" s="1006"/>
      <c r="G8" s="1006"/>
      <c r="H8" s="1006"/>
      <c r="I8" s="1006"/>
    </row>
    <row r="9" spans="1:9">
      <c r="A9" s="1006">
        <v>8</v>
      </c>
      <c r="B9" s="1044"/>
      <c r="C9" s="1006"/>
      <c r="D9" s="1006"/>
      <c r="E9" s="1006"/>
      <c r="F9" s="1006"/>
      <c r="G9" s="1006"/>
      <c r="H9" s="1006"/>
      <c r="I9" s="100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D8E82-9361-46D3-BDCC-DE27D571955C}">
  <dimension ref="A1:J19"/>
  <sheetViews>
    <sheetView zoomScale="70" zoomScaleNormal="70" workbookViewId="0">
      <pane ySplit="1" topLeftCell="A2" activePane="bottomLeft" state="frozen"/>
      <selection activeCell="H15" sqref="H15:I15"/>
      <selection pane="bottomLeft" activeCell="C23" sqref="C23"/>
    </sheetView>
  </sheetViews>
  <sheetFormatPr defaultRowHeight="14.5"/>
  <cols>
    <col min="1" max="1" width="5.54296875" style="1043" bestFit="1" customWidth="1"/>
    <col min="2" max="2" width="14.90625" style="974" customWidth="1"/>
    <col min="3" max="3" width="41.1796875" style="993" customWidth="1"/>
    <col min="4" max="4" width="56.54296875" style="993" customWidth="1"/>
    <col min="5" max="5" width="14" style="1074" hidden="1" customWidth="1"/>
    <col min="6" max="6" width="18.81640625" style="974" bestFit="1" customWidth="1"/>
    <col min="7" max="8" width="14" style="1075" customWidth="1"/>
    <col min="9" max="9" width="12.1796875" style="974" customWidth="1"/>
    <col min="10" max="10" width="11.54296875" style="974" customWidth="1"/>
    <col min="11" max="16384" width="8.7265625" style="564"/>
  </cols>
  <sheetData>
    <row r="1" spans="1:10" ht="26">
      <c r="A1" s="1064" t="s">
        <v>0</v>
      </c>
      <c r="B1" s="1064" t="s">
        <v>2160</v>
      </c>
      <c r="C1" s="1064" t="s">
        <v>2161</v>
      </c>
      <c r="D1" s="1064" t="s">
        <v>2162</v>
      </c>
      <c r="E1" s="1065" t="s">
        <v>2163</v>
      </c>
      <c r="F1" s="1064" t="s">
        <v>2164</v>
      </c>
      <c r="G1" s="1066" t="s">
        <v>2165</v>
      </c>
      <c r="H1" s="1066" t="s">
        <v>2166</v>
      </c>
      <c r="I1" s="1064" t="s">
        <v>2167</v>
      </c>
      <c r="J1" s="1067" t="s">
        <v>620</v>
      </c>
    </row>
    <row r="2" spans="1:10" ht="15.5">
      <c r="A2" s="1068" t="s">
        <v>2168</v>
      </c>
      <c r="B2" s="1068"/>
      <c r="C2" s="1068" t="s">
        <v>2169</v>
      </c>
      <c r="D2" s="1068"/>
      <c r="E2" s="1069"/>
      <c r="F2" s="1068"/>
      <c r="G2" s="1069"/>
      <c r="H2" s="1068"/>
      <c r="I2" s="1068"/>
      <c r="J2" s="1070"/>
    </row>
    <row r="3" spans="1:10">
      <c r="A3" s="51">
        <v>1</v>
      </c>
      <c r="B3" s="1118" t="s">
        <v>2243</v>
      </c>
      <c r="C3" s="1044" t="s">
        <v>2170</v>
      </c>
      <c r="D3" s="1044" t="s">
        <v>593</v>
      </c>
      <c r="E3" s="1071"/>
      <c r="F3" s="46" t="s">
        <v>594</v>
      </c>
      <c r="G3" s="1071">
        <v>45504</v>
      </c>
      <c r="H3" s="1071"/>
      <c r="I3" s="46"/>
      <c r="J3" s="46" t="s">
        <v>701</v>
      </c>
    </row>
    <row r="4" spans="1:10">
      <c r="A4" s="51">
        <v>2</v>
      </c>
      <c r="B4" s="1118" t="s">
        <v>2243</v>
      </c>
      <c r="C4" s="1044" t="s">
        <v>2171</v>
      </c>
      <c r="D4" s="1044" t="s">
        <v>593</v>
      </c>
      <c r="E4" s="1071"/>
      <c r="F4" s="46" t="s">
        <v>594</v>
      </c>
      <c r="G4" s="1071">
        <v>45565</v>
      </c>
      <c r="H4" s="1071"/>
      <c r="I4" s="1006"/>
      <c r="J4" s="46" t="s">
        <v>701</v>
      </c>
    </row>
    <row r="5" spans="1:10">
      <c r="A5" s="51">
        <v>3</v>
      </c>
      <c r="B5" s="1118" t="s">
        <v>2243</v>
      </c>
      <c r="C5" s="1044" t="s">
        <v>2172</v>
      </c>
      <c r="D5" s="1044" t="s">
        <v>593</v>
      </c>
      <c r="E5" s="1071"/>
      <c r="F5" s="46" t="s">
        <v>594</v>
      </c>
      <c r="G5" s="1071">
        <v>45534</v>
      </c>
      <c r="H5" s="1071"/>
      <c r="I5" s="1006"/>
      <c r="J5" s="46" t="s">
        <v>701</v>
      </c>
    </row>
    <row r="6" spans="1:10">
      <c r="A6" s="51">
        <v>4</v>
      </c>
      <c r="B6" s="1120" t="s">
        <v>2244</v>
      </c>
      <c r="C6" s="1044" t="s">
        <v>2173</v>
      </c>
      <c r="D6" s="1044" t="s">
        <v>2174</v>
      </c>
      <c r="E6" s="1071"/>
      <c r="F6" s="46" t="s">
        <v>594</v>
      </c>
      <c r="G6" s="1071">
        <v>45493</v>
      </c>
      <c r="H6" s="1071">
        <v>45504</v>
      </c>
      <c r="I6" s="46">
        <f>H6-G6</f>
        <v>11</v>
      </c>
      <c r="J6" s="46" t="s">
        <v>701</v>
      </c>
    </row>
    <row r="7" spans="1:10">
      <c r="A7" s="51">
        <v>5</v>
      </c>
      <c r="B7" s="1120" t="s">
        <v>2244</v>
      </c>
      <c r="C7" s="1044" t="s">
        <v>596</v>
      </c>
      <c r="D7" s="1044" t="s">
        <v>593</v>
      </c>
      <c r="E7" s="1071"/>
      <c r="F7" s="46" t="s">
        <v>594</v>
      </c>
      <c r="G7" s="1071">
        <v>45504</v>
      </c>
      <c r="H7" s="1071"/>
      <c r="I7" s="46"/>
      <c r="J7" s="46" t="s">
        <v>701</v>
      </c>
    </row>
    <row r="8" spans="1:10" ht="15.5">
      <c r="A8" s="1068" t="s">
        <v>2175</v>
      </c>
      <c r="B8" s="1068"/>
      <c r="C8" s="1068" t="s">
        <v>2176</v>
      </c>
      <c r="D8" s="1068"/>
      <c r="E8" s="1069"/>
      <c r="F8" s="1068"/>
      <c r="G8" s="1069"/>
      <c r="H8" s="1068"/>
      <c r="I8" s="1068"/>
      <c r="J8" s="1070"/>
    </row>
    <row r="9" spans="1:10" ht="29">
      <c r="A9" s="51">
        <v>6</v>
      </c>
      <c r="B9" s="1119" t="s">
        <v>2245</v>
      </c>
      <c r="C9" s="1044" t="s">
        <v>2177</v>
      </c>
      <c r="D9" s="1044" t="s">
        <v>2178</v>
      </c>
      <c r="E9" s="1071"/>
      <c r="F9" s="46" t="s">
        <v>2179</v>
      </c>
      <c r="G9" s="1071">
        <v>45504</v>
      </c>
      <c r="H9" s="1071"/>
      <c r="I9" s="46"/>
      <c r="J9" s="46" t="s">
        <v>701</v>
      </c>
    </row>
    <row r="10" spans="1:10" ht="15.5">
      <c r="A10" s="1068" t="s">
        <v>2</v>
      </c>
      <c r="B10" s="1068"/>
      <c r="C10" s="1068" t="s">
        <v>2180</v>
      </c>
      <c r="D10" s="1068"/>
      <c r="E10" s="1069"/>
      <c r="F10" s="1068"/>
      <c r="G10" s="1069"/>
      <c r="H10" s="1068"/>
      <c r="I10" s="1068"/>
      <c r="J10" s="1070"/>
    </row>
    <row r="11" spans="1:10" ht="58">
      <c r="A11" s="51">
        <v>7</v>
      </c>
      <c r="B11" s="1118" t="s">
        <v>2243</v>
      </c>
      <c r="C11" s="1044" t="s">
        <v>2181</v>
      </c>
      <c r="D11" s="1044" t="s">
        <v>2182</v>
      </c>
      <c r="E11" s="1071"/>
      <c r="F11" s="46" t="s">
        <v>2183</v>
      </c>
      <c r="G11" s="1071">
        <v>45504</v>
      </c>
      <c r="H11" s="1071"/>
      <c r="I11" s="46"/>
      <c r="J11" s="46" t="s">
        <v>701</v>
      </c>
    </row>
    <row r="12" spans="1:10" ht="58">
      <c r="A12" s="51">
        <v>8</v>
      </c>
      <c r="B12" s="1119" t="s">
        <v>2245</v>
      </c>
      <c r="C12" s="1044" t="s">
        <v>2184</v>
      </c>
      <c r="D12" s="1044" t="s">
        <v>2185</v>
      </c>
      <c r="E12" s="1071"/>
      <c r="F12" s="46" t="s">
        <v>2186</v>
      </c>
      <c r="G12" s="1071">
        <v>45504</v>
      </c>
      <c r="H12" s="1072"/>
      <c r="I12" s="46"/>
      <c r="J12" s="46" t="s">
        <v>701</v>
      </c>
    </row>
    <row r="13" spans="1:10" ht="29">
      <c r="A13" s="51">
        <v>9</v>
      </c>
      <c r="B13" s="1120" t="s">
        <v>2244</v>
      </c>
      <c r="C13" s="1044" t="s">
        <v>2187</v>
      </c>
      <c r="D13" s="1073" t="s">
        <v>2188</v>
      </c>
      <c r="E13" s="1071"/>
      <c r="F13" s="46" t="s">
        <v>2042</v>
      </c>
      <c r="G13" s="1071">
        <v>45497</v>
      </c>
      <c r="H13" s="1071">
        <v>45503</v>
      </c>
      <c r="I13" s="46">
        <f>H13-G13</f>
        <v>6</v>
      </c>
      <c r="J13" s="46" t="s">
        <v>701</v>
      </c>
    </row>
    <row r="14" spans="1:10" ht="29">
      <c r="A14" s="51">
        <v>10</v>
      </c>
      <c r="B14" s="1120" t="s">
        <v>2244</v>
      </c>
      <c r="C14" s="1044" t="s">
        <v>2189</v>
      </c>
      <c r="D14" s="1044" t="s">
        <v>2190</v>
      </c>
      <c r="E14" s="1071"/>
      <c r="F14" s="46" t="s">
        <v>2042</v>
      </c>
      <c r="G14" s="1071">
        <v>45504</v>
      </c>
      <c r="H14" s="1071"/>
      <c r="I14" s="46"/>
      <c r="J14" s="46" t="s">
        <v>701</v>
      </c>
    </row>
    <row r="15" spans="1:10" ht="29">
      <c r="A15" s="51">
        <v>11</v>
      </c>
      <c r="B15" s="1120" t="s">
        <v>2244</v>
      </c>
      <c r="C15" s="1044" t="s">
        <v>2191</v>
      </c>
      <c r="D15" s="1044" t="s">
        <v>2192</v>
      </c>
      <c r="E15" s="1071"/>
      <c r="F15" s="46" t="s">
        <v>2042</v>
      </c>
      <c r="G15" s="1071">
        <v>45504</v>
      </c>
      <c r="H15" s="1071"/>
      <c r="I15" s="46"/>
      <c r="J15" s="46" t="s">
        <v>701</v>
      </c>
    </row>
    <row r="16" spans="1:10" ht="58">
      <c r="A16" s="51">
        <v>12</v>
      </c>
      <c r="B16" s="1118" t="s">
        <v>2243</v>
      </c>
      <c r="C16" s="1044" t="s">
        <v>2193</v>
      </c>
      <c r="D16" s="1044" t="s">
        <v>2194</v>
      </c>
      <c r="E16" s="1071"/>
      <c r="F16" s="46" t="s">
        <v>2042</v>
      </c>
      <c r="G16" s="1071">
        <v>45504</v>
      </c>
      <c r="H16" s="1071"/>
      <c r="I16" s="46"/>
      <c r="J16" s="46" t="s">
        <v>701</v>
      </c>
    </row>
    <row r="17" spans="1:10" ht="29">
      <c r="A17" s="51">
        <v>13</v>
      </c>
      <c r="B17" s="1120" t="s">
        <v>2244</v>
      </c>
      <c r="C17" s="1044" t="s">
        <v>2195</v>
      </c>
      <c r="D17" s="1044" t="s">
        <v>2196</v>
      </c>
      <c r="E17" s="1071"/>
      <c r="F17" s="46" t="s">
        <v>2042</v>
      </c>
      <c r="G17" s="1071">
        <v>45504</v>
      </c>
      <c r="H17" s="1071"/>
      <c r="I17" s="46"/>
      <c r="J17" s="46" t="s">
        <v>701</v>
      </c>
    </row>
    <row r="18" spans="1:10" ht="43.5">
      <c r="A18" s="51">
        <v>14</v>
      </c>
      <c r="B18" s="1119" t="s">
        <v>2245</v>
      </c>
      <c r="C18" s="1044" t="s">
        <v>2197</v>
      </c>
      <c r="D18" s="1044" t="s">
        <v>2198</v>
      </c>
      <c r="E18" s="1071"/>
      <c r="F18" s="46" t="s">
        <v>2042</v>
      </c>
      <c r="G18" s="1071">
        <v>45498</v>
      </c>
      <c r="H18" s="1071"/>
      <c r="I18" s="46"/>
      <c r="J18" s="46" t="s">
        <v>701</v>
      </c>
    </row>
    <row r="19" spans="1:10" ht="43.5">
      <c r="A19" s="51">
        <v>15</v>
      </c>
      <c r="B19" s="1119" t="s">
        <v>2245</v>
      </c>
      <c r="C19" s="1044" t="s">
        <v>2199</v>
      </c>
      <c r="D19" s="1044" t="s">
        <v>2200</v>
      </c>
      <c r="E19" s="1071"/>
      <c r="F19" s="46" t="s">
        <v>594</v>
      </c>
      <c r="G19" s="1071">
        <v>45656</v>
      </c>
      <c r="H19" s="1071"/>
      <c r="I19" s="46"/>
      <c r="J19" s="46" t="s">
        <v>701</v>
      </c>
    </row>
  </sheetData>
  <autoFilter ref="A1:J19" xr:uid="{48E3A48C-F090-4B08-8E3B-1D762BF6E4D8}"/>
  <conditionalFormatting sqref="B1:B1048576">
    <cfRule type="cellIs" dxfId="48" priority="7" operator="equal">
      <formula>"Min"</formula>
    </cfRule>
    <cfRule type="cellIs" dxfId="47" priority="8" operator="equal">
      <formula>"M"</formula>
    </cfRule>
    <cfRule type="cellIs" dxfId="46" priority="9" operator="equal">
      <formula>"C"</formula>
    </cfRule>
  </conditionalFormatting>
  <conditionalFormatting sqref="H20:H1048576">
    <cfRule type="cellIs" dxfId="45" priority="15" operator="equal">
      <formula>"Minimal"</formula>
    </cfRule>
    <cfRule type="cellIs" dxfId="44" priority="16" operator="equal">
      <formula>"Moderate"</formula>
    </cfRule>
    <cfRule type="cellIs" dxfId="43" priority="17" operator="equal">
      <formula>"Critical"</formula>
    </cfRule>
  </conditionalFormatting>
  <conditionalFormatting sqref="I3 I6:I7">
    <cfRule type="cellIs" dxfId="42" priority="13" operator="lessThanOrEqual">
      <formula>0</formula>
    </cfRule>
    <cfRule type="cellIs" dxfId="41" priority="14" operator="greaterThan">
      <formula>0</formula>
    </cfRule>
  </conditionalFormatting>
  <conditionalFormatting sqref="I4:I5">
    <cfRule type="cellIs" dxfId="40" priority="10" operator="equal">
      <formula>"Min"</formula>
    </cfRule>
    <cfRule type="cellIs" dxfId="39" priority="11" operator="equal">
      <formula>"M"</formula>
    </cfRule>
    <cfRule type="cellIs" dxfId="38" priority="12" operator="equal">
      <formula>"C"</formula>
    </cfRule>
  </conditionalFormatting>
  <conditionalFormatting sqref="I9">
    <cfRule type="cellIs" dxfId="37" priority="5" operator="lessThanOrEqual">
      <formula>0</formula>
    </cfRule>
    <cfRule type="cellIs" dxfId="36" priority="6" operator="greaterThan">
      <formula>0</formula>
    </cfRule>
  </conditionalFormatting>
  <conditionalFormatting sqref="I11:I19">
    <cfRule type="cellIs" dxfId="35" priority="1" operator="lessThanOrEqual">
      <formula>0</formula>
    </cfRule>
    <cfRule type="cellIs" dxfId="34" priority="2" operator="greaterThan">
      <formula>0</formula>
    </cfRule>
  </conditionalFormatting>
  <conditionalFormatting sqref="J1:J1048576">
    <cfRule type="cellIs" dxfId="33" priority="3" operator="equal">
      <formula>"Closed"</formula>
    </cfRule>
    <cfRule type="cellIs" dxfId="32" priority="4" operator="equal">
      <formula>"Open"</formula>
    </cfRule>
  </conditionalFormatting>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CEF-626F-4AC2-86D5-812F188076E5}">
  <dimension ref="A1:J141"/>
  <sheetViews>
    <sheetView zoomScale="75" zoomScaleNormal="75" workbookViewId="0">
      <pane ySplit="1" topLeftCell="A45" activePane="bottomLeft" state="frozen"/>
      <selection activeCell="H15" sqref="H15:I15"/>
      <selection pane="bottomLeft" activeCell="H15" sqref="H15:I15"/>
    </sheetView>
  </sheetViews>
  <sheetFormatPr defaultColWidth="15.54296875" defaultRowHeight="14.5"/>
  <cols>
    <col min="1" max="1" width="4.453125" style="543" customWidth="1"/>
    <col min="2" max="2" width="9.453125" style="543" customWidth="1"/>
    <col min="3" max="3" width="22.54296875" style="392" customWidth="1"/>
    <col min="4" max="4" width="50" style="543" customWidth="1"/>
    <col min="5" max="5" width="21.26953125" style="543" customWidth="1"/>
    <col min="6" max="6" width="29.453125" style="543" customWidth="1"/>
    <col min="7" max="7" width="31.453125" style="1063" hidden="1" customWidth="1"/>
    <col min="8" max="8" width="30.1796875" style="1063" customWidth="1"/>
    <col min="9" max="9" width="13.54296875" style="544" customWidth="1"/>
    <col min="10" max="10" width="39.453125" style="392" customWidth="1"/>
    <col min="11" max="16384" width="15.54296875" style="544"/>
  </cols>
  <sheetData>
    <row r="1" spans="1:10" s="543" customFormat="1" ht="31">
      <c r="A1" s="1048" t="s">
        <v>2034</v>
      </c>
      <c r="B1" s="1048" t="s">
        <v>359</v>
      </c>
      <c r="C1" s="1048" t="s">
        <v>2035</v>
      </c>
      <c r="D1" s="1048" t="s">
        <v>2036</v>
      </c>
      <c r="E1" s="1048" t="s">
        <v>2037</v>
      </c>
      <c r="F1" s="1048" t="s">
        <v>2038</v>
      </c>
      <c r="G1" s="1049" t="s">
        <v>2039</v>
      </c>
      <c r="H1" s="1050" t="s">
        <v>2040</v>
      </c>
      <c r="I1" s="1051" t="s">
        <v>620</v>
      </c>
      <c r="J1" s="1051" t="s">
        <v>621</v>
      </c>
    </row>
    <row r="2" spans="1:10" ht="15.5">
      <c r="A2" s="1006">
        <v>1</v>
      </c>
      <c r="B2" s="1006" t="s">
        <v>2</v>
      </c>
      <c r="C2" s="1052" t="s">
        <v>2041</v>
      </c>
      <c r="D2" s="1044" t="s">
        <v>514</v>
      </c>
      <c r="E2" s="1044" t="s">
        <v>2042</v>
      </c>
      <c r="F2" s="1044" t="s">
        <v>2043</v>
      </c>
      <c r="G2" s="1053">
        <v>45409</v>
      </c>
      <c r="H2" s="1054">
        <v>45637</v>
      </c>
      <c r="I2" s="1055" t="s">
        <v>663</v>
      </c>
      <c r="J2" s="1056" t="s">
        <v>2044</v>
      </c>
    </row>
    <row r="3" spans="1:10" ht="29">
      <c r="A3" s="1006">
        <v>2</v>
      </c>
      <c r="B3" s="1006" t="s">
        <v>2</v>
      </c>
      <c r="C3" s="1052" t="s">
        <v>2041</v>
      </c>
      <c r="D3" s="1044" t="s">
        <v>515</v>
      </c>
      <c r="E3" s="1044" t="s">
        <v>2042</v>
      </c>
      <c r="F3" s="1044" t="s">
        <v>2045</v>
      </c>
      <c r="G3" s="1053">
        <v>45409</v>
      </c>
      <c r="H3" s="1054">
        <v>45573</v>
      </c>
      <c r="I3" s="1055" t="s">
        <v>663</v>
      </c>
      <c r="J3" s="1056" t="s">
        <v>2046</v>
      </c>
    </row>
    <row r="4" spans="1:10" ht="15.5">
      <c r="A4" s="1006">
        <v>3</v>
      </c>
      <c r="B4" s="1006" t="s">
        <v>2</v>
      </c>
      <c r="C4" s="1052" t="s">
        <v>2041</v>
      </c>
      <c r="D4" s="1044" t="s">
        <v>516</v>
      </c>
      <c r="E4" s="1044" t="s">
        <v>2042</v>
      </c>
      <c r="F4" s="1044" t="s">
        <v>2047</v>
      </c>
      <c r="G4" s="1053">
        <v>45409</v>
      </c>
      <c r="H4" s="1054">
        <v>45526</v>
      </c>
      <c r="I4" s="1055" t="s">
        <v>663</v>
      </c>
      <c r="J4" s="1056" t="s">
        <v>2048</v>
      </c>
    </row>
    <row r="5" spans="1:10" ht="29">
      <c r="A5" s="1006">
        <v>4</v>
      </c>
      <c r="B5" s="1006" t="s">
        <v>2</v>
      </c>
      <c r="C5" s="1052" t="s">
        <v>2041</v>
      </c>
      <c r="D5" s="1044" t="s">
        <v>517</v>
      </c>
      <c r="E5" s="1044" t="s">
        <v>2042</v>
      </c>
      <c r="F5" s="1044" t="s">
        <v>2045</v>
      </c>
      <c r="G5" s="1053">
        <v>45425</v>
      </c>
      <c r="H5" s="1054">
        <v>45617</v>
      </c>
      <c r="I5" s="1055" t="s">
        <v>663</v>
      </c>
      <c r="J5" s="1056" t="s">
        <v>2044</v>
      </c>
    </row>
    <row r="6" spans="1:10" ht="15.5">
      <c r="A6" s="1006">
        <v>5</v>
      </c>
      <c r="B6" s="1006" t="s">
        <v>2</v>
      </c>
      <c r="C6" s="1052" t="s">
        <v>2041</v>
      </c>
      <c r="D6" s="1044" t="s">
        <v>518</v>
      </c>
      <c r="E6" s="1044" t="s">
        <v>2042</v>
      </c>
      <c r="F6" s="1044" t="s">
        <v>2043</v>
      </c>
      <c r="G6" s="1053">
        <v>45425</v>
      </c>
      <c r="H6" s="1054">
        <v>45565</v>
      </c>
      <c r="I6" s="1055" t="s">
        <v>663</v>
      </c>
      <c r="J6" s="1056" t="s">
        <v>2048</v>
      </c>
    </row>
    <row r="7" spans="1:10" ht="15.5">
      <c r="A7" s="1006">
        <v>6</v>
      </c>
      <c r="B7" s="1006" t="s">
        <v>2</v>
      </c>
      <c r="C7" s="1052" t="s">
        <v>2041</v>
      </c>
      <c r="D7" s="1044" t="s">
        <v>519</v>
      </c>
      <c r="E7" s="1044" t="s">
        <v>2042</v>
      </c>
      <c r="F7" s="1044"/>
      <c r="G7" s="1053">
        <v>45440</v>
      </c>
      <c r="H7" s="1054"/>
      <c r="I7" s="1055" t="s">
        <v>701</v>
      </c>
      <c r="J7" s="1056" t="s">
        <v>2049</v>
      </c>
    </row>
    <row r="8" spans="1:10" ht="15.5">
      <c r="A8" s="1006">
        <v>7</v>
      </c>
      <c r="B8" s="1006" t="s">
        <v>2</v>
      </c>
      <c r="C8" s="1052" t="s">
        <v>2041</v>
      </c>
      <c r="D8" s="1044" t="s">
        <v>520</v>
      </c>
      <c r="E8" s="1044" t="s">
        <v>2042</v>
      </c>
      <c r="F8" s="1044" t="s">
        <v>2050</v>
      </c>
      <c r="G8" s="1053">
        <v>45425</v>
      </c>
      <c r="H8" s="1054"/>
      <c r="I8" s="1055" t="s">
        <v>663</v>
      </c>
      <c r="J8" s="1056" t="s">
        <v>2044</v>
      </c>
    </row>
    <row r="9" spans="1:10" ht="15.5">
      <c r="A9" s="1006">
        <v>8</v>
      </c>
      <c r="B9" s="1006" t="s">
        <v>2</v>
      </c>
      <c r="C9" s="1052" t="s">
        <v>2041</v>
      </c>
      <c r="D9" s="1044" t="s">
        <v>521</v>
      </c>
      <c r="E9" s="1044" t="s">
        <v>2042</v>
      </c>
      <c r="F9" s="1044"/>
      <c r="G9" s="1053">
        <v>45455</v>
      </c>
      <c r="H9" s="1054"/>
      <c r="I9" s="1055" t="s">
        <v>701</v>
      </c>
      <c r="J9" s="1056" t="s">
        <v>2049</v>
      </c>
    </row>
    <row r="10" spans="1:10" ht="15.5">
      <c r="A10" s="1006">
        <v>9</v>
      </c>
      <c r="B10" s="1006" t="s">
        <v>2</v>
      </c>
      <c r="C10" s="1052" t="s">
        <v>2041</v>
      </c>
      <c r="D10" s="1044" t="s">
        <v>522</v>
      </c>
      <c r="E10" s="1044" t="s">
        <v>2042</v>
      </c>
      <c r="F10" s="1044" t="s">
        <v>2051</v>
      </c>
      <c r="G10" s="1053">
        <v>45430</v>
      </c>
      <c r="H10" s="1054">
        <v>45551</v>
      </c>
      <c r="I10" s="1055" t="s">
        <v>663</v>
      </c>
      <c r="J10" s="1056" t="s">
        <v>2046</v>
      </c>
    </row>
    <row r="11" spans="1:10" ht="15.5">
      <c r="A11" s="1006">
        <v>10</v>
      </c>
      <c r="B11" s="1006" t="s">
        <v>2</v>
      </c>
      <c r="C11" s="1052" t="s">
        <v>2041</v>
      </c>
      <c r="D11" s="1044" t="s">
        <v>523</v>
      </c>
      <c r="E11" s="1044" t="s">
        <v>2042</v>
      </c>
      <c r="F11" s="1044"/>
      <c r="G11" s="1053">
        <v>45440</v>
      </c>
      <c r="H11" s="1054"/>
      <c r="I11" s="1055" t="s">
        <v>701</v>
      </c>
      <c r="J11" s="1056" t="s">
        <v>2052</v>
      </c>
    </row>
    <row r="12" spans="1:10" ht="15.5">
      <c r="A12" s="1006">
        <v>11</v>
      </c>
      <c r="B12" s="1006" t="s">
        <v>2</v>
      </c>
      <c r="C12" s="1052" t="s">
        <v>2041</v>
      </c>
      <c r="D12" s="1044" t="s">
        <v>524</v>
      </c>
      <c r="E12" s="1044" t="s">
        <v>2042</v>
      </c>
      <c r="F12" s="1044" t="s">
        <v>2053</v>
      </c>
      <c r="G12" s="1053">
        <v>45425</v>
      </c>
      <c r="H12" s="1054">
        <v>45635</v>
      </c>
      <c r="I12" s="1055" t="s">
        <v>663</v>
      </c>
      <c r="J12" s="1056" t="s">
        <v>2044</v>
      </c>
    </row>
    <row r="13" spans="1:10" ht="15.5">
      <c r="A13" s="1006">
        <v>12</v>
      </c>
      <c r="B13" s="1006" t="s">
        <v>2</v>
      </c>
      <c r="C13" s="1052" t="s">
        <v>2041</v>
      </c>
      <c r="D13" s="1044" t="s">
        <v>525</v>
      </c>
      <c r="E13" s="1044" t="s">
        <v>2042</v>
      </c>
      <c r="F13" s="1044"/>
      <c r="G13" s="1053">
        <v>45440</v>
      </c>
      <c r="H13" s="1054"/>
      <c r="I13" s="1055" t="s">
        <v>701</v>
      </c>
      <c r="J13" s="1056" t="s">
        <v>2052</v>
      </c>
    </row>
    <row r="14" spans="1:10" ht="15.5">
      <c r="A14" s="1006">
        <v>13</v>
      </c>
      <c r="B14" s="1006" t="s">
        <v>2</v>
      </c>
      <c r="C14" s="1052" t="s">
        <v>2041</v>
      </c>
      <c r="D14" s="1044" t="s">
        <v>526</v>
      </c>
      <c r="E14" s="1044" t="s">
        <v>2042</v>
      </c>
      <c r="F14" s="1044"/>
      <c r="G14" s="1053">
        <v>45440</v>
      </c>
      <c r="H14" s="1054"/>
      <c r="I14" s="1055" t="s">
        <v>701</v>
      </c>
      <c r="J14" s="1056" t="s">
        <v>2049</v>
      </c>
    </row>
    <row r="15" spans="1:10" ht="29">
      <c r="A15" s="1006">
        <v>14</v>
      </c>
      <c r="B15" s="1006" t="s">
        <v>2</v>
      </c>
      <c r="C15" s="1052" t="s">
        <v>2041</v>
      </c>
      <c r="D15" s="1044" t="s">
        <v>527</v>
      </c>
      <c r="E15" s="1044" t="s">
        <v>2042</v>
      </c>
      <c r="F15" s="1044"/>
      <c r="G15" s="1053">
        <v>45450</v>
      </c>
      <c r="H15" s="1054"/>
      <c r="I15" s="1055" t="s">
        <v>701</v>
      </c>
      <c r="J15" s="1056" t="s">
        <v>2052</v>
      </c>
    </row>
    <row r="16" spans="1:10" ht="15.5">
      <c r="A16" s="1006">
        <v>15</v>
      </c>
      <c r="B16" s="1006" t="s">
        <v>2</v>
      </c>
      <c r="C16" s="1052" t="s">
        <v>2041</v>
      </c>
      <c r="D16" s="1044" t="s">
        <v>528</v>
      </c>
      <c r="E16" s="1044" t="s">
        <v>2042</v>
      </c>
      <c r="F16" s="1044"/>
      <c r="G16" s="1053">
        <v>45450</v>
      </c>
      <c r="H16" s="1054"/>
      <c r="I16" s="1055" t="s">
        <v>701</v>
      </c>
      <c r="J16" s="1056" t="s">
        <v>2054</v>
      </c>
    </row>
    <row r="17" spans="1:10" ht="15.5">
      <c r="A17" s="1006">
        <v>16</v>
      </c>
      <c r="B17" s="1006" t="s">
        <v>2</v>
      </c>
      <c r="C17" s="1052" t="s">
        <v>2041</v>
      </c>
      <c r="D17" s="1044" t="s">
        <v>529</v>
      </c>
      <c r="E17" s="1044" t="s">
        <v>2042</v>
      </c>
      <c r="F17" s="1044"/>
      <c r="G17" s="1053">
        <v>45450</v>
      </c>
      <c r="H17" s="1054"/>
      <c r="I17" s="1055" t="s">
        <v>701</v>
      </c>
      <c r="J17" s="1056" t="s">
        <v>2052</v>
      </c>
    </row>
    <row r="18" spans="1:10" ht="15.5">
      <c r="A18" s="1006">
        <v>17</v>
      </c>
      <c r="B18" s="1006" t="s">
        <v>2</v>
      </c>
      <c r="C18" s="1052" t="s">
        <v>2041</v>
      </c>
      <c r="D18" s="1044" t="s">
        <v>530</v>
      </c>
      <c r="E18" s="1044" t="s">
        <v>2042</v>
      </c>
      <c r="F18" s="1044"/>
      <c r="G18" s="1053">
        <v>45460</v>
      </c>
      <c r="H18" s="1054"/>
      <c r="I18" s="1055" t="s">
        <v>701</v>
      </c>
      <c r="J18" s="1056" t="s">
        <v>2055</v>
      </c>
    </row>
    <row r="19" spans="1:10" ht="15.5">
      <c r="A19" s="1006">
        <v>18</v>
      </c>
      <c r="B19" s="1006" t="s">
        <v>2</v>
      </c>
      <c r="C19" s="1052" t="s">
        <v>2041</v>
      </c>
      <c r="D19" s="1044" t="s">
        <v>531</v>
      </c>
      <c r="E19" s="1044" t="s">
        <v>2042</v>
      </c>
      <c r="F19" s="1044"/>
      <c r="G19" s="1053">
        <v>45460</v>
      </c>
      <c r="H19" s="1054">
        <v>45551</v>
      </c>
      <c r="I19" s="1055" t="s">
        <v>663</v>
      </c>
      <c r="J19" s="1056" t="s">
        <v>2048</v>
      </c>
    </row>
    <row r="20" spans="1:10" ht="15.5">
      <c r="A20" s="1006">
        <v>19</v>
      </c>
      <c r="B20" s="1006" t="s">
        <v>2</v>
      </c>
      <c r="C20" s="1052" t="s">
        <v>2041</v>
      </c>
      <c r="D20" s="1044" t="s">
        <v>532</v>
      </c>
      <c r="E20" s="1044" t="s">
        <v>2042</v>
      </c>
      <c r="F20" s="1044"/>
      <c r="G20" s="1053">
        <v>45460</v>
      </c>
      <c r="H20" s="1054"/>
      <c r="I20" s="1055" t="s">
        <v>701</v>
      </c>
      <c r="J20" s="1056" t="s">
        <v>2049</v>
      </c>
    </row>
    <row r="21" spans="1:10" ht="29">
      <c r="A21" s="1006">
        <v>20</v>
      </c>
      <c r="B21" s="1006" t="s">
        <v>2</v>
      </c>
      <c r="C21" s="1052" t="s">
        <v>2041</v>
      </c>
      <c r="D21" s="1044" t="s">
        <v>533</v>
      </c>
      <c r="E21" s="1044" t="s">
        <v>2042</v>
      </c>
      <c r="F21" s="1044" t="s">
        <v>2056</v>
      </c>
      <c r="G21" s="1053">
        <v>45425</v>
      </c>
      <c r="H21" s="1054">
        <v>45573</v>
      </c>
      <c r="I21" s="1055" t="s">
        <v>663</v>
      </c>
      <c r="J21" s="1056" t="s">
        <v>2057</v>
      </c>
    </row>
    <row r="22" spans="1:10" ht="15.5">
      <c r="A22" s="1006">
        <v>21</v>
      </c>
      <c r="B22" s="1006" t="s">
        <v>2</v>
      </c>
      <c r="C22" s="1052" t="s">
        <v>2041</v>
      </c>
      <c r="D22" s="1044" t="s">
        <v>534</v>
      </c>
      <c r="E22" s="1044" t="s">
        <v>2042</v>
      </c>
      <c r="F22" s="1044" t="s">
        <v>2058</v>
      </c>
      <c r="G22" s="1053">
        <v>45440</v>
      </c>
      <c r="H22" s="1054">
        <v>45551</v>
      </c>
      <c r="I22" s="1055" t="s">
        <v>663</v>
      </c>
      <c r="J22" s="1056" t="s">
        <v>2046</v>
      </c>
    </row>
    <row r="23" spans="1:10" ht="15.5">
      <c r="A23" s="1006">
        <v>22</v>
      </c>
      <c r="B23" s="1006" t="s">
        <v>2</v>
      </c>
      <c r="C23" s="1052" t="s">
        <v>2041</v>
      </c>
      <c r="D23" s="1044" t="s">
        <v>535</v>
      </c>
      <c r="E23" s="1044" t="s">
        <v>2042</v>
      </c>
      <c r="F23" s="1044" t="s">
        <v>2059</v>
      </c>
      <c r="G23" s="1053">
        <v>45470</v>
      </c>
      <c r="H23" s="1054">
        <v>45566</v>
      </c>
      <c r="I23" s="1055" t="s">
        <v>663</v>
      </c>
      <c r="J23" s="1056" t="s">
        <v>2046</v>
      </c>
    </row>
    <row r="24" spans="1:10" ht="15.5">
      <c r="A24" s="1006">
        <v>23</v>
      </c>
      <c r="B24" s="1006" t="s">
        <v>2</v>
      </c>
      <c r="C24" s="1052" t="s">
        <v>2041</v>
      </c>
      <c r="D24" s="1044" t="s">
        <v>536</v>
      </c>
      <c r="E24" s="1044" t="s">
        <v>2042</v>
      </c>
      <c r="F24" s="1044" t="s">
        <v>2059</v>
      </c>
      <c r="G24" s="1053">
        <v>45470</v>
      </c>
      <c r="H24" s="1054">
        <v>45566</v>
      </c>
      <c r="I24" s="1055" t="s">
        <v>663</v>
      </c>
      <c r="J24" s="1056" t="s">
        <v>2046</v>
      </c>
    </row>
    <row r="25" spans="1:10" ht="15.5">
      <c r="A25" s="1006">
        <v>24</v>
      </c>
      <c r="B25" s="1006" t="s">
        <v>2</v>
      </c>
      <c r="C25" s="1052" t="s">
        <v>2041</v>
      </c>
      <c r="D25" s="1044" t="s">
        <v>537</v>
      </c>
      <c r="E25" s="1044" t="s">
        <v>2042</v>
      </c>
      <c r="F25" s="1044" t="s">
        <v>2059</v>
      </c>
      <c r="G25" s="1053">
        <v>45470</v>
      </c>
      <c r="H25" s="1054"/>
      <c r="I25" s="1055" t="s">
        <v>663</v>
      </c>
      <c r="J25" s="1056" t="s">
        <v>2055</v>
      </c>
    </row>
    <row r="26" spans="1:10" ht="15.5">
      <c r="A26" s="1006">
        <v>25</v>
      </c>
      <c r="B26" s="1006" t="s">
        <v>2</v>
      </c>
      <c r="C26" s="1052" t="s">
        <v>2041</v>
      </c>
      <c r="D26" s="1044" t="s">
        <v>538</v>
      </c>
      <c r="E26" s="1044" t="s">
        <v>2042</v>
      </c>
      <c r="F26" s="1044"/>
      <c r="G26" s="1053">
        <v>45470</v>
      </c>
      <c r="H26" s="1054"/>
      <c r="I26" s="1055" t="s">
        <v>701</v>
      </c>
      <c r="J26" s="1056" t="s">
        <v>2055</v>
      </c>
    </row>
    <row r="27" spans="1:10" ht="15.5">
      <c r="A27" s="1006">
        <v>26</v>
      </c>
      <c r="B27" s="1006" t="s">
        <v>2</v>
      </c>
      <c r="C27" s="1052" t="s">
        <v>2041</v>
      </c>
      <c r="D27" s="1044" t="s">
        <v>539</v>
      </c>
      <c r="E27" s="1044" t="s">
        <v>2042</v>
      </c>
      <c r="F27" s="1044"/>
      <c r="G27" s="1053">
        <v>45470</v>
      </c>
      <c r="H27" s="1054"/>
      <c r="I27" s="1055" t="s">
        <v>701</v>
      </c>
      <c r="J27" s="1056" t="s">
        <v>2060</v>
      </c>
    </row>
    <row r="28" spans="1:10" ht="15.5">
      <c r="A28" s="1006">
        <v>27</v>
      </c>
      <c r="B28" s="1006" t="s">
        <v>2</v>
      </c>
      <c r="C28" s="1052" t="s">
        <v>2041</v>
      </c>
      <c r="D28" s="1044" t="s">
        <v>540</v>
      </c>
      <c r="E28" s="1044" t="s">
        <v>2042</v>
      </c>
      <c r="F28" s="1044"/>
      <c r="G28" s="1053">
        <v>45470</v>
      </c>
      <c r="H28" s="1054"/>
      <c r="I28" s="1055" t="s">
        <v>701</v>
      </c>
      <c r="J28" s="1056" t="s">
        <v>2060</v>
      </c>
    </row>
    <row r="29" spans="1:10" ht="15.5">
      <c r="A29" s="1006">
        <v>28</v>
      </c>
      <c r="B29" s="1006" t="s">
        <v>2</v>
      </c>
      <c r="C29" s="1052" t="s">
        <v>2041</v>
      </c>
      <c r="D29" s="1044" t="s">
        <v>541</v>
      </c>
      <c r="E29" s="1044" t="s">
        <v>2042</v>
      </c>
      <c r="F29" s="1044"/>
      <c r="G29" s="1053">
        <v>45470</v>
      </c>
      <c r="H29" s="1054"/>
      <c r="I29" s="1055" t="s">
        <v>701</v>
      </c>
      <c r="J29" s="1056" t="s">
        <v>2060</v>
      </c>
    </row>
    <row r="30" spans="1:10" ht="29">
      <c r="A30" s="1006">
        <v>29</v>
      </c>
      <c r="B30" s="1006" t="s">
        <v>2</v>
      </c>
      <c r="C30" s="1052" t="s">
        <v>2041</v>
      </c>
      <c r="D30" s="1044" t="s">
        <v>542</v>
      </c>
      <c r="E30" s="1044" t="s">
        <v>2042</v>
      </c>
      <c r="F30" s="1044" t="s">
        <v>2061</v>
      </c>
      <c r="G30" s="1053">
        <v>45440</v>
      </c>
      <c r="H30" s="1054">
        <v>45555</v>
      </c>
      <c r="I30" s="1055" t="s">
        <v>663</v>
      </c>
      <c r="J30" s="1056" t="s">
        <v>2044</v>
      </c>
    </row>
    <row r="31" spans="1:10" ht="15.5">
      <c r="A31" s="1006">
        <v>30</v>
      </c>
      <c r="B31" s="1006" t="s">
        <v>2</v>
      </c>
      <c r="C31" s="1052" t="s">
        <v>2041</v>
      </c>
      <c r="D31" s="1057" t="s">
        <v>2062</v>
      </c>
      <c r="E31" s="1044" t="s">
        <v>2042</v>
      </c>
      <c r="F31" s="1044" t="s">
        <v>2063</v>
      </c>
      <c r="G31" s="1053">
        <v>45440</v>
      </c>
      <c r="H31" s="1054">
        <v>45705</v>
      </c>
      <c r="I31" s="1055" t="s">
        <v>663</v>
      </c>
      <c r="J31" s="1056" t="s">
        <v>2044</v>
      </c>
    </row>
    <row r="32" spans="1:10" ht="15.5">
      <c r="A32" s="1006">
        <v>31</v>
      </c>
      <c r="B32" s="1006" t="s">
        <v>2</v>
      </c>
      <c r="C32" s="1052" t="s">
        <v>2041</v>
      </c>
      <c r="D32" s="1044" t="s">
        <v>544</v>
      </c>
      <c r="E32" s="1044" t="s">
        <v>2042</v>
      </c>
      <c r="F32" s="1044" t="s">
        <v>2059</v>
      </c>
      <c r="G32" s="1053">
        <v>45455</v>
      </c>
      <c r="H32" s="1054">
        <v>45705</v>
      </c>
      <c r="I32" s="1055" t="s">
        <v>663</v>
      </c>
      <c r="J32" s="1056" t="s">
        <v>2049</v>
      </c>
    </row>
    <row r="33" spans="1:10" ht="15.5">
      <c r="A33" s="1006">
        <v>32</v>
      </c>
      <c r="B33" s="1006" t="s">
        <v>2</v>
      </c>
      <c r="C33" s="1052" t="s">
        <v>2041</v>
      </c>
      <c r="D33" s="1044" t="s">
        <v>545</v>
      </c>
      <c r="E33" s="1044" t="s">
        <v>2042</v>
      </c>
      <c r="F33" s="1044" t="s">
        <v>2059</v>
      </c>
      <c r="G33" s="1053">
        <v>45450</v>
      </c>
      <c r="H33" s="1054">
        <v>45705</v>
      </c>
      <c r="I33" s="1055" t="s">
        <v>663</v>
      </c>
      <c r="J33" s="1056" t="s">
        <v>2049</v>
      </c>
    </row>
    <row r="34" spans="1:10" ht="15.5">
      <c r="A34" s="1006">
        <v>33</v>
      </c>
      <c r="B34" s="1006" t="s">
        <v>2</v>
      </c>
      <c r="C34" s="1052" t="s">
        <v>2041</v>
      </c>
      <c r="D34" s="1044" t="s">
        <v>546</v>
      </c>
      <c r="E34" s="1044" t="s">
        <v>2042</v>
      </c>
      <c r="F34" s="1044"/>
      <c r="G34" s="1053">
        <v>45460</v>
      </c>
      <c r="H34" s="1054"/>
      <c r="I34" s="1055" t="s">
        <v>701</v>
      </c>
      <c r="J34" s="1056" t="s">
        <v>2055</v>
      </c>
    </row>
    <row r="35" spans="1:10" ht="15.5">
      <c r="A35" s="1006">
        <v>34</v>
      </c>
      <c r="B35" s="1006" t="s">
        <v>2</v>
      </c>
      <c r="C35" s="1052" t="s">
        <v>2041</v>
      </c>
      <c r="D35" s="1044" t="s">
        <v>547</v>
      </c>
      <c r="E35" s="1044" t="s">
        <v>2042</v>
      </c>
      <c r="F35" s="1044"/>
      <c r="G35" s="1053">
        <v>45450</v>
      </c>
      <c r="H35" s="1054"/>
      <c r="I35" s="1055" t="s">
        <v>701</v>
      </c>
      <c r="J35" s="1056" t="s">
        <v>2055</v>
      </c>
    </row>
    <row r="36" spans="1:10" ht="15.5">
      <c r="A36" s="1006">
        <v>35</v>
      </c>
      <c r="B36" s="1006" t="s">
        <v>2</v>
      </c>
      <c r="C36" s="1052" t="s">
        <v>2041</v>
      </c>
      <c r="D36" s="1044" t="s">
        <v>548</v>
      </c>
      <c r="E36" s="1044" t="s">
        <v>2042</v>
      </c>
      <c r="F36" s="1044"/>
      <c r="G36" s="1053">
        <v>45450</v>
      </c>
      <c r="H36" s="1054"/>
      <c r="I36" s="1055" t="s">
        <v>701</v>
      </c>
      <c r="J36" s="1056" t="s">
        <v>2052</v>
      </c>
    </row>
    <row r="37" spans="1:10" ht="15.5">
      <c r="A37" s="1006">
        <v>36</v>
      </c>
      <c r="B37" s="1006" t="s">
        <v>2</v>
      </c>
      <c r="C37" s="1052" t="s">
        <v>2041</v>
      </c>
      <c r="D37" s="1044" t="s">
        <v>549</v>
      </c>
      <c r="E37" s="1044" t="s">
        <v>2042</v>
      </c>
      <c r="F37" s="1044" t="s">
        <v>2059</v>
      </c>
      <c r="G37" s="1053">
        <v>45450</v>
      </c>
      <c r="H37" s="1054">
        <v>45705</v>
      </c>
      <c r="I37" s="1055" t="s">
        <v>663</v>
      </c>
      <c r="J37" s="1056" t="s">
        <v>2049</v>
      </c>
    </row>
    <row r="38" spans="1:10" ht="15.5">
      <c r="A38" s="1006">
        <v>37</v>
      </c>
      <c r="B38" s="1006" t="s">
        <v>2</v>
      </c>
      <c r="C38" s="1052" t="s">
        <v>2041</v>
      </c>
      <c r="D38" s="1044" t="s">
        <v>552</v>
      </c>
      <c r="E38" s="1044" t="s">
        <v>2042</v>
      </c>
      <c r="F38" s="1044" t="s">
        <v>2064</v>
      </c>
      <c r="G38" s="1053">
        <v>45450</v>
      </c>
      <c r="H38" s="1054">
        <v>45645</v>
      </c>
      <c r="I38" s="1055" t="s">
        <v>663</v>
      </c>
      <c r="J38" s="1056" t="s">
        <v>2044</v>
      </c>
    </row>
    <row r="39" spans="1:10" ht="15.5">
      <c r="A39" s="1006">
        <v>38</v>
      </c>
      <c r="B39" s="1006" t="s">
        <v>2</v>
      </c>
      <c r="C39" s="1052" t="s">
        <v>2041</v>
      </c>
      <c r="D39" s="1044" t="s">
        <v>553</v>
      </c>
      <c r="E39" s="1044" t="s">
        <v>2042</v>
      </c>
      <c r="F39" s="1044"/>
      <c r="G39" s="1053">
        <v>45470</v>
      </c>
      <c r="H39" s="1054"/>
      <c r="I39" s="1055" t="s">
        <v>701</v>
      </c>
      <c r="J39" s="1056" t="s">
        <v>2060</v>
      </c>
    </row>
    <row r="40" spans="1:10" ht="15.5">
      <c r="A40" s="1006">
        <v>39</v>
      </c>
      <c r="B40" s="1006" t="s">
        <v>2</v>
      </c>
      <c r="C40" s="1052" t="s">
        <v>2041</v>
      </c>
      <c r="D40" s="1044" t="s">
        <v>554</v>
      </c>
      <c r="E40" s="1044" t="s">
        <v>2042</v>
      </c>
      <c r="F40" s="1044"/>
      <c r="G40" s="1053">
        <v>45470</v>
      </c>
      <c r="H40" s="1054"/>
      <c r="I40" s="1055" t="s">
        <v>701</v>
      </c>
      <c r="J40" s="1056" t="s">
        <v>2052</v>
      </c>
    </row>
    <row r="41" spans="1:10" ht="15.5">
      <c r="A41" s="1006">
        <v>40</v>
      </c>
      <c r="B41" s="1006" t="s">
        <v>2</v>
      </c>
      <c r="C41" s="1052" t="s">
        <v>2041</v>
      </c>
      <c r="D41" s="1044" t="s">
        <v>555</v>
      </c>
      <c r="E41" s="1044" t="s">
        <v>2042</v>
      </c>
      <c r="F41" s="1044"/>
      <c r="G41" s="1053">
        <v>45470</v>
      </c>
      <c r="H41" s="1054"/>
      <c r="I41" s="1055" t="s">
        <v>701</v>
      </c>
      <c r="J41" s="1056" t="s">
        <v>2055</v>
      </c>
    </row>
    <row r="42" spans="1:10" ht="15.5">
      <c r="A42" s="1006">
        <v>41</v>
      </c>
      <c r="B42" s="1006" t="s">
        <v>2</v>
      </c>
      <c r="C42" s="1052" t="s">
        <v>2041</v>
      </c>
      <c r="D42" s="1044" t="s">
        <v>556</v>
      </c>
      <c r="E42" s="1044" t="s">
        <v>2042</v>
      </c>
      <c r="F42" s="1044"/>
      <c r="G42" s="1053">
        <v>45486</v>
      </c>
      <c r="H42" s="1054"/>
      <c r="I42" s="1055" t="s">
        <v>701</v>
      </c>
      <c r="J42" s="1056" t="s">
        <v>2052</v>
      </c>
    </row>
    <row r="43" spans="1:10" ht="15.5">
      <c r="A43" s="1006">
        <v>42</v>
      </c>
      <c r="B43" s="1006" t="s">
        <v>2</v>
      </c>
      <c r="C43" s="1052" t="s">
        <v>2041</v>
      </c>
      <c r="D43" s="1044" t="s">
        <v>557</v>
      </c>
      <c r="E43" s="1044" t="s">
        <v>2042</v>
      </c>
      <c r="F43" s="1044"/>
      <c r="G43" s="1053">
        <v>45486</v>
      </c>
      <c r="H43" s="1054"/>
      <c r="I43" s="1055" t="s">
        <v>701</v>
      </c>
      <c r="J43" s="1056" t="s">
        <v>2052</v>
      </c>
    </row>
    <row r="44" spans="1:10" ht="15.5">
      <c r="A44" s="1006">
        <v>43</v>
      </c>
      <c r="B44" s="1006" t="s">
        <v>2</v>
      </c>
      <c r="C44" s="1052" t="s">
        <v>2041</v>
      </c>
      <c r="D44" s="1044" t="s">
        <v>558</v>
      </c>
      <c r="E44" s="1044" t="s">
        <v>2042</v>
      </c>
      <c r="F44" s="1044" t="s">
        <v>2065</v>
      </c>
      <c r="G44" s="1053">
        <v>45486</v>
      </c>
      <c r="H44" s="1054">
        <v>45532</v>
      </c>
      <c r="I44" s="1055" t="s">
        <v>663</v>
      </c>
      <c r="J44" s="1056" t="s">
        <v>2066</v>
      </c>
    </row>
    <row r="45" spans="1:10" ht="29">
      <c r="A45" s="1006">
        <v>44</v>
      </c>
      <c r="B45" s="1006" t="s">
        <v>2</v>
      </c>
      <c r="C45" s="1052" t="s">
        <v>2041</v>
      </c>
      <c r="D45" s="1044" t="s">
        <v>559</v>
      </c>
      <c r="E45" s="1044" t="s">
        <v>2042</v>
      </c>
      <c r="F45" s="1044" t="s">
        <v>2067</v>
      </c>
      <c r="G45" s="1053">
        <v>45486</v>
      </c>
      <c r="H45" s="1054">
        <v>45722</v>
      </c>
      <c r="I45" s="1055" t="s">
        <v>663</v>
      </c>
      <c r="J45" s="1056" t="s">
        <v>2049</v>
      </c>
    </row>
    <row r="46" spans="1:10" ht="29">
      <c r="A46" s="1006">
        <v>45</v>
      </c>
      <c r="B46" s="1006" t="s">
        <v>2</v>
      </c>
      <c r="C46" s="1052" t="s">
        <v>2041</v>
      </c>
      <c r="D46" s="1044" t="s">
        <v>560</v>
      </c>
      <c r="E46" s="1044" t="s">
        <v>2042</v>
      </c>
      <c r="F46" s="1044" t="s">
        <v>2068</v>
      </c>
      <c r="G46" s="1053">
        <v>45486</v>
      </c>
      <c r="H46" s="1054">
        <v>45534</v>
      </c>
      <c r="I46" s="1055" t="s">
        <v>663</v>
      </c>
      <c r="J46" s="1056" t="s">
        <v>2048</v>
      </c>
    </row>
    <row r="47" spans="1:10" ht="15.5">
      <c r="A47" s="1006">
        <v>46</v>
      </c>
      <c r="B47" s="1006" t="s">
        <v>2</v>
      </c>
      <c r="C47" s="1052" t="s">
        <v>2041</v>
      </c>
      <c r="D47" s="1044" t="s">
        <v>561</v>
      </c>
      <c r="E47" s="1044" t="s">
        <v>2042</v>
      </c>
      <c r="F47" s="1044"/>
      <c r="G47" s="1053">
        <v>45486</v>
      </c>
      <c r="H47" s="1054"/>
      <c r="I47" s="1055" t="s">
        <v>701</v>
      </c>
      <c r="J47" s="1056" t="s">
        <v>2055</v>
      </c>
    </row>
    <row r="48" spans="1:10" ht="15.5">
      <c r="A48" s="1006">
        <v>47</v>
      </c>
      <c r="B48" s="1006" t="s">
        <v>2</v>
      </c>
      <c r="C48" s="1052" t="s">
        <v>2041</v>
      </c>
      <c r="D48" s="1044" t="s">
        <v>562</v>
      </c>
      <c r="E48" s="1044" t="s">
        <v>2042</v>
      </c>
      <c r="F48" s="1044"/>
      <c r="G48" s="1053">
        <v>45486</v>
      </c>
      <c r="H48" s="1054"/>
      <c r="I48" s="1055" t="s">
        <v>701</v>
      </c>
      <c r="J48" s="1056" t="s">
        <v>2052</v>
      </c>
    </row>
    <row r="49" spans="1:10" ht="15.5">
      <c r="A49" s="1006">
        <v>48</v>
      </c>
      <c r="B49" s="1006" t="s">
        <v>2</v>
      </c>
      <c r="C49" s="1052" t="s">
        <v>2041</v>
      </c>
      <c r="D49" s="1044" t="s">
        <v>563</v>
      </c>
      <c r="E49" s="1044" t="s">
        <v>2042</v>
      </c>
      <c r="F49" s="1044"/>
      <c r="G49" s="1053">
        <v>45486</v>
      </c>
      <c r="H49" s="1054"/>
      <c r="I49" s="1055" t="s">
        <v>701</v>
      </c>
      <c r="J49" s="1056" t="s">
        <v>2054</v>
      </c>
    </row>
    <row r="50" spans="1:10" ht="15.5">
      <c r="A50" s="1006">
        <v>49</v>
      </c>
      <c r="B50" s="1006" t="s">
        <v>2</v>
      </c>
      <c r="C50" s="1058" t="s">
        <v>7</v>
      </c>
      <c r="D50" s="1044" t="s">
        <v>421</v>
      </c>
      <c r="E50" s="1044" t="s">
        <v>2069</v>
      </c>
      <c r="F50" s="1058" t="s">
        <v>2070</v>
      </c>
      <c r="G50" s="1053">
        <v>45354</v>
      </c>
      <c r="H50" s="1054">
        <v>45352</v>
      </c>
      <c r="I50" s="1055" t="s">
        <v>663</v>
      </c>
      <c r="J50" s="1056" t="s">
        <v>2071</v>
      </c>
    </row>
    <row r="51" spans="1:10" ht="15.5">
      <c r="A51" s="1006">
        <v>50</v>
      </c>
      <c r="B51" s="1006" t="s">
        <v>2</v>
      </c>
      <c r="C51" s="1058" t="s">
        <v>7</v>
      </c>
      <c r="D51" s="1044" t="s">
        <v>422</v>
      </c>
      <c r="E51" s="1044" t="s">
        <v>2069</v>
      </c>
      <c r="F51" s="1058" t="s">
        <v>2070</v>
      </c>
      <c r="G51" s="1053">
        <v>45354</v>
      </c>
      <c r="H51" s="1054">
        <v>45391</v>
      </c>
      <c r="I51" s="1055" t="s">
        <v>663</v>
      </c>
      <c r="J51" s="1056" t="s">
        <v>2071</v>
      </c>
    </row>
    <row r="52" spans="1:10" ht="29">
      <c r="A52" s="1006">
        <v>51</v>
      </c>
      <c r="B52" s="1006" t="s">
        <v>2</v>
      </c>
      <c r="C52" s="1052" t="s">
        <v>7</v>
      </c>
      <c r="D52" s="1044" t="s">
        <v>2072</v>
      </c>
      <c r="E52" s="1044" t="s">
        <v>2042</v>
      </c>
      <c r="F52" s="1044" t="s">
        <v>2073</v>
      </c>
      <c r="G52" s="1053">
        <v>45354</v>
      </c>
      <c r="H52" s="1054">
        <v>45393</v>
      </c>
      <c r="I52" s="1055" t="s">
        <v>663</v>
      </c>
      <c r="J52" s="1056" t="s">
        <v>2048</v>
      </c>
    </row>
    <row r="53" spans="1:10" ht="15.5">
      <c r="A53" s="1006">
        <v>52</v>
      </c>
      <c r="B53" s="1006" t="s">
        <v>2</v>
      </c>
      <c r="C53" s="1052" t="s">
        <v>7</v>
      </c>
      <c r="D53" s="1044" t="s">
        <v>481</v>
      </c>
      <c r="E53" s="1044" t="s">
        <v>2042</v>
      </c>
      <c r="F53" s="1044" t="s">
        <v>2074</v>
      </c>
      <c r="G53" s="1053">
        <v>45416</v>
      </c>
      <c r="H53" s="1054">
        <v>45491</v>
      </c>
      <c r="I53" s="1055" t="s">
        <v>663</v>
      </c>
      <c r="J53" s="1056" t="s">
        <v>2057</v>
      </c>
    </row>
    <row r="54" spans="1:10" ht="29">
      <c r="A54" s="1006">
        <v>53</v>
      </c>
      <c r="B54" s="1006" t="s">
        <v>2</v>
      </c>
      <c r="C54" s="1058" t="s">
        <v>7</v>
      </c>
      <c r="D54" s="1044" t="s">
        <v>2075</v>
      </c>
      <c r="E54" s="1044" t="s">
        <v>2069</v>
      </c>
      <c r="F54" s="1058" t="s">
        <v>2076</v>
      </c>
      <c r="G54" s="1053">
        <v>45500</v>
      </c>
      <c r="H54" s="1054">
        <v>45513</v>
      </c>
      <c r="I54" s="1055" t="s">
        <v>663</v>
      </c>
      <c r="J54" s="1056" t="s">
        <v>2066</v>
      </c>
    </row>
    <row r="55" spans="1:10" ht="15.5">
      <c r="A55" s="1006">
        <v>54</v>
      </c>
      <c r="B55" s="1006" t="s">
        <v>2</v>
      </c>
      <c r="C55" s="1058" t="s">
        <v>7</v>
      </c>
      <c r="D55" s="1044" t="s">
        <v>425</v>
      </c>
      <c r="E55" s="1044" t="s">
        <v>2069</v>
      </c>
      <c r="F55" s="1058" t="s">
        <v>2077</v>
      </c>
      <c r="G55" s="1053">
        <v>45648</v>
      </c>
      <c r="H55" s="1054">
        <v>45491</v>
      </c>
      <c r="I55" s="1055" t="s">
        <v>663</v>
      </c>
      <c r="J55" s="1056" t="s">
        <v>2057</v>
      </c>
    </row>
    <row r="56" spans="1:10" ht="15.5">
      <c r="A56" s="1006">
        <v>55</v>
      </c>
      <c r="B56" s="1006" t="s">
        <v>2</v>
      </c>
      <c r="C56" s="1058" t="s">
        <v>7</v>
      </c>
      <c r="D56" s="1044" t="s">
        <v>2078</v>
      </c>
      <c r="E56" s="1044" t="s">
        <v>2069</v>
      </c>
      <c r="F56" s="1058" t="s">
        <v>2079</v>
      </c>
      <c r="G56" s="1053">
        <v>45605</v>
      </c>
      <c r="H56" s="1054">
        <v>45504</v>
      </c>
      <c r="I56" s="1055" t="s">
        <v>663</v>
      </c>
      <c r="J56" s="1056" t="s">
        <v>2066</v>
      </c>
    </row>
    <row r="57" spans="1:10" ht="15.5">
      <c r="A57" s="1006">
        <v>56</v>
      </c>
      <c r="B57" s="1006" t="s">
        <v>2</v>
      </c>
      <c r="C57" s="1058" t="s">
        <v>2041</v>
      </c>
      <c r="D57" s="1044" t="s">
        <v>427</v>
      </c>
      <c r="E57" s="1044" t="s">
        <v>2069</v>
      </c>
      <c r="F57" s="1058" t="s">
        <v>2080</v>
      </c>
      <c r="G57" s="1053">
        <v>45391</v>
      </c>
      <c r="H57" s="1054">
        <v>45434</v>
      </c>
      <c r="I57" s="1055" t="s">
        <v>663</v>
      </c>
      <c r="J57" s="1056" t="s">
        <v>2071</v>
      </c>
    </row>
    <row r="58" spans="1:10" ht="15.5">
      <c r="A58" s="1006">
        <v>57</v>
      </c>
      <c r="B58" s="1006" t="s">
        <v>2</v>
      </c>
      <c r="C58" s="1052" t="s">
        <v>7</v>
      </c>
      <c r="D58" s="1044" t="s">
        <v>2081</v>
      </c>
      <c r="E58" s="1044" t="s">
        <v>2042</v>
      </c>
      <c r="F58" s="1044"/>
      <c r="G58" s="1053">
        <v>45623</v>
      </c>
      <c r="H58" s="1054"/>
      <c r="I58" s="1055" t="s">
        <v>701</v>
      </c>
      <c r="J58" s="1056" t="s">
        <v>2055</v>
      </c>
    </row>
    <row r="59" spans="1:10" ht="15.5">
      <c r="A59" s="1006">
        <v>58</v>
      </c>
      <c r="B59" s="1006" t="s">
        <v>2</v>
      </c>
      <c r="C59" s="1058" t="s">
        <v>7</v>
      </c>
      <c r="D59" s="1044" t="s">
        <v>2082</v>
      </c>
      <c r="E59" s="1044" t="s">
        <v>2069</v>
      </c>
      <c r="F59" s="1058" t="s">
        <v>2083</v>
      </c>
      <c r="G59" s="1053">
        <v>45442</v>
      </c>
      <c r="H59" s="1054">
        <v>45454</v>
      </c>
      <c r="I59" s="1055" t="s">
        <v>663</v>
      </c>
      <c r="J59" s="1056" t="s">
        <v>2066</v>
      </c>
    </row>
    <row r="60" spans="1:10" ht="15.5">
      <c r="A60" s="1006">
        <v>59</v>
      </c>
      <c r="B60" s="1006" t="s">
        <v>2</v>
      </c>
      <c r="C60" s="1058" t="s">
        <v>7</v>
      </c>
      <c r="D60" s="1044" t="s">
        <v>428</v>
      </c>
      <c r="E60" s="1044" t="s">
        <v>2069</v>
      </c>
      <c r="F60" s="1058" t="s">
        <v>2084</v>
      </c>
      <c r="G60" s="1053">
        <v>45442</v>
      </c>
      <c r="H60" s="1054">
        <v>45435</v>
      </c>
      <c r="I60" s="1055" t="s">
        <v>663</v>
      </c>
      <c r="J60" s="1056" t="s">
        <v>2066</v>
      </c>
    </row>
    <row r="61" spans="1:10" ht="15.5">
      <c r="A61" s="1006">
        <v>60</v>
      </c>
      <c r="B61" s="1006" t="s">
        <v>2</v>
      </c>
      <c r="C61" s="1052" t="s">
        <v>7</v>
      </c>
      <c r="D61" s="1044" t="s">
        <v>2085</v>
      </c>
      <c r="E61" s="1044" t="s">
        <v>2042</v>
      </c>
      <c r="F61" s="1044"/>
      <c r="G61" s="1053">
        <v>45423</v>
      </c>
      <c r="H61" s="1054"/>
      <c r="I61" s="1055" t="s">
        <v>701</v>
      </c>
      <c r="J61" s="1056" t="s">
        <v>2049</v>
      </c>
    </row>
    <row r="62" spans="1:10" ht="15.5">
      <c r="A62" s="1006">
        <v>61</v>
      </c>
      <c r="B62" s="1006" t="s">
        <v>2</v>
      </c>
      <c r="C62" s="1058" t="s">
        <v>7</v>
      </c>
      <c r="D62" s="1044" t="s">
        <v>430</v>
      </c>
      <c r="E62" s="1044" t="s">
        <v>2069</v>
      </c>
      <c r="F62" s="1058" t="s">
        <v>2086</v>
      </c>
      <c r="G62" s="1053">
        <v>45447</v>
      </c>
      <c r="H62" s="1054">
        <v>45400</v>
      </c>
      <c r="I62" s="1055" t="s">
        <v>663</v>
      </c>
      <c r="J62" s="1056" t="s">
        <v>2066</v>
      </c>
    </row>
    <row r="63" spans="1:10" ht="15.5">
      <c r="A63" s="1006">
        <v>62</v>
      </c>
      <c r="B63" s="1006" t="s">
        <v>2</v>
      </c>
      <c r="C63" s="1058" t="s">
        <v>7</v>
      </c>
      <c r="D63" s="1044" t="s">
        <v>431</v>
      </c>
      <c r="E63" s="1044" t="s">
        <v>2069</v>
      </c>
      <c r="F63" s="1058" t="s">
        <v>2087</v>
      </c>
      <c r="G63" s="1053">
        <v>45447</v>
      </c>
      <c r="H63" s="1054">
        <v>45410</v>
      </c>
      <c r="I63" s="1055" t="s">
        <v>663</v>
      </c>
      <c r="J63" s="1056" t="s">
        <v>2048</v>
      </c>
    </row>
    <row r="64" spans="1:10" ht="15.5">
      <c r="A64" s="1006">
        <v>63</v>
      </c>
      <c r="B64" s="1006" t="s">
        <v>2</v>
      </c>
      <c r="C64" s="1052" t="s">
        <v>7</v>
      </c>
      <c r="D64" s="1044" t="s">
        <v>484</v>
      </c>
      <c r="E64" s="1044" t="s">
        <v>2042</v>
      </c>
      <c r="F64" s="1044" t="s">
        <v>2088</v>
      </c>
      <c r="G64" s="1053">
        <v>45425</v>
      </c>
      <c r="H64" s="1054">
        <v>45425</v>
      </c>
      <c r="I64" s="1055" t="s">
        <v>663</v>
      </c>
      <c r="J64" s="1056" t="s">
        <v>2089</v>
      </c>
    </row>
    <row r="65" spans="1:10" ht="29">
      <c r="A65" s="1006">
        <v>64</v>
      </c>
      <c r="B65" s="1006" t="s">
        <v>2</v>
      </c>
      <c r="C65" s="1052" t="s">
        <v>7</v>
      </c>
      <c r="D65" s="1044" t="s">
        <v>485</v>
      </c>
      <c r="E65" s="1044" t="s">
        <v>2042</v>
      </c>
      <c r="F65" s="1044" t="s">
        <v>2090</v>
      </c>
      <c r="G65" s="1053">
        <v>45439</v>
      </c>
      <c r="H65" s="1054">
        <v>45483</v>
      </c>
      <c r="I65" s="1055" t="s">
        <v>663</v>
      </c>
      <c r="J65" s="1056" t="s">
        <v>2057</v>
      </c>
    </row>
    <row r="66" spans="1:10" ht="43.5">
      <c r="A66" s="1006">
        <v>65</v>
      </c>
      <c r="B66" s="1006" t="s">
        <v>2</v>
      </c>
      <c r="C66" s="1052" t="s">
        <v>7</v>
      </c>
      <c r="D66" s="1044" t="s">
        <v>486</v>
      </c>
      <c r="E66" s="1044" t="s">
        <v>2042</v>
      </c>
      <c r="F66" s="1044" t="s">
        <v>2091</v>
      </c>
      <c r="G66" s="1053">
        <v>45425</v>
      </c>
      <c r="H66" s="1054">
        <v>45495</v>
      </c>
      <c r="I66" s="1055" t="s">
        <v>663</v>
      </c>
      <c r="J66" s="1056" t="s">
        <v>2057</v>
      </c>
    </row>
    <row r="67" spans="1:10" ht="15.5">
      <c r="A67" s="1006">
        <v>66</v>
      </c>
      <c r="B67" s="1006" t="s">
        <v>2</v>
      </c>
      <c r="C67" s="1052" t="s">
        <v>7</v>
      </c>
      <c r="D67" s="1044" t="s">
        <v>487</v>
      </c>
      <c r="E67" s="1044" t="s">
        <v>2042</v>
      </c>
      <c r="F67" s="1044" t="s">
        <v>2092</v>
      </c>
      <c r="G67" s="1053">
        <v>45425</v>
      </c>
      <c r="H67" s="1054">
        <v>45483</v>
      </c>
      <c r="I67" s="1055" t="s">
        <v>663</v>
      </c>
      <c r="J67" s="1056" t="s">
        <v>2057</v>
      </c>
    </row>
    <row r="68" spans="1:10" ht="15.5">
      <c r="A68" s="1006">
        <v>67</v>
      </c>
      <c r="B68" s="1006" t="s">
        <v>2</v>
      </c>
      <c r="C68" s="1058" t="s">
        <v>7</v>
      </c>
      <c r="D68" s="1044" t="s">
        <v>2093</v>
      </c>
      <c r="E68" s="1044" t="s">
        <v>2042</v>
      </c>
      <c r="F68" s="1058" t="s">
        <v>2088</v>
      </c>
      <c r="G68" s="1053">
        <v>45354</v>
      </c>
      <c r="H68" s="1054">
        <v>45425</v>
      </c>
      <c r="I68" s="1055" t="s">
        <v>663</v>
      </c>
      <c r="J68" s="1056" t="s">
        <v>2089</v>
      </c>
    </row>
    <row r="69" spans="1:10" ht="15.5">
      <c r="A69" s="1006">
        <v>68</v>
      </c>
      <c r="B69" s="1006" t="s">
        <v>2</v>
      </c>
      <c r="C69" s="1052" t="s">
        <v>7</v>
      </c>
      <c r="D69" s="1044" t="s">
        <v>488</v>
      </c>
      <c r="E69" s="1044" t="s">
        <v>2042</v>
      </c>
      <c r="F69" s="1044" t="s">
        <v>2094</v>
      </c>
      <c r="G69" s="1053">
        <v>45477</v>
      </c>
      <c r="H69" s="1054">
        <v>45552</v>
      </c>
      <c r="I69" s="1055" t="s">
        <v>663</v>
      </c>
      <c r="J69" s="1056" t="s">
        <v>2057</v>
      </c>
    </row>
    <row r="70" spans="1:10" ht="15.5">
      <c r="A70" s="1006">
        <v>69</v>
      </c>
      <c r="B70" s="1006" t="s">
        <v>2</v>
      </c>
      <c r="C70" s="1052" t="s">
        <v>7</v>
      </c>
      <c r="D70" s="1044" t="s">
        <v>490</v>
      </c>
      <c r="E70" s="1044" t="s">
        <v>2042</v>
      </c>
      <c r="F70" s="1044" t="s">
        <v>2095</v>
      </c>
      <c r="G70" s="1053">
        <v>45477</v>
      </c>
      <c r="H70" s="1054">
        <v>45544</v>
      </c>
      <c r="I70" s="1055" t="s">
        <v>663</v>
      </c>
      <c r="J70" s="1056" t="s">
        <v>2057</v>
      </c>
    </row>
    <row r="71" spans="1:10" ht="15.5">
      <c r="A71" s="1006">
        <v>70</v>
      </c>
      <c r="B71" s="1006" t="s">
        <v>2</v>
      </c>
      <c r="C71" s="1052" t="s">
        <v>7</v>
      </c>
      <c r="D71" s="1044" t="s">
        <v>489</v>
      </c>
      <c r="E71" s="1044" t="s">
        <v>2042</v>
      </c>
      <c r="F71" s="1044" t="s">
        <v>2096</v>
      </c>
      <c r="G71" s="1053">
        <v>45454</v>
      </c>
      <c r="H71" s="1054">
        <v>45495</v>
      </c>
      <c r="I71" s="1055" t="s">
        <v>663</v>
      </c>
      <c r="J71" s="1056" t="s">
        <v>2057</v>
      </c>
    </row>
    <row r="72" spans="1:10" ht="29">
      <c r="A72" s="1006">
        <v>71</v>
      </c>
      <c r="B72" s="1006" t="s">
        <v>2</v>
      </c>
      <c r="C72" s="1052" t="s">
        <v>7</v>
      </c>
      <c r="D72" s="1044" t="s">
        <v>2097</v>
      </c>
      <c r="E72" s="1044" t="s">
        <v>2042</v>
      </c>
      <c r="F72" s="1044"/>
      <c r="G72" s="1053">
        <v>45521</v>
      </c>
      <c r="H72" s="1054"/>
      <c r="I72" s="1055" t="s">
        <v>663</v>
      </c>
      <c r="J72" s="1056" t="s">
        <v>2088</v>
      </c>
    </row>
    <row r="73" spans="1:10" ht="29">
      <c r="A73" s="1006">
        <v>72</v>
      </c>
      <c r="B73" s="1006" t="s">
        <v>2</v>
      </c>
      <c r="C73" s="1052" t="s">
        <v>7</v>
      </c>
      <c r="D73" s="1044" t="s">
        <v>2098</v>
      </c>
      <c r="E73" s="1044" t="s">
        <v>2042</v>
      </c>
      <c r="F73" s="1044"/>
      <c r="G73" s="1053">
        <v>45521</v>
      </c>
      <c r="H73" s="1054">
        <v>45594</v>
      </c>
      <c r="I73" s="1055" t="s">
        <v>663</v>
      </c>
      <c r="J73" s="1056" t="s">
        <v>2057</v>
      </c>
    </row>
    <row r="74" spans="1:10" ht="15.5">
      <c r="A74" s="1006">
        <v>73</v>
      </c>
      <c r="B74" s="1006" t="s">
        <v>2</v>
      </c>
      <c r="C74" s="1058" t="s">
        <v>7</v>
      </c>
      <c r="D74" s="1044" t="s">
        <v>2099</v>
      </c>
      <c r="E74" s="1044" t="s">
        <v>2069</v>
      </c>
      <c r="F74" s="1058" t="s">
        <v>2070</v>
      </c>
      <c r="G74" s="1053">
        <v>45354</v>
      </c>
      <c r="H74" s="1054">
        <v>45391</v>
      </c>
      <c r="I74" s="1055" t="s">
        <v>663</v>
      </c>
      <c r="J74" s="1056" t="s">
        <v>2100</v>
      </c>
    </row>
    <row r="75" spans="1:10" ht="15.5">
      <c r="A75" s="1006">
        <v>74</v>
      </c>
      <c r="B75" s="1006" t="s">
        <v>2</v>
      </c>
      <c r="C75" s="1058" t="s">
        <v>7</v>
      </c>
      <c r="D75" s="1044" t="s">
        <v>432</v>
      </c>
      <c r="E75" s="1044" t="s">
        <v>2069</v>
      </c>
      <c r="F75" s="1058" t="s">
        <v>2070</v>
      </c>
      <c r="G75" s="1053">
        <v>45354</v>
      </c>
      <c r="H75" s="1054">
        <v>45391</v>
      </c>
      <c r="I75" s="1055" t="s">
        <v>663</v>
      </c>
      <c r="J75" s="1056" t="s">
        <v>2100</v>
      </c>
    </row>
    <row r="76" spans="1:10" ht="15.5">
      <c r="A76" s="1006">
        <v>75</v>
      </c>
      <c r="B76" s="1006" t="s">
        <v>2</v>
      </c>
      <c r="C76" s="1058" t="s">
        <v>7</v>
      </c>
      <c r="D76" s="1044" t="s">
        <v>433</v>
      </c>
      <c r="E76" s="1044" t="s">
        <v>2069</v>
      </c>
      <c r="F76" s="1058" t="s">
        <v>2070</v>
      </c>
      <c r="G76" s="1053">
        <v>45354</v>
      </c>
      <c r="H76" s="1054">
        <v>45391</v>
      </c>
      <c r="I76" s="1055" t="s">
        <v>663</v>
      </c>
      <c r="J76" s="1056" t="s">
        <v>2066</v>
      </c>
    </row>
    <row r="77" spans="1:10" ht="15.5">
      <c r="A77" s="1006">
        <v>76</v>
      </c>
      <c r="B77" s="1006" t="s">
        <v>2</v>
      </c>
      <c r="C77" s="1058" t="s">
        <v>7</v>
      </c>
      <c r="D77" s="1044" t="s">
        <v>434</v>
      </c>
      <c r="E77" s="1044" t="s">
        <v>2069</v>
      </c>
      <c r="F77" s="1058" t="s">
        <v>2070</v>
      </c>
      <c r="G77" s="1053">
        <v>45354</v>
      </c>
      <c r="H77" s="1054">
        <v>45391</v>
      </c>
      <c r="I77" s="1055" t="s">
        <v>663</v>
      </c>
      <c r="J77" s="1056" t="s">
        <v>2066</v>
      </c>
    </row>
    <row r="78" spans="1:10" ht="15.5">
      <c r="A78" s="1006">
        <v>77</v>
      </c>
      <c r="B78" s="1006" t="s">
        <v>2</v>
      </c>
      <c r="C78" s="1058" t="s">
        <v>7</v>
      </c>
      <c r="D78" s="1044" t="s">
        <v>2101</v>
      </c>
      <c r="E78" s="1044" t="s">
        <v>2042</v>
      </c>
      <c r="F78" s="1059" t="s">
        <v>2102</v>
      </c>
      <c r="G78" s="1053">
        <v>45354</v>
      </c>
      <c r="H78" s="1054">
        <v>45444</v>
      </c>
      <c r="I78" s="1055" t="s">
        <v>663</v>
      </c>
      <c r="J78" s="1056" t="s">
        <v>2057</v>
      </c>
    </row>
    <row r="79" spans="1:10" ht="29">
      <c r="A79" s="1006">
        <v>78</v>
      </c>
      <c r="B79" s="1006" t="s">
        <v>2</v>
      </c>
      <c r="C79" s="1058" t="s">
        <v>7</v>
      </c>
      <c r="D79" s="1044" t="s">
        <v>436</v>
      </c>
      <c r="E79" s="1044" t="s">
        <v>2069</v>
      </c>
      <c r="F79" s="1058" t="s">
        <v>2103</v>
      </c>
      <c r="G79" s="1053">
        <v>45473</v>
      </c>
      <c r="H79" s="1054">
        <v>45510</v>
      </c>
      <c r="I79" s="1055" t="s">
        <v>663</v>
      </c>
      <c r="J79" s="1056" t="s">
        <v>2048</v>
      </c>
    </row>
    <row r="80" spans="1:10" ht="15.5">
      <c r="A80" s="1006">
        <v>79</v>
      </c>
      <c r="B80" s="1006" t="s">
        <v>2</v>
      </c>
      <c r="C80" s="1058" t="s">
        <v>7</v>
      </c>
      <c r="D80" s="1044" t="s">
        <v>438</v>
      </c>
      <c r="E80" s="1044" t="s">
        <v>2069</v>
      </c>
      <c r="F80" s="1058" t="s">
        <v>2104</v>
      </c>
      <c r="G80" s="1053">
        <v>45481</v>
      </c>
      <c r="H80" s="1054">
        <v>45394</v>
      </c>
      <c r="I80" s="1055" t="s">
        <v>663</v>
      </c>
      <c r="J80" s="1056" t="s">
        <v>2105</v>
      </c>
    </row>
    <row r="81" spans="1:10" ht="29">
      <c r="A81" s="1006">
        <v>80</v>
      </c>
      <c r="B81" s="1006" t="s">
        <v>2</v>
      </c>
      <c r="C81" s="1058" t="s">
        <v>7</v>
      </c>
      <c r="D81" s="1044" t="s">
        <v>439</v>
      </c>
      <c r="E81" s="1044" t="s">
        <v>2069</v>
      </c>
      <c r="F81" s="1058" t="s">
        <v>2106</v>
      </c>
      <c r="G81" s="1053">
        <v>45473</v>
      </c>
      <c r="H81" s="1054">
        <v>45400</v>
      </c>
      <c r="I81" s="1055" t="s">
        <v>663</v>
      </c>
      <c r="J81" s="1056" t="s">
        <v>2107</v>
      </c>
    </row>
    <row r="82" spans="1:10" ht="15.5">
      <c r="A82" s="1006">
        <v>81</v>
      </c>
      <c r="B82" s="1006" t="s">
        <v>2</v>
      </c>
      <c r="C82" s="1058" t="s">
        <v>9</v>
      </c>
      <c r="D82" s="1044" t="s">
        <v>2108</v>
      </c>
      <c r="E82" s="1044" t="s">
        <v>2069</v>
      </c>
      <c r="F82" s="1060" t="s">
        <v>2109</v>
      </c>
      <c r="G82" s="1053">
        <v>45473</v>
      </c>
      <c r="H82" s="1054">
        <v>45588</v>
      </c>
      <c r="I82" s="1055" t="s">
        <v>663</v>
      </c>
      <c r="J82" s="1056" t="s">
        <v>2048</v>
      </c>
    </row>
    <row r="83" spans="1:10" ht="15.5">
      <c r="A83" s="1006">
        <v>82</v>
      </c>
      <c r="B83" s="1006" t="s">
        <v>2</v>
      </c>
      <c r="C83" s="1052" t="s">
        <v>9</v>
      </c>
      <c r="D83" s="1044" t="s">
        <v>493</v>
      </c>
      <c r="E83" s="1044" t="s">
        <v>2042</v>
      </c>
      <c r="F83" s="1044"/>
      <c r="G83" s="1053">
        <v>45500</v>
      </c>
      <c r="H83" s="1054"/>
      <c r="I83" s="1055" t="s">
        <v>701</v>
      </c>
      <c r="J83" s="1056" t="s">
        <v>2052</v>
      </c>
    </row>
    <row r="84" spans="1:10" ht="15.5">
      <c r="A84" s="1006">
        <v>83</v>
      </c>
      <c r="B84" s="1006" t="s">
        <v>2</v>
      </c>
      <c r="C84" s="1058" t="s">
        <v>9</v>
      </c>
      <c r="D84" s="1044" t="s">
        <v>2110</v>
      </c>
      <c r="E84" s="1044" t="s">
        <v>2069</v>
      </c>
      <c r="F84" s="1060" t="s">
        <v>2111</v>
      </c>
      <c r="G84" s="1053">
        <v>45488</v>
      </c>
      <c r="H84" s="1054">
        <v>45529</v>
      </c>
      <c r="I84" s="1055" t="s">
        <v>663</v>
      </c>
      <c r="J84" s="1056" t="s">
        <v>2105</v>
      </c>
    </row>
    <row r="85" spans="1:10" ht="29">
      <c r="A85" s="1006">
        <v>84</v>
      </c>
      <c r="B85" s="1006" t="s">
        <v>2</v>
      </c>
      <c r="C85" s="1052" t="s">
        <v>9</v>
      </c>
      <c r="D85" s="1044" t="s">
        <v>2112</v>
      </c>
      <c r="E85" s="1044" t="s">
        <v>2042</v>
      </c>
      <c r="F85" s="1044"/>
      <c r="G85" s="1053">
        <v>45500</v>
      </c>
      <c r="H85" s="1054"/>
      <c r="I85" s="1055" t="s">
        <v>701</v>
      </c>
      <c r="J85" s="1056" t="s">
        <v>2052</v>
      </c>
    </row>
    <row r="86" spans="1:10" ht="15.5">
      <c r="A86" s="1006">
        <v>85</v>
      </c>
      <c r="B86" s="1006" t="s">
        <v>2</v>
      </c>
      <c r="C86" s="1058" t="s">
        <v>9</v>
      </c>
      <c r="D86" s="1044" t="s">
        <v>2113</v>
      </c>
      <c r="E86" s="1044" t="s">
        <v>2042</v>
      </c>
      <c r="F86" s="1059"/>
      <c r="G86" s="1053">
        <v>45488</v>
      </c>
      <c r="H86" s="1054"/>
      <c r="I86" s="1055" t="s">
        <v>701</v>
      </c>
      <c r="J86" s="1056" t="s">
        <v>2052</v>
      </c>
    </row>
    <row r="87" spans="1:10" ht="29">
      <c r="A87" s="1006">
        <v>86</v>
      </c>
      <c r="B87" s="1006" t="s">
        <v>2</v>
      </c>
      <c r="C87" s="1058" t="s">
        <v>9</v>
      </c>
      <c r="D87" s="1044" t="s">
        <v>444</v>
      </c>
      <c r="E87" s="1044" t="s">
        <v>2069</v>
      </c>
      <c r="F87" s="1059" t="s">
        <v>2114</v>
      </c>
      <c r="G87" s="1053">
        <v>45488</v>
      </c>
      <c r="H87" s="1054">
        <v>45532</v>
      </c>
      <c r="I87" s="1055" t="s">
        <v>663</v>
      </c>
      <c r="J87" s="1056" t="s">
        <v>2048</v>
      </c>
    </row>
    <row r="88" spans="1:10" ht="29">
      <c r="A88" s="1006">
        <v>87</v>
      </c>
      <c r="B88" s="1006" t="s">
        <v>2</v>
      </c>
      <c r="C88" s="1058" t="s">
        <v>9</v>
      </c>
      <c r="D88" s="1044" t="s">
        <v>2115</v>
      </c>
      <c r="E88" s="1044" t="s">
        <v>2069</v>
      </c>
      <c r="F88" s="1059" t="s">
        <v>2116</v>
      </c>
      <c r="G88" s="1053">
        <v>45488</v>
      </c>
      <c r="H88" s="1054">
        <v>45517</v>
      </c>
      <c r="I88" s="1055" t="s">
        <v>663</v>
      </c>
      <c r="J88" s="1056" t="s">
        <v>2048</v>
      </c>
    </row>
    <row r="89" spans="1:10" ht="15.5">
      <c r="A89" s="1006">
        <v>88</v>
      </c>
      <c r="B89" s="1006" t="s">
        <v>2</v>
      </c>
      <c r="C89" s="1058" t="s">
        <v>9</v>
      </c>
      <c r="D89" s="1044" t="s">
        <v>2117</v>
      </c>
      <c r="E89" s="1044" t="s">
        <v>2042</v>
      </c>
      <c r="F89" s="1059"/>
      <c r="G89" s="1053">
        <v>45488</v>
      </c>
      <c r="H89" s="1054"/>
      <c r="I89" s="1055" t="s">
        <v>701</v>
      </c>
      <c r="J89" s="1056" t="s">
        <v>2052</v>
      </c>
    </row>
    <row r="90" spans="1:10" ht="29">
      <c r="A90" s="1006">
        <v>89</v>
      </c>
      <c r="B90" s="1006" t="s">
        <v>2</v>
      </c>
      <c r="C90" s="1058" t="s">
        <v>7</v>
      </c>
      <c r="D90" s="1044" t="s">
        <v>446</v>
      </c>
      <c r="E90" s="1044" t="s">
        <v>2069</v>
      </c>
      <c r="F90" s="1059" t="s">
        <v>2118</v>
      </c>
      <c r="G90" s="1053">
        <v>45503</v>
      </c>
      <c r="H90" s="1054">
        <v>45504</v>
      </c>
      <c r="I90" s="1055" t="s">
        <v>663</v>
      </c>
      <c r="J90" s="1056" t="s">
        <v>2048</v>
      </c>
    </row>
    <row r="91" spans="1:10" ht="15.5">
      <c r="A91" s="1006">
        <v>90</v>
      </c>
      <c r="B91" s="1006" t="s">
        <v>2</v>
      </c>
      <c r="C91" s="1058" t="s">
        <v>7</v>
      </c>
      <c r="D91" s="1044" t="s">
        <v>447</v>
      </c>
      <c r="E91" s="1044" t="s">
        <v>2069</v>
      </c>
      <c r="F91" s="1060" t="s">
        <v>2119</v>
      </c>
      <c r="G91" s="1053">
        <v>45503</v>
      </c>
      <c r="H91" s="1054">
        <v>45441</v>
      </c>
      <c r="I91" s="1055" t="s">
        <v>663</v>
      </c>
      <c r="J91" s="1056" t="s">
        <v>2048</v>
      </c>
    </row>
    <row r="92" spans="1:10" ht="29">
      <c r="A92" s="1006">
        <v>91</v>
      </c>
      <c r="B92" s="1006" t="s">
        <v>2</v>
      </c>
      <c r="C92" s="1058" t="s">
        <v>7</v>
      </c>
      <c r="D92" s="1057" t="s">
        <v>448</v>
      </c>
      <c r="E92" s="1044" t="s">
        <v>2069</v>
      </c>
      <c r="F92" s="1059" t="s">
        <v>2118</v>
      </c>
      <c r="G92" s="1053">
        <v>45503</v>
      </c>
      <c r="H92" s="1054">
        <v>45504</v>
      </c>
      <c r="I92" s="1055" t="s">
        <v>663</v>
      </c>
      <c r="J92" s="1056" t="s">
        <v>2048</v>
      </c>
    </row>
    <row r="93" spans="1:10" ht="15.5">
      <c r="A93" s="1006">
        <v>92</v>
      </c>
      <c r="B93" s="1006" t="s">
        <v>2</v>
      </c>
      <c r="C93" s="1058" t="s">
        <v>7</v>
      </c>
      <c r="D93" s="1044" t="s">
        <v>2120</v>
      </c>
      <c r="E93" s="1044" t="s">
        <v>2069</v>
      </c>
      <c r="F93" s="1059" t="s">
        <v>2121</v>
      </c>
      <c r="G93" s="1053">
        <v>45503</v>
      </c>
      <c r="H93" s="1054">
        <v>45510</v>
      </c>
      <c r="I93" s="1055" t="s">
        <v>663</v>
      </c>
      <c r="J93" s="1056" t="s">
        <v>2122</v>
      </c>
    </row>
    <row r="94" spans="1:10" ht="15.5">
      <c r="A94" s="1006">
        <v>93</v>
      </c>
      <c r="B94" s="1006" t="s">
        <v>2</v>
      </c>
      <c r="C94" s="1058" t="s">
        <v>7</v>
      </c>
      <c r="D94" s="1044" t="s">
        <v>450</v>
      </c>
      <c r="E94" s="1044" t="s">
        <v>2069</v>
      </c>
      <c r="F94" s="1059"/>
      <c r="G94" s="1053">
        <v>45534</v>
      </c>
      <c r="H94" s="1054"/>
      <c r="I94" s="1055" t="s">
        <v>701</v>
      </c>
      <c r="J94" s="1056" t="s">
        <v>2055</v>
      </c>
    </row>
    <row r="95" spans="1:10" ht="15.5">
      <c r="A95" s="1006">
        <v>94</v>
      </c>
      <c r="B95" s="1006" t="s">
        <v>2</v>
      </c>
      <c r="C95" s="1058" t="s">
        <v>7</v>
      </c>
      <c r="D95" s="1044" t="s">
        <v>451</v>
      </c>
      <c r="E95" s="1044" t="s">
        <v>2069</v>
      </c>
      <c r="F95" s="1059"/>
      <c r="G95" s="1053">
        <v>45534</v>
      </c>
      <c r="H95" s="1054"/>
      <c r="I95" s="1055" t="s">
        <v>701</v>
      </c>
      <c r="J95" s="1056" t="s">
        <v>2055</v>
      </c>
    </row>
    <row r="96" spans="1:10" ht="15.5">
      <c r="A96" s="1006">
        <v>95</v>
      </c>
      <c r="B96" s="1006" t="s">
        <v>2</v>
      </c>
      <c r="C96" s="1052" t="s">
        <v>7</v>
      </c>
      <c r="D96" s="1044" t="s">
        <v>491</v>
      </c>
      <c r="E96" s="1044" t="s">
        <v>2042</v>
      </c>
      <c r="F96" s="1044"/>
      <c r="G96" s="1053">
        <v>45464</v>
      </c>
      <c r="H96" s="1054"/>
      <c r="I96" s="1055" t="s">
        <v>701</v>
      </c>
      <c r="J96" s="1056" t="s">
        <v>2054</v>
      </c>
    </row>
    <row r="97" spans="1:10" ht="15.5">
      <c r="A97" s="1006">
        <v>96</v>
      </c>
      <c r="B97" s="1006" t="s">
        <v>2</v>
      </c>
      <c r="C97" s="1052" t="s">
        <v>7</v>
      </c>
      <c r="D97" s="1044" t="s">
        <v>494</v>
      </c>
      <c r="E97" s="1044" t="s">
        <v>2042</v>
      </c>
      <c r="F97" s="1044" t="s">
        <v>2074</v>
      </c>
      <c r="G97" s="1053">
        <v>45399</v>
      </c>
      <c r="H97" s="1054">
        <v>45429</v>
      </c>
      <c r="I97" s="1055" t="s">
        <v>663</v>
      </c>
      <c r="J97" s="1056" t="s">
        <v>2105</v>
      </c>
    </row>
    <row r="98" spans="1:10" ht="29">
      <c r="A98" s="1006">
        <v>97</v>
      </c>
      <c r="B98" s="1006" t="s">
        <v>2</v>
      </c>
      <c r="C98" s="1058" t="s">
        <v>7</v>
      </c>
      <c r="D98" s="1044" t="s">
        <v>2123</v>
      </c>
      <c r="E98" s="1044" t="s">
        <v>2069</v>
      </c>
      <c r="F98" s="1058" t="s">
        <v>2124</v>
      </c>
      <c r="G98" s="1053">
        <v>45354</v>
      </c>
      <c r="H98" s="1054">
        <v>45315</v>
      </c>
      <c r="I98" s="1055" t="s">
        <v>663</v>
      </c>
      <c r="J98" s="1056" t="s">
        <v>2125</v>
      </c>
    </row>
    <row r="99" spans="1:10" ht="29">
      <c r="A99" s="1006">
        <v>98</v>
      </c>
      <c r="B99" s="1006" t="s">
        <v>2</v>
      </c>
      <c r="C99" s="1058" t="s">
        <v>7</v>
      </c>
      <c r="D99" s="1044" t="s">
        <v>2126</v>
      </c>
      <c r="E99" s="1044" t="s">
        <v>2069</v>
      </c>
      <c r="F99" s="1058" t="s">
        <v>2127</v>
      </c>
      <c r="G99" s="1053">
        <v>45354</v>
      </c>
      <c r="H99" s="1054">
        <v>45317</v>
      </c>
      <c r="I99" s="1055" t="s">
        <v>663</v>
      </c>
      <c r="J99" s="1056" t="s">
        <v>2125</v>
      </c>
    </row>
    <row r="100" spans="1:10" ht="29">
      <c r="A100" s="1006">
        <v>99</v>
      </c>
      <c r="B100" s="1006" t="s">
        <v>2</v>
      </c>
      <c r="C100" s="1058" t="s">
        <v>7</v>
      </c>
      <c r="D100" s="1044" t="s">
        <v>454</v>
      </c>
      <c r="E100" s="1044" t="s">
        <v>2069</v>
      </c>
      <c r="F100" s="1061" t="s">
        <v>2103</v>
      </c>
      <c r="G100" s="1053">
        <v>45473</v>
      </c>
      <c r="H100" s="1054">
        <v>45391</v>
      </c>
      <c r="I100" s="1055" t="s">
        <v>663</v>
      </c>
      <c r="J100" s="1056" t="s">
        <v>2066</v>
      </c>
    </row>
    <row r="101" spans="1:10" ht="15.5">
      <c r="A101" s="1006">
        <v>100</v>
      </c>
      <c r="B101" s="1006" t="s">
        <v>2</v>
      </c>
      <c r="C101" s="1052" t="s">
        <v>7</v>
      </c>
      <c r="D101" s="1044" t="s">
        <v>455</v>
      </c>
      <c r="E101" s="1044"/>
      <c r="F101" s="1062"/>
      <c r="G101" s="1053">
        <v>45473</v>
      </c>
      <c r="H101" s="1054">
        <v>45620</v>
      </c>
      <c r="I101" s="1055" t="s">
        <v>663</v>
      </c>
      <c r="J101" s="1056" t="s">
        <v>2048</v>
      </c>
    </row>
    <row r="102" spans="1:10" ht="29">
      <c r="A102" s="1006">
        <v>101</v>
      </c>
      <c r="B102" s="1006" t="s">
        <v>2</v>
      </c>
      <c r="C102" s="1052" t="s">
        <v>7</v>
      </c>
      <c r="D102" s="1044" t="s">
        <v>456</v>
      </c>
      <c r="E102" s="1044" t="s">
        <v>2042</v>
      </c>
      <c r="F102" s="1044" t="s">
        <v>2128</v>
      </c>
      <c r="G102" s="1053">
        <v>45473</v>
      </c>
      <c r="H102" s="1054">
        <v>45488</v>
      </c>
      <c r="I102" s="1055" t="s">
        <v>663</v>
      </c>
      <c r="J102" s="1056" t="s">
        <v>2048</v>
      </c>
    </row>
    <row r="103" spans="1:10" ht="29">
      <c r="A103" s="1006">
        <v>102</v>
      </c>
      <c r="B103" s="1006" t="s">
        <v>2</v>
      </c>
      <c r="C103" s="1052" t="s">
        <v>7</v>
      </c>
      <c r="D103" s="1044" t="s">
        <v>457</v>
      </c>
      <c r="E103" s="1044" t="s">
        <v>2069</v>
      </c>
      <c r="F103" s="1044" t="s">
        <v>2129</v>
      </c>
      <c r="G103" s="1053">
        <v>45417</v>
      </c>
      <c r="H103" s="1054">
        <v>45483</v>
      </c>
      <c r="I103" s="1055" t="s">
        <v>663</v>
      </c>
      <c r="J103" s="1056" t="s">
        <v>2089</v>
      </c>
    </row>
    <row r="104" spans="1:10" ht="15.5">
      <c r="A104" s="1006">
        <v>103</v>
      </c>
      <c r="B104" s="1006" t="s">
        <v>2</v>
      </c>
      <c r="C104" s="1052" t="s">
        <v>7</v>
      </c>
      <c r="D104" s="1044" t="s">
        <v>459</v>
      </c>
      <c r="E104" s="1044" t="s">
        <v>2069</v>
      </c>
      <c r="F104" s="1044" t="s">
        <v>2070</v>
      </c>
      <c r="G104" s="1053">
        <v>45396</v>
      </c>
      <c r="H104" s="1054">
        <v>45392</v>
      </c>
      <c r="I104" s="1055" t="s">
        <v>663</v>
      </c>
      <c r="J104" s="1056" t="s">
        <v>2105</v>
      </c>
    </row>
    <row r="105" spans="1:10" ht="29">
      <c r="A105" s="1006">
        <v>104</v>
      </c>
      <c r="B105" s="1006" t="s">
        <v>2</v>
      </c>
      <c r="C105" s="1052" t="s">
        <v>7</v>
      </c>
      <c r="D105" s="1044" t="s">
        <v>460</v>
      </c>
      <c r="E105" s="1044" t="s">
        <v>2069</v>
      </c>
      <c r="F105" s="1044" t="s">
        <v>2106</v>
      </c>
      <c r="G105" s="1053">
        <v>45437</v>
      </c>
      <c r="H105" s="1054">
        <v>45392</v>
      </c>
      <c r="I105" s="1055" t="s">
        <v>663</v>
      </c>
      <c r="J105" s="1056" t="s">
        <v>2048</v>
      </c>
    </row>
    <row r="106" spans="1:10" ht="29">
      <c r="A106" s="1006">
        <v>105</v>
      </c>
      <c r="B106" s="1006" t="s">
        <v>2</v>
      </c>
      <c r="C106" s="1052" t="s">
        <v>7</v>
      </c>
      <c r="D106" s="1044" t="s">
        <v>461</v>
      </c>
      <c r="E106" s="1044" t="s">
        <v>2069</v>
      </c>
      <c r="F106" s="1044" t="s">
        <v>2130</v>
      </c>
      <c r="G106" s="1053">
        <v>45427</v>
      </c>
      <c r="H106" s="1054">
        <v>45392</v>
      </c>
      <c r="I106" s="1055" t="s">
        <v>663</v>
      </c>
      <c r="J106" s="1056" t="s">
        <v>2131</v>
      </c>
    </row>
    <row r="107" spans="1:10" ht="29">
      <c r="A107" s="1006">
        <v>106</v>
      </c>
      <c r="B107" s="1006" t="s">
        <v>2</v>
      </c>
      <c r="C107" s="1052" t="s">
        <v>7</v>
      </c>
      <c r="D107" s="1044" t="s">
        <v>462</v>
      </c>
      <c r="E107" s="1044" t="s">
        <v>2069</v>
      </c>
      <c r="F107" s="1044" t="s">
        <v>2130</v>
      </c>
      <c r="G107" s="1053">
        <v>45437</v>
      </c>
      <c r="H107" s="1054">
        <v>45392</v>
      </c>
      <c r="I107" s="1055" t="s">
        <v>663</v>
      </c>
      <c r="J107" s="1056" t="s">
        <v>2131</v>
      </c>
    </row>
    <row r="108" spans="1:10" ht="15.5">
      <c r="A108" s="1006">
        <v>107</v>
      </c>
      <c r="B108" s="1006" t="s">
        <v>2</v>
      </c>
      <c r="C108" s="1052" t="s">
        <v>7</v>
      </c>
      <c r="D108" s="1044" t="s">
        <v>463</v>
      </c>
      <c r="E108" s="1044" t="s">
        <v>2069</v>
      </c>
      <c r="F108" s="1044" t="s">
        <v>2070</v>
      </c>
      <c r="G108" s="1053">
        <v>45372</v>
      </c>
      <c r="H108" s="1054">
        <v>45320</v>
      </c>
      <c r="I108" s="1055" t="s">
        <v>663</v>
      </c>
      <c r="J108" s="1056" t="s">
        <v>2048</v>
      </c>
    </row>
    <row r="109" spans="1:10" ht="29">
      <c r="A109" s="1006">
        <v>108</v>
      </c>
      <c r="B109" s="1006" t="s">
        <v>2</v>
      </c>
      <c r="C109" s="1052" t="s">
        <v>7</v>
      </c>
      <c r="D109" s="1044" t="s">
        <v>2132</v>
      </c>
      <c r="E109" s="1044" t="s">
        <v>2069</v>
      </c>
      <c r="F109" s="1044" t="s">
        <v>2133</v>
      </c>
      <c r="G109" s="1053">
        <v>45354</v>
      </c>
      <c r="H109" s="1054">
        <v>45352</v>
      </c>
      <c r="I109" s="1055" t="s">
        <v>663</v>
      </c>
      <c r="J109" s="1056" t="s">
        <v>2048</v>
      </c>
    </row>
    <row r="110" spans="1:10" ht="29">
      <c r="A110" s="1006">
        <v>109</v>
      </c>
      <c r="B110" s="1006" t="s">
        <v>2</v>
      </c>
      <c r="C110" s="1052" t="s">
        <v>7</v>
      </c>
      <c r="D110" s="1044" t="s">
        <v>2134</v>
      </c>
      <c r="E110" s="1044" t="s">
        <v>2069</v>
      </c>
      <c r="F110" s="1044" t="s">
        <v>2133</v>
      </c>
      <c r="G110" s="1053">
        <v>45411</v>
      </c>
      <c r="H110" s="1054">
        <v>45389</v>
      </c>
      <c r="I110" s="1055" t="s">
        <v>663</v>
      </c>
      <c r="J110" s="1056" t="s">
        <v>2105</v>
      </c>
    </row>
    <row r="111" spans="1:10" ht="29">
      <c r="A111" s="1006">
        <v>110</v>
      </c>
      <c r="B111" s="1006" t="s">
        <v>2</v>
      </c>
      <c r="C111" s="1052" t="s">
        <v>7</v>
      </c>
      <c r="D111" s="1044" t="s">
        <v>467</v>
      </c>
      <c r="E111" s="1044" t="s">
        <v>2042</v>
      </c>
      <c r="F111" s="1044" t="s">
        <v>2135</v>
      </c>
      <c r="G111" s="1053">
        <v>45432</v>
      </c>
      <c r="H111" s="1054">
        <v>45488</v>
      </c>
      <c r="I111" s="1055" t="s">
        <v>663</v>
      </c>
      <c r="J111" s="1056" t="s">
        <v>2044</v>
      </c>
    </row>
    <row r="112" spans="1:10" ht="29">
      <c r="A112" s="1006">
        <v>111</v>
      </c>
      <c r="B112" s="1006" t="s">
        <v>2</v>
      </c>
      <c r="C112" s="1052" t="s">
        <v>2041</v>
      </c>
      <c r="D112" s="1044" t="s">
        <v>496</v>
      </c>
      <c r="E112" s="1044" t="s">
        <v>2042</v>
      </c>
      <c r="F112" s="1044" t="s">
        <v>2135</v>
      </c>
      <c r="G112" s="1053">
        <v>45440</v>
      </c>
      <c r="H112" s="1054">
        <v>45488</v>
      </c>
      <c r="I112" s="1055" t="s">
        <v>663</v>
      </c>
      <c r="J112" s="1056" t="s">
        <v>2089</v>
      </c>
    </row>
    <row r="113" spans="1:10" ht="29">
      <c r="A113" s="1006">
        <v>112</v>
      </c>
      <c r="B113" s="1006" t="s">
        <v>2</v>
      </c>
      <c r="C113" s="1052" t="s">
        <v>2041</v>
      </c>
      <c r="D113" s="1044" t="s">
        <v>2007</v>
      </c>
      <c r="E113" s="1044" t="s">
        <v>2042</v>
      </c>
      <c r="F113" s="1044" t="s">
        <v>2136</v>
      </c>
      <c r="G113" s="1053">
        <v>45408</v>
      </c>
      <c r="H113" s="1054">
        <v>45408</v>
      </c>
      <c r="I113" s="1055" t="s">
        <v>663</v>
      </c>
      <c r="J113" s="1056" t="s">
        <v>2048</v>
      </c>
    </row>
    <row r="114" spans="1:10" ht="29">
      <c r="A114" s="1006">
        <v>113</v>
      </c>
      <c r="B114" s="1006" t="s">
        <v>2</v>
      </c>
      <c r="C114" s="1052" t="s">
        <v>7</v>
      </c>
      <c r="D114" s="1044" t="s">
        <v>468</v>
      </c>
      <c r="E114" s="1044" t="s">
        <v>2069</v>
      </c>
      <c r="F114" s="1044" t="s">
        <v>2137</v>
      </c>
      <c r="G114" s="1053">
        <v>45473</v>
      </c>
      <c r="H114" s="1054">
        <v>45392</v>
      </c>
      <c r="I114" s="1055" t="s">
        <v>663</v>
      </c>
      <c r="J114" s="1056" t="s">
        <v>2138</v>
      </c>
    </row>
    <row r="115" spans="1:10" ht="15.5">
      <c r="A115" s="1006">
        <v>114</v>
      </c>
      <c r="B115" s="1006" t="s">
        <v>2</v>
      </c>
      <c r="C115" s="1052" t="s">
        <v>7</v>
      </c>
      <c r="D115" s="1044" t="s">
        <v>469</v>
      </c>
      <c r="E115" s="1044" t="s">
        <v>2069</v>
      </c>
      <c r="F115" s="1044" t="s">
        <v>2139</v>
      </c>
      <c r="G115" s="1053">
        <v>45386</v>
      </c>
      <c r="H115" s="1054">
        <v>45313</v>
      </c>
      <c r="I115" s="1055" t="s">
        <v>663</v>
      </c>
      <c r="J115" s="1056" t="s">
        <v>2138</v>
      </c>
    </row>
    <row r="116" spans="1:10" ht="15.5">
      <c r="A116" s="1006">
        <v>115</v>
      </c>
      <c r="B116" s="1006" t="s">
        <v>2</v>
      </c>
      <c r="C116" s="1052" t="s">
        <v>7</v>
      </c>
      <c r="D116" s="1044" t="s">
        <v>470</v>
      </c>
      <c r="E116" s="1044" t="s">
        <v>2069</v>
      </c>
      <c r="F116" s="1044" t="s">
        <v>2139</v>
      </c>
      <c r="G116" s="1053">
        <v>45354</v>
      </c>
      <c r="H116" s="1054">
        <v>45313</v>
      </c>
      <c r="I116" s="1055" t="s">
        <v>663</v>
      </c>
      <c r="J116" s="1056" t="s">
        <v>2138</v>
      </c>
    </row>
    <row r="117" spans="1:10" ht="31">
      <c r="A117" s="1006">
        <v>116</v>
      </c>
      <c r="B117" s="1006" t="s">
        <v>2</v>
      </c>
      <c r="C117" s="1052" t="s">
        <v>7</v>
      </c>
      <c r="D117" s="1044" t="s">
        <v>498</v>
      </c>
      <c r="E117" s="1044" t="s">
        <v>2042</v>
      </c>
      <c r="F117" s="1044" t="s">
        <v>2136</v>
      </c>
      <c r="G117" s="1053">
        <v>45409</v>
      </c>
      <c r="H117" s="1054">
        <v>45435</v>
      </c>
      <c r="I117" s="1055" t="s">
        <v>663</v>
      </c>
      <c r="J117" s="1056" t="s">
        <v>2140</v>
      </c>
    </row>
    <row r="118" spans="1:10" ht="31">
      <c r="A118" s="1006">
        <v>117</v>
      </c>
      <c r="B118" s="1006" t="s">
        <v>2</v>
      </c>
      <c r="C118" s="1052" t="s">
        <v>7</v>
      </c>
      <c r="D118" s="1044" t="s">
        <v>499</v>
      </c>
      <c r="E118" s="1044" t="s">
        <v>2042</v>
      </c>
      <c r="F118" s="1044" t="s">
        <v>2141</v>
      </c>
      <c r="G118" s="1053">
        <v>45409</v>
      </c>
      <c r="H118" s="1054">
        <v>45428</v>
      </c>
      <c r="I118" s="1055" t="s">
        <v>663</v>
      </c>
      <c r="J118" s="1056" t="s">
        <v>2140</v>
      </c>
    </row>
    <row r="119" spans="1:10" ht="15.5">
      <c r="A119" s="1006">
        <v>118</v>
      </c>
      <c r="B119" s="1006" t="s">
        <v>2</v>
      </c>
      <c r="C119" s="1052" t="s">
        <v>7</v>
      </c>
      <c r="D119" s="1044" t="s">
        <v>471</v>
      </c>
      <c r="E119" s="1044" t="s">
        <v>2069</v>
      </c>
      <c r="F119" s="1044" t="s">
        <v>2070</v>
      </c>
      <c r="G119" s="1053">
        <v>45396</v>
      </c>
      <c r="H119" s="1054">
        <v>45404</v>
      </c>
      <c r="I119" s="1055" t="s">
        <v>663</v>
      </c>
      <c r="J119" s="1056" t="s">
        <v>2105</v>
      </c>
    </row>
    <row r="120" spans="1:10" ht="15.5">
      <c r="A120" s="1006">
        <v>119</v>
      </c>
      <c r="B120" s="1006" t="s">
        <v>2</v>
      </c>
      <c r="C120" s="1052" t="s">
        <v>7</v>
      </c>
      <c r="D120" s="1044" t="s">
        <v>500</v>
      </c>
      <c r="E120" s="1044" t="s">
        <v>2042</v>
      </c>
      <c r="F120" s="1044" t="s">
        <v>2142</v>
      </c>
      <c r="G120" s="1053">
        <v>45500</v>
      </c>
      <c r="H120" s="1054">
        <v>45517</v>
      </c>
      <c r="I120" s="1055" t="s">
        <v>663</v>
      </c>
      <c r="J120" s="1056" t="s">
        <v>2046</v>
      </c>
    </row>
    <row r="121" spans="1:10" ht="15.5">
      <c r="A121" s="1006">
        <v>120</v>
      </c>
      <c r="B121" s="1006" t="s">
        <v>2</v>
      </c>
      <c r="C121" s="1052" t="s">
        <v>7</v>
      </c>
      <c r="D121" s="1044" t="s">
        <v>501</v>
      </c>
      <c r="E121" s="1044" t="s">
        <v>2042</v>
      </c>
      <c r="F121" s="1044" t="s">
        <v>2143</v>
      </c>
      <c r="G121" s="1053">
        <v>45423</v>
      </c>
      <c r="H121" s="1054">
        <v>45470</v>
      </c>
      <c r="I121" s="1055" t="s">
        <v>663</v>
      </c>
      <c r="J121" s="1056" t="s">
        <v>2089</v>
      </c>
    </row>
    <row r="122" spans="1:10" ht="31">
      <c r="A122" s="1006">
        <v>121</v>
      </c>
      <c r="B122" s="1006" t="s">
        <v>2</v>
      </c>
      <c r="C122" s="1052" t="s">
        <v>7</v>
      </c>
      <c r="D122" s="1044" t="s">
        <v>502</v>
      </c>
      <c r="E122" s="1044" t="s">
        <v>2042</v>
      </c>
      <c r="F122" s="1044" t="s">
        <v>2144</v>
      </c>
      <c r="G122" s="1053">
        <v>45423</v>
      </c>
      <c r="H122" s="1054">
        <v>45418</v>
      </c>
      <c r="I122" s="1055" t="s">
        <v>663</v>
      </c>
      <c r="J122" s="1056" t="s">
        <v>2140</v>
      </c>
    </row>
    <row r="123" spans="1:10" ht="15.5">
      <c r="A123" s="1006">
        <v>122</v>
      </c>
      <c r="B123" s="1006" t="s">
        <v>2</v>
      </c>
      <c r="C123" s="1052" t="s">
        <v>7</v>
      </c>
      <c r="D123" s="1044" t="s">
        <v>503</v>
      </c>
      <c r="E123" s="1044" t="s">
        <v>2042</v>
      </c>
      <c r="F123" s="1044"/>
      <c r="G123" s="1053">
        <v>45500</v>
      </c>
      <c r="H123" s="1054">
        <v>45524</v>
      </c>
      <c r="I123" s="1055" t="s">
        <v>663</v>
      </c>
      <c r="J123" s="1056" t="s">
        <v>2046</v>
      </c>
    </row>
    <row r="124" spans="1:10" ht="15.5">
      <c r="A124" s="1006">
        <v>123</v>
      </c>
      <c r="B124" s="1006" t="s">
        <v>2</v>
      </c>
      <c r="C124" s="1052" t="s">
        <v>7</v>
      </c>
      <c r="D124" s="1044" t="s">
        <v>473</v>
      </c>
      <c r="E124" s="1044" t="s">
        <v>2069</v>
      </c>
      <c r="F124" s="1044" t="s">
        <v>2145</v>
      </c>
      <c r="G124" s="1053">
        <v>45472</v>
      </c>
      <c r="H124" s="1054">
        <v>45434</v>
      </c>
      <c r="I124" s="1055" t="s">
        <v>663</v>
      </c>
      <c r="J124" s="1056" t="s">
        <v>2138</v>
      </c>
    </row>
    <row r="125" spans="1:10" ht="15.5">
      <c r="A125" s="1006">
        <v>124</v>
      </c>
      <c r="B125" s="1006" t="s">
        <v>2</v>
      </c>
      <c r="C125" s="1052" t="s">
        <v>7</v>
      </c>
      <c r="D125" s="1044" t="s">
        <v>474</v>
      </c>
      <c r="E125" s="1044" t="s">
        <v>2069</v>
      </c>
      <c r="F125" s="1044" t="s">
        <v>2146</v>
      </c>
      <c r="G125" s="1053">
        <v>45457</v>
      </c>
      <c r="H125" s="1054">
        <v>45447</v>
      </c>
      <c r="I125" s="1055" t="s">
        <v>663</v>
      </c>
      <c r="J125" s="1056" t="s">
        <v>2105</v>
      </c>
    </row>
    <row r="126" spans="1:10" ht="15.5">
      <c r="A126" s="1006">
        <v>125</v>
      </c>
      <c r="B126" s="1006" t="s">
        <v>2</v>
      </c>
      <c r="C126" s="1052" t="s">
        <v>7</v>
      </c>
      <c r="D126" s="1044" t="s">
        <v>477</v>
      </c>
      <c r="E126" s="1044" t="s">
        <v>2069</v>
      </c>
      <c r="F126" s="1044" t="s">
        <v>2147</v>
      </c>
      <c r="G126" s="1053">
        <v>45417</v>
      </c>
      <c r="H126" s="1054">
        <v>45400</v>
      </c>
      <c r="I126" s="1055" t="s">
        <v>663</v>
      </c>
      <c r="J126" s="1056" t="s">
        <v>2048</v>
      </c>
    </row>
    <row r="127" spans="1:10" ht="43.5">
      <c r="A127" s="1006">
        <v>126</v>
      </c>
      <c r="B127" s="1006" t="s">
        <v>2</v>
      </c>
      <c r="C127" s="1052" t="s">
        <v>7</v>
      </c>
      <c r="D127" s="1044" t="s">
        <v>476</v>
      </c>
      <c r="E127" s="1044" t="s">
        <v>2069</v>
      </c>
      <c r="F127" s="1044" t="s">
        <v>2148</v>
      </c>
      <c r="G127" s="1053">
        <v>45457</v>
      </c>
      <c r="H127" s="1054">
        <v>45447</v>
      </c>
      <c r="I127" s="1055" t="s">
        <v>663</v>
      </c>
      <c r="J127" s="1056" t="s">
        <v>2131</v>
      </c>
    </row>
    <row r="128" spans="1:10" ht="15.5">
      <c r="A128" s="1006">
        <v>127</v>
      </c>
      <c r="B128" s="1006" t="s">
        <v>2</v>
      </c>
      <c r="C128" s="1052" t="s">
        <v>7</v>
      </c>
      <c r="D128" s="1044" t="s">
        <v>504</v>
      </c>
      <c r="E128" s="1044" t="s">
        <v>2042</v>
      </c>
      <c r="F128" s="1044"/>
      <c r="G128" s="1053">
        <v>45530</v>
      </c>
      <c r="H128" s="1054"/>
      <c r="I128" s="1055" t="s">
        <v>701</v>
      </c>
      <c r="J128" s="1056" t="s">
        <v>2060</v>
      </c>
    </row>
    <row r="129" spans="1:10" ht="15.5">
      <c r="A129" s="1006">
        <v>128</v>
      </c>
      <c r="B129" s="1006" t="s">
        <v>2</v>
      </c>
      <c r="C129" s="1052" t="s">
        <v>7</v>
      </c>
      <c r="D129" s="1044" t="s">
        <v>505</v>
      </c>
      <c r="E129" s="1044" t="s">
        <v>2069</v>
      </c>
      <c r="F129" s="1044"/>
      <c r="G129" s="1053">
        <v>45530</v>
      </c>
      <c r="H129" s="1054"/>
      <c r="I129" s="1055" t="s">
        <v>663</v>
      </c>
      <c r="J129" s="1056" t="s">
        <v>2044</v>
      </c>
    </row>
    <row r="130" spans="1:10" ht="15.5">
      <c r="A130" s="1006">
        <v>129</v>
      </c>
      <c r="B130" s="1006" t="s">
        <v>2</v>
      </c>
      <c r="C130" s="1052" t="s">
        <v>9</v>
      </c>
      <c r="D130" s="1044" t="s">
        <v>506</v>
      </c>
      <c r="E130" s="1044" t="s">
        <v>2042</v>
      </c>
      <c r="F130" s="1044"/>
      <c r="G130" s="1053">
        <v>45593</v>
      </c>
      <c r="H130" s="1054">
        <v>45707</v>
      </c>
      <c r="I130" s="1055" t="s">
        <v>701</v>
      </c>
      <c r="J130" s="1056" t="s">
        <v>2149</v>
      </c>
    </row>
    <row r="131" spans="1:10" ht="15.5">
      <c r="A131" s="1006">
        <v>130</v>
      </c>
      <c r="B131" s="1006" t="s">
        <v>2</v>
      </c>
      <c r="C131" s="1052" t="s">
        <v>9</v>
      </c>
      <c r="D131" s="1044" t="s">
        <v>507</v>
      </c>
      <c r="E131" s="1044" t="s">
        <v>2042</v>
      </c>
      <c r="F131" s="1044"/>
      <c r="G131" s="1053">
        <v>45593</v>
      </c>
      <c r="H131" s="1054"/>
      <c r="I131" s="1055" t="s">
        <v>701</v>
      </c>
      <c r="J131" s="1056" t="s">
        <v>2149</v>
      </c>
    </row>
    <row r="132" spans="1:10" ht="29">
      <c r="A132" s="1006">
        <v>131</v>
      </c>
      <c r="B132" s="1006" t="s">
        <v>2</v>
      </c>
      <c r="C132" s="1052" t="s">
        <v>7</v>
      </c>
      <c r="D132" s="1044" t="s">
        <v>508</v>
      </c>
      <c r="E132" s="1044" t="s">
        <v>2042</v>
      </c>
      <c r="F132" s="1044" t="s">
        <v>2150</v>
      </c>
      <c r="G132" s="1053">
        <v>45593</v>
      </c>
      <c r="H132" s="1054">
        <v>45447</v>
      </c>
      <c r="I132" s="1055" t="s">
        <v>663</v>
      </c>
      <c r="J132" s="1056" t="s">
        <v>2057</v>
      </c>
    </row>
    <row r="133" spans="1:10" ht="15.5">
      <c r="A133" s="1006">
        <v>132</v>
      </c>
      <c r="B133" s="1006" t="s">
        <v>2</v>
      </c>
      <c r="C133" s="1052" t="s">
        <v>7</v>
      </c>
      <c r="D133" s="1044" t="s">
        <v>510</v>
      </c>
      <c r="E133" s="1044" t="s">
        <v>2042</v>
      </c>
      <c r="F133" s="1044" t="s">
        <v>2151</v>
      </c>
      <c r="G133" s="1053">
        <v>45515</v>
      </c>
      <c r="H133" s="1054">
        <v>45622</v>
      </c>
      <c r="I133" s="1055" t="s">
        <v>663</v>
      </c>
      <c r="J133" s="1056" t="s">
        <v>2046</v>
      </c>
    </row>
    <row r="134" spans="1:10" ht="15.5">
      <c r="A134" s="1006">
        <v>133</v>
      </c>
      <c r="B134" s="1006" t="s">
        <v>2</v>
      </c>
      <c r="C134" s="1052" t="s">
        <v>7</v>
      </c>
      <c r="D134" s="1044" t="s">
        <v>511</v>
      </c>
      <c r="E134" s="1044" t="s">
        <v>2042</v>
      </c>
      <c r="F134" s="1044" t="s">
        <v>2151</v>
      </c>
      <c r="G134" s="1053">
        <v>45515</v>
      </c>
      <c r="H134" s="1054">
        <v>45622</v>
      </c>
      <c r="I134" s="1055" t="s">
        <v>663</v>
      </c>
      <c r="J134" s="1056" t="s">
        <v>2046</v>
      </c>
    </row>
    <row r="135" spans="1:10" ht="15.5">
      <c r="A135" s="1006">
        <v>134</v>
      </c>
      <c r="B135" s="1006" t="s">
        <v>2</v>
      </c>
      <c r="C135" s="1052" t="s">
        <v>2041</v>
      </c>
      <c r="D135" s="1044" t="s">
        <v>565</v>
      </c>
      <c r="E135" s="1044" t="s">
        <v>2069</v>
      </c>
      <c r="F135" s="1044" t="s">
        <v>2152</v>
      </c>
      <c r="G135" s="1053">
        <v>45409</v>
      </c>
      <c r="H135" s="1054">
        <v>45434</v>
      </c>
      <c r="I135" s="1055" t="s">
        <v>663</v>
      </c>
      <c r="J135" s="1056" t="s">
        <v>2048</v>
      </c>
    </row>
    <row r="136" spans="1:10" ht="15.5">
      <c r="A136" s="1006">
        <v>135</v>
      </c>
      <c r="B136" s="1006" t="s">
        <v>2</v>
      </c>
      <c r="C136" s="1052" t="s">
        <v>2041</v>
      </c>
      <c r="D136" s="1044" t="s">
        <v>550</v>
      </c>
      <c r="E136" s="1044" t="s">
        <v>2042</v>
      </c>
      <c r="F136" s="1044"/>
      <c r="G136" s="1053">
        <v>45460</v>
      </c>
      <c r="H136" s="1054"/>
      <c r="I136" s="1055" t="s">
        <v>701</v>
      </c>
      <c r="J136" s="1056" t="s">
        <v>2052</v>
      </c>
    </row>
    <row r="137" spans="1:10" ht="15.5">
      <c r="A137" s="1006">
        <v>136</v>
      </c>
      <c r="B137" s="1006" t="s">
        <v>2</v>
      </c>
      <c r="C137" s="1052" t="s">
        <v>2041</v>
      </c>
      <c r="D137" s="1044" t="s">
        <v>551</v>
      </c>
      <c r="E137" s="1044" t="s">
        <v>2042</v>
      </c>
      <c r="F137" s="1044"/>
      <c r="G137" s="1053">
        <v>45460</v>
      </c>
      <c r="H137" s="1054"/>
      <c r="I137" s="1055" t="s">
        <v>701</v>
      </c>
      <c r="J137" s="1056" t="s">
        <v>2052</v>
      </c>
    </row>
    <row r="138" spans="1:10" ht="29">
      <c r="A138" s="1006">
        <v>137</v>
      </c>
      <c r="B138" s="1006" t="s">
        <v>2</v>
      </c>
      <c r="C138" s="1052" t="s">
        <v>7</v>
      </c>
      <c r="D138" s="1044" t="s">
        <v>2153</v>
      </c>
      <c r="E138" s="1044" t="s">
        <v>2069</v>
      </c>
      <c r="F138" s="1044" t="s">
        <v>2154</v>
      </c>
      <c r="G138" s="1053">
        <v>45396</v>
      </c>
      <c r="H138" s="1054">
        <v>45412</v>
      </c>
      <c r="I138" s="1055" t="s">
        <v>663</v>
      </c>
      <c r="J138" s="1056" t="s">
        <v>2046</v>
      </c>
    </row>
    <row r="139" spans="1:10" ht="29">
      <c r="A139" s="1006">
        <v>138</v>
      </c>
      <c r="B139" s="1006" t="s">
        <v>2</v>
      </c>
      <c r="C139" s="1058" t="s">
        <v>7</v>
      </c>
      <c r="D139" s="1044" t="s">
        <v>2155</v>
      </c>
      <c r="E139" s="1044" t="s">
        <v>2069</v>
      </c>
      <c r="F139" s="1058" t="s">
        <v>2156</v>
      </c>
      <c r="G139" s="1053">
        <v>45396</v>
      </c>
      <c r="H139" s="1054">
        <v>45412</v>
      </c>
      <c r="I139" s="1055" t="s">
        <v>663</v>
      </c>
      <c r="J139" s="1056" t="s">
        <v>2046</v>
      </c>
    </row>
    <row r="140" spans="1:10" ht="15.5">
      <c r="A140" s="1006">
        <v>139</v>
      </c>
      <c r="B140" s="1006" t="s">
        <v>2</v>
      </c>
      <c r="C140" s="1052" t="s">
        <v>2041</v>
      </c>
      <c r="D140" s="1044" t="s">
        <v>564</v>
      </c>
      <c r="E140" s="1044" t="s">
        <v>2069</v>
      </c>
      <c r="F140" s="1044" t="s">
        <v>2157</v>
      </c>
      <c r="G140" s="1053">
        <v>45354</v>
      </c>
      <c r="H140" s="1054">
        <v>45497</v>
      </c>
      <c r="I140" s="1055" t="s">
        <v>663</v>
      </c>
      <c r="J140" s="1056" t="s">
        <v>2044</v>
      </c>
    </row>
    <row r="141" spans="1:10" ht="15.5">
      <c r="A141" s="1006">
        <v>140</v>
      </c>
      <c r="B141" s="1006" t="s">
        <v>2</v>
      </c>
      <c r="C141" s="1052" t="s">
        <v>2041</v>
      </c>
      <c r="D141" s="1044" t="s">
        <v>2158</v>
      </c>
      <c r="E141" s="1044" t="s">
        <v>2042</v>
      </c>
      <c r="F141" s="1044" t="s">
        <v>2159</v>
      </c>
      <c r="G141" s="1053">
        <v>45354</v>
      </c>
      <c r="H141" s="1054">
        <v>45370</v>
      </c>
      <c r="I141" s="1055" t="s">
        <v>663</v>
      </c>
      <c r="J141" s="1056" t="s">
        <v>2046</v>
      </c>
    </row>
  </sheetData>
  <autoFilter ref="A1:J141" xr:uid="{3FD27E95-532D-495D-94A5-682F45ACBB93}"/>
  <pageMargins left="0.7" right="0.7" top="0.75" bottom="0.75" header="0.3" footer="0.3"/>
  <pageSetup scale="5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A6E26-D37B-4A5B-9975-F5DE8B28C0CC}">
  <dimension ref="A1:I15"/>
  <sheetViews>
    <sheetView topLeftCell="D1" zoomScale="80" zoomScaleNormal="80" workbookViewId="0">
      <pane ySplit="1" topLeftCell="A2" activePane="bottomLeft" state="frozen"/>
      <selection activeCell="K19" sqref="K19"/>
      <selection pane="bottomLeft" activeCell="K19" sqref="K19"/>
    </sheetView>
  </sheetViews>
  <sheetFormatPr defaultColWidth="8.7265625" defaultRowHeight="14.5"/>
  <cols>
    <col min="1" max="1" width="5.453125" style="543" customWidth="1"/>
    <col min="2" max="2" width="10.1796875" style="543" customWidth="1"/>
    <col min="3" max="3" width="34" style="544" customWidth="1"/>
    <col min="4" max="4" width="53.7265625" style="544" customWidth="1"/>
    <col min="5" max="5" width="21" style="544" customWidth="1"/>
    <col min="6" max="7" width="18.81640625" style="978" customWidth="1"/>
    <col min="8" max="8" width="47.7265625" style="544" customWidth="1"/>
    <col min="9" max="9" width="14.81640625" style="543" customWidth="1"/>
    <col min="10" max="16384" width="8.7265625" style="544"/>
  </cols>
  <sheetData>
    <row r="1" spans="1:9" s="993" customFormat="1" ht="31">
      <c r="A1" s="994" t="s">
        <v>627</v>
      </c>
      <c r="B1" s="994" t="s">
        <v>626</v>
      </c>
      <c r="C1" s="994" t="s">
        <v>376</v>
      </c>
      <c r="D1" s="994" t="s">
        <v>625</v>
      </c>
      <c r="E1" s="994" t="s">
        <v>624</v>
      </c>
      <c r="F1" s="995" t="s">
        <v>623</v>
      </c>
      <c r="G1" s="995" t="s">
        <v>622</v>
      </c>
      <c r="H1" s="994" t="s">
        <v>621</v>
      </c>
      <c r="I1" s="994" t="s">
        <v>620</v>
      </c>
    </row>
    <row r="2" spans="1:9" ht="43.5">
      <c r="A2" s="543">
        <v>1</v>
      </c>
      <c r="B2" s="543" t="s">
        <v>2</v>
      </c>
      <c r="C2" s="992" t="s">
        <v>619</v>
      </c>
      <c r="D2" s="974" t="s">
        <v>618</v>
      </c>
      <c r="E2" s="989" t="s">
        <v>594</v>
      </c>
      <c r="F2" s="985">
        <v>45381</v>
      </c>
      <c r="G2" s="984">
        <v>45381</v>
      </c>
      <c r="H2" s="991"/>
      <c r="I2" s="979" t="s">
        <v>597</v>
      </c>
    </row>
    <row r="3" spans="1:9">
      <c r="A3" s="543">
        <v>2</v>
      </c>
      <c r="B3" s="543" t="s">
        <v>2</v>
      </c>
      <c r="C3" s="992" t="s">
        <v>617</v>
      </c>
      <c r="D3" s="974" t="s">
        <v>609</v>
      </c>
      <c r="E3" s="989" t="s">
        <v>594</v>
      </c>
      <c r="F3" s="985">
        <v>45381</v>
      </c>
      <c r="G3" s="984">
        <v>45381</v>
      </c>
      <c r="H3" s="991"/>
      <c r="I3" s="979" t="s">
        <v>597</v>
      </c>
    </row>
    <row r="4" spans="1:9">
      <c r="A4" s="543">
        <v>3</v>
      </c>
      <c r="B4" s="543" t="s">
        <v>2</v>
      </c>
      <c r="C4" s="992" t="s">
        <v>616</v>
      </c>
      <c r="D4" s="974" t="s">
        <v>598</v>
      </c>
      <c r="E4" s="989" t="s">
        <v>594</v>
      </c>
      <c r="F4" s="985">
        <v>45381</v>
      </c>
      <c r="G4" s="984">
        <v>45381</v>
      </c>
      <c r="H4" s="991"/>
      <c r="I4" s="979" t="s">
        <v>597</v>
      </c>
    </row>
    <row r="5" spans="1:9">
      <c r="A5" s="543">
        <v>4</v>
      </c>
      <c r="B5" s="543" t="s">
        <v>2</v>
      </c>
      <c r="C5" s="992" t="s">
        <v>615</v>
      </c>
      <c r="D5" s="974" t="s">
        <v>598</v>
      </c>
      <c r="E5" s="989" t="s">
        <v>594</v>
      </c>
      <c r="F5" s="981">
        <v>45899</v>
      </c>
      <c r="G5" s="987">
        <v>45899</v>
      </c>
      <c r="H5" s="991" t="s">
        <v>604</v>
      </c>
      <c r="I5" s="979" t="s">
        <v>278</v>
      </c>
    </row>
    <row r="6" spans="1:9">
      <c r="A6" s="543">
        <v>5</v>
      </c>
      <c r="B6" s="543" t="s">
        <v>2</v>
      </c>
      <c r="C6" s="992" t="s">
        <v>614</v>
      </c>
      <c r="D6" s="974" t="s">
        <v>613</v>
      </c>
      <c r="E6" s="989" t="s">
        <v>594</v>
      </c>
      <c r="F6" s="981">
        <v>45899</v>
      </c>
      <c r="G6" s="987">
        <v>45899</v>
      </c>
      <c r="H6" s="991" t="s">
        <v>604</v>
      </c>
      <c r="I6" s="979" t="s">
        <v>278</v>
      </c>
    </row>
    <row r="7" spans="1:9" ht="29">
      <c r="A7" s="543">
        <v>6</v>
      </c>
      <c r="B7" s="543" t="s">
        <v>2</v>
      </c>
      <c r="C7" s="983" t="s">
        <v>612</v>
      </c>
      <c r="D7" s="974" t="s">
        <v>611</v>
      </c>
      <c r="E7" s="989" t="s">
        <v>594</v>
      </c>
      <c r="F7" s="981">
        <v>45504</v>
      </c>
      <c r="G7" s="987">
        <v>45504</v>
      </c>
      <c r="H7" s="990"/>
      <c r="I7" s="979" t="s">
        <v>278</v>
      </c>
    </row>
    <row r="8" spans="1:9">
      <c r="A8" s="543">
        <v>7</v>
      </c>
      <c r="B8" s="543" t="s">
        <v>2</v>
      </c>
      <c r="C8" s="983" t="s">
        <v>610</v>
      </c>
      <c r="D8" s="974" t="s">
        <v>609</v>
      </c>
      <c r="E8" s="989" t="s">
        <v>594</v>
      </c>
      <c r="F8" s="981">
        <v>45534</v>
      </c>
      <c r="G8" s="987">
        <v>45534</v>
      </c>
      <c r="H8" s="988"/>
      <c r="I8" s="979" t="s">
        <v>278</v>
      </c>
    </row>
    <row r="9" spans="1:9">
      <c r="A9" s="543">
        <v>8</v>
      </c>
      <c r="B9" s="543" t="s">
        <v>2</v>
      </c>
      <c r="C9" s="983" t="s">
        <v>608</v>
      </c>
      <c r="D9" s="974" t="s">
        <v>598</v>
      </c>
      <c r="E9" s="989" t="s">
        <v>594</v>
      </c>
      <c r="F9" s="981">
        <v>45565</v>
      </c>
      <c r="G9" s="987">
        <v>45565</v>
      </c>
      <c r="H9" s="988"/>
      <c r="I9" s="979" t="s">
        <v>278</v>
      </c>
    </row>
    <row r="10" spans="1:9">
      <c r="A10" s="543">
        <v>9</v>
      </c>
      <c r="B10" s="543" t="s">
        <v>2</v>
      </c>
      <c r="C10" s="983" t="s">
        <v>607</v>
      </c>
      <c r="D10" s="974" t="s">
        <v>598</v>
      </c>
      <c r="E10" s="989" t="s">
        <v>594</v>
      </c>
      <c r="F10" s="981">
        <v>45534</v>
      </c>
      <c r="G10" s="987">
        <v>45534</v>
      </c>
      <c r="H10" s="988"/>
      <c r="I10" s="979" t="s">
        <v>278</v>
      </c>
    </row>
    <row r="11" spans="1:9">
      <c r="A11" s="543">
        <v>10</v>
      </c>
      <c r="B11" s="543" t="s">
        <v>2</v>
      </c>
      <c r="C11" s="983" t="s">
        <v>606</v>
      </c>
      <c r="D11" s="974" t="s">
        <v>605</v>
      </c>
      <c r="E11" s="989" t="s">
        <v>594</v>
      </c>
      <c r="F11" s="981">
        <v>45808</v>
      </c>
      <c r="G11" s="987">
        <v>45808</v>
      </c>
      <c r="H11" s="988" t="s">
        <v>604</v>
      </c>
      <c r="I11" s="979" t="s">
        <v>278</v>
      </c>
    </row>
    <row r="12" spans="1:9" ht="29">
      <c r="A12" s="543">
        <v>11</v>
      </c>
      <c r="B12" s="543" t="s">
        <v>2</v>
      </c>
      <c r="C12" s="983" t="s">
        <v>603</v>
      </c>
      <c r="D12" s="974" t="s">
        <v>602</v>
      </c>
      <c r="E12" s="982" t="s">
        <v>594</v>
      </c>
      <c r="F12" s="981">
        <v>45493</v>
      </c>
      <c r="G12" s="987">
        <v>45503</v>
      </c>
      <c r="H12" s="986" t="s">
        <v>601</v>
      </c>
      <c r="I12" s="979" t="s">
        <v>278</v>
      </c>
    </row>
    <row r="13" spans="1:9">
      <c r="A13" s="543">
        <v>12</v>
      </c>
      <c r="B13" s="543" t="s">
        <v>2</v>
      </c>
      <c r="C13" s="983" t="s">
        <v>600</v>
      </c>
      <c r="D13" s="974" t="s">
        <v>598</v>
      </c>
      <c r="E13" s="982" t="s">
        <v>594</v>
      </c>
      <c r="F13" s="985">
        <v>45381</v>
      </c>
      <c r="G13" s="984">
        <v>45381</v>
      </c>
      <c r="H13" s="980"/>
      <c r="I13" s="979" t="s">
        <v>597</v>
      </c>
    </row>
    <row r="14" spans="1:9">
      <c r="A14" s="543">
        <v>13</v>
      </c>
      <c r="B14" s="543" t="s">
        <v>2</v>
      </c>
      <c r="C14" s="983" t="s">
        <v>599</v>
      </c>
      <c r="D14" s="974" t="s">
        <v>598</v>
      </c>
      <c r="E14" s="982" t="s">
        <v>594</v>
      </c>
      <c r="F14" s="985">
        <v>45381</v>
      </c>
      <c r="G14" s="984">
        <v>45381</v>
      </c>
      <c r="H14" s="980"/>
      <c r="I14" s="979" t="s">
        <v>597</v>
      </c>
    </row>
    <row r="15" spans="1:9">
      <c r="A15" s="543">
        <v>14</v>
      </c>
      <c r="B15" s="543" t="s">
        <v>2</v>
      </c>
      <c r="C15" s="983" t="s">
        <v>596</v>
      </c>
      <c r="D15" s="974" t="s">
        <v>595</v>
      </c>
      <c r="E15" s="982" t="s">
        <v>594</v>
      </c>
      <c r="F15" s="981">
        <v>45503</v>
      </c>
      <c r="G15" s="981">
        <v>45503</v>
      </c>
      <c r="H15" s="980" t="s">
        <v>593</v>
      </c>
      <c r="I15" s="979" t="s">
        <v>278</v>
      </c>
    </row>
  </sheetData>
  <conditionalFormatting sqref="H1:I1">
    <cfRule type="cellIs" dxfId="31" priority="1" operator="equal">
      <formula>"Available"</formula>
    </cfRule>
    <cfRule type="cellIs" dxfId="30" priority="2" operator="equal">
      <formula>"Completed"</formula>
    </cfRule>
  </conditionalFormatting>
  <conditionalFormatting sqref="H13:I15 I12 H1:I11">
    <cfRule type="cellIs" dxfId="29" priority="3" operator="equal">
      <formula>"Submitted"</formula>
    </cfRule>
  </conditionalFormatting>
  <pageMargins left="0.7" right="0.7" top="0.75" bottom="0.75" header="0.3" footer="0.3"/>
  <pageSetup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0F0D2-4795-439C-8F06-E63FDEFB532A}">
  <dimension ref="A1:B4"/>
  <sheetViews>
    <sheetView zoomScale="90" zoomScaleNormal="90" workbookViewId="0">
      <selection activeCell="B19" sqref="B19"/>
    </sheetView>
  </sheetViews>
  <sheetFormatPr defaultRowHeight="14.5"/>
  <cols>
    <col min="1" max="1" width="15.54296875" style="543" customWidth="1"/>
    <col min="2" max="2" width="15.26953125" style="543" customWidth="1"/>
    <col min="3" max="16384" width="8.7265625" style="564"/>
  </cols>
  <sheetData>
    <row r="1" spans="1:2">
      <c r="A1" s="1046" t="s">
        <v>2028</v>
      </c>
      <c r="B1" s="1046" t="s">
        <v>2029</v>
      </c>
    </row>
    <row r="2" spans="1:2">
      <c r="A2" s="1047" t="s">
        <v>2030</v>
      </c>
      <c r="B2" s="1047">
        <v>247369</v>
      </c>
    </row>
    <row r="3" spans="1:2">
      <c r="A3" s="1047" t="s">
        <v>2031</v>
      </c>
      <c r="B3" s="1047" t="s">
        <v>2032</v>
      </c>
    </row>
    <row r="4" spans="1:2">
      <c r="A4" s="1047" t="s">
        <v>2033</v>
      </c>
      <c r="B4" s="1047" t="s">
        <v>2032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943-DCCB-4C5C-B373-083B23501B85}">
  <dimension ref="A2:C14"/>
  <sheetViews>
    <sheetView zoomScale="60" zoomScaleNormal="60" workbookViewId="0">
      <pane ySplit="2" topLeftCell="A14" activePane="bottomLeft" state="frozen"/>
      <selection activeCell="B19" sqref="B19"/>
      <selection pane="bottomLeft" activeCell="I15" sqref="I15"/>
    </sheetView>
  </sheetViews>
  <sheetFormatPr defaultColWidth="8.7265625" defaultRowHeight="14.5"/>
  <cols>
    <col min="1" max="1" width="4.54296875" style="544" customWidth="1"/>
    <col min="2" max="2" width="23.81640625" style="544" customWidth="1"/>
    <col min="3" max="3" width="63.453125" style="544" customWidth="1"/>
    <col min="4" max="16384" width="8.7265625" style="544"/>
  </cols>
  <sheetData>
    <row r="2" spans="1:3" s="1043" customFormat="1">
      <c r="A2" s="1042" t="s">
        <v>0</v>
      </c>
      <c r="B2" s="1042" t="s">
        <v>1</v>
      </c>
      <c r="C2" s="1042" t="s">
        <v>2010</v>
      </c>
    </row>
    <row r="3" spans="1:3">
      <c r="A3" s="51">
        <v>1</v>
      </c>
      <c r="B3" s="47" t="s">
        <v>2011</v>
      </c>
      <c r="C3" s="1044" t="s">
        <v>2012</v>
      </c>
    </row>
    <row r="4" spans="1:3">
      <c r="A4" s="51">
        <v>2</v>
      </c>
      <c r="B4" s="47" t="s">
        <v>2013</v>
      </c>
      <c r="C4" s="1044" t="s">
        <v>2014</v>
      </c>
    </row>
    <row r="5" spans="1:3">
      <c r="A5" s="51">
        <v>3</v>
      </c>
      <c r="B5" s="47" t="s">
        <v>2015</v>
      </c>
      <c r="C5" s="1045" t="s">
        <v>2016</v>
      </c>
    </row>
    <row r="6" spans="1:3" ht="72.5">
      <c r="A6" s="51">
        <v>4</v>
      </c>
      <c r="B6" s="47" t="s">
        <v>2017</v>
      </c>
      <c r="C6" s="1044" t="s">
        <v>2018</v>
      </c>
    </row>
    <row r="7" spans="1:3">
      <c r="A7" s="51">
        <v>5</v>
      </c>
      <c r="B7" s="47" t="s">
        <v>2019</v>
      </c>
      <c r="C7" s="1044" t="s">
        <v>2020</v>
      </c>
    </row>
    <row r="8" spans="1:3">
      <c r="A8" s="51">
        <v>6</v>
      </c>
      <c r="B8" s="47" t="s">
        <v>2021</v>
      </c>
      <c r="C8" s="1044" t="s">
        <v>2022</v>
      </c>
    </row>
    <row r="9" spans="1:3" ht="29">
      <c r="A9" s="51">
        <v>7</v>
      </c>
      <c r="B9" s="47" t="s">
        <v>10</v>
      </c>
      <c r="C9" s="1044" t="s">
        <v>2023</v>
      </c>
    </row>
    <row r="10" spans="1:3" ht="29">
      <c r="A10" s="51">
        <v>8</v>
      </c>
      <c r="B10" s="47" t="s">
        <v>19</v>
      </c>
      <c r="C10" s="1044" t="s">
        <v>2024</v>
      </c>
    </row>
    <row r="11" spans="1:3" ht="29">
      <c r="A11" s="51">
        <v>9</v>
      </c>
      <c r="B11" s="47" t="s">
        <v>17</v>
      </c>
      <c r="C11" s="1044" t="s">
        <v>2025</v>
      </c>
    </row>
    <row r="12" spans="1:3">
      <c r="A12" s="47">
        <v>10</v>
      </c>
      <c r="B12" s="47" t="s">
        <v>25</v>
      </c>
      <c r="C12" s="1044" t="s">
        <v>2026</v>
      </c>
    </row>
    <row r="13" spans="1:3" ht="58">
      <c r="A13" s="47">
        <v>11</v>
      </c>
      <c r="B13" s="47" t="s">
        <v>2009</v>
      </c>
      <c r="C13" s="1044" t="s">
        <v>2027</v>
      </c>
    </row>
    <row r="14" spans="1:3" ht="319">
      <c r="A14" s="544">
        <v>12</v>
      </c>
      <c r="B14" s="544" t="s">
        <v>2015</v>
      </c>
      <c r="C14" s="993" t="s">
        <v>2246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EBEA1-0E64-4418-8B41-A98CBCA79DCB}">
  <dimension ref="A1:B23"/>
  <sheetViews>
    <sheetView workbookViewId="0">
      <selection activeCell="B19" sqref="B19"/>
    </sheetView>
  </sheetViews>
  <sheetFormatPr defaultRowHeight="14.5"/>
  <cols>
    <col min="1" max="1" width="16" style="564" customWidth="1"/>
    <col min="2" max="2" width="12.453125" style="543" customWidth="1"/>
    <col min="3" max="16384" width="8.7265625" style="564"/>
  </cols>
  <sheetData>
    <row r="1" spans="1:2" ht="22" customHeight="1">
      <c r="A1" s="1039" t="s">
        <v>2008</v>
      </c>
      <c r="B1" s="1039" t="s">
        <v>2009</v>
      </c>
    </row>
    <row r="2" spans="1:2">
      <c r="A2" s="1040">
        <v>45352</v>
      </c>
      <c r="B2" s="543">
        <v>1</v>
      </c>
    </row>
    <row r="3" spans="1:2">
      <c r="A3" s="1040">
        <v>45383</v>
      </c>
      <c r="B3" s="543">
        <v>1</v>
      </c>
    </row>
    <row r="4" spans="1:2">
      <c r="A4" s="1040">
        <v>45413</v>
      </c>
      <c r="B4" s="543">
        <v>1</v>
      </c>
    </row>
    <row r="5" spans="1:2">
      <c r="A5" s="1040">
        <v>45444</v>
      </c>
      <c r="B5" s="543">
        <v>1</v>
      </c>
    </row>
    <row r="6" spans="1:2">
      <c r="A6" s="1040">
        <v>45474</v>
      </c>
      <c r="B6" s="543">
        <v>1</v>
      </c>
    </row>
    <row r="7" spans="1:2">
      <c r="A7" s="1040">
        <v>45505</v>
      </c>
      <c r="B7" s="543">
        <v>0.91</v>
      </c>
    </row>
    <row r="8" spans="1:2">
      <c r="A8" s="1040">
        <v>45536</v>
      </c>
      <c r="B8" s="543">
        <v>0.91</v>
      </c>
    </row>
    <row r="9" spans="1:2">
      <c r="A9" s="1040">
        <v>45566</v>
      </c>
      <c r="B9" s="543">
        <v>0.91</v>
      </c>
    </row>
    <row r="10" spans="1:2">
      <c r="A10" s="1040">
        <v>45597</v>
      </c>
      <c r="B10" s="543">
        <v>0.9</v>
      </c>
    </row>
    <row r="11" spans="1:2">
      <c r="A11" s="1040">
        <v>45627</v>
      </c>
      <c r="B11" s="543">
        <v>0.88</v>
      </c>
    </row>
    <row r="12" spans="1:2">
      <c r="A12" s="1040">
        <v>45658</v>
      </c>
      <c r="B12" s="543">
        <v>1</v>
      </c>
    </row>
    <row r="13" spans="1:2">
      <c r="A13" s="1040">
        <v>45689</v>
      </c>
      <c r="B13" s="1041">
        <v>0.94</v>
      </c>
    </row>
    <row r="14" spans="1:2">
      <c r="A14" s="1040">
        <v>45717</v>
      </c>
      <c r="B14" s="1041">
        <v>0.9015691868758916</v>
      </c>
    </row>
    <row r="15" spans="1:2">
      <c r="A15" s="1040">
        <v>45748</v>
      </c>
    </row>
    <row r="16" spans="1:2">
      <c r="A16" s="1040">
        <v>45778</v>
      </c>
    </row>
    <row r="17" spans="1:1">
      <c r="A17" s="1040">
        <v>45809</v>
      </c>
    </row>
    <row r="18" spans="1:1">
      <c r="A18" s="1040">
        <v>45839</v>
      </c>
    </row>
    <row r="19" spans="1:1">
      <c r="A19" s="1040">
        <v>45870</v>
      </c>
    </row>
    <row r="20" spans="1:1">
      <c r="A20" s="1040">
        <v>45901</v>
      </c>
    </row>
    <row r="21" spans="1:1">
      <c r="A21" s="1040">
        <v>45931</v>
      </c>
    </row>
    <row r="22" spans="1:1">
      <c r="A22" s="1040">
        <v>45962</v>
      </c>
    </row>
    <row r="23" spans="1:1">
      <c r="A23" s="1040">
        <v>45992</v>
      </c>
    </row>
  </sheetData>
  <pageMargins left="0.7" right="0.7" top="0.75" bottom="0.75" header="0.3" footer="0.3"/>
  <pageSetup orientation="portrait" r:id="rId1"/>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AA027-7319-4542-80BA-3092A2A057CF}">
  <dimension ref="A1:L222"/>
  <sheetViews>
    <sheetView zoomScale="90" zoomScaleNormal="90" workbookViewId="0">
      <pane ySplit="1" topLeftCell="A20" activePane="bottomLeft" state="frozen"/>
      <selection activeCell="B19" sqref="B19"/>
      <selection pane="bottomLeft" activeCell="B19" sqref="B19"/>
    </sheetView>
  </sheetViews>
  <sheetFormatPr defaultColWidth="8.7265625" defaultRowHeight="14.5"/>
  <cols>
    <col min="1" max="1" width="6.26953125" style="544" customWidth="1"/>
    <col min="2" max="2" width="12.26953125" style="544" bestFit="1" customWidth="1"/>
    <col min="3" max="3" width="14.26953125" style="544" customWidth="1"/>
    <col min="4" max="4" width="25.1796875" style="544" bestFit="1" customWidth="1"/>
    <col min="5" max="5" width="14" style="543" bestFit="1" customWidth="1"/>
    <col min="6" max="6" width="12.54296875" style="978" customWidth="1"/>
    <col min="7" max="7" width="14.7265625" style="978" customWidth="1"/>
    <col min="8" max="8" width="20.453125" style="544" customWidth="1"/>
    <col min="9" max="9" width="10.81640625" style="544" customWidth="1"/>
    <col min="10" max="10" width="15.54296875" style="978" customWidth="1"/>
    <col min="11" max="11" width="15.54296875" style="544" customWidth="1"/>
    <col min="12" max="12" width="30.453125" style="544" customWidth="1"/>
    <col min="13" max="16384" width="8.7265625" style="544"/>
  </cols>
  <sheetData>
    <row r="1" spans="1:12" s="1031" customFormat="1" ht="31">
      <c r="A1" s="1029" t="s">
        <v>0</v>
      </c>
      <c r="B1" s="1029" t="s">
        <v>360</v>
      </c>
      <c r="C1" s="1029" t="s">
        <v>361</v>
      </c>
      <c r="D1" s="1029" t="s">
        <v>1990</v>
      </c>
      <c r="E1" s="1029" t="s">
        <v>1991</v>
      </c>
      <c r="F1" s="1030" t="s">
        <v>1992</v>
      </c>
      <c r="G1" s="1030" t="s">
        <v>1993</v>
      </c>
      <c r="H1" s="1029" t="s">
        <v>1994</v>
      </c>
      <c r="I1" s="1029" t="s">
        <v>1995</v>
      </c>
      <c r="J1" s="1030" t="s">
        <v>1996</v>
      </c>
      <c r="K1" s="1029" t="s">
        <v>620</v>
      </c>
      <c r="L1" s="1029" t="s">
        <v>1997</v>
      </c>
    </row>
    <row r="2" spans="1:12">
      <c r="A2" s="1032">
        <v>1</v>
      </c>
      <c r="B2" s="1032" t="s">
        <v>58</v>
      </c>
      <c r="C2" s="1032" t="s">
        <v>1998</v>
      </c>
      <c r="D2" s="1033"/>
      <c r="E2" s="1032"/>
      <c r="F2" s="1034"/>
      <c r="G2" s="1035"/>
      <c r="H2" s="1036"/>
      <c r="I2" s="1037"/>
      <c r="J2" s="1038"/>
      <c r="K2" s="1037"/>
      <c r="L2" s="1037"/>
    </row>
    <row r="3" spans="1:12">
      <c r="A3" s="1032">
        <v>2</v>
      </c>
      <c r="B3" s="1032" t="s">
        <v>58</v>
      </c>
      <c r="C3" s="1032" t="s">
        <v>1998</v>
      </c>
      <c r="D3" s="1033"/>
      <c r="E3" s="1032"/>
      <c r="F3" s="1034"/>
      <c r="G3" s="1035"/>
      <c r="H3" s="1036"/>
      <c r="I3" s="1037"/>
      <c r="J3" s="1038"/>
      <c r="K3" s="1037"/>
      <c r="L3" s="1037"/>
    </row>
    <row r="4" spans="1:12">
      <c r="A4" s="1032">
        <v>3</v>
      </c>
      <c r="B4" s="1032" t="s">
        <v>58</v>
      </c>
      <c r="C4" s="1032" t="s">
        <v>1998</v>
      </c>
      <c r="D4" s="1033"/>
      <c r="E4" s="1032"/>
      <c r="F4" s="1034"/>
      <c r="G4" s="1035"/>
      <c r="H4" s="1036"/>
      <c r="I4" s="1037"/>
      <c r="J4" s="1038"/>
      <c r="K4" s="1037"/>
      <c r="L4" s="1037"/>
    </row>
    <row r="5" spans="1:12">
      <c r="A5" s="1032">
        <v>4</v>
      </c>
      <c r="B5" s="1032" t="s">
        <v>58</v>
      </c>
      <c r="C5" s="1032" t="s">
        <v>1998</v>
      </c>
      <c r="D5" s="1033"/>
      <c r="E5" s="1032"/>
      <c r="F5" s="1034"/>
      <c r="G5" s="1035"/>
      <c r="H5" s="1036"/>
      <c r="I5" s="1037"/>
      <c r="J5" s="1038"/>
      <c r="K5" s="1037"/>
      <c r="L5" s="1037"/>
    </row>
    <row r="6" spans="1:12">
      <c r="A6" s="1032">
        <v>5</v>
      </c>
      <c r="B6" s="1032" t="s">
        <v>58</v>
      </c>
      <c r="C6" s="1032" t="s">
        <v>1998</v>
      </c>
      <c r="D6" s="1033"/>
      <c r="E6" s="1032"/>
      <c r="F6" s="1034"/>
      <c r="G6" s="1035"/>
      <c r="H6" s="1036"/>
      <c r="I6" s="1037"/>
      <c r="J6" s="1038"/>
      <c r="K6" s="1037"/>
      <c r="L6" s="1037"/>
    </row>
    <row r="7" spans="1:12">
      <c r="A7" s="1032">
        <v>6</v>
      </c>
      <c r="B7" s="1032" t="s">
        <v>58</v>
      </c>
      <c r="C7" s="1032" t="s">
        <v>1998</v>
      </c>
      <c r="D7" s="1033"/>
      <c r="E7" s="1032"/>
      <c r="F7" s="1034"/>
      <c r="G7" s="1035"/>
      <c r="H7" s="1036"/>
      <c r="I7" s="1037"/>
      <c r="J7" s="1038"/>
      <c r="K7" s="1037"/>
      <c r="L7" s="1037"/>
    </row>
    <row r="8" spans="1:12">
      <c r="A8" s="1032">
        <v>7</v>
      </c>
      <c r="B8" s="1032" t="s">
        <v>58</v>
      </c>
      <c r="C8" s="1032" t="s">
        <v>1998</v>
      </c>
      <c r="D8" s="1033"/>
      <c r="E8" s="1032"/>
      <c r="F8" s="1034"/>
      <c r="G8" s="1035"/>
      <c r="H8" s="1036"/>
      <c r="I8" s="1037"/>
      <c r="J8" s="1038"/>
      <c r="K8" s="1037"/>
      <c r="L8" s="1037"/>
    </row>
    <row r="9" spans="1:12">
      <c r="A9" s="1032">
        <v>8</v>
      </c>
      <c r="B9" s="1032" t="s">
        <v>58</v>
      </c>
      <c r="C9" s="1032" t="s">
        <v>1998</v>
      </c>
      <c r="D9" s="1033"/>
      <c r="E9" s="1032"/>
      <c r="F9" s="1034"/>
      <c r="G9" s="1035"/>
      <c r="H9" s="1036"/>
      <c r="I9" s="1037"/>
      <c r="J9" s="1038"/>
      <c r="K9" s="1037"/>
      <c r="L9" s="1037"/>
    </row>
    <row r="10" spans="1:12">
      <c r="A10" s="1032">
        <v>9</v>
      </c>
      <c r="B10" s="1032" t="s">
        <v>58</v>
      </c>
      <c r="C10" s="1032" t="s">
        <v>1998</v>
      </c>
      <c r="D10" s="1033"/>
      <c r="E10" s="1032"/>
      <c r="F10" s="1034"/>
      <c r="G10" s="1035"/>
      <c r="H10" s="1036"/>
      <c r="I10" s="1037"/>
      <c r="J10" s="1038"/>
      <c r="K10" s="1037"/>
      <c r="L10" s="1037"/>
    </row>
    <row r="11" spans="1:12">
      <c r="A11" s="1032">
        <v>10</v>
      </c>
      <c r="B11" s="1032" t="s">
        <v>58</v>
      </c>
      <c r="C11" s="1032" t="s">
        <v>1998</v>
      </c>
      <c r="D11" s="1033"/>
      <c r="E11" s="1032"/>
      <c r="F11" s="1034"/>
      <c r="G11" s="1035"/>
      <c r="H11" s="1036"/>
      <c r="I11" s="1037"/>
      <c r="J11" s="1038"/>
      <c r="K11" s="1037"/>
      <c r="L11" s="1037"/>
    </row>
    <row r="12" spans="1:12">
      <c r="A12" s="1032">
        <v>11</v>
      </c>
      <c r="B12" s="1032" t="s">
        <v>58</v>
      </c>
      <c r="C12" s="1032" t="s">
        <v>1998</v>
      </c>
      <c r="D12" s="1033"/>
      <c r="E12" s="1032"/>
      <c r="F12" s="1034"/>
      <c r="G12" s="1035"/>
      <c r="H12" s="1036"/>
      <c r="I12" s="1037"/>
      <c r="J12" s="1038"/>
      <c r="K12" s="1037"/>
      <c r="L12" s="1037"/>
    </row>
    <row r="13" spans="1:12">
      <c r="A13" s="1032">
        <v>12</v>
      </c>
      <c r="B13" s="1032" t="s">
        <v>58</v>
      </c>
      <c r="C13" s="1032" t="s">
        <v>1998</v>
      </c>
      <c r="D13" s="1033"/>
      <c r="E13" s="1032"/>
      <c r="F13" s="1034"/>
      <c r="G13" s="1035"/>
      <c r="H13" s="1036"/>
      <c r="I13" s="1037"/>
      <c r="J13" s="1038"/>
      <c r="K13" s="1037"/>
      <c r="L13" s="1037"/>
    </row>
    <row r="14" spans="1:12">
      <c r="A14" s="1032">
        <v>13</v>
      </c>
      <c r="B14" s="1032" t="s">
        <v>58</v>
      </c>
      <c r="C14" s="1032" t="s">
        <v>1998</v>
      </c>
      <c r="D14" s="1033"/>
      <c r="E14" s="1032"/>
      <c r="F14" s="1034"/>
      <c r="G14" s="1035"/>
      <c r="H14" s="1036"/>
      <c r="I14" s="1037"/>
      <c r="J14" s="1038"/>
      <c r="K14" s="1037"/>
      <c r="L14" s="1037"/>
    </row>
    <row r="15" spans="1:12">
      <c r="A15" s="1032">
        <v>14</v>
      </c>
      <c r="B15" s="1032" t="s">
        <v>58</v>
      </c>
      <c r="C15" s="1032" t="s">
        <v>1998</v>
      </c>
      <c r="D15" s="1033"/>
      <c r="E15" s="1032"/>
      <c r="F15" s="1034"/>
      <c r="G15" s="1035"/>
      <c r="H15" s="1036"/>
      <c r="I15" s="1037"/>
      <c r="J15" s="1038"/>
      <c r="K15" s="1037"/>
      <c r="L15" s="1037"/>
    </row>
    <row r="16" spans="1:12">
      <c r="A16" s="1032">
        <v>15</v>
      </c>
      <c r="B16" s="1032" t="s">
        <v>58</v>
      </c>
      <c r="C16" s="1032" t="s">
        <v>1998</v>
      </c>
      <c r="D16" s="1033"/>
      <c r="E16" s="1032"/>
      <c r="F16" s="1034"/>
      <c r="G16" s="1035"/>
      <c r="H16" s="1036"/>
      <c r="I16" s="1037"/>
      <c r="J16" s="1038"/>
      <c r="K16" s="1037"/>
      <c r="L16" s="1037"/>
    </row>
    <row r="17" spans="1:12">
      <c r="A17" s="1032">
        <v>16</v>
      </c>
      <c r="B17" s="1032" t="s">
        <v>58</v>
      </c>
      <c r="C17" s="1032" t="s">
        <v>1998</v>
      </c>
      <c r="D17" s="1033"/>
      <c r="E17" s="1032"/>
      <c r="F17" s="1034"/>
      <c r="G17" s="1035"/>
      <c r="H17" s="1036"/>
      <c r="I17" s="1037"/>
      <c r="J17" s="1038"/>
      <c r="K17" s="1037"/>
      <c r="L17" s="1037"/>
    </row>
    <row r="18" spans="1:12">
      <c r="A18" s="1032">
        <v>17</v>
      </c>
      <c r="B18" s="1032" t="s">
        <v>58</v>
      </c>
      <c r="C18" s="1032" t="s">
        <v>1998</v>
      </c>
      <c r="D18" s="1033"/>
      <c r="E18" s="1032"/>
      <c r="F18" s="1034"/>
      <c r="G18" s="1035"/>
      <c r="H18" s="1036"/>
      <c r="I18" s="1037"/>
      <c r="J18" s="1038"/>
      <c r="K18" s="1037"/>
      <c r="L18" s="1037"/>
    </row>
    <row r="19" spans="1:12">
      <c r="A19" s="1032">
        <v>18</v>
      </c>
      <c r="B19" s="1032" t="s">
        <v>58</v>
      </c>
      <c r="C19" s="1032" t="s">
        <v>1998</v>
      </c>
      <c r="D19" s="1033"/>
      <c r="E19" s="1032"/>
      <c r="F19" s="1034"/>
      <c r="G19" s="1035"/>
      <c r="H19" s="1036"/>
      <c r="I19" s="1037"/>
      <c r="J19" s="1038"/>
      <c r="K19" s="1037"/>
      <c r="L19" s="1037"/>
    </row>
    <row r="20" spans="1:12">
      <c r="A20" s="1032">
        <v>19</v>
      </c>
      <c r="B20" s="1032" t="s">
        <v>58</v>
      </c>
      <c r="C20" s="1032" t="s">
        <v>1998</v>
      </c>
      <c r="D20" s="1033"/>
      <c r="E20" s="1032"/>
      <c r="F20" s="1034"/>
      <c r="G20" s="1035"/>
      <c r="H20" s="1036"/>
      <c r="I20" s="1037"/>
      <c r="J20" s="1038"/>
      <c r="K20" s="1037"/>
      <c r="L20" s="1037"/>
    </row>
    <row r="21" spans="1:12">
      <c r="A21" s="1032">
        <v>20</v>
      </c>
      <c r="B21" s="1032" t="s">
        <v>58</v>
      </c>
      <c r="C21" s="1032" t="s">
        <v>1998</v>
      </c>
      <c r="D21" s="1033"/>
      <c r="E21" s="1032"/>
      <c r="F21" s="1034"/>
      <c r="G21" s="1035"/>
      <c r="H21" s="1036"/>
      <c r="I21" s="1037"/>
      <c r="J21" s="1038"/>
      <c r="K21" s="1037"/>
      <c r="L21" s="1037"/>
    </row>
    <row r="22" spans="1:12">
      <c r="A22" s="1032">
        <v>21</v>
      </c>
      <c r="B22" s="1032" t="s">
        <v>58</v>
      </c>
      <c r="C22" s="1032" t="s">
        <v>1998</v>
      </c>
      <c r="D22" s="1033"/>
      <c r="E22" s="1032"/>
      <c r="F22" s="1034"/>
      <c r="G22" s="1035"/>
      <c r="H22" s="1036"/>
      <c r="I22" s="1037"/>
      <c r="J22" s="1038"/>
      <c r="K22" s="1037"/>
      <c r="L22" s="1037"/>
    </row>
    <row r="23" spans="1:12">
      <c r="A23" s="1032">
        <v>22</v>
      </c>
      <c r="B23" s="1032" t="s">
        <v>58</v>
      </c>
      <c r="C23" s="1032" t="s">
        <v>1998</v>
      </c>
      <c r="D23" s="1033"/>
      <c r="E23" s="1032"/>
      <c r="F23" s="1034"/>
      <c r="G23" s="1035"/>
      <c r="H23" s="1036"/>
      <c r="I23" s="1037"/>
      <c r="J23" s="1038"/>
      <c r="K23" s="1037"/>
      <c r="L23" s="1037"/>
    </row>
    <row r="24" spans="1:12">
      <c r="A24" s="1032">
        <v>23</v>
      </c>
      <c r="B24" s="1032" t="s">
        <v>58</v>
      </c>
      <c r="C24" s="1032" t="s">
        <v>1998</v>
      </c>
      <c r="D24" s="1033"/>
      <c r="E24" s="1032"/>
      <c r="F24" s="1034"/>
      <c r="G24" s="1035"/>
      <c r="H24" s="1036"/>
      <c r="I24" s="1037"/>
      <c r="J24" s="1038"/>
      <c r="K24" s="1037"/>
      <c r="L24" s="1037"/>
    </row>
    <row r="25" spans="1:12">
      <c r="A25" s="1032">
        <v>24</v>
      </c>
      <c r="B25" s="1032" t="s">
        <v>58</v>
      </c>
      <c r="C25" s="1032" t="s">
        <v>1998</v>
      </c>
      <c r="D25" s="1033"/>
      <c r="E25" s="1032"/>
      <c r="F25" s="1034"/>
      <c r="G25" s="1035"/>
      <c r="H25" s="1036"/>
      <c r="I25" s="1037"/>
      <c r="J25" s="1038"/>
      <c r="K25" s="1037"/>
      <c r="L25" s="1037"/>
    </row>
    <row r="26" spans="1:12">
      <c r="A26" s="1032">
        <v>25</v>
      </c>
      <c r="B26" s="1032" t="s">
        <v>58</v>
      </c>
      <c r="C26" s="1032" t="s">
        <v>1998</v>
      </c>
      <c r="D26" s="1033"/>
      <c r="E26" s="1032"/>
      <c r="F26" s="1034"/>
      <c r="G26" s="1035"/>
      <c r="H26" s="1036"/>
      <c r="I26" s="1037"/>
      <c r="J26" s="1038"/>
      <c r="K26" s="1037"/>
      <c r="L26" s="1037"/>
    </row>
    <row r="27" spans="1:12">
      <c r="A27" s="1032">
        <v>26</v>
      </c>
      <c r="B27" s="1032" t="s">
        <v>58</v>
      </c>
      <c r="C27" s="1032" t="s">
        <v>1998</v>
      </c>
      <c r="D27" s="1033"/>
      <c r="E27" s="1032"/>
      <c r="F27" s="1034"/>
      <c r="G27" s="1035"/>
      <c r="H27" s="1036"/>
      <c r="I27" s="1037"/>
      <c r="J27" s="1038"/>
      <c r="K27" s="1037"/>
      <c r="L27" s="1037"/>
    </row>
    <row r="28" spans="1:12">
      <c r="A28" s="1032">
        <v>27</v>
      </c>
      <c r="B28" s="1032" t="s">
        <v>58</v>
      </c>
      <c r="C28" s="1032" t="s">
        <v>1998</v>
      </c>
      <c r="D28" s="1033"/>
      <c r="E28" s="1032"/>
      <c r="F28" s="1034"/>
      <c r="G28" s="1035"/>
      <c r="H28" s="1036"/>
      <c r="I28" s="1037"/>
      <c r="J28" s="1038"/>
      <c r="K28" s="1037"/>
      <c r="L28" s="1037"/>
    </row>
    <row r="29" spans="1:12">
      <c r="A29" s="1032">
        <v>28</v>
      </c>
      <c r="B29" s="1032" t="s">
        <v>58</v>
      </c>
      <c r="C29" s="1032" t="s">
        <v>1998</v>
      </c>
      <c r="D29" s="1033"/>
      <c r="E29" s="1032"/>
      <c r="F29" s="1034"/>
      <c r="G29" s="1035"/>
      <c r="H29" s="1036"/>
      <c r="I29" s="1037"/>
      <c r="J29" s="1038"/>
      <c r="K29" s="1037"/>
      <c r="L29" s="1037"/>
    </row>
    <row r="30" spans="1:12">
      <c r="A30" s="1032">
        <v>29</v>
      </c>
      <c r="B30" s="1032" t="s">
        <v>58</v>
      </c>
      <c r="C30" s="1032" t="s">
        <v>1998</v>
      </c>
      <c r="D30" s="1033"/>
      <c r="E30" s="1032"/>
      <c r="F30" s="1034"/>
      <c r="G30" s="1035"/>
      <c r="H30" s="1036"/>
      <c r="I30" s="1037"/>
      <c r="J30" s="1038"/>
      <c r="K30" s="1037"/>
      <c r="L30" s="1037"/>
    </row>
    <row r="31" spans="1:12">
      <c r="A31" s="1032">
        <v>30</v>
      </c>
      <c r="B31" s="1032" t="s">
        <v>58</v>
      </c>
      <c r="C31" s="1032" t="s">
        <v>1998</v>
      </c>
      <c r="D31" s="1033"/>
      <c r="E31" s="1032"/>
      <c r="F31" s="1034"/>
      <c r="G31" s="1035"/>
      <c r="H31" s="1036"/>
      <c r="I31" s="1037"/>
      <c r="J31" s="1038"/>
      <c r="K31" s="1037"/>
      <c r="L31" s="1037"/>
    </row>
    <row r="32" spans="1:12">
      <c r="A32" s="1032">
        <v>31</v>
      </c>
      <c r="B32" s="1032" t="s">
        <v>58</v>
      </c>
      <c r="C32" s="1032" t="s">
        <v>1998</v>
      </c>
      <c r="D32" s="1033"/>
      <c r="E32" s="1032"/>
      <c r="F32" s="1034"/>
      <c r="G32" s="1035"/>
      <c r="H32" s="1036"/>
      <c r="I32" s="1037"/>
      <c r="J32" s="1038"/>
      <c r="K32" s="1037"/>
      <c r="L32" s="1037"/>
    </row>
    <row r="33" spans="1:12">
      <c r="A33" s="1032">
        <v>32</v>
      </c>
      <c r="B33" s="1032" t="s">
        <v>58</v>
      </c>
      <c r="C33" s="1032" t="s">
        <v>1998</v>
      </c>
      <c r="D33" s="1033"/>
      <c r="E33" s="1032"/>
      <c r="F33" s="1034"/>
      <c r="G33" s="1035"/>
      <c r="H33" s="1036"/>
      <c r="I33" s="1037"/>
      <c r="J33" s="1038"/>
      <c r="K33" s="1037"/>
      <c r="L33" s="1037"/>
    </row>
    <row r="34" spans="1:12">
      <c r="A34" s="1032">
        <v>33</v>
      </c>
      <c r="B34" s="1032" t="s">
        <v>58</v>
      </c>
      <c r="C34" s="1032" t="s">
        <v>1998</v>
      </c>
      <c r="D34" s="1033"/>
      <c r="E34" s="1032"/>
      <c r="F34" s="1034"/>
      <c r="G34" s="1035"/>
      <c r="H34" s="1036"/>
      <c r="I34" s="1037"/>
      <c r="J34" s="1038"/>
      <c r="K34" s="1037"/>
      <c r="L34" s="1037"/>
    </row>
    <row r="35" spans="1:12">
      <c r="A35" s="1032">
        <v>34</v>
      </c>
      <c r="B35" s="1032" t="s">
        <v>58</v>
      </c>
      <c r="C35" s="1032" t="s">
        <v>1998</v>
      </c>
      <c r="D35" s="1033"/>
      <c r="E35" s="1032"/>
      <c r="F35" s="1034"/>
      <c r="G35" s="1035"/>
      <c r="H35" s="1036"/>
      <c r="I35" s="1037"/>
      <c r="J35" s="1038"/>
      <c r="K35" s="1037"/>
      <c r="L35" s="1037"/>
    </row>
    <row r="36" spans="1:12">
      <c r="A36" s="1032">
        <v>35</v>
      </c>
      <c r="B36" s="1032" t="s">
        <v>58</v>
      </c>
      <c r="C36" s="1032" t="s">
        <v>1998</v>
      </c>
      <c r="D36" s="1033"/>
      <c r="E36" s="1032"/>
      <c r="F36" s="1034"/>
      <c r="G36" s="1035"/>
      <c r="H36" s="1036"/>
      <c r="I36" s="1037"/>
      <c r="J36" s="1038"/>
      <c r="K36" s="1037"/>
      <c r="L36" s="1037"/>
    </row>
    <row r="37" spans="1:12">
      <c r="A37" s="1032">
        <v>36</v>
      </c>
      <c r="B37" s="1032" t="s">
        <v>58</v>
      </c>
      <c r="C37" s="1032" t="s">
        <v>1998</v>
      </c>
      <c r="D37" s="1033"/>
      <c r="E37" s="1032"/>
      <c r="F37" s="1034"/>
      <c r="G37" s="1035"/>
      <c r="H37" s="1036"/>
      <c r="I37" s="1037"/>
      <c r="J37" s="1038"/>
      <c r="K37" s="1037"/>
      <c r="L37" s="1037"/>
    </row>
    <row r="38" spans="1:12">
      <c r="A38" s="1032">
        <v>37</v>
      </c>
      <c r="B38" s="1032" t="s">
        <v>58</v>
      </c>
      <c r="C38" s="1032" t="s">
        <v>1998</v>
      </c>
      <c r="D38" s="1033"/>
      <c r="E38" s="1032"/>
      <c r="F38" s="1034"/>
      <c r="G38" s="1035"/>
      <c r="H38" s="1036"/>
      <c r="I38" s="1037"/>
      <c r="J38" s="1038"/>
      <c r="K38" s="1037"/>
      <c r="L38" s="1037"/>
    </row>
    <row r="39" spans="1:12">
      <c r="A39" s="1032">
        <v>38</v>
      </c>
      <c r="B39" s="1032" t="s">
        <v>58</v>
      </c>
      <c r="C39" s="1032" t="s">
        <v>1998</v>
      </c>
      <c r="D39" s="1033"/>
      <c r="E39" s="1032"/>
      <c r="F39" s="1034"/>
      <c r="G39" s="1035"/>
      <c r="H39" s="1036"/>
      <c r="I39" s="1037"/>
      <c r="J39" s="1038"/>
      <c r="K39" s="1037"/>
      <c r="L39" s="1037"/>
    </row>
    <row r="40" spans="1:12">
      <c r="A40" s="1032">
        <v>39</v>
      </c>
      <c r="B40" s="1032" t="s">
        <v>58</v>
      </c>
      <c r="C40" s="1032" t="s">
        <v>1998</v>
      </c>
      <c r="D40" s="1033"/>
      <c r="E40" s="1032"/>
      <c r="F40" s="1034"/>
      <c r="G40" s="1035"/>
      <c r="H40" s="1036"/>
      <c r="I40" s="1037"/>
      <c r="J40" s="1038"/>
      <c r="K40" s="1037"/>
      <c r="L40" s="1037"/>
    </row>
    <row r="41" spans="1:12">
      <c r="A41" s="1032">
        <v>40</v>
      </c>
      <c r="B41" s="1032" t="s">
        <v>58</v>
      </c>
      <c r="C41" s="1032" t="s">
        <v>1998</v>
      </c>
      <c r="D41" s="1033"/>
      <c r="E41" s="1032"/>
      <c r="F41" s="1034"/>
      <c r="G41" s="1035"/>
      <c r="H41" s="1036"/>
      <c r="I41" s="1037"/>
      <c r="J41" s="1038"/>
      <c r="K41" s="1037"/>
      <c r="L41" s="1037"/>
    </row>
    <row r="42" spans="1:12">
      <c r="A42" s="1032">
        <v>41</v>
      </c>
      <c r="B42" s="1032" t="s">
        <v>58</v>
      </c>
      <c r="C42" s="1032" t="s">
        <v>1998</v>
      </c>
      <c r="D42" s="1033"/>
      <c r="E42" s="1032"/>
      <c r="F42" s="1034"/>
      <c r="G42" s="1035"/>
      <c r="H42" s="1036"/>
      <c r="I42" s="1037"/>
      <c r="J42" s="1038"/>
      <c r="K42" s="1037"/>
      <c r="L42" s="1037"/>
    </row>
    <row r="43" spans="1:12">
      <c r="A43" s="1032">
        <v>42</v>
      </c>
      <c r="B43" s="1032" t="s">
        <v>58</v>
      </c>
      <c r="C43" s="1032" t="s">
        <v>1998</v>
      </c>
      <c r="D43" s="1033"/>
      <c r="E43" s="1032"/>
      <c r="F43" s="1034"/>
      <c r="G43" s="1035"/>
      <c r="H43" s="1036"/>
      <c r="I43" s="1037"/>
      <c r="J43" s="1038"/>
      <c r="K43" s="1037"/>
      <c r="L43" s="1037"/>
    </row>
    <row r="44" spans="1:12">
      <c r="A44" s="1032">
        <v>43</v>
      </c>
      <c r="B44" s="1032" t="s">
        <v>58</v>
      </c>
      <c r="C44" s="1032" t="s">
        <v>1998</v>
      </c>
      <c r="D44" s="1033"/>
      <c r="E44" s="1032"/>
      <c r="F44" s="1034"/>
      <c r="G44" s="1035"/>
      <c r="H44" s="1036"/>
      <c r="I44" s="1037"/>
      <c r="J44" s="1038"/>
      <c r="K44" s="1037"/>
      <c r="L44" s="1037"/>
    </row>
    <row r="45" spans="1:12">
      <c r="A45" s="1032">
        <v>44</v>
      </c>
      <c r="B45" s="1032" t="s">
        <v>58</v>
      </c>
      <c r="C45" s="1032" t="s">
        <v>1998</v>
      </c>
      <c r="D45" s="1033"/>
      <c r="E45" s="1032"/>
      <c r="F45" s="1034"/>
      <c r="G45" s="1035"/>
      <c r="H45" s="1036"/>
      <c r="I45" s="1037"/>
      <c r="J45" s="1038"/>
      <c r="K45" s="1037"/>
      <c r="L45" s="1037"/>
    </row>
    <row r="46" spans="1:12">
      <c r="A46" s="1032">
        <v>45</v>
      </c>
      <c r="B46" s="1032" t="s">
        <v>58</v>
      </c>
      <c r="C46" s="1032" t="s">
        <v>1998</v>
      </c>
      <c r="D46" s="1033"/>
      <c r="E46" s="1032"/>
      <c r="F46" s="1034"/>
      <c r="G46" s="1035"/>
      <c r="H46" s="1036"/>
      <c r="I46" s="1037"/>
      <c r="J46" s="1038"/>
      <c r="K46" s="1037"/>
      <c r="L46" s="1037"/>
    </row>
    <row r="47" spans="1:12">
      <c r="A47" s="1032">
        <v>46</v>
      </c>
      <c r="B47" s="1032" t="s">
        <v>58</v>
      </c>
      <c r="C47" s="1032" t="s">
        <v>1998</v>
      </c>
      <c r="D47" s="1033"/>
      <c r="E47" s="1032"/>
      <c r="F47" s="1034"/>
      <c r="G47" s="1035"/>
      <c r="H47" s="1036"/>
      <c r="I47" s="1037"/>
      <c r="J47" s="1038"/>
      <c r="K47" s="1037"/>
      <c r="L47" s="1037"/>
    </row>
    <row r="48" spans="1:12">
      <c r="A48" s="1032">
        <v>47</v>
      </c>
      <c r="B48" s="1032" t="s">
        <v>58</v>
      </c>
      <c r="C48" s="1032" t="s">
        <v>1998</v>
      </c>
      <c r="D48" s="1033"/>
      <c r="E48" s="1032"/>
      <c r="F48" s="1034"/>
      <c r="G48" s="1035"/>
      <c r="H48" s="1036"/>
      <c r="I48" s="1037"/>
      <c r="J48" s="1038"/>
      <c r="K48" s="1037"/>
      <c r="L48" s="1037"/>
    </row>
    <row r="49" spans="1:12">
      <c r="A49" s="1032">
        <v>48</v>
      </c>
      <c r="B49" s="1032" t="s">
        <v>58</v>
      </c>
      <c r="C49" s="1032" t="s">
        <v>1998</v>
      </c>
      <c r="D49" s="1033"/>
      <c r="E49" s="1032"/>
      <c r="F49" s="1034"/>
      <c r="G49" s="1035"/>
      <c r="H49" s="1036"/>
      <c r="I49" s="1037"/>
      <c r="J49" s="1038"/>
      <c r="K49" s="1037"/>
      <c r="L49" s="1037"/>
    </row>
    <row r="50" spans="1:12">
      <c r="A50" s="1032">
        <v>49</v>
      </c>
      <c r="B50" s="1032" t="s">
        <v>58</v>
      </c>
      <c r="C50" s="1032" t="s">
        <v>1998</v>
      </c>
      <c r="D50" s="1033"/>
      <c r="E50" s="1032"/>
      <c r="F50" s="1034"/>
      <c r="G50" s="1035"/>
      <c r="H50" s="1036"/>
      <c r="I50" s="1037"/>
      <c r="J50" s="1038"/>
      <c r="K50" s="1037"/>
      <c r="L50" s="1037"/>
    </row>
    <row r="51" spans="1:12">
      <c r="A51" s="1032">
        <v>50</v>
      </c>
      <c r="B51" s="1032" t="s">
        <v>58</v>
      </c>
      <c r="C51" s="1032" t="s">
        <v>1998</v>
      </c>
      <c r="D51" s="1033"/>
      <c r="E51" s="1032"/>
      <c r="F51" s="1034"/>
      <c r="G51" s="1035"/>
      <c r="H51" s="1036"/>
      <c r="I51" s="1037"/>
      <c r="J51" s="1038"/>
      <c r="K51" s="1037"/>
      <c r="L51" s="1037"/>
    </row>
    <row r="52" spans="1:12">
      <c r="A52" s="1032">
        <v>51</v>
      </c>
      <c r="B52" s="1032" t="s">
        <v>58</v>
      </c>
      <c r="C52" s="1032" t="s">
        <v>1998</v>
      </c>
      <c r="D52" s="1033"/>
      <c r="E52" s="1032"/>
      <c r="F52" s="1034"/>
      <c r="G52" s="1035"/>
      <c r="H52" s="1036"/>
      <c r="I52" s="1037"/>
      <c r="J52" s="1038"/>
      <c r="K52" s="1037"/>
      <c r="L52" s="1037"/>
    </row>
    <row r="53" spans="1:12">
      <c r="A53" s="1032">
        <v>52</v>
      </c>
      <c r="B53" s="1032" t="s">
        <v>58</v>
      </c>
      <c r="C53" s="1032" t="s">
        <v>1998</v>
      </c>
      <c r="D53" s="1033"/>
      <c r="E53" s="1032"/>
      <c r="F53" s="1034"/>
      <c r="G53" s="1035"/>
      <c r="H53" s="1036"/>
      <c r="I53" s="1037"/>
      <c r="J53" s="1038"/>
      <c r="K53" s="1037"/>
      <c r="L53" s="1037"/>
    </row>
    <row r="54" spans="1:12">
      <c r="A54" s="1032">
        <v>53</v>
      </c>
      <c r="B54" s="1032" t="s">
        <v>58</v>
      </c>
      <c r="C54" s="1032" t="s">
        <v>1998</v>
      </c>
      <c r="D54" s="1033"/>
      <c r="E54" s="1032"/>
      <c r="F54" s="1034"/>
      <c r="G54" s="1035"/>
      <c r="H54" s="1036"/>
      <c r="I54" s="1037"/>
      <c r="J54" s="1038"/>
      <c r="K54" s="1037"/>
      <c r="L54" s="1037"/>
    </row>
    <row r="55" spans="1:12">
      <c r="A55" s="1032">
        <v>54</v>
      </c>
      <c r="B55" s="1032" t="s">
        <v>58</v>
      </c>
      <c r="C55" s="1032" t="s">
        <v>1998</v>
      </c>
      <c r="D55" s="1033"/>
      <c r="E55" s="1032"/>
      <c r="F55" s="1034"/>
      <c r="G55" s="1035"/>
      <c r="H55" s="1036"/>
      <c r="I55" s="1037"/>
      <c r="J55" s="1038"/>
      <c r="K55" s="1037"/>
      <c r="L55" s="1037"/>
    </row>
    <row r="56" spans="1:12">
      <c r="A56" s="1032">
        <v>55</v>
      </c>
      <c r="B56" s="1032" t="s">
        <v>58</v>
      </c>
      <c r="C56" s="1032" t="s">
        <v>1998</v>
      </c>
      <c r="D56" s="1033"/>
      <c r="E56" s="1032"/>
      <c r="F56" s="1034"/>
      <c r="G56" s="1035"/>
      <c r="H56" s="1036"/>
      <c r="I56" s="1037"/>
      <c r="J56" s="1038"/>
      <c r="K56" s="1037"/>
      <c r="L56" s="1037"/>
    </row>
    <row r="57" spans="1:12">
      <c r="A57" s="1032">
        <v>56</v>
      </c>
      <c r="B57" s="1032" t="s">
        <v>58</v>
      </c>
      <c r="C57" s="1032" t="s">
        <v>1998</v>
      </c>
      <c r="D57" s="1033"/>
      <c r="E57" s="1032"/>
      <c r="F57" s="1034"/>
      <c r="G57" s="1035"/>
      <c r="H57" s="1036"/>
      <c r="I57" s="1037"/>
      <c r="J57" s="1038"/>
      <c r="K57" s="1037"/>
      <c r="L57" s="1037"/>
    </row>
    <row r="58" spans="1:12">
      <c r="A58" s="1032">
        <v>57</v>
      </c>
      <c r="B58" s="1032" t="s">
        <v>58</v>
      </c>
      <c r="C58" s="1032" t="s">
        <v>1998</v>
      </c>
      <c r="D58" s="1033"/>
      <c r="E58" s="1032"/>
      <c r="F58" s="1034"/>
      <c r="G58" s="1035"/>
      <c r="H58" s="1036"/>
      <c r="I58" s="1037"/>
      <c r="J58" s="1038"/>
      <c r="K58" s="1037"/>
      <c r="L58" s="1037"/>
    </row>
    <row r="59" spans="1:12">
      <c r="A59" s="1032">
        <v>58</v>
      </c>
      <c r="B59" s="1032" t="s">
        <v>58</v>
      </c>
      <c r="C59" s="1032" t="s">
        <v>1998</v>
      </c>
      <c r="D59" s="1033"/>
      <c r="E59" s="1032"/>
      <c r="F59" s="1034"/>
      <c r="G59" s="1035"/>
      <c r="H59" s="1036"/>
      <c r="I59" s="1037"/>
      <c r="J59" s="1038"/>
      <c r="K59" s="1037"/>
      <c r="L59" s="1037"/>
    </row>
    <row r="60" spans="1:12">
      <c r="A60" s="1032">
        <v>59</v>
      </c>
      <c r="B60" s="1032" t="s">
        <v>58</v>
      </c>
      <c r="C60" s="1032" t="s">
        <v>1998</v>
      </c>
      <c r="D60" s="1033"/>
      <c r="E60" s="1032"/>
      <c r="F60" s="1034"/>
      <c r="G60" s="1035"/>
      <c r="H60" s="1036"/>
      <c r="I60" s="1037"/>
      <c r="J60" s="1038"/>
      <c r="K60" s="1037"/>
      <c r="L60" s="1037"/>
    </row>
    <row r="61" spans="1:12">
      <c r="A61" s="1032">
        <v>60</v>
      </c>
      <c r="B61" s="1032" t="s">
        <v>58</v>
      </c>
      <c r="C61" s="1032" t="s">
        <v>1998</v>
      </c>
      <c r="D61" s="1033"/>
      <c r="E61" s="1032"/>
      <c r="F61" s="1034"/>
      <c r="G61" s="1035"/>
      <c r="H61" s="1036"/>
      <c r="I61" s="1037"/>
      <c r="J61" s="1038"/>
      <c r="K61" s="1037"/>
      <c r="L61" s="1037"/>
    </row>
    <row r="62" spans="1:12">
      <c r="A62" s="1032">
        <v>61</v>
      </c>
      <c r="B62" s="1032" t="s">
        <v>58</v>
      </c>
      <c r="C62" s="1032" t="s">
        <v>1998</v>
      </c>
      <c r="D62" s="1033"/>
      <c r="E62" s="1032"/>
      <c r="F62" s="1034"/>
      <c r="G62" s="1035"/>
      <c r="H62" s="1036"/>
      <c r="I62" s="1037"/>
      <c r="J62" s="1038"/>
      <c r="K62" s="1037"/>
      <c r="L62" s="1037"/>
    </row>
    <row r="63" spans="1:12">
      <c r="A63" s="1032">
        <v>62</v>
      </c>
      <c r="B63" s="1032" t="s">
        <v>58</v>
      </c>
      <c r="C63" s="1032" t="s">
        <v>1998</v>
      </c>
      <c r="D63" s="1033"/>
      <c r="E63" s="1032"/>
      <c r="F63" s="1034"/>
      <c r="G63" s="1035"/>
      <c r="H63" s="1036"/>
      <c r="I63" s="1037"/>
      <c r="J63" s="1038"/>
      <c r="K63" s="1037"/>
      <c r="L63" s="1037"/>
    </row>
    <row r="64" spans="1:12">
      <c r="A64" s="1032">
        <v>63</v>
      </c>
      <c r="B64" s="1032" t="s">
        <v>58</v>
      </c>
      <c r="C64" s="1032" t="s">
        <v>1998</v>
      </c>
      <c r="D64" s="1033"/>
      <c r="E64" s="1032"/>
      <c r="F64" s="1034"/>
      <c r="G64" s="1035"/>
      <c r="H64" s="1036"/>
      <c r="I64" s="1037"/>
      <c r="J64" s="1038"/>
      <c r="K64" s="1037"/>
      <c r="L64" s="1037"/>
    </row>
    <row r="65" spans="1:12">
      <c r="A65" s="1032">
        <v>64</v>
      </c>
      <c r="B65" s="1032" t="s">
        <v>58</v>
      </c>
      <c r="C65" s="1032" t="s">
        <v>1998</v>
      </c>
      <c r="D65" s="1033"/>
      <c r="E65" s="1032"/>
      <c r="F65" s="1034"/>
      <c r="G65" s="1035"/>
      <c r="H65" s="1036"/>
      <c r="I65" s="1037"/>
      <c r="J65" s="1038"/>
      <c r="K65" s="1037"/>
      <c r="L65" s="1037"/>
    </row>
    <row r="66" spans="1:12">
      <c r="A66" s="1032">
        <v>65</v>
      </c>
      <c r="B66" s="1032" t="s">
        <v>58</v>
      </c>
      <c r="C66" s="1032" t="s">
        <v>1998</v>
      </c>
      <c r="D66" s="1033"/>
      <c r="E66" s="1032"/>
      <c r="F66" s="1034"/>
      <c r="G66" s="1035"/>
      <c r="H66" s="1036"/>
      <c r="I66" s="1037"/>
      <c r="J66" s="1038"/>
      <c r="K66" s="1037"/>
      <c r="L66" s="1037"/>
    </row>
    <row r="67" spans="1:12">
      <c r="A67" s="1032">
        <v>66</v>
      </c>
      <c r="B67" s="1032" t="s">
        <v>58</v>
      </c>
      <c r="C67" s="1032" t="s">
        <v>1998</v>
      </c>
      <c r="D67" s="1033"/>
      <c r="E67" s="1032"/>
      <c r="F67" s="1034"/>
      <c r="G67" s="1035"/>
      <c r="H67" s="1036"/>
      <c r="I67" s="1037"/>
      <c r="J67" s="1038"/>
      <c r="K67" s="1037"/>
      <c r="L67" s="1037"/>
    </row>
    <row r="68" spans="1:12">
      <c r="A68" s="1032">
        <v>67</v>
      </c>
      <c r="B68" s="1032" t="s">
        <v>58</v>
      </c>
      <c r="C68" s="1032" t="s">
        <v>1998</v>
      </c>
      <c r="D68" s="1033"/>
      <c r="E68" s="1032"/>
      <c r="F68" s="1034"/>
      <c r="G68" s="1035"/>
      <c r="H68" s="1036"/>
      <c r="I68" s="1037"/>
      <c r="J68" s="1038"/>
      <c r="K68" s="1037"/>
      <c r="L68" s="1037"/>
    </row>
    <row r="69" spans="1:12">
      <c r="A69" s="1032">
        <v>68</v>
      </c>
      <c r="B69" s="1032" t="s">
        <v>58</v>
      </c>
      <c r="C69" s="1032" t="s">
        <v>1998</v>
      </c>
      <c r="D69" s="1033"/>
      <c r="E69" s="1032"/>
      <c r="F69" s="1034"/>
      <c r="G69" s="1035"/>
      <c r="H69" s="1036"/>
      <c r="I69" s="1037"/>
      <c r="J69" s="1038"/>
      <c r="K69" s="1037"/>
      <c r="L69" s="1037"/>
    </row>
    <row r="70" spans="1:12">
      <c r="A70" s="1032">
        <v>69</v>
      </c>
      <c r="B70" s="1032" t="s">
        <v>58</v>
      </c>
      <c r="C70" s="1032" t="s">
        <v>1998</v>
      </c>
      <c r="D70" s="1033"/>
      <c r="E70" s="1032"/>
      <c r="F70" s="1034"/>
      <c r="G70" s="1035"/>
      <c r="H70" s="1036"/>
      <c r="I70" s="1037"/>
      <c r="J70" s="1038"/>
      <c r="K70" s="1037"/>
      <c r="L70" s="1037"/>
    </row>
    <row r="71" spans="1:12">
      <c r="A71" s="1032">
        <v>70</v>
      </c>
      <c r="B71" s="1032" t="s">
        <v>58</v>
      </c>
      <c r="C71" s="1032" t="s">
        <v>1998</v>
      </c>
      <c r="D71" s="1033"/>
      <c r="E71" s="1032"/>
      <c r="F71" s="1034"/>
      <c r="G71" s="1035"/>
      <c r="H71" s="1036"/>
      <c r="I71" s="1037"/>
      <c r="J71" s="1038"/>
      <c r="K71" s="1037"/>
      <c r="L71" s="1037"/>
    </row>
    <row r="72" spans="1:12">
      <c r="A72" s="1032">
        <v>71</v>
      </c>
      <c r="B72" s="1032" t="s">
        <v>58</v>
      </c>
      <c r="C72" s="1032" t="s">
        <v>1998</v>
      </c>
      <c r="D72" s="1033"/>
      <c r="E72" s="1032"/>
      <c r="F72" s="1034"/>
      <c r="G72" s="1035"/>
      <c r="H72" s="1036"/>
      <c r="I72" s="1037"/>
      <c r="J72" s="1038"/>
      <c r="K72" s="1037"/>
      <c r="L72" s="1037"/>
    </row>
    <row r="73" spans="1:12">
      <c r="A73" s="1032">
        <v>72</v>
      </c>
      <c r="B73" s="1032" t="s">
        <v>58</v>
      </c>
      <c r="C73" s="1032" t="s">
        <v>1998</v>
      </c>
      <c r="D73" s="1033"/>
      <c r="E73" s="1032"/>
      <c r="F73" s="1034"/>
      <c r="G73" s="1035"/>
      <c r="H73" s="1036"/>
      <c r="I73" s="1037"/>
      <c r="J73" s="1038"/>
      <c r="K73" s="1037"/>
      <c r="L73" s="1037"/>
    </row>
    <row r="74" spans="1:12">
      <c r="A74" s="1032">
        <v>73</v>
      </c>
      <c r="B74" s="1032" t="s">
        <v>58</v>
      </c>
      <c r="C74" s="1032" t="s">
        <v>1998</v>
      </c>
      <c r="D74" s="1033"/>
      <c r="E74" s="1032"/>
      <c r="F74" s="1034"/>
      <c r="G74" s="1035"/>
      <c r="H74" s="1036"/>
      <c r="I74" s="1037"/>
      <c r="J74" s="1038"/>
      <c r="K74" s="1037"/>
      <c r="L74" s="1037"/>
    </row>
    <row r="75" spans="1:12">
      <c r="A75" s="1032">
        <v>74</v>
      </c>
      <c r="B75" s="1032" t="s">
        <v>58</v>
      </c>
      <c r="C75" s="1032" t="s">
        <v>1998</v>
      </c>
      <c r="D75" s="1033"/>
      <c r="E75" s="1032"/>
      <c r="F75" s="1034"/>
      <c r="G75" s="1035"/>
      <c r="H75" s="1036"/>
      <c r="I75" s="1037"/>
      <c r="J75" s="1038"/>
      <c r="K75" s="1037"/>
      <c r="L75" s="1037"/>
    </row>
    <row r="76" spans="1:12">
      <c r="A76" s="1032">
        <v>75</v>
      </c>
      <c r="B76" s="1032" t="s">
        <v>58</v>
      </c>
      <c r="C76" s="1032" t="s">
        <v>1998</v>
      </c>
      <c r="D76" s="1033"/>
      <c r="E76" s="1032"/>
      <c r="F76" s="1034"/>
      <c r="G76" s="1035"/>
      <c r="H76" s="1036"/>
      <c r="I76" s="1037"/>
      <c r="J76" s="1038"/>
      <c r="K76" s="1037"/>
      <c r="L76" s="1037"/>
    </row>
    <row r="77" spans="1:12">
      <c r="A77" s="1032">
        <v>76</v>
      </c>
      <c r="B77" s="1032" t="s">
        <v>58</v>
      </c>
      <c r="C77" s="1032" t="s">
        <v>1998</v>
      </c>
      <c r="D77" s="1033"/>
      <c r="E77" s="1032"/>
      <c r="F77" s="1034"/>
      <c r="G77" s="1035"/>
      <c r="H77" s="1036"/>
      <c r="I77" s="1037"/>
      <c r="J77" s="1038"/>
      <c r="K77" s="1037"/>
      <c r="L77" s="1037"/>
    </row>
    <row r="78" spans="1:12">
      <c r="A78" s="1032">
        <v>77</v>
      </c>
      <c r="B78" s="1032" t="s">
        <v>58</v>
      </c>
      <c r="C78" s="1032" t="s">
        <v>1998</v>
      </c>
      <c r="D78" s="1033"/>
      <c r="E78" s="1032"/>
      <c r="F78" s="1034"/>
      <c r="G78" s="1035"/>
      <c r="H78" s="1036"/>
      <c r="I78" s="1037"/>
      <c r="J78" s="1038"/>
      <c r="K78" s="1037"/>
      <c r="L78" s="1037"/>
    </row>
    <row r="79" spans="1:12">
      <c r="A79" s="1032">
        <v>78</v>
      </c>
      <c r="B79" s="1032" t="s">
        <v>58</v>
      </c>
      <c r="C79" s="1032" t="s">
        <v>1998</v>
      </c>
      <c r="D79" s="1033"/>
      <c r="E79" s="1032"/>
      <c r="F79" s="1034"/>
      <c r="G79" s="1035"/>
      <c r="H79" s="1036"/>
      <c r="I79" s="1037"/>
      <c r="J79" s="1038"/>
      <c r="K79" s="1037"/>
      <c r="L79" s="1037"/>
    </row>
    <row r="80" spans="1:12">
      <c r="A80" s="1032">
        <v>79</v>
      </c>
      <c r="B80" s="1032" t="s">
        <v>58</v>
      </c>
      <c r="C80" s="1032" t="s">
        <v>1998</v>
      </c>
      <c r="D80" s="1033"/>
      <c r="E80" s="1032"/>
      <c r="F80" s="1034"/>
      <c r="G80" s="1035"/>
      <c r="H80" s="1036"/>
      <c r="I80" s="1037"/>
      <c r="J80" s="1038"/>
      <c r="K80" s="1037"/>
      <c r="L80" s="1037"/>
    </row>
    <row r="81" spans="1:12">
      <c r="A81" s="1032">
        <v>80</v>
      </c>
      <c r="B81" s="1032" t="s">
        <v>58</v>
      </c>
      <c r="C81" s="1032" t="s">
        <v>1998</v>
      </c>
      <c r="D81" s="1033"/>
      <c r="E81" s="1032"/>
      <c r="F81" s="1034"/>
      <c r="G81" s="1035"/>
      <c r="H81" s="1036"/>
      <c r="I81" s="1037"/>
      <c r="J81" s="1038"/>
      <c r="K81" s="1037"/>
      <c r="L81" s="1037"/>
    </row>
    <row r="82" spans="1:12">
      <c r="A82" s="1032">
        <v>81</v>
      </c>
      <c r="B82" s="1032" t="s">
        <v>58</v>
      </c>
      <c r="C82" s="1032" t="s">
        <v>1998</v>
      </c>
      <c r="D82" s="1033"/>
      <c r="E82" s="1032"/>
      <c r="F82" s="1034"/>
      <c r="G82" s="1035"/>
      <c r="H82" s="1036"/>
      <c r="I82" s="1037"/>
      <c r="J82" s="1038"/>
      <c r="K82" s="1037"/>
      <c r="L82" s="1037"/>
    </row>
    <row r="83" spans="1:12">
      <c r="A83" s="1032">
        <v>82</v>
      </c>
      <c r="B83" s="1032" t="s">
        <v>58</v>
      </c>
      <c r="C83" s="1032" t="s">
        <v>1998</v>
      </c>
      <c r="D83" s="1033"/>
      <c r="E83" s="1032"/>
      <c r="F83" s="1034"/>
      <c r="G83" s="1035"/>
      <c r="H83" s="1036"/>
      <c r="I83" s="1037"/>
      <c r="J83" s="1038"/>
      <c r="K83" s="1037"/>
      <c r="L83" s="1037"/>
    </row>
    <row r="84" spans="1:12">
      <c r="A84" s="1032">
        <v>83</v>
      </c>
      <c r="B84" s="1032" t="s">
        <v>58</v>
      </c>
      <c r="C84" s="1032" t="s">
        <v>1998</v>
      </c>
      <c r="D84" s="1033"/>
      <c r="E84" s="1032"/>
      <c r="F84" s="1034"/>
      <c r="G84" s="1035"/>
      <c r="H84" s="1036"/>
      <c r="I84" s="1037"/>
      <c r="J84" s="1038"/>
      <c r="K84" s="1037"/>
      <c r="L84" s="1037"/>
    </row>
    <row r="85" spans="1:12">
      <c r="A85" s="1032">
        <v>84</v>
      </c>
      <c r="B85" s="1032" t="s">
        <v>58</v>
      </c>
      <c r="C85" s="1032" t="s">
        <v>1998</v>
      </c>
      <c r="D85" s="1033"/>
      <c r="E85" s="1032"/>
      <c r="F85" s="1034"/>
      <c r="G85" s="1035"/>
      <c r="H85" s="1036"/>
      <c r="I85" s="1037"/>
      <c r="J85" s="1038"/>
      <c r="K85" s="1037"/>
      <c r="L85" s="1037"/>
    </row>
    <row r="86" spans="1:12">
      <c r="A86" s="1032">
        <v>85</v>
      </c>
      <c r="B86" s="1032" t="s">
        <v>58</v>
      </c>
      <c r="C86" s="1032" t="s">
        <v>1998</v>
      </c>
      <c r="D86" s="1033"/>
      <c r="E86" s="1032"/>
      <c r="F86" s="1034"/>
      <c r="G86" s="1035"/>
      <c r="H86" s="1036"/>
      <c r="I86" s="1037"/>
      <c r="J86" s="1038"/>
      <c r="K86" s="1037"/>
      <c r="L86" s="1037"/>
    </row>
    <row r="87" spans="1:12">
      <c r="A87" s="1032">
        <v>86</v>
      </c>
      <c r="B87" s="1032" t="s">
        <v>58</v>
      </c>
      <c r="C87" s="1032" t="s">
        <v>1998</v>
      </c>
      <c r="D87" s="1033"/>
      <c r="E87" s="1032"/>
      <c r="F87" s="1034"/>
      <c r="G87" s="1035"/>
      <c r="H87" s="1036"/>
      <c r="I87" s="1037"/>
      <c r="J87" s="1038"/>
      <c r="K87" s="1037"/>
      <c r="L87" s="1037"/>
    </row>
    <row r="88" spans="1:12">
      <c r="A88" s="1032">
        <v>87</v>
      </c>
      <c r="B88" s="1032" t="s">
        <v>58</v>
      </c>
      <c r="C88" s="1032" t="s">
        <v>1998</v>
      </c>
      <c r="D88" s="1033"/>
      <c r="E88" s="1032"/>
      <c r="F88" s="1034"/>
      <c r="G88" s="1035"/>
      <c r="H88" s="1036"/>
      <c r="I88" s="1037"/>
      <c r="J88" s="1038"/>
      <c r="K88" s="1037"/>
      <c r="L88" s="1037"/>
    </row>
    <row r="89" spans="1:12">
      <c r="A89" s="1032">
        <v>88</v>
      </c>
      <c r="B89" s="1032" t="s">
        <v>58</v>
      </c>
      <c r="C89" s="1032" t="s">
        <v>1998</v>
      </c>
      <c r="D89" s="1033"/>
      <c r="E89" s="1032"/>
      <c r="F89" s="1034"/>
      <c r="G89" s="1035"/>
      <c r="H89" s="1036"/>
      <c r="I89" s="1037"/>
      <c r="J89" s="1038"/>
      <c r="K89" s="1037"/>
      <c r="L89" s="1037"/>
    </row>
    <row r="90" spans="1:12">
      <c r="A90" s="1032">
        <v>89</v>
      </c>
      <c r="B90" s="1032" t="s">
        <v>58</v>
      </c>
      <c r="C90" s="1032" t="s">
        <v>1998</v>
      </c>
      <c r="D90" s="1033"/>
      <c r="E90" s="1032"/>
      <c r="F90" s="1034"/>
      <c r="G90" s="1035"/>
      <c r="H90" s="1036"/>
      <c r="I90" s="1037"/>
      <c r="J90" s="1038"/>
      <c r="K90" s="1037"/>
      <c r="L90" s="1037"/>
    </row>
    <row r="91" spans="1:12">
      <c r="A91" s="1032">
        <v>90</v>
      </c>
      <c r="B91" s="1032" t="s">
        <v>58</v>
      </c>
      <c r="C91" s="1032" t="s">
        <v>1998</v>
      </c>
      <c r="D91" s="1033"/>
      <c r="E91" s="1032"/>
      <c r="F91" s="1034"/>
      <c r="G91" s="1035"/>
      <c r="H91" s="1036"/>
      <c r="I91" s="1037"/>
      <c r="J91" s="1038"/>
      <c r="K91" s="1037"/>
      <c r="L91" s="1037"/>
    </row>
    <row r="92" spans="1:12">
      <c r="A92" s="1032">
        <v>91</v>
      </c>
      <c r="B92" s="1032" t="s">
        <v>58</v>
      </c>
      <c r="C92" s="1032" t="s">
        <v>1998</v>
      </c>
      <c r="D92" s="1033"/>
      <c r="E92" s="1032"/>
      <c r="F92" s="1034"/>
      <c r="G92" s="1035"/>
      <c r="H92" s="1036"/>
      <c r="I92" s="1037"/>
      <c r="J92" s="1038"/>
      <c r="K92" s="1037"/>
      <c r="L92" s="1037"/>
    </row>
    <row r="93" spans="1:12">
      <c r="A93" s="1032">
        <v>92</v>
      </c>
      <c r="B93" s="1032" t="s">
        <v>58</v>
      </c>
      <c r="C93" s="1032" t="s">
        <v>1998</v>
      </c>
      <c r="D93" s="1033"/>
      <c r="E93" s="1032"/>
      <c r="F93" s="1034"/>
      <c r="G93" s="1035"/>
      <c r="H93" s="1036"/>
      <c r="I93" s="1037"/>
      <c r="J93" s="1038"/>
      <c r="K93" s="1037"/>
      <c r="L93" s="1037"/>
    </row>
    <row r="94" spans="1:12">
      <c r="A94" s="1032">
        <v>93</v>
      </c>
      <c r="B94" s="1032" t="s">
        <v>58</v>
      </c>
      <c r="C94" s="1032" t="s">
        <v>1998</v>
      </c>
      <c r="D94" s="1033"/>
      <c r="E94" s="1032"/>
      <c r="F94" s="1034"/>
      <c r="G94" s="1035"/>
      <c r="H94" s="1036"/>
      <c r="I94" s="1037"/>
      <c r="J94" s="1038"/>
      <c r="K94" s="1037"/>
      <c r="L94" s="1037"/>
    </row>
    <row r="95" spans="1:12">
      <c r="A95" s="1032">
        <v>94</v>
      </c>
      <c r="B95" s="1032" t="s">
        <v>58</v>
      </c>
      <c r="C95" s="1032" t="s">
        <v>1998</v>
      </c>
      <c r="D95" s="1033"/>
      <c r="E95" s="1032"/>
      <c r="F95" s="1034"/>
      <c r="G95" s="1035"/>
      <c r="H95" s="1036"/>
      <c r="I95" s="1037"/>
      <c r="J95" s="1038"/>
      <c r="K95" s="1037"/>
      <c r="L95" s="1037"/>
    </row>
    <row r="96" spans="1:12">
      <c r="A96" s="1032">
        <v>95</v>
      </c>
      <c r="B96" s="1032" t="s">
        <v>58</v>
      </c>
      <c r="C96" s="1032" t="s">
        <v>1998</v>
      </c>
      <c r="D96" s="1033"/>
      <c r="E96" s="1032"/>
      <c r="F96" s="1034"/>
      <c r="G96" s="1035"/>
      <c r="H96" s="1036"/>
      <c r="I96" s="1037"/>
      <c r="J96" s="1038"/>
      <c r="K96" s="1037"/>
      <c r="L96" s="1037"/>
    </row>
    <row r="97" spans="1:12">
      <c r="A97" s="1032">
        <v>96</v>
      </c>
      <c r="B97" s="1032" t="s">
        <v>58</v>
      </c>
      <c r="C97" s="1032" t="s">
        <v>1998</v>
      </c>
      <c r="D97" s="1033"/>
      <c r="E97" s="1032"/>
      <c r="F97" s="1034"/>
      <c r="G97" s="1035"/>
      <c r="H97" s="1036"/>
      <c r="I97" s="1037"/>
      <c r="J97" s="1038"/>
      <c r="K97" s="1037"/>
      <c r="L97" s="1037"/>
    </row>
    <row r="98" spans="1:12">
      <c r="A98" s="1032">
        <v>97</v>
      </c>
      <c r="B98" s="1032" t="s">
        <v>58</v>
      </c>
      <c r="C98" s="1032" t="s">
        <v>1998</v>
      </c>
      <c r="D98" s="1033"/>
      <c r="E98" s="1032"/>
      <c r="F98" s="1034"/>
      <c r="G98" s="1035"/>
      <c r="H98" s="1036"/>
      <c r="I98" s="1037"/>
      <c r="J98" s="1038"/>
      <c r="K98" s="1037"/>
      <c r="L98" s="1037"/>
    </row>
    <row r="99" spans="1:12">
      <c r="A99" s="1032">
        <v>98</v>
      </c>
      <c r="B99" s="1032" t="s">
        <v>58</v>
      </c>
      <c r="C99" s="1032" t="s">
        <v>1998</v>
      </c>
      <c r="D99" s="1033"/>
      <c r="E99" s="1032"/>
      <c r="F99" s="1034"/>
      <c r="G99" s="1035"/>
      <c r="H99" s="1036"/>
      <c r="I99" s="1037"/>
      <c r="J99" s="1038"/>
      <c r="K99" s="1037"/>
      <c r="L99" s="1037"/>
    </row>
    <row r="100" spans="1:12">
      <c r="A100" s="1032">
        <v>99</v>
      </c>
      <c r="B100" s="1032" t="s">
        <v>58</v>
      </c>
      <c r="C100" s="1032" t="s">
        <v>1998</v>
      </c>
      <c r="D100" s="1033"/>
      <c r="E100" s="1032"/>
      <c r="F100" s="1034"/>
      <c r="G100" s="1035"/>
      <c r="H100" s="1036"/>
      <c r="I100" s="1037"/>
      <c r="J100" s="1038"/>
      <c r="K100" s="1037"/>
      <c r="L100" s="1037"/>
    </row>
    <row r="101" spans="1:12">
      <c r="A101" s="1032">
        <v>100</v>
      </c>
      <c r="B101" s="1032" t="s">
        <v>58</v>
      </c>
      <c r="C101" s="1032" t="s">
        <v>1998</v>
      </c>
      <c r="D101" s="1033"/>
      <c r="E101" s="1032"/>
      <c r="F101" s="1034"/>
      <c r="G101" s="1035"/>
      <c r="H101" s="1036"/>
      <c r="I101" s="1037"/>
      <c r="J101" s="1038"/>
      <c r="K101" s="1037"/>
      <c r="L101" s="1037"/>
    </row>
    <row r="102" spans="1:12">
      <c r="A102" s="1032">
        <v>101</v>
      </c>
      <c r="B102" s="1032" t="s">
        <v>58</v>
      </c>
      <c r="C102" s="1032" t="s">
        <v>1998</v>
      </c>
      <c r="D102" s="1033"/>
      <c r="E102" s="1032"/>
      <c r="F102" s="1034"/>
      <c r="G102" s="1035"/>
      <c r="H102" s="1036"/>
      <c r="I102" s="1037"/>
      <c r="J102" s="1038"/>
      <c r="K102" s="1037"/>
      <c r="L102" s="1037"/>
    </row>
    <row r="103" spans="1:12">
      <c r="A103" s="1032">
        <v>102</v>
      </c>
      <c r="B103" s="1032" t="s">
        <v>58</v>
      </c>
      <c r="C103" s="1032" t="s">
        <v>1998</v>
      </c>
      <c r="D103" s="1033"/>
      <c r="E103" s="1032"/>
      <c r="F103" s="1034"/>
      <c r="G103" s="1035"/>
      <c r="H103" s="1036"/>
      <c r="I103" s="1037"/>
      <c r="J103" s="1038"/>
      <c r="K103" s="1037"/>
      <c r="L103" s="1037"/>
    </row>
    <row r="104" spans="1:12">
      <c r="A104" s="1032">
        <v>103</v>
      </c>
      <c r="B104" s="1032" t="s">
        <v>58</v>
      </c>
      <c r="C104" s="1032" t="s">
        <v>1998</v>
      </c>
      <c r="D104" s="1033"/>
      <c r="E104" s="1032"/>
      <c r="F104" s="1034"/>
      <c r="G104" s="1035"/>
      <c r="H104" s="1036"/>
      <c r="I104" s="1037"/>
      <c r="J104" s="1038"/>
      <c r="K104" s="1037"/>
      <c r="L104" s="1037"/>
    </row>
    <row r="105" spans="1:12">
      <c r="A105" s="1032">
        <v>104</v>
      </c>
      <c r="B105" s="1032" t="s">
        <v>58</v>
      </c>
      <c r="C105" s="1032" t="s">
        <v>1998</v>
      </c>
      <c r="D105" s="1033"/>
      <c r="E105" s="1032"/>
      <c r="F105" s="1034"/>
      <c r="G105" s="1035"/>
      <c r="H105" s="1036"/>
      <c r="I105" s="1037"/>
      <c r="J105" s="1038"/>
      <c r="K105" s="1037"/>
      <c r="L105" s="1037"/>
    </row>
    <row r="106" spans="1:12">
      <c r="A106" s="1032">
        <v>105</v>
      </c>
      <c r="B106" s="1032" t="s">
        <v>58</v>
      </c>
      <c r="C106" s="1032" t="s">
        <v>1998</v>
      </c>
      <c r="D106" s="1033"/>
      <c r="E106" s="1032"/>
      <c r="F106" s="1034"/>
      <c r="G106" s="1035"/>
      <c r="H106" s="1036"/>
      <c r="I106" s="1037"/>
      <c r="J106" s="1038"/>
      <c r="K106" s="1037"/>
      <c r="L106" s="1037"/>
    </row>
    <row r="107" spans="1:12">
      <c r="A107" s="1032">
        <v>106</v>
      </c>
      <c r="B107" s="1032" t="s">
        <v>58</v>
      </c>
      <c r="C107" s="1032" t="s">
        <v>1998</v>
      </c>
      <c r="D107" s="1033"/>
      <c r="E107" s="1032"/>
      <c r="F107" s="1034"/>
      <c r="G107" s="1035"/>
      <c r="H107" s="1036"/>
      <c r="I107" s="1037"/>
      <c r="J107" s="1038"/>
      <c r="K107" s="1037"/>
      <c r="L107" s="1037"/>
    </row>
    <row r="108" spans="1:12">
      <c r="A108" s="1032">
        <v>107</v>
      </c>
      <c r="B108" s="1032" t="s">
        <v>58</v>
      </c>
      <c r="C108" s="1032" t="s">
        <v>1998</v>
      </c>
      <c r="D108" s="1033"/>
      <c r="E108" s="1032"/>
      <c r="F108" s="1034"/>
      <c r="G108" s="1035"/>
      <c r="H108" s="1036"/>
      <c r="I108" s="1037"/>
      <c r="J108" s="1038"/>
      <c r="K108" s="1037"/>
      <c r="L108" s="1037"/>
    </row>
    <row r="109" spans="1:12">
      <c r="A109" s="1032">
        <v>108</v>
      </c>
      <c r="B109" s="1032" t="s">
        <v>58</v>
      </c>
      <c r="C109" s="1032" t="s">
        <v>1998</v>
      </c>
      <c r="D109" s="1033"/>
      <c r="E109" s="1032"/>
      <c r="F109" s="1034"/>
      <c r="G109" s="1035"/>
      <c r="H109" s="1036"/>
      <c r="I109" s="1037"/>
      <c r="J109" s="1038"/>
      <c r="K109" s="1037"/>
      <c r="L109" s="1037"/>
    </row>
    <row r="110" spans="1:12">
      <c r="A110" s="1032">
        <v>109</v>
      </c>
      <c r="B110" s="1032" t="s">
        <v>58</v>
      </c>
      <c r="C110" s="1032" t="s">
        <v>1998</v>
      </c>
      <c r="D110" s="1033"/>
      <c r="E110" s="1032"/>
      <c r="F110" s="1034"/>
      <c r="G110" s="1035"/>
      <c r="H110" s="1036"/>
      <c r="I110" s="1037"/>
      <c r="J110" s="1038"/>
      <c r="K110" s="1037"/>
      <c r="L110" s="1037"/>
    </row>
    <row r="111" spans="1:12">
      <c r="A111" s="1032">
        <v>110</v>
      </c>
      <c r="B111" s="1032" t="s">
        <v>58</v>
      </c>
      <c r="C111" s="1032" t="s">
        <v>1998</v>
      </c>
      <c r="D111" s="1033"/>
      <c r="E111" s="1032"/>
      <c r="F111" s="1034"/>
      <c r="G111" s="1035"/>
      <c r="H111" s="1036"/>
      <c r="I111" s="1037"/>
      <c r="J111" s="1038"/>
      <c r="K111" s="1037"/>
      <c r="L111" s="1037"/>
    </row>
    <row r="112" spans="1:12">
      <c r="A112" s="1032">
        <v>111</v>
      </c>
      <c r="B112" s="1032" t="s">
        <v>58</v>
      </c>
      <c r="C112" s="1032" t="s">
        <v>1998</v>
      </c>
      <c r="D112" s="1033"/>
      <c r="E112" s="1032"/>
      <c r="F112" s="1034"/>
      <c r="G112" s="1035"/>
      <c r="H112" s="1036"/>
      <c r="I112" s="1037"/>
      <c r="J112" s="1038"/>
      <c r="K112" s="1037"/>
      <c r="L112" s="1037"/>
    </row>
    <row r="113" spans="1:12">
      <c r="A113" s="1032">
        <v>112</v>
      </c>
      <c r="B113" s="1032" t="s">
        <v>58</v>
      </c>
      <c r="C113" s="1032" t="s">
        <v>1998</v>
      </c>
      <c r="D113" s="1033"/>
      <c r="E113" s="1032"/>
      <c r="F113" s="1034"/>
      <c r="G113" s="1035"/>
      <c r="H113" s="1036"/>
      <c r="I113" s="1037"/>
      <c r="J113" s="1038"/>
      <c r="K113" s="1037"/>
      <c r="L113" s="1037"/>
    </row>
    <row r="114" spans="1:12">
      <c r="A114" s="1032">
        <v>113</v>
      </c>
      <c r="B114" s="1032" t="s">
        <v>58</v>
      </c>
      <c r="C114" s="1032" t="s">
        <v>1998</v>
      </c>
      <c r="D114" s="1033"/>
      <c r="E114" s="1032"/>
      <c r="F114" s="1034"/>
      <c r="G114" s="1035"/>
      <c r="H114" s="1036"/>
      <c r="I114" s="1037"/>
      <c r="J114" s="1038"/>
      <c r="K114" s="1037"/>
      <c r="L114" s="1037"/>
    </row>
    <row r="115" spans="1:12">
      <c r="A115" s="1032">
        <v>114</v>
      </c>
      <c r="B115" s="1032" t="s">
        <v>58</v>
      </c>
      <c r="C115" s="1032" t="s">
        <v>1998</v>
      </c>
      <c r="D115" s="1033"/>
      <c r="E115" s="1032"/>
      <c r="F115" s="1034"/>
      <c r="G115" s="1035"/>
      <c r="H115" s="1036"/>
      <c r="I115" s="1037"/>
      <c r="J115" s="1038"/>
      <c r="K115" s="1037"/>
      <c r="L115" s="1037"/>
    </row>
    <row r="116" spans="1:12">
      <c r="A116" s="1032">
        <v>115</v>
      </c>
      <c r="B116" s="1032" t="s">
        <v>58</v>
      </c>
      <c r="C116" s="1032" t="s">
        <v>1998</v>
      </c>
      <c r="D116" s="1033"/>
      <c r="E116" s="1032"/>
      <c r="F116" s="1034"/>
      <c r="G116" s="1035"/>
      <c r="H116" s="1036"/>
      <c r="I116" s="1037"/>
      <c r="J116" s="1038"/>
      <c r="K116" s="1037"/>
      <c r="L116" s="1037"/>
    </row>
    <row r="117" spans="1:12">
      <c r="A117" s="1032">
        <v>116</v>
      </c>
      <c r="B117" s="1032" t="s">
        <v>58</v>
      </c>
      <c r="C117" s="1032" t="s">
        <v>1998</v>
      </c>
      <c r="D117" s="1033"/>
      <c r="E117" s="1032"/>
      <c r="F117" s="1034"/>
      <c r="G117" s="1035"/>
      <c r="H117" s="1036"/>
      <c r="I117" s="1037"/>
      <c r="J117" s="1038"/>
      <c r="K117" s="1037"/>
      <c r="L117" s="1037"/>
    </row>
    <row r="118" spans="1:12">
      <c r="A118" s="1032">
        <v>117</v>
      </c>
      <c r="B118" s="1032" t="s">
        <v>58</v>
      </c>
      <c r="C118" s="1032" t="s">
        <v>1998</v>
      </c>
      <c r="D118" s="1033"/>
      <c r="E118" s="1032"/>
      <c r="F118" s="1034"/>
      <c r="G118" s="1035"/>
      <c r="H118" s="1036"/>
      <c r="I118" s="1037"/>
      <c r="J118" s="1038"/>
      <c r="K118" s="1037"/>
      <c r="L118" s="1037"/>
    </row>
    <row r="119" spans="1:12">
      <c r="A119" s="1032">
        <v>118</v>
      </c>
      <c r="B119" s="1032" t="s">
        <v>58</v>
      </c>
      <c r="C119" s="1032" t="s">
        <v>1998</v>
      </c>
      <c r="D119" s="1033"/>
      <c r="E119" s="1032"/>
      <c r="F119" s="1034"/>
      <c r="G119" s="1035"/>
      <c r="H119" s="1036"/>
      <c r="I119" s="1037"/>
      <c r="J119" s="1038"/>
      <c r="K119" s="1037"/>
      <c r="L119" s="1037"/>
    </row>
    <row r="120" spans="1:12">
      <c r="A120" s="1032">
        <v>119</v>
      </c>
      <c r="B120" s="1032" t="s">
        <v>58</v>
      </c>
      <c r="C120" s="1032" t="s">
        <v>1998</v>
      </c>
      <c r="D120" s="1033"/>
      <c r="E120" s="1032"/>
      <c r="F120" s="1034"/>
      <c r="G120" s="1035"/>
      <c r="H120" s="1036"/>
      <c r="I120" s="1037"/>
      <c r="J120" s="1038"/>
      <c r="K120" s="1037"/>
      <c r="L120" s="1037"/>
    </row>
    <row r="121" spans="1:12">
      <c r="A121" s="1032">
        <v>120</v>
      </c>
      <c r="B121" s="1032" t="s">
        <v>58</v>
      </c>
      <c r="C121" s="1032" t="s">
        <v>1998</v>
      </c>
      <c r="D121" s="1033"/>
      <c r="E121" s="1032"/>
      <c r="F121" s="1034"/>
      <c r="G121" s="1035"/>
      <c r="H121" s="1036"/>
      <c r="I121" s="1037"/>
      <c r="J121" s="1038"/>
      <c r="K121" s="1037"/>
      <c r="L121" s="1037"/>
    </row>
    <row r="122" spans="1:12">
      <c r="A122" s="1032">
        <v>121</v>
      </c>
      <c r="B122" s="1032" t="s">
        <v>58</v>
      </c>
      <c r="C122" s="1032" t="s">
        <v>1998</v>
      </c>
      <c r="D122" s="1033"/>
      <c r="E122" s="1032"/>
      <c r="F122" s="1034"/>
      <c r="G122" s="1035"/>
      <c r="H122" s="1036"/>
      <c r="I122" s="1037"/>
      <c r="J122" s="1038"/>
      <c r="K122" s="1037"/>
      <c r="L122" s="1037"/>
    </row>
    <row r="123" spans="1:12">
      <c r="A123" s="1032">
        <v>122</v>
      </c>
      <c r="B123" s="1032" t="s">
        <v>58</v>
      </c>
      <c r="C123" s="1032" t="s">
        <v>1998</v>
      </c>
      <c r="D123" s="1033"/>
      <c r="E123" s="1032"/>
      <c r="F123" s="1034"/>
      <c r="G123" s="1035"/>
      <c r="H123" s="1036"/>
      <c r="I123" s="1037"/>
      <c r="J123" s="1038"/>
      <c r="K123" s="1037"/>
      <c r="L123" s="1037"/>
    </row>
    <row r="124" spans="1:12">
      <c r="A124" s="1032">
        <v>123</v>
      </c>
      <c r="B124" s="1032" t="s">
        <v>58</v>
      </c>
      <c r="C124" s="1032" t="s">
        <v>1998</v>
      </c>
      <c r="D124" s="1033"/>
      <c r="E124" s="1032"/>
      <c r="F124" s="1034"/>
      <c r="G124" s="1035"/>
      <c r="H124" s="1036"/>
      <c r="I124" s="1037"/>
      <c r="J124" s="1038"/>
      <c r="K124" s="1037"/>
      <c r="L124" s="1037"/>
    </row>
    <row r="125" spans="1:12">
      <c r="A125" s="1032">
        <v>124</v>
      </c>
      <c r="B125" s="1032" t="s">
        <v>58</v>
      </c>
      <c r="C125" s="1032" t="s">
        <v>1998</v>
      </c>
      <c r="D125" s="1033"/>
      <c r="E125" s="1032"/>
      <c r="F125" s="1034"/>
      <c r="G125" s="1035"/>
      <c r="H125" s="1036"/>
      <c r="I125" s="1037"/>
      <c r="J125" s="1038"/>
      <c r="K125" s="1037"/>
      <c r="L125" s="1037"/>
    </row>
    <row r="126" spans="1:12">
      <c r="A126" s="1032">
        <v>125</v>
      </c>
      <c r="B126" s="1032" t="s">
        <v>58</v>
      </c>
      <c r="C126" s="1032" t="s">
        <v>1998</v>
      </c>
      <c r="D126" s="1033"/>
      <c r="E126" s="1032"/>
      <c r="F126" s="1034"/>
      <c r="G126" s="1035"/>
      <c r="H126" s="1036"/>
      <c r="I126" s="1037"/>
      <c r="J126" s="1038"/>
      <c r="K126" s="1037"/>
      <c r="L126" s="1037"/>
    </row>
    <row r="127" spans="1:12">
      <c r="A127" s="1032">
        <v>126</v>
      </c>
      <c r="B127" s="1032" t="s">
        <v>58</v>
      </c>
      <c r="C127" s="1032" t="s">
        <v>1998</v>
      </c>
      <c r="D127" s="1033"/>
      <c r="E127" s="1032"/>
      <c r="F127" s="1034"/>
      <c r="G127" s="1035"/>
      <c r="H127" s="1036"/>
      <c r="I127" s="1037"/>
      <c r="J127" s="1038"/>
      <c r="K127" s="1037"/>
      <c r="L127" s="1037"/>
    </row>
    <row r="128" spans="1:12">
      <c r="A128" s="1032">
        <v>127</v>
      </c>
      <c r="B128" s="1032" t="s">
        <v>58</v>
      </c>
      <c r="C128" s="1032" t="s">
        <v>1998</v>
      </c>
      <c r="D128" s="1033"/>
      <c r="E128" s="1032"/>
      <c r="F128" s="1034"/>
      <c r="G128" s="1035"/>
      <c r="H128" s="1036"/>
      <c r="I128" s="1037"/>
      <c r="J128" s="1038"/>
      <c r="K128" s="1037"/>
      <c r="L128" s="1037"/>
    </row>
    <row r="129" spans="1:12">
      <c r="A129" s="1032">
        <v>128</v>
      </c>
      <c r="B129" s="1032" t="s">
        <v>58</v>
      </c>
      <c r="C129" s="1032" t="s">
        <v>1998</v>
      </c>
      <c r="D129" s="1033"/>
      <c r="E129" s="1032"/>
      <c r="F129" s="1034"/>
      <c r="G129" s="1035"/>
      <c r="H129" s="1036"/>
      <c r="I129" s="1037"/>
      <c r="J129" s="1038"/>
      <c r="K129" s="1037"/>
      <c r="L129" s="1037"/>
    </row>
    <row r="130" spans="1:12">
      <c r="A130" s="1032">
        <v>129</v>
      </c>
      <c r="B130" s="1032" t="s">
        <v>58</v>
      </c>
      <c r="C130" s="1032" t="s">
        <v>1998</v>
      </c>
      <c r="D130" s="1033"/>
      <c r="E130" s="1032"/>
      <c r="F130" s="1034"/>
      <c r="G130" s="1035"/>
      <c r="H130" s="1036"/>
      <c r="I130" s="1037"/>
      <c r="J130" s="1038"/>
      <c r="K130" s="1037"/>
      <c r="L130" s="1037"/>
    </row>
    <row r="131" spans="1:12">
      <c r="A131" s="1032">
        <v>130</v>
      </c>
      <c r="B131" s="1032" t="s">
        <v>58</v>
      </c>
      <c r="C131" s="1032" t="s">
        <v>1998</v>
      </c>
      <c r="D131" s="1033"/>
      <c r="E131" s="1032"/>
      <c r="F131" s="1034"/>
      <c r="G131" s="1035"/>
      <c r="H131" s="1036"/>
      <c r="I131" s="1037"/>
      <c r="J131" s="1038"/>
      <c r="K131" s="1037"/>
      <c r="L131" s="1037"/>
    </row>
    <row r="132" spans="1:12">
      <c r="A132" s="1032">
        <v>131</v>
      </c>
      <c r="B132" s="1032" t="s">
        <v>58</v>
      </c>
      <c r="C132" s="1032" t="s">
        <v>1998</v>
      </c>
      <c r="D132" s="1033"/>
      <c r="E132" s="1032"/>
      <c r="F132" s="1034"/>
      <c r="G132" s="1035"/>
      <c r="H132" s="1036"/>
      <c r="I132" s="1037"/>
      <c r="J132" s="1038"/>
      <c r="K132" s="1037"/>
      <c r="L132" s="1037"/>
    </row>
    <row r="133" spans="1:12">
      <c r="A133" s="1032">
        <v>132</v>
      </c>
      <c r="B133" s="1032" t="s">
        <v>58</v>
      </c>
      <c r="C133" s="1032" t="s">
        <v>1998</v>
      </c>
      <c r="D133" s="1033"/>
      <c r="E133" s="1032"/>
      <c r="F133" s="1034"/>
      <c r="G133" s="1035"/>
      <c r="H133" s="1036"/>
      <c r="I133" s="1037"/>
      <c r="J133" s="1038"/>
      <c r="K133" s="1037"/>
      <c r="L133" s="1037"/>
    </row>
    <row r="134" spans="1:12">
      <c r="A134" s="1032">
        <v>133</v>
      </c>
      <c r="B134" s="1032" t="s">
        <v>58</v>
      </c>
      <c r="C134" s="1032" t="s">
        <v>1998</v>
      </c>
      <c r="D134" s="1033"/>
      <c r="E134" s="1032"/>
      <c r="F134" s="1034"/>
      <c r="G134" s="1035"/>
      <c r="H134" s="1036"/>
      <c r="I134" s="1037"/>
      <c r="J134" s="1038"/>
      <c r="K134" s="1037"/>
      <c r="L134" s="1037"/>
    </row>
    <row r="135" spans="1:12">
      <c r="A135" s="1032">
        <v>134</v>
      </c>
      <c r="B135" s="1032" t="s">
        <v>58</v>
      </c>
      <c r="C135" s="1032" t="s">
        <v>1998</v>
      </c>
      <c r="D135" s="1033"/>
      <c r="E135" s="1032"/>
      <c r="F135" s="1034"/>
      <c r="G135" s="1035"/>
      <c r="H135" s="1036"/>
      <c r="I135" s="1037"/>
      <c r="J135" s="1038"/>
      <c r="K135" s="1037"/>
      <c r="L135" s="1037"/>
    </row>
    <row r="136" spans="1:12">
      <c r="A136" s="1032">
        <v>135</v>
      </c>
      <c r="B136" s="1032" t="s">
        <v>58</v>
      </c>
      <c r="C136" s="1032" t="s">
        <v>1998</v>
      </c>
      <c r="D136" s="1033"/>
      <c r="E136" s="1032"/>
      <c r="F136" s="1034"/>
      <c r="G136" s="1035"/>
      <c r="H136" s="1036"/>
      <c r="I136" s="1037"/>
      <c r="J136" s="1038"/>
      <c r="K136" s="1037"/>
      <c r="L136" s="1037"/>
    </row>
    <row r="137" spans="1:12">
      <c r="A137" s="1032">
        <v>136</v>
      </c>
      <c r="B137" s="1032" t="s">
        <v>58</v>
      </c>
      <c r="C137" s="1032" t="s">
        <v>1998</v>
      </c>
      <c r="D137" s="1033"/>
      <c r="E137" s="1032"/>
      <c r="F137" s="1034"/>
      <c r="G137" s="1035"/>
      <c r="H137" s="1036"/>
      <c r="I137" s="1037"/>
      <c r="J137" s="1038"/>
      <c r="K137" s="1037"/>
      <c r="L137" s="1037"/>
    </row>
    <row r="138" spans="1:12">
      <c r="A138" s="1032">
        <v>137</v>
      </c>
      <c r="B138" s="1032" t="s">
        <v>58</v>
      </c>
      <c r="C138" s="1032" t="s">
        <v>1998</v>
      </c>
      <c r="D138" s="1033"/>
      <c r="E138" s="1032"/>
      <c r="F138" s="1034"/>
      <c r="G138" s="1035"/>
      <c r="H138" s="1036"/>
      <c r="I138" s="1037"/>
      <c r="J138" s="1038"/>
      <c r="K138" s="1037"/>
      <c r="L138" s="1037"/>
    </row>
    <row r="139" spans="1:12">
      <c r="A139" s="1032">
        <v>138</v>
      </c>
      <c r="B139" s="1032" t="s">
        <v>58</v>
      </c>
      <c r="C139" s="1032" t="s">
        <v>1998</v>
      </c>
      <c r="D139" s="1033"/>
      <c r="E139" s="1032"/>
      <c r="F139" s="1034"/>
      <c r="G139" s="1035"/>
      <c r="H139" s="1036"/>
      <c r="I139" s="1037"/>
      <c r="J139" s="1038"/>
      <c r="K139" s="1037"/>
      <c r="L139" s="1037"/>
    </row>
    <row r="140" spans="1:12">
      <c r="A140" s="1032">
        <v>139</v>
      </c>
      <c r="B140" s="1032" t="s">
        <v>58</v>
      </c>
      <c r="C140" s="1032" t="s">
        <v>1998</v>
      </c>
      <c r="D140" s="1033"/>
      <c r="E140" s="1032"/>
      <c r="F140" s="1034"/>
      <c r="G140" s="1035"/>
      <c r="H140" s="1036"/>
      <c r="I140" s="1037"/>
      <c r="J140" s="1038"/>
      <c r="K140" s="1037"/>
      <c r="L140" s="1037"/>
    </row>
    <row r="141" spans="1:12">
      <c r="A141" s="1032">
        <v>140</v>
      </c>
      <c r="B141" s="1032" t="s">
        <v>58</v>
      </c>
      <c r="C141" s="1032" t="s">
        <v>1998</v>
      </c>
      <c r="D141" s="1033"/>
      <c r="E141" s="1032"/>
      <c r="F141" s="1034"/>
      <c r="G141" s="1035"/>
      <c r="H141" s="1036"/>
      <c r="I141" s="1037"/>
      <c r="J141" s="1038"/>
      <c r="K141" s="1037"/>
      <c r="L141" s="1037"/>
    </row>
    <row r="142" spans="1:12">
      <c r="A142" s="1032">
        <v>141</v>
      </c>
      <c r="B142" s="1032" t="s">
        <v>58</v>
      </c>
      <c r="C142" s="1032" t="s">
        <v>1998</v>
      </c>
      <c r="D142" s="1033"/>
      <c r="E142" s="1032"/>
      <c r="F142" s="1034"/>
      <c r="G142" s="1035"/>
      <c r="H142" s="1036"/>
      <c r="I142" s="1037"/>
      <c r="J142" s="1038"/>
      <c r="K142" s="1037"/>
      <c r="L142" s="1037"/>
    </row>
    <row r="143" spans="1:12">
      <c r="A143" s="1032">
        <v>142</v>
      </c>
      <c r="B143" s="1032" t="s">
        <v>58</v>
      </c>
      <c r="C143" s="1032" t="s">
        <v>1998</v>
      </c>
      <c r="D143" s="1033"/>
      <c r="E143" s="1032"/>
      <c r="F143" s="1034"/>
      <c r="G143" s="1035"/>
      <c r="H143" s="1036"/>
      <c r="I143" s="1037"/>
      <c r="J143" s="1038"/>
      <c r="K143" s="1037"/>
      <c r="L143" s="1037"/>
    </row>
    <row r="144" spans="1:12">
      <c r="A144" s="1032">
        <v>143</v>
      </c>
      <c r="B144" s="1032" t="s">
        <v>58</v>
      </c>
      <c r="C144" s="1032" t="s">
        <v>1998</v>
      </c>
      <c r="D144" s="1033"/>
      <c r="E144" s="1032"/>
      <c r="F144" s="1034"/>
      <c r="G144" s="1035"/>
      <c r="H144" s="1036"/>
      <c r="I144" s="1037"/>
      <c r="J144" s="1038"/>
      <c r="K144" s="1037"/>
      <c r="L144" s="1037"/>
    </row>
    <row r="145" spans="1:12">
      <c r="A145" s="1032">
        <v>144</v>
      </c>
      <c r="B145" s="1032" t="s">
        <v>58</v>
      </c>
      <c r="C145" s="1032" t="s">
        <v>1998</v>
      </c>
      <c r="D145" s="1033"/>
      <c r="E145" s="1032"/>
      <c r="F145" s="1034"/>
      <c r="G145" s="1035"/>
      <c r="H145" s="1036"/>
      <c r="I145" s="1037"/>
      <c r="J145" s="1038"/>
      <c r="K145" s="1037"/>
      <c r="L145" s="1037"/>
    </row>
    <row r="146" spans="1:12">
      <c r="A146" s="1032">
        <v>145</v>
      </c>
      <c r="B146" s="1032" t="s">
        <v>58</v>
      </c>
      <c r="C146" s="1032" t="s">
        <v>1998</v>
      </c>
      <c r="D146" s="1033"/>
      <c r="E146" s="1032"/>
      <c r="F146" s="1034"/>
      <c r="G146" s="1035"/>
      <c r="H146" s="1036"/>
      <c r="I146" s="1037"/>
      <c r="J146" s="1038"/>
      <c r="K146" s="1037"/>
      <c r="L146" s="1037"/>
    </row>
    <row r="147" spans="1:12">
      <c r="A147" s="1032">
        <v>146</v>
      </c>
      <c r="B147" s="1032" t="s">
        <v>58</v>
      </c>
      <c r="C147" s="1032" t="s">
        <v>1998</v>
      </c>
      <c r="D147" s="1033"/>
      <c r="E147" s="1032"/>
      <c r="F147" s="1034"/>
      <c r="G147" s="1035"/>
      <c r="H147" s="1036"/>
      <c r="I147" s="1037"/>
      <c r="J147" s="1038"/>
      <c r="K147" s="1037"/>
      <c r="L147" s="1037"/>
    </row>
    <row r="148" spans="1:12">
      <c r="A148" s="1032">
        <v>147</v>
      </c>
      <c r="B148" s="1032" t="s">
        <v>58</v>
      </c>
      <c r="C148" s="1032" t="s">
        <v>1998</v>
      </c>
      <c r="D148" s="1033"/>
      <c r="E148" s="1032"/>
      <c r="F148" s="1034"/>
      <c r="G148" s="1035"/>
      <c r="H148" s="1036"/>
      <c r="I148" s="1037"/>
      <c r="J148" s="1038"/>
      <c r="K148" s="1037"/>
      <c r="L148" s="1037"/>
    </row>
    <row r="149" spans="1:12">
      <c r="A149" s="1032">
        <v>148</v>
      </c>
      <c r="B149" s="1032" t="s">
        <v>58</v>
      </c>
      <c r="C149" s="1032" t="s">
        <v>1998</v>
      </c>
      <c r="D149" s="1033"/>
      <c r="E149" s="1032"/>
      <c r="F149" s="1034"/>
      <c r="G149" s="1035"/>
      <c r="H149" s="1036"/>
      <c r="I149" s="1037"/>
      <c r="J149" s="1038"/>
      <c r="K149" s="1037"/>
      <c r="L149" s="1037"/>
    </row>
    <row r="150" spans="1:12">
      <c r="A150" s="1032">
        <v>149</v>
      </c>
      <c r="B150" s="1032" t="s">
        <v>58</v>
      </c>
      <c r="C150" s="1032" t="s">
        <v>1998</v>
      </c>
      <c r="D150" s="1033"/>
      <c r="E150" s="1032"/>
      <c r="F150" s="1034"/>
      <c r="G150" s="1035"/>
      <c r="H150" s="1036"/>
      <c r="I150" s="1037"/>
      <c r="J150" s="1038"/>
      <c r="K150" s="1037"/>
      <c r="L150" s="1037"/>
    </row>
    <row r="151" spans="1:12">
      <c r="A151" s="1032">
        <v>150</v>
      </c>
      <c r="B151" s="1032" t="s">
        <v>58</v>
      </c>
      <c r="C151" s="1032" t="s">
        <v>1998</v>
      </c>
      <c r="D151" s="1033"/>
      <c r="E151" s="1032"/>
      <c r="F151" s="1034"/>
      <c r="G151" s="1035"/>
      <c r="H151" s="1036"/>
      <c r="I151" s="1037"/>
      <c r="J151" s="1038"/>
      <c r="K151" s="1037"/>
      <c r="L151" s="1037"/>
    </row>
    <row r="152" spans="1:12">
      <c r="A152" s="1032">
        <v>151</v>
      </c>
      <c r="B152" s="1032" t="s">
        <v>58</v>
      </c>
      <c r="C152" s="1032" t="s">
        <v>1998</v>
      </c>
      <c r="D152" s="1033"/>
      <c r="E152" s="1032"/>
      <c r="F152" s="1034"/>
      <c r="G152" s="1035"/>
      <c r="H152" s="1036"/>
      <c r="I152" s="1037"/>
      <c r="J152" s="1038"/>
      <c r="K152" s="1037"/>
      <c r="L152" s="1037"/>
    </row>
    <row r="153" spans="1:12">
      <c r="A153" s="1032">
        <v>152</v>
      </c>
      <c r="B153" s="1032" t="s">
        <v>58</v>
      </c>
      <c r="C153" s="1032" t="s">
        <v>1998</v>
      </c>
      <c r="D153" s="1033"/>
      <c r="E153" s="1032"/>
      <c r="F153" s="1034"/>
      <c r="G153" s="1035"/>
      <c r="H153" s="1036"/>
      <c r="I153" s="1037"/>
      <c r="J153" s="1038"/>
      <c r="K153" s="1037"/>
      <c r="L153" s="1037"/>
    </row>
    <row r="154" spans="1:12">
      <c r="A154" s="1032">
        <v>153</v>
      </c>
      <c r="B154" s="1032" t="s">
        <v>58</v>
      </c>
      <c r="C154" s="1032" t="s">
        <v>1998</v>
      </c>
      <c r="D154" s="1033"/>
      <c r="E154" s="1032"/>
      <c r="F154" s="1034"/>
      <c r="G154" s="1035"/>
      <c r="H154" s="1036"/>
      <c r="I154" s="1037"/>
      <c r="J154" s="1038"/>
      <c r="K154" s="1037"/>
      <c r="L154" s="1037"/>
    </row>
    <row r="155" spans="1:12">
      <c r="A155" s="1032">
        <v>154</v>
      </c>
      <c r="B155" s="1032" t="s">
        <v>58</v>
      </c>
      <c r="C155" s="1032" t="s">
        <v>1998</v>
      </c>
      <c r="D155" s="1033"/>
      <c r="E155" s="1032"/>
      <c r="F155" s="1034"/>
      <c r="G155" s="1035"/>
      <c r="H155" s="1036"/>
      <c r="I155" s="1037"/>
      <c r="J155" s="1038"/>
      <c r="K155" s="1037"/>
      <c r="L155" s="1037"/>
    </row>
    <row r="156" spans="1:12">
      <c r="A156" s="1032">
        <v>155</v>
      </c>
      <c r="B156" s="1032" t="s">
        <v>58</v>
      </c>
      <c r="C156" s="1032" t="s">
        <v>1998</v>
      </c>
      <c r="D156" s="1033"/>
      <c r="E156" s="1032"/>
      <c r="F156" s="1034"/>
      <c r="G156" s="1035"/>
      <c r="H156" s="1036"/>
      <c r="I156" s="1037"/>
      <c r="J156" s="1038"/>
      <c r="K156" s="1037"/>
      <c r="L156" s="1037"/>
    </row>
    <row r="157" spans="1:12">
      <c r="A157" s="1032">
        <v>156</v>
      </c>
      <c r="B157" s="1032" t="s">
        <v>58</v>
      </c>
      <c r="C157" s="1032" t="s">
        <v>1998</v>
      </c>
      <c r="D157" s="1033"/>
      <c r="E157" s="1032"/>
      <c r="F157" s="1034"/>
      <c r="G157" s="1035"/>
      <c r="H157" s="1036"/>
      <c r="I157" s="1037"/>
      <c r="J157" s="1038"/>
      <c r="K157" s="1037"/>
      <c r="L157" s="1037"/>
    </row>
    <row r="158" spans="1:12">
      <c r="A158" s="1032">
        <v>157</v>
      </c>
      <c r="B158" s="1032" t="s">
        <v>58</v>
      </c>
      <c r="C158" s="1032" t="s">
        <v>1998</v>
      </c>
      <c r="D158" s="1033"/>
      <c r="E158" s="1032"/>
      <c r="F158" s="1034"/>
      <c r="G158" s="1035"/>
      <c r="H158" s="1036"/>
      <c r="I158" s="1037"/>
      <c r="J158" s="1038"/>
      <c r="K158" s="1037"/>
      <c r="L158" s="1037"/>
    </row>
    <row r="159" spans="1:12">
      <c r="A159" s="1032">
        <v>158</v>
      </c>
      <c r="B159" s="1032" t="s">
        <v>58</v>
      </c>
      <c r="C159" s="1032" t="s">
        <v>1998</v>
      </c>
      <c r="D159" s="1033"/>
      <c r="E159" s="1032"/>
      <c r="F159" s="1034"/>
      <c r="G159" s="1035"/>
      <c r="H159" s="1036"/>
      <c r="I159" s="1037"/>
      <c r="J159" s="1038"/>
      <c r="K159" s="1037"/>
      <c r="L159" s="1037"/>
    </row>
    <row r="160" spans="1:12">
      <c r="A160" s="1032">
        <v>159</v>
      </c>
      <c r="B160" s="1032" t="s">
        <v>58</v>
      </c>
      <c r="C160" s="1032" t="s">
        <v>1998</v>
      </c>
      <c r="D160" s="1033"/>
      <c r="E160" s="1032"/>
      <c r="F160" s="1034"/>
      <c r="G160" s="1035"/>
      <c r="H160" s="1036"/>
      <c r="I160" s="1037"/>
      <c r="J160" s="1038"/>
      <c r="K160" s="1037"/>
      <c r="L160" s="1037"/>
    </row>
    <row r="161" spans="1:12">
      <c r="A161" s="1032">
        <v>160</v>
      </c>
      <c r="B161" s="1032" t="s">
        <v>58</v>
      </c>
      <c r="C161" s="1032" t="s">
        <v>1998</v>
      </c>
      <c r="D161" s="1033"/>
      <c r="E161" s="1032"/>
      <c r="F161" s="1034"/>
      <c r="G161" s="1035"/>
      <c r="H161" s="1036"/>
      <c r="I161" s="1037"/>
      <c r="J161" s="1038"/>
      <c r="K161" s="1037"/>
      <c r="L161" s="1037"/>
    </row>
    <row r="162" spans="1:12">
      <c r="A162" s="1032">
        <v>161</v>
      </c>
      <c r="B162" s="1032" t="s">
        <v>58</v>
      </c>
      <c r="C162" s="1032" t="s">
        <v>1998</v>
      </c>
      <c r="D162" s="1033"/>
      <c r="E162" s="1032"/>
      <c r="F162" s="1034"/>
      <c r="G162" s="1035"/>
      <c r="H162" s="1036"/>
      <c r="I162" s="1037"/>
      <c r="J162" s="1038"/>
      <c r="K162" s="1037"/>
      <c r="L162" s="1037"/>
    </row>
    <row r="163" spans="1:12">
      <c r="A163" s="1032">
        <v>162</v>
      </c>
      <c r="B163" s="1032" t="s">
        <v>58</v>
      </c>
      <c r="C163" s="1032" t="s">
        <v>1998</v>
      </c>
      <c r="D163" s="1033"/>
      <c r="E163" s="1032"/>
      <c r="F163" s="1034"/>
      <c r="G163" s="1035"/>
      <c r="H163" s="1036"/>
      <c r="I163" s="1037"/>
      <c r="J163" s="1038"/>
      <c r="K163" s="1037"/>
      <c r="L163" s="1037"/>
    </row>
    <row r="164" spans="1:12">
      <c r="A164" s="1032">
        <v>163</v>
      </c>
      <c r="B164" s="1032" t="s">
        <v>58</v>
      </c>
      <c r="C164" s="1032" t="s">
        <v>1998</v>
      </c>
      <c r="D164" s="1033"/>
      <c r="E164" s="1032"/>
      <c r="F164" s="1034"/>
      <c r="G164" s="1035"/>
      <c r="H164" s="1036"/>
      <c r="I164" s="1037"/>
      <c r="J164" s="1038"/>
      <c r="K164" s="1037"/>
      <c r="L164" s="1037"/>
    </row>
    <row r="165" spans="1:12">
      <c r="A165" s="1032">
        <v>164</v>
      </c>
      <c r="B165" s="1032" t="s">
        <v>58</v>
      </c>
      <c r="C165" s="1032" t="s">
        <v>1998</v>
      </c>
      <c r="D165" s="1033"/>
      <c r="E165" s="1032"/>
      <c r="F165" s="1034"/>
      <c r="G165" s="1035"/>
      <c r="H165" s="1036"/>
      <c r="I165" s="1037"/>
      <c r="J165" s="1038"/>
      <c r="K165" s="1037"/>
      <c r="L165" s="1037"/>
    </row>
    <row r="166" spans="1:12">
      <c r="A166" s="1032">
        <v>165</v>
      </c>
      <c r="B166" s="1032" t="s">
        <v>58</v>
      </c>
      <c r="C166" s="1032" t="s">
        <v>1998</v>
      </c>
      <c r="D166" s="1033"/>
      <c r="E166" s="1032"/>
      <c r="F166" s="1034"/>
      <c r="G166" s="1035"/>
      <c r="H166" s="1036"/>
      <c r="I166" s="1037"/>
      <c r="J166" s="1038"/>
      <c r="K166" s="1037"/>
      <c r="L166" s="1037"/>
    </row>
    <row r="167" spans="1:12">
      <c r="A167" s="1032">
        <v>166</v>
      </c>
      <c r="B167" s="1032" t="s">
        <v>58</v>
      </c>
      <c r="C167" s="1032" t="s">
        <v>1998</v>
      </c>
      <c r="D167" s="1033"/>
      <c r="E167" s="1032"/>
      <c r="F167" s="1034"/>
      <c r="G167" s="1035"/>
      <c r="H167" s="1036"/>
      <c r="I167" s="1037"/>
      <c r="J167" s="1038"/>
      <c r="K167" s="1037"/>
      <c r="L167" s="1037"/>
    </row>
    <row r="168" spans="1:12">
      <c r="A168" s="1032">
        <v>167</v>
      </c>
      <c r="B168" s="1032" t="s">
        <v>58</v>
      </c>
      <c r="C168" s="1032" t="s">
        <v>1998</v>
      </c>
      <c r="D168" s="1033"/>
      <c r="E168" s="1032"/>
      <c r="F168" s="1034"/>
      <c r="G168" s="1035"/>
      <c r="H168" s="1036"/>
      <c r="I168" s="1037"/>
      <c r="J168" s="1038"/>
      <c r="K168" s="1037"/>
      <c r="L168" s="1037"/>
    </row>
    <row r="169" spans="1:12">
      <c r="A169" s="1032">
        <v>168</v>
      </c>
      <c r="B169" s="1032" t="s">
        <v>58</v>
      </c>
      <c r="C169" s="1032" t="s">
        <v>1998</v>
      </c>
      <c r="D169" s="1033"/>
      <c r="E169" s="1032"/>
      <c r="F169" s="1034"/>
      <c r="G169" s="1035"/>
      <c r="H169" s="1036"/>
      <c r="I169" s="1037"/>
      <c r="J169" s="1038"/>
      <c r="K169" s="1037"/>
      <c r="L169" s="1037"/>
    </row>
    <row r="170" spans="1:12">
      <c r="A170" s="1032">
        <v>169</v>
      </c>
      <c r="B170" s="1032" t="s">
        <v>58</v>
      </c>
      <c r="C170" s="1032" t="s">
        <v>1998</v>
      </c>
      <c r="D170" s="1033"/>
      <c r="E170" s="1032"/>
      <c r="F170" s="1034"/>
      <c r="G170" s="1035"/>
      <c r="H170" s="1036"/>
      <c r="I170" s="1037"/>
      <c r="J170" s="1038"/>
      <c r="K170" s="1037"/>
      <c r="L170" s="1037"/>
    </row>
    <row r="171" spans="1:12">
      <c r="A171" s="1032">
        <v>170</v>
      </c>
      <c r="B171" s="1032" t="s">
        <v>58</v>
      </c>
      <c r="C171" s="1032" t="s">
        <v>1998</v>
      </c>
      <c r="D171" s="1033"/>
      <c r="E171" s="1032"/>
      <c r="F171" s="1034"/>
      <c r="G171" s="1035"/>
      <c r="H171" s="1036"/>
      <c r="I171" s="1037"/>
      <c r="J171" s="1038"/>
      <c r="K171" s="1037"/>
      <c r="L171" s="1037"/>
    </row>
    <row r="172" spans="1:12">
      <c r="A172" s="1032">
        <v>171</v>
      </c>
      <c r="B172" s="1032" t="s">
        <v>58</v>
      </c>
      <c r="C172" s="1032" t="s">
        <v>1998</v>
      </c>
      <c r="D172" s="1033"/>
      <c r="E172" s="1032"/>
      <c r="F172" s="1034"/>
      <c r="G172" s="1035"/>
      <c r="H172" s="1036"/>
      <c r="I172" s="1037"/>
      <c r="J172" s="1038"/>
      <c r="K172" s="1037"/>
      <c r="L172" s="1037"/>
    </row>
    <row r="173" spans="1:12">
      <c r="A173" s="1032">
        <v>172</v>
      </c>
      <c r="B173" s="1032" t="s">
        <v>58</v>
      </c>
      <c r="C173" s="1032" t="s">
        <v>1998</v>
      </c>
      <c r="D173" s="1033"/>
      <c r="E173" s="1032"/>
      <c r="F173" s="1034"/>
      <c r="G173" s="1035"/>
      <c r="H173" s="1036"/>
      <c r="I173" s="1037"/>
      <c r="J173" s="1038"/>
      <c r="K173" s="1037"/>
      <c r="L173" s="1037"/>
    </row>
    <row r="174" spans="1:12">
      <c r="A174" s="1032">
        <v>173</v>
      </c>
      <c r="B174" s="1032" t="s">
        <v>58</v>
      </c>
      <c r="C174" s="1032" t="s">
        <v>1998</v>
      </c>
      <c r="D174" s="1033"/>
      <c r="E174" s="1032"/>
      <c r="F174" s="1034"/>
      <c r="G174" s="1035"/>
      <c r="H174" s="1036"/>
      <c r="I174" s="1037"/>
      <c r="J174" s="1038"/>
      <c r="K174" s="1037"/>
      <c r="L174" s="1037"/>
    </row>
    <row r="175" spans="1:12">
      <c r="A175" s="1032">
        <v>174</v>
      </c>
      <c r="B175" s="1032" t="s">
        <v>58</v>
      </c>
      <c r="C175" s="1032" t="s">
        <v>1998</v>
      </c>
      <c r="D175" s="1033"/>
      <c r="E175" s="1032"/>
      <c r="F175" s="1034"/>
      <c r="G175" s="1035"/>
      <c r="H175" s="1036"/>
      <c r="I175" s="1037"/>
      <c r="J175" s="1038"/>
      <c r="K175" s="1037"/>
      <c r="L175" s="1037"/>
    </row>
    <row r="176" spans="1:12">
      <c r="A176" s="1032">
        <v>175</v>
      </c>
      <c r="B176" s="1032" t="s">
        <v>58</v>
      </c>
      <c r="C176" s="1032" t="s">
        <v>1998</v>
      </c>
      <c r="D176" s="1033"/>
      <c r="E176" s="1032"/>
      <c r="F176" s="1034"/>
      <c r="G176" s="1035"/>
      <c r="H176" s="1036"/>
      <c r="I176" s="1037"/>
      <c r="J176" s="1038"/>
      <c r="K176" s="1037"/>
      <c r="L176" s="1037"/>
    </row>
    <row r="177" spans="1:12">
      <c r="A177" s="1032">
        <v>176</v>
      </c>
      <c r="B177" s="1032" t="s">
        <v>58</v>
      </c>
      <c r="C177" s="1032" t="s">
        <v>1998</v>
      </c>
      <c r="D177" s="1033"/>
      <c r="E177" s="1032"/>
      <c r="F177" s="1034"/>
      <c r="G177" s="1035"/>
      <c r="H177" s="1036"/>
      <c r="I177" s="1037"/>
      <c r="J177" s="1038"/>
      <c r="K177" s="1037"/>
      <c r="L177" s="1037"/>
    </row>
    <row r="178" spans="1:12">
      <c r="A178" s="1032">
        <v>177</v>
      </c>
      <c r="B178" s="1032" t="s">
        <v>58</v>
      </c>
      <c r="C178" s="1032" t="s">
        <v>1998</v>
      </c>
      <c r="D178" s="1033"/>
      <c r="E178" s="1032"/>
      <c r="F178" s="1034"/>
      <c r="G178" s="1035"/>
      <c r="H178" s="1036"/>
      <c r="I178" s="1037"/>
      <c r="J178" s="1038"/>
      <c r="K178" s="1037"/>
      <c r="L178" s="1037"/>
    </row>
    <row r="179" spans="1:12">
      <c r="A179" s="1032">
        <v>178</v>
      </c>
      <c r="B179" s="1032" t="s">
        <v>58</v>
      </c>
      <c r="C179" s="1032" t="s">
        <v>1998</v>
      </c>
      <c r="D179" s="1033"/>
      <c r="E179" s="1032"/>
      <c r="F179" s="1034"/>
      <c r="G179" s="1035"/>
      <c r="H179" s="1036"/>
      <c r="I179" s="1037"/>
      <c r="J179" s="1038"/>
      <c r="K179" s="1037"/>
      <c r="L179" s="1037"/>
    </row>
    <row r="180" spans="1:12">
      <c r="A180" s="1032">
        <v>179</v>
      </c>
      <c r="B180" s="1032" t="s">
        <v>58</v>
      </c>
      <c r="C180" s="1032" t="s">
        <v>1998</v>
      </c>
      <c r="D180" s="1033"/>
      <c r="E180" s="1032"/>
      <c r="F180" s="1034"/>
      <c r="G180" s="1035"/>
      <c r="H180" s="1036"/>
      <c r="I180" s="1037"/>
      <c r="J180" s="1038"/>
      <c r="K180" s="1037"/>
      <c r="L180" s="1037"/>
    </row>
    <row r="181" spans="1:12">
      <c r="A181" s="1032">
        <v>180</v>
      </c>
      <c r="B181" s="1032" t="s">
        <v>58</v>
      </c>
      <c r="C181" s="1032" t="s">
        <v>1998</v>
      </c>
      <c r="D181" s="1033"/>
      <c r="E181" s="1032"/>
      <c r="F181" s="1034"/>
      <c r="G181" s="1035"/>
      <c r="H181" s="1036"/>
      <c r="I181" s="1037"/>
      <c r="J181" s="1038"/>
      <c r="K181" s="1037"/>
      <c r="L181" s="1037"/>
    </row>
    <row r="182" spans="1:12">
      <c r="A182" s="1032">
        <v>181</v>
      </c>
      <c r="B182" s="1032" t="s">
        <v>58</v>
      </c>
      <c r="C182" s="1032" t="s">
        <v>1998</v>
      </c>
      <c r="D182" s="1033"/>
      <c r="E182" s="1032"/>
      <c r="F182" s="1034"/>
      <c r="G182" s="1035"/>
      <c r="H182" s="1036"/>
      <c r="I182" s="1037"/>
      <c r="J182" s="1038"/>
      <c r="K182" s="1037"/>
      <c r="L182" s="1037"/>
    </row>
    <row r="183" spans="1:12">
      <c r="A183" s="1032">
        <v>182</v>
      </c>
      <c r="B183" s="1032" t="s">
        <v>58</v>
      </c>
      <c r="C183" s="1032" t="s">
        <v>1998</v>
      </c>
      <c r="D183" s="1033"/>
      <c r="E183" s="1032"/>
      <c r="F183" s="1034"/>
      <c r="G183" s="1035"/>
      <c r="H183" s="1036"/>
      <c r="I183" s="1037"/>
      <c r="J183" s="1038"/>
      <c r="K183" s="1037"/>
      <c r="L183" s="1037"/>
    </row>
    <row r="184" spans="1:12">
      <c r="A184" s="1032">
        <v>183</v>
      </c>
      <c r="B184" s="1032" t="s">
        <v>58</v>
      </c>
      <c r="C184" s="1032" t="s">
        <v>1998</v>
      </c>
      <c r="D184" s="1033"/>
      <c r="E184" s="1032"/>
      <c r="F184" s="1034"/>
      <c r="G184" s="1035"/>
      <c r="H184" s="1036"/>
      <c r="I184" s="1037"/>
      <c r="J184" s="1038"/>
      <c r="K184" s="1037"/>
      <c r="L184" s="1037"/>
    </row>
    <row r="185" spans="1:12">
      <c r="A185" s="1032">
        <v>184</v>
      </c>
      <c r="B185" s="1032" t="s">
        <v>58</v>
      </c>
      <c r="C185" s="1032" t="s">
        <v>1998</v>
      </c>
      <c r="D185" s="1033"/>
      <c r="E185" s="1032"/>
      <c r="F185" s="1034"/>
      <c r="G185" s="1035"/>
      <c r="H185" s="1036"/>
      <c r="I185" s="1037"/>
      <c r="J185" s="1038"/>
      <c r="K185" s="1037"/>
      <c r="L185" s="1037"/>
    </row>
    <row r="186" spans="1:12">
      <c r="A186" s="1032">
        <v>185</v>
      </c>
      <c r="B186" s="1032" t="s">
        <v>58</v>
      </c>
      <c r="C186" s="1032" t="s">
        <v>1998</v>
      </c>
      <c r="D186" s="1033"/>
      <c r="E186" s="1032"/>
      <c r="F186" s="1034"/>
      <c r="G186" s="1035"/>
      <c r="H186" s="1036"/>
      <c r="I186" s="1037"/>
      <c r="J186" s="1038"/>
      <c r="K186" s="1037"/>
      <c r="L186" s="1037"/>
    </row>
    <row r="187" spans="1:12">
      <c r="A187" s="1032">
        <v>186</v>
      </c>
      <c r="B187" s="1032" t="s">
        <v>58</v>
      </c>
      <c r="C187" s="1032" t="s">
        <v>1998</v>
      </c>
      <c r="D187" s="1033"/>
      <c r="E187" s="1032"/>
      <c r="F187" s="1034"/>
      <c r="G187" s="1035"/>
      <c r="H187" s="1036"/>
      <c r="I187" s="1037"/>
      <c r="J187" s="1038"/>
      <c r="K187" s="1037"/>
      <c r="L187" s="1037"/>
    </row>
    <row r="188" spans="1:12">
      <c r="A188" s="1032">
        <v>187</v>
      </c>
      <c r="B188" s="1032" t="s">
        <v>58</v>
      </c>
      <c r="C188" s="1032" t="s">
        <v>1998</v>
      </c>
      <c r="D188" s="1033"/>
      <c r="E188" s="1032"/>
      <c r="F188" s="1034"/>
      <c r="G188" s="1035"/>
      <c r="H188" s="1036"/>
      <c r="I188" s="1037"/>
      <c r="J188" s="1038"/>
      <c r="K188" s="1037"/>
      <c r="L188" s="1037"/>
    </row>
    <row r="189" spans="1:12">
      <c r="A189" s="1032">
        <v>188</v>
      </c>
      <c r="B189" s="1032" t="s">
        <v>58</v>
      </c>
      <c r="C189" s="1032" t="s">
        <v>1998</v>
      </c>
      <c r="D189" s="1033"/>
      <c r="E189" s="1032"/>
      <c r="F189" s="1034"/>
      <c r="G189" s="1035"/>
      <c r="H189" s="1036"/>
      <c r="I189" s="1037"/>
      <c r="J189" s="1038"/>
      <c r="K189" s="1037"/>
      <c r="L189" s="1037"/>
    </row>
    <row r="190" spans="1:12">
      <c r="A190" s="1032">
        <v>189</v>
      </c>
      <c r="B190" s="1032" t="s">
        <v>58</v>
      </c>
      <c r="C190" s="1032" t="s">
        <v>1998</v>
      </c>
      <c r="D190" s="1033"/>
      <c r="E190" s="1032"/>
      <c r="F190" s="1034"/>
      <c r="G190" s="1035"/>
      <c r="H190" s="1036"/>
      <c r="I190" s="1037"/>
      <c r="J190" s="1038"/>
      <c r="K190" s="1037"/>
      <c r="L190" s="1037"/>
    </row>
    <row r="191" spans="1:12">
      <c r="A191" s="1032">
        <v>190</v>
      </c>
      <c r="B191" s="1032" t="s">
        <v>58</v>
      </c>
      <c r="C191" s="1032" t="s">
        <v>1998</v>
      </c>
      <c r="D191" s="1033"/>
      <c r="E191" s="1032"/>
      <c r="F191" s="1034"/>
      <c r="G191" s="1035"/>
      <c r="H191" s="1036"/>
      <c r="I191" s="1037"/>
      <c r="J191" s="1038"/>
      <c r="K191" s="1037"/>
      <c r="L191" s="1037"/>
    </row>
    <row r="192" spans="1:12">
      <c r="A192" s="1032">
        <v>191</v>
      </c>
      <c r="B192" s="1032" t="s">
        <v>58</v>
      </c>
      <c r="C192" s="1032" t="s">
        <v>1998</v>
      </c>
      <c r="D192" s="1033"/>
      <c r="E192" s="1032"/>
      <c r="F192" s="1034"/>
      <c r="G192" s="1035"/>
      <c r="H192" s="1036"/>
      <c r="I192" s="1037"/>
      <c r="J192" s="1038"/>
      <c r="K192" s="1037"/>
      <c r="L192" s="1037"/>
    </row>
    <row r="193" spans="1:12">
      <c r="A193" s="1032">
        <v>192</v>
      </c>
      <c r="B193" s="1032" t="s">
        <v>58</v>
      </c>
      <c r="C193" s="1032" t="s">
        <v>1998</v>
      </c>
      <c r="D193" s="1033"/>
      <c r="E193" s="1032"/>
      <c r="F193" s="1034"/>
      <c r="G193" s="1035"/>
      <c r="H193" s="1036"/>
      <c r="I193" s="1037"/>
      <c r="J193" s="1038"/>
      <c r="K193" s="1037"/>
      <c r="L193" s="1037"/>
    </row>
    <row r="194" spans="1:12">
      <c r="A194" s="1032">
        <v>193</v>
      </c>
      <c r="B194" s="1032" t="s">
        <v>58</v>
      </c>
      <c r="C194" s="1032" t="s">
        <v>1998</v>
      </c>
      <c r="D194" s="1033"/>
      <c r="E194" s="1032"/>
      <c r="F194" s="1034"/>
      <c r="G194" s="1035"/>
      <c r="H194" s="1036"/>
      <c r="I194" s="1037"/>
      <c r="J194" s="1038"/>
      <c r="K194" s="1037"/>
      <c r="L194" s="1037"/>
    </row>
    <row r="195" spans="1:12">
      <c r="A195" s="1032">
        <v>194</v>
      </c>
      <c r="B195" s="1032" t="s">
        <v>58</v>
      </c>
      <c r="C195" s="1032" t="s">
        <v>1998</v>
      </c>
      <c r="D195" s="1033"/>
      <c r="E195" s="1032"/>
      <c r="F195" s="1034"/>
      <c r="G195" s="1035"/>
      <c r="H195" s="1036"/>
      <c r="I195" s="1037"/>
      <c r="J195" s="1038"/>
      <c r="K195" s="1037"/>
      <c r="L195" s="1037"/>
    </row>
    <row r="196" spans="1:12">
      <c r="A196" s="1032">
        <v>195</v>
      </c>
      <c r="B196" s="1032" t="s">
        <v>58</v>
      </c>
      <c r="C196" s="1032" t="s">
        <v>1998</v>
      </c>
      <c r="D196" s="1033"/>
      <c r="E196" s="1032"/>
      <c r="F196" s="1034"/>
      <c r="G196" s="1035"/>
      <c r="H196" s="1036"/>
      <c r="I196" s="1037"/>
      <c r="J196" s="1038"/>
      <c r="K196" s="1037"/>
      <c r="L196" s="1037"/>
    </row>
    <row r="197" spans="1:12">
      <c r="A197" s="1032">
        <v>196</v>
      </c>
      <c r="B197" s="1032" t="s">
        <v>58</v>
      </c>
      <c r="C197" s="1032" t="s">
        <v>1998</v>
      </c>
      <c r="D197" s="1033"/>
      <c r="E197" s="1032"/>
      <c r="F197" s="1034"/>
      <c r="G197" s="1035"/>
      <c r="H197" s="1036"/>
      <c r="I197" s="1037"/>
      <c r="J197" s="1038"/>
      <c r="K197" s="1037"/>
      <c r="L197" s="1037"/>
    </row>
    <row r="198" spans="1:12">
      <c r="A198" s="1032">
        <v>197</v>
      </c>
      <c r="B198" s="1032" t="s">
        <v>58</v>
      </c>
      <c r="C198" s="1032" t="s">
        <v>1998</v>
      </c>
      <c r="D198" s="1033"/>
      <c r="E198" s="1032"/>
      <c r="F198" s="1034"/>
      <c r="G198" s="1035"/>
      <c r="H198" s="1036"/>
      <c r="I198" s="1037"/>
      <c r="J198" s="1038"/>
      <c r="K198" s="1037"/>
      <c r="L198" s="1037"/>
    </row>
    <row r="199" spans="1:12">
      <c r="A199" s="1032">
        <v>198</v>
      </c>
      <c r="B199" s="1032" t="s">
        <v>58</v>
      </c>
      <c r="C199" s="1032" t="s">
        <v>1998</v>
      </c>
      <c r="D199" s="1033"/>
      <c r="E199" s="1032"/>
      <c r="F199" s="1034"/>
      <c r="G199" s="1035"/>
      <c r="H199" s="1036"/>
      <c r="I199" s="1037"/>
      <c r="J199" s="1038"/>
      <c r="K199" s="1037"/>
      <c r="L199" s="1037"/>
    </row>
    <row r="200" spans="1:12">
      <c r="A200" s="1032">
        <v>199</v>
      </c>
      <c r="B200" s="1032" t="s">
        <v>58</v>
      </c>
      <c r="C200" s="1032" t="s">
        <v>1998</v>
      </c>
      <c r="D200" s="1033"/>
      <c r="E200" s="1032"/>
      <c r="F200" s="1034"/>
      <c r="G200" s="1035"/>
      <c r="H200" s="1036"/>
      <c r="I200" s="1037"/>
      <c r="J200" s="1038"/>
      <c r="K200" s="1037"/>
      <c r="L200" s="1037"/>
    </row>
    <row r="201" spans="1:12">
      <c r="A201" s="1032">
        <v>200</v>
      </c>
      <c r="B201" s="1032" t="s">
        <v>58</v>
      </c>
      <c r="C201" s="1032" t="s">
        <v>1998</v>
      </c>
      <c r="D201" s="1033"/>
      <c r="E201" s="1032"/>
      <c r="F201" s="1034"/>
      <c r="G201" s="1035"/>
      <c r="H201" s="1036"/>
      <c r="I201" s="1037"/>
      <c r="J201" s="1038"/>
      <c r="K201" s="1037"/>
      <c r="L201" s="1037"/>
    </row>
    <row r="202" spans="1:12">
      <c r="A202" s="1032">
        <v>201</v>
      </c>
      <c r="B202" s="1032" t="s">
        <v>58</v>
      </c>
      <c r="C202" s="1032" t="s">
        <v>1998</v>
      </c>
      <c r="D202" s="1033"/>
      <c r="E202" s="1032"/>
      <c r="F202" s="1034"/>
      <c r="G202" s="1035"/>
      <c r="H202" s="1036"/>
      <c r="I202" s="1037"/>
      <c r="J202" s="1038"/>
      <c r="K202" s="1037"/>
      <c r="L202" s="1037"/>
    </row>
    <row r="203" spans="1:12">
      <c r="A203" s="1032">
        <v>202</v>
      </c>
      <c r="B203" s="1032" t="s">
        <v>58</v>
      </c>
      <c r="C203" s="1032" t="s">
        <v>1998</v>
      </c>
      <c r="D203" s="1033"/>
      <c r="E203" s="1032"/>
      <c r="F203" s="1034"/>
      <c r="G203" s="1035"/>
      <c r="H203" s="1036"/>
      <c r="I203" s="1037"/>
      <c r="J203" s="1038"/>
      <c r="K203" s="1037"/>
      <c r="L203" s="1037"/>
    </row>
    <row r="204" spans="1:12">
      <c r="A204" s="1032">
        <v>203</v>
      </c>
      <c r="B204" s="1032" t="s">
        <v>58</v>
      </c>
      <c r="C204" s="1032" t="s">
        <v>1998</v>
      </c>
      <c r="D204" s="1033"/>
      <c r="E204" s="1032"/>
      <c r="F204" s="1034"/>
      <c r="G204" s="1035"/>
      <c r="H204" s="1036"/>
      <c r="I204" s="1037"/>
      <c r="J204" s="1038"/>
      <c r="K204" s="1037"/>
      <c r="L204" s="1037"/>
    </row>
    <row r="205" spans="1:12">
      <c r="A205" s="1032">
        <v>204</v>
      </c>
      <c r="B205" s="1032" t="s">
        <v>58</v>
      </c>
      <c r="C205" s="1032" t="s">
        <v>1998</v>
      </c>
      <c r="D205" s="1033"/>
      <c r="E205" s="1032"/>
      <c r="F205" s="1034"/>
      <c r="G205" s="1035"/>
      <c r="H205" s="1036"/>
      <c r="I205" s="1037"/>
      <c r="J205" s="1038"/>
      <c r="K205" s="1037"/>
      <c r="L205" s="1037"/>
    </row>
    <row r="206" spans="1:12">
      <c r="A206" s="1032">
        <v>205</v>
      </c>
      <c r="B206" s="1032" t="s">
        <v>58</v>
      </c>
      <c r="C206" s="1032" t="s">
        <v>1998</v>
      </c>
      <c r="D206" s="1033"/>
      <c r="E206" s="1032"/>
      <c r="F206" s="1034"/>
      <c r="G206" s="1035"/>
      <c r="H206" s="1036"/>
      <c r="I206" s="1037"/>
      <c r="J206" s="1038"/>
      <c r="K206" s="1037"/>
      <c r="L206" s="1037"/>
    </row>
    <row r="207" spans="1:12">
      <c r="A207" s="1032">
        <v>206</v>
      </c>
      <c r="B207" s="1032" t="s">
        <v>58</v>
      </c>
      <c r="C207" s="1032" t="s">
        <v>1998</v>
      </c>
      <c r="D207" s="1033"/>
      <c r="E207" s="1032"/>
      <c r="F207" s="1034"/>
      <c r="G207" s="1035"/>
      <c r="H207" s="1036"/>
      <c r="I207" s="1037"/>
      <c r="J207" s="1038"/>
      <c r="K207" s="1037"/>
      <c r="L207" s="1037"/>
    </row>
    <row r="208" spans="1:12">
      <c r="A208" s="1032">
        <v>207</v>
      </c>
      <c r="B208" s="1032" t="s">
        <v>58</v>
      </c>
      <c r="C208" s="1032" t="s">
        <v>1998</v>
      </c>
      <c r="D208" s="1033"/>
      <c r="E208" s="1032"/>
      <c r="F208" s="1034"/>
      <c r="G208" s="1035"/>
      <c r="H208" s="1036"/>
      <c r="I208" s="1037"/>
      <c r="J208" s="1038"/>
      <c r="K208" s="1037"/>
      <c r="L208" s="1037"/>
    </row>
    <row r="209" spans="1:12">
      <c r="A209" s="1032">
        <v>208</v>
      </c>
      <c r="B209" s="1032" t="s">
        <v>58</v>
      </c>
      <c r="C209" s="1032" t="s">
        <v>1998</v>
      </c>
      <c r="D209" s="1033"/>
      <c r="E209" s="1032"/>
      <c r="F209" s="1034"/>
      <c r="G209" s="1035"/>
      <c r="H209" s="1036"/>
      <c r="I209" s="1037"/>
      <c r="J209" s="1038"/>
      <c r="K209" s="1037"/>
      <c r="L209" s="1037"/>
    </row>
    <row r="210" spans="1:12">
      <c r="A210" s="1032">
        <v>209</v>
      </c>
      <c r="B210" s="1032" t="s">
        <v>58</v>
      </c>
      <c r="C210" s="1032" t="s">
        <v>1998</v>
      </c>
      <c r="D210" s="1033"/>
      <c r="E210" s="1032"/>
      <c r="F210" s="1034"/>
      <c r="G210" s="1035"/>
      <c r="H210" s="1036"/>
      <c r="I210" s="1037"/>
      <c r="J210" s="1038"/>
      <c r="K210" s="1037"/>
      <c r="L210" s="1037"/>
    </row>
    <row r="211" spans="1:12">
      <c r="A211" s="1032">
        <v>210</v>
      </c>
      <c r="B211" s="1032" t="s">
        <v>58</v>
      </c>
      <c r="C211" s="1032" t="s">
        <v>1998</v>
      </c>
      <c r="D211" s="1033"/>
      <c r="E211" s="1032"/>
      <c r="F211" s="1034"/>
      <c r="G211" s="1035"/>
      <c r="H211" s="1036"/>
      <c r="I211" s="1037"/>
      <c r="J211" s="1038"/>
      <c r="K211" s="1037"/>
      <c r="L211" s="1037"/>
    </row>
    <row r="212" spans="1:12">
      <c r="A212" s="1032">
        <v>211</v>
      </c>
      <c r="B212" s="1032" t="s">
        <v>58</v>
      </c>
      <c r="C212" s="1032" t="s">
        <v>1998</v>
      </c>
      <c r="D212" s="1033"/>
      <c r="E212" s="1032"/>
      <c r="F212" s="1034"/>
      <c r="G212" s="1035"/>
      <c r="H212" s="1036"/>
      <c r="I212" s="1037"/>
      <c r="J212" s="1038"/>
      <c r="K212" s="1037"/>
      <c r="L212" s="1037"/>
    </row>
    <row r="213" spans="1:12">
      <c r="A213" s="1032">
        <v>212</v>
      </c>
      <c r="B213" s="1032" t="s">
        <v>58</v>
      </c>
      <c r="C213" s="1032" t="s">
        <v>1998</v>
      </c>
      <c r="D213" s="1033"/>
      <c r="E213" s="1032"/>
      <c r="F213" s="1034"/>
      <c r="G213" s="1035"/>
      <c r="H213" s="1036"/>
      <c r="I213" s="1037"/>
      <c r="J213" s="1038"/>
      <c r="K213" s="1037"/>
      <c r="L213" s="1037"/>
    </row>
    <row r="214" spans="1:12">
      <c r="A214" s="1032">
        <v>213</v>
      </c>
      <c r="B214" s="1032" t="s">
        <v>46</v>
      </c>
      <c r="C214" s="1032" t="s">
        <v>1999</v>
      </c>
      <c r="D214" s="1033" t="s">
        <v>2000</v>
      </c>
      <c r="E214" s="1032"/>
      <c r="F214" s="1034"/>
      <c r="G214" s="1035"/>
      <c r="H214" s="1036"/>
      <c r="I214" s="1037"/>
      <c r="J214" s="1038"/>
      <c r="K214" s="1037"/>
      <c r="L214" s="1037"/>
    </row>
    <row r="215" spans="1:12">
      <c r="A215" s="1032">
        <v>214</v>
      </c>
      <c r="B215" s="1032" t="s">
        <v>46</v>
      </c>
      <c r="C215" s="1032" t="s">
        <v>1999</v>
      </c>
      <c r="D215" s="1033" t="s">
        <v>2001</v>
      </c>
      <c r="E215" s="1032"/>
      <c r="F215" s="1034"/>
      <c r="G215" s="1035"/>
      <c r="H215" s="1036"/>
      <c r="I215" s="1037"/>
      <c r="J215" s="1038"/>
      <c r="K215" s="1037"/>
      <c r="L215" s="1037"/>
    </row>
    <row r="216" spans="1:12">
      <c r="A216" s="1032">
        <v>215</v>
      </c>
      <c r="B216" s="1032" t="s">
        <v>46</v>
      </c>
      <c r="C216" s="1032" t="s">
        <v>1999</v>
      </c>
      <c r="D216" s="1033" t="s">
        <v>2002</v>
      </c>
      <c r="E216" s="1032"/>
      <c r="F216" s="1034"/>
      <c r="G216" s="1035"/>
      <c r="H216" s="1036"/>
      <c r="I216" s="1037"/>
      <c r="J216" s="1038"/>
      <c r="K216" s="1037"/>
      <c r="L216" s="1037"/>
    </row>
    <row r="217" spans="1:12">
      <c r="A217" s="1032">
        <v>216</v>
      </c>
      <c r="B217" s="1032" t="s">
        <v>46</v>
      </c>
      <c r="C217" s="1032" t="s">
        <v>1999</v>
      </c>
      <c r="D217" s="1033" t="s">
        <v>2003</v>
      </c>
      <c r="E217" s="1032"/>
      <c r="F217" s="1034"/>
      <c r="G217" s="1035"/>
      <c r="H217" s="1036"/>
      <c r="I217" s="1037"/>
      <c r="J217" s="1038"/>
      <c r="K217" s="1037"/>
      <c r="L217" s="1037"/>
    </row>
    <row r="218" spans="1:12">
      <c r="A218" s="1032">
        <v>217</v>
      </c>
      <c r="B218" s="1032" t="s">
        <v>46</v>
      </c>
      <c r="C218" s="1032" t="s">
        <v>1999</v>
      </c>
      <c r="D218" s="1033" t="s">
        <v>2004</v>
      </c>
      <c r="E218" s="1032"/>
      <c r="F218" s="1034"/>
      <c r="G218" s="1035"/>
      <c r="H218" s="1036"/>
      <c r="I218" s="1037"/>
      <c r="J218" s="1038"/>
      <c r="K218" s="1037"/>
      <c r="L218" s="1037"/>
    </row>
    <row r="219" spans="1:12">
      <c r="A219" s="1032">
        <v>218</v>
      </c>
      <c r="B219" s="1032" t="s">
        <v>46</v>
      </c>
      <c r="C219" s="1032" t="s">
        <v>1999</v>
      </c>
      <c r="D219" s="1033" t="s">
        <v>277</v>
      </c>
      <c r="E219" s="1032"/>
      <c r="F219" s="1034"/>
      <c r="G219" s="1035"/>
      <c r="H219" s="1036"/>
      <c r="I219" s="1037"/>
      <c r="J219" s="1038"/>
      <c r="K219" s="1037"/>
      <c r="L219" s="1037"/>
    </row>
    <row r="220" spans="1:12">
      <c r="A220" s="1032">
        <v>219</v>
      </c>
      <c r="B220" s="1032" t="s">
        <v>46</v>
      </c>
      <c r="C220" s="1032" t="s">
        <v>1999</v>
      </c>
      <c r="D220" s="1033" t="s">
        <v>2005</v>
      </c>
      <c r="E220" s="1032"/>
      <c r="F220" s="1034"/>
      <c r="G220" s="1035"/>
      <c r="H220" s="1036"/>
      <c r="I220" s="1037"/>
      <c r="J220" s="1038"/>
      <c r="K220" s="1037"/>
      <c r="L220" s="1037"/>
    </row>
    <row r="221" spans="1:12">
      <c r="A221" s="1032">
        <v>220</v>
      </c>
      <c r="B221" s="1032" t="s">
        <v>46</v>
      </c>
      <c r="C221" s="1032" t="s">
        <v>1999</v>
      </c>
      <c r="D221" s="1033" t="s">
        <v>2006</v>
      </c>
      <c r="E221" s="1032"/>
      <c r="F221" s="1034"/>
      <c r="G221" s="1035"/>
      <c r="H221" s="1036"/>
      <c r="I221" s="1037"/>
      <c r="J221" s="1038"/>
      <c r="K221" s="1037"/>
      <c r="L221" s="1037"/>
    </row>
    <row r="222" spans="1:12">
      <c r="A222" s="1032">
        <v>221</v>
      </c>
      <c r="B222" s="1032" t="s">
        <v>46</v>
      </c>
      <c r="C222" s="1032" t="s">
        <v>1999</v>
      </c>
      <c r="D222" s="1033" t="s">
        <v>2007</v>
      </c>
      <c r="E222" s="1032"/>
      <c r="F222" s="1034"/>
      <c r="G222" s="1035"/>
      <c r="H222" s="1036"/>
      <c r="I222" s="1037"/>
      <c r="J222" s="1038"/>
      <c r="K222" s="1037"/>
      <c r="L222" s="1037"/>
    </row>
  </sheetData>
  <conditionalFormatting sqref="J1:J1048576">
    <cfRule type="cellIs" dxfId="10" priority="1" operator="equal">
      <formula>"No"</formula>
    </cfRule>
    <cfRule type="cellIs" dxfId="9" priority="2" operator="equal">
      <formula>"Yes"</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24494-F1AC-4DAD-8A7B-805B448F16B8}">
  <sheetPr filterMode="1"/>
  <dimension ref="A1:H1480"/>
  <sheetViews>
    <sheetView zoomScale="80" zoomScaleNormal="80" workbookViewId="0">
      <pane ySplit="1" topLeftCell="A800" activePane="bottomLeft" state="frozen"/>
      <selection activeCell="B19" sqref="B19"/>
      <selection pane="bottomLeft" activeCell="B19" sqref="B19"/>
    </sheetView>
  </sheetViews>
  <sheetFormatPr defaultColWidth="26.81640625" defaultRowHeight="14.5"/>
  <cols>
    <col min="1" max="1" width="6.81640625" style="543" customWidth="1"/>
    <col min="2" max="2" width="17" style="544" customWidth="1"/>
    <col min="3" max="3" width="21.54296875" style="544" bestFit="1" customWidth="1"/>
    <col min="4" max="4" width="38.7265625" style="544" bestFit="1" customWidth="1"/>
    <col min="5" max="5" width="68.26953125" style="544" customWidth="1"/>
    <col min="6" max="6" width="17.453125" style="1028" bestFit="1" customWidth="1"/>
    <col min="7" max="7" width="16.26953125" style="1028" bestFit="1" customWidth="1"/>
    <col min="8" max="8" width="10.453125" style="543" bestFit="1" customWidth="1"/>
    <col min="9" max="9" width="6.81640625" style="544" customWidth="1"/>
    <col min="10" max="10" width="9.54296875" style="544" customWidth="1"/>
    <col min="11" max="16384" width="26.81640625" style="544"/>
  </cols>
  <sheetData>
    <row r="1" spans="1:8" s="543" customFormat="1" ht="15.5">
      <c r="A1" s="1014" t="s">
        <v>627</v>
      </c>
      <c r="B1" s="1015" t="s">
        <v>360</v>
      </c>
      <c r="C1" s="1015" t="s">
        <v>361</v>
      </c>
      <c r="D1" s="1015" t="s">
        <v>368</v>
      </c>
      <c r="E1" s="1015" t="s">
        <v>1</v>
      </c>
      <c r="F1" s="1016" t="s">
        <v>623</v>
      </c>
      <c r="G1" s="1016" t="s">
        <v>659</v>
      </c>
      <c r="H1" s="1017" t="s">
        <v>620</v>
      </c>
    </row>
    <row r="2" spans="1:8">
      <c r="A2" s="1018">
        <v>1</v>
      </c>
      <c r="B2" s="1019" t="s">
        <v>58</v>
      </c>
      <c r="C2" s="1020" t="s">
        <v>660</v>
      </c>
      <c r="D2" s="1020" t="s">
        <v>661</v>
      </c>
      <c r="E2" s="1020" t="s">
        <v>662</v>
      </c>
      <c r="F2" s="1021">
        <v>45458</v>
      </c>
      <c r="G2" s="1021">
        <v>45458</v>
      </c>
      <c r="H2" s="1022" t="s">
        <v>663</v>
      </c>
    </row>
    <row r="3" spans="1:8">
      <c r="A3" s="1023">
        <v>2</v>
      </c>
      <c r="B3" s="1024" t="s">
        <v>58</v>
      </c>
      <c r="C3" s="1025" t="s">
        <v>660</v>
      </c>
      <c r="D3" s="1025" t="s">
        <v>661</v>
      </c>
      <c r="E3" s="1025" t="s">
        <v>664</v>
      </c>
      <c r="F3" s="1026">
        <v>45328</v>
      </c>
      <c r="G3" s="1026">
        <v>45328</v>
      </c>
      <c r="H3" s="1027" t="s">
        <v>663</v>
      </c>
    </row>
    <row r="4" spans="1:8">
      <c r="A4" s="1018">
        <v>3</v>
      </c>
      <c r="B4" s="1019" t="s">
        <v>58</v>
      </c>
      <c r="C4" s="1020" t="s">
        <v>660</v>
      </c>
      <c r="D4" s="1020" t="s">
        <v>661</v>
      </c>
      <c r="E4" s="1020" t="s">
        <v>665</v>
      </c>
      <c r="F4" s="1021">
        <v>45328</v>
      </c>
      <c r="G4" s="1021">
        <v>45328</v>
      </c>
      <c r="H4" s="1022" t="s">
        <v>663</v>
      </c>
    </row>
    <row r="5" spans="1:8">
      <c r="A5" s="1023">
        <v>4</v>
      </c>
      <c r="B5" s="1024" t="s">
        <v>58</v>
      </c>
      <c r="C5" s="1025" t="s">
        <v>660</v>
      </c>
      <c r="D5" s="1025" t="s">
        <v>661</v>
      </c>
      <c r="E5" s="1025" t="s">
        <v>666</v>
      </c>
      <c r="F5" s="1026">
        <v>45328</v>
      </c>
      <c r="G5" s="1026">
        <v>45328</v>
      </c>
      <c r="H5" s="1027" t="s">
        <v>663</v>
      </c>
    </row>
    <row r="6" spans="1:8" ht="26">
      <c r="A6" s="1018">
        <v>5</v>
      </c>
      <c r="B6" s="1019" t="s">
        <v>58</v>
      </c>
      <c r="C6" s="1020" t="s">
        <v>660</v>
      </c>
      <c r="D6" s="1020" t="s">
        <v>661</v>
      </c>
      <c r="E6" s="1020" t="s">
        <v>667</v>
      </c>
      <c r="F6" s="1021">
        <v>45328</v>
      </c>
      <c r="G6" s="1021">
        <v>45328</v>
      </c>
      <c r="H6" s="1022" t="s">
        <v>663</v>
      </c>
    </row>
    <row r="7" spans="1:8">
      <c r="A7" s="1023">
        <v>6</v>
      </c>
      <c r="B7" s="1024" t="s">
        <v>58</v>
      </c>
      <c r="C7" s="1025" t="s">
        <v>660</v>
      </c>
      <c r="D7" s="1025" t="s">
        <v>661</v>
      </c>
      <c r="E7" s="1025" t="s">
        <v>668</v>
      </c>
      <c r="F7" s="1026">
        <v>45328</v>
      </c>
      <c r="G7" s="1026">
        <v>45355</v>
      </c>
      <c r="H7" s="1027" t="s">
        <v>663</v>
      </c>
    </row>
    <row r="8" spans="1:8">
      <c r="A8" s="1018">
        <v>7</v>
      </c>
      <c r="B8" s="1019" t="s">
        <v>58</v>
      </c>
      <c r="C8" s="1020" t="s">
        <v>660</v>
      </c>
      <c r="D8" s="1020" t="s">
        <v>661</v>
      </c>
      <c r="E8" s="1020" t="s">
        <v>669</v>
      </c>
      <c r="F8" s="1021">
        <v>45328</v>
      </c>
      <c r="G8" s="1021">
        <v>45355</v>
      </c>
      <c r="H8" s="1022" t="s">
        <v>663</v>
      </c>
    </row>
    <row r="9" spans="1:8" ht="26">
      <c r="A9" s="1023">
        <v>8</v>
      </c>
      <c r="B9" s="1024" t="s">
        <v>58</v>
      </c>
      <c r="C9" s="1025" t="s">
        <v>660</v>
      </c>
      <c r="D9" s="1025" t="s">
        <v>661</v>
      </c>
      <c r="E9" s="1025" t="s">
        <v>670</v>
      </c>
      <c r="F9" s="1026">
        <v>45355</v>
      </c>
      <c r="G9" s="1026">
        <v>45328</v>
      </c>
      <c r="H9" s="1027" t="s">
        <v>663</v>
      </c>
    </row>
    <row r="10" spans="1:8">
      <c r="A10" s="1018">
        <v>9</v>
      </c>
      <c r="B10" s="1019" t="s">
        <v>58</v>
      </c>
      <c r="C10" s="1020" t="s">
        <v>660</v>
      </c>
      <c r="D10" s="1020" t="s">
        <v>661</v>
      </c>
      <c r="E10" s="1020" t="s">
        <v>671</v>
      </c>
      <c r="F10" s="1021">
        <v>45355</v>
      </c>
      <c r="G10" s="1021">
        <v>45328</v>
      </c>
      <c r="H10" s="1022" t="s">
        <v>663</v>
      </c>
    </row>
    <row r="11" spans="1:8">
      <c r="A11" s="1023">
        <v>10</v>
      </c>
      <c r="B11" s="1024" t="s">
        <v>58</v>
      </c>
      <c r="C11" s="1025" t="s">
        <v>660</v>
      </c>
      <c r="D11" s="1025" t="s">
        <v>661</v>
      </c>
      <c r="E11" s="1025" t="s">
        <v>672</v>
      </c>
      <c r="F11" s="1026">
        <v>45426</v>
      </c>
      <c r="G11" s="1026">
        <v>45518</v>
      </c>
      <c r="H11" s="1027" t="s">
        <v>663</v>
      </c>
    </row>
    <row r="12" spans="1:8">
      <c r="A12" s="1018">
        <v>11</v>
      </c>
      <c r="B12" s="1019" t="s">
        <v>58</v>
      </c>
      <c r="C12" s="1020" t="s">
        <v>660</v>
      </c>
      <c r="D12" s="1020" t="s">
        <v>661</v>
      </c>
      <c r="E12" s="1020" t="s">
        <v>673</v>
      </c>
      <c r="F12" s="1021">
        <v>45426</v>
      </c>
      <c r="G12" s="1021">
        <v>45518</v>
      </c>
      <c r="H12" s="1022" t="s">
        <v>663</v>
      </c>
    </row>
    <row r="13" spans="1:8">
      <c r="A13" s="1023">
        <v>12</v>
      </c>
      <c r="B13" s="1024" t="s">
        <v>58</v>
      </c>
      <c r="C13" s="1025" t="s">
        <v>660</v>
      </c>
      <c r="D13" s="1025" t="s">
        <v>661</v>
      </c>
      <c r="E13" s="1025" t="s">
        <v>674</v>
      </c>
      <c r="F13" s="1026">
        <v>45328</v>
      </c>
      <c r="G13" s="1026">
        <v>45328</v>
      </c>
      <c r="H13" s="1027" t="s">
        <v>663</v>
      </c>
    </row>
    <row r="14" spans="1:8">
      <c r="A14" s="1018">
        <v>13</v>
      </c>
      <c r="B14" s="1019" t="s">
        <v>58</v>
      </c>
      <c r="C14" s="1020" t="s">
        <v>660</v>
      </c>
      <c r="D14" s="1020" t="s">
        <v>661</v>
      </c>
      <c r="E14" s="1020" t="s">
        <v>675</v>
      </c>
      <c r="F14" s="1021">
        <v>45328</v>
      </c>
      <c r="G14" s="1021">
        <v>45328</v>
      </c>
      <c r="H14" s="1022" t="s">
        <v>663</v>
      </c>
    </row>
    <row r="15" spans="1:8">
      <c r="A15" s="1023">
        <v>14</v>
      </c>
      <c r="B15" s="1024" t="s">
        <v>58</v>
      </c>
      <c r="C15" s="1025" t="s">
        <v>660</v>
      </c>
      <c r="D15" s="1025" t="s">
        <v>661</v>
      </c>
      <c r="E15" s="1025" t="s">
        <v>676</v>
      </c>
      <c r="F15" s="1026">
        <v>45589</v>
      </c>
      <c r="G15" s="1026">
        <v>45518</v>
      </c>
      <c r="H15" s="1027" t="s">
        <v>663</v>
      </c>
    </row>
    <row r="16" spans="1:8">
      <c r="A16" s="1018">
        <v>15</v>
      </c>
      <c r="B16" s="1019" t="s">
        <v>58</v>
      </c>
      <c r="C16" s="1020" t="s">
        <v>660</v>
      </c>
      <c r="D16" s="1020" t="s">
        <v>661</v>
      </c>
      <c r="E16" s="1020" t="s">
        <v>677</v>
      </c>
      <c r="F16" s="1021">
        <v>45589</v>
      </c>
      <c r="G16" s="1021">
        <v>45518</v>
      </c>
      <c r="H16" s="1022" t="s">
        <v>663</v>
      </c>
    </row>
    <row r="17" spans="1:8">
      <c r="A17" s="1023">
        <v>16</v>
      </c>
      <c r="B17" s="1024" t="s">
        <v>58</v>
      </c>
      <c r="C17" s="1025" t="s">
        <v>660</v>
      </c>
      <c r="D17" s="1025" t="s">
        <v>661</v>
      </c>
      <c r="E17" s="1025" t="s">
        <v>678</v>
      </c>
      <c r="F17" s="1026">
        <v>45589</v>
      </c>
      <c r="G17" s="1026">
        <v>45518</v>
      </c>
      <c r="H17" s="1027" t="s">
        <v>663</v>
      </c>
    </row>
    <row r="18" spans="1:8">
      <c r="A18" s="1018">
        <v>17</v>
      </c>
      <c r="B18" s="1019" t="s">
        <v>58</v>
      </c>
      <c r="C18" s="1020" t="s">
        <v>660</v>
      </c>
      <c r="D18" s="1020" t="s">
        <v>661</v>
      </c>
      <c r="E18" s="1020" t="s">
        <v>679</v>
      </c>
      <c r="F18" s="1021">
        <v>45589</v>
      </c>
      <c r="G18" s="1021">
        <v>45518</v>
      </c>
      <c r="H18" s="1022" t="s">
        <v>663</v>
      </c>
    </row>
    <row r="19" spans="1:8">
      <c r="A19" s="1023">
        <v>18</v>
      </c>
      <c r="B19" s="1024" t="s">
        <v>58</v>
      </c>
      <c r="C19" s="1025" t="s">
        <v>660</v>
      </c>
      <c r="D19" s="1025" t="s">
        <v>661</v>
      </c>
      <c r="E19" s="1025" t="s">
        <v>680</v>
      </c>
      <c r="F19" s="1026">
        <v>45589</v>
      </c>
      <c r="G19" s="1026">
        <v>45518</v>
      </c>
      <c r="H19" s="1027" t="s">
        <v>663</v>
      </c>
    </row>
    <row r="20" spans="1:8">
      <c r="A20" s="1018">
        <v>19</v>
      </c>
      <c r="B20" s="1019" t="s">
        <v>58</v>
      </c>
      <c r="C20" s="1020" t="s">
        <v>660</v>
      </c>
      <c r="D20" s="1020" t="s">
        <v>661</v>
      </c>
      <c r="E20" s="1020" t="s">
        <v>681</v>
      </c>
      <c r="F20" s="1021">
        <v>45589</v>
      </c>
      <c r="G20" s="1021">
        <v>45518</v>
      </c>
      <c r="H20" s="1022" t="s">
        <v>663</v>
      </c>
    </row>
    <row r="21" spans="1:8">
      <c r="A21" s="1023">
        <v>20</v>
      </c>
      <c r="B21" s="1024" t="s">
        <v>58</v>
      </c>
      <c r="C21" s="1025" t="s">
        <v>660</v>
      </c>
      <c r="D21" s="1025" t="s">
        <v>661</v>
      </c>
      <c r="E21" s="1025" t="s">
        <v>682</v>
      </c>
      <c r="F21" s="1026">
        <v>45589</v>
      </c>
      <c r="G21" s="1026">
        <v>45518</v>
      </c>
      <c r="H21" s="1027" t="s">
        <v>663</v>
      </c>
    </row>
    <row r="22" spans="1:8">
      <c r="A22" s="1018">
        <v>21</v>
      </c>
      <c r="B22" s="1019" t="s">
        <v>58</v>
      </c>
      <c r="C22" s="1020" t="s">
        <v>660</v>
      </c>
      <c r="D22" s="1020" t="s">
        <v>661</v>
      </c>
      <c r="E22" s="1020" t="s">
        <v>683</v>
      </c>
      <c r="F22" s="1021">
        <v>45589</v>
      </c>
      <c r="G22" s="1021">
        <v>45556</v>
      </c>
      <c r="H22" s="1022" t="s">
        <v>663</v>
      </c>
    </row>
    <row r="23" spans="1:8">
      <c r="A23" s="1023">
        <v>22</v>
      </c>
      <c r="B23" s="1024" t="s">
        <v>58</v>
      </c>
      <c r="C23" s="1025" t="s">
        <v>660</v>
      </c>
      <c r="D23" s="1025" t="s">
        <v>661</v>
      </c>
      <c r="E23" s="1025" t="s">
        <v>684</v>
      </c>
      <c r="F23" s="1026">
        <v>45589</v>
      </c>
      <c r="G23" s="1026">
        <v>45556</v>
      </c>
      <c r="H23" s="1027" t="s">
        <v>663</v>
      </c>
    </row>
    <row r="24" spans="1:8">
      <c r="A24" s="1018">
        <v>23</v>
      </c>
      <c r="B24" s="1019" t="s">
        <v>58</v>
      </c>
      <c r="C24" s="1020" t="s">
        <v>660</v>
      </c>
      <c r="D24" s="1020" t="s">
        <v>661</v>
      </c>
      <c r="E24" s="1020" t="s">
        <v>685</v>
      </c>
      <c r="F24" s="1021">
        <v>45589</v>
      </c>
      <c r="G24" s="1021">
        <v>45520</v>
      </c>
      <c r="H24" s="1022" t="s">
        <v>663</v>
      </c>
    </row>
    <row r="25" spans="1:8">
      <c r="A25" s="1023">
        <v>24</v>
      </c>
      <c r="B25" s="1024" t="s">
        <v>58</v>
      </c>
      <c r="C25" s="1025" t="s">
        <v>660</v>
      </c>
      <c r="D25" s="1025" t="s">
        <v>661</v>
      </c>
      <c r="E25" s="1025" t="s">
        <v>686</v>
      </c>
      <c r="F25" s="1026">
        <v>45589</v>
      </c>
      <c r="G25" s="1026">
        <v>45520</v>
      </c>
      <c r="H25" s="1027" t="s">
        <v>663</v>
      </c>
    </row>
    <row r="26" spans="1:8">
      <c r="A26" s="1018">
        <v>25</v>
      </c>
      <c r="B26" s="1019" t="s">
        <v>58</v>
      </c>
      <c r="C26" s="1020" t="s">
        <v>660</v>
      </c>
      <c r="D26" s="1020" t="s">
        <v>661</v>
      </c>
      <c r="E26" s="1020" t="s">
        <v>687</v>
      </c>
      <c r="F26" s="1021">
        <v>45589</v>
      </c>
      <c r="G26" s="1021">
        <v>45540</v>
      </c>
      <c r="H26" s="1022" t="s">
        <v>663</v>
      </c>
    </row>
    <row r="27" spans="1:8">
      <c r="A27" s="1023">
        <v>26</v>
      </c>
      <c r="B27" s="1024" t="s">
        <v>58</v>
      </c>
      <c r="C27" s="1025" t="s">
        <v>660</v>
      </c>
      <c r="D27" s="1025" t="s">
        <v>661</v>
      </c>
      <c r="E27" s="1025" t="s">
        <v>688</v>
      </c>
      <c r="F27" s="1026">
        <v>45589</v>
      </c>
      <c r="G27" s="1026">
        <v>45540</v>
      </c>
      <c r="H27" s="1027" t="s">
        <v>663</v>
      </c>
    </row>
    <row r="28" spans="1:8">
      <c r="A28" s="1018">
        <v>27</v>
      </c>
      <c r="B28" s="1019" t="s">
        <v>58</v>
      </c>
      <c r="C28" s="1020" t="s">
        <v>660</v>
      </c>
      <c r="D28" s="1020" t="s">
        <v>661</v>
      </c>
      <c r="E28" s="1020" t="s">
        <v>689</v>
      </c>
      <c r="F28" s="1021">
        <v>45589</v>
      </c>
      <c r="G28" s="1021">
        <v>45553</v>
      </c>
      <c r="H28" s="1022" t="s">
        <v>663</v>
      </c>
    </row>
    <row r="29" spans="1:8" ht="26">
      <c r="A29" s="1023">
        <v>28</v>
      </c>
      <c r="B29" s="1024" t="s">
        <v>58</v>
      </c>
      <c r="C29" s="1025" t="s">
        <v>660</v>
      </c>
      <c r="D29" s="1025" t="s">
        <v>661</v>
      </c>
      <c r="E29" s="1025" t="s">
        <v>690</v>
      </c>
      <c r="F29" s="1026">
        <v>45589</v>
      </c>
      <c r="G29" s="1026">
        <v>45451</v>
      </c>
      <c r="H29" s="1027" t="s">
        <v>663</v>
      </c>
    </row>
    <row r="30" spans="1:8" ht="26">
      <c r="A30" s="1018">
        <v>29</v>
      </c>
      <c r="B30" s="1019" t="s">
        <v>58</v>
      </c>
      <c r="C30" s="1020" t="s">
        <v>660</v>
      </c>
      <c r="D30" s="1020" t="s">
        <v>661</v>
      </c>
      <c r="E30" s="1020" t="s">
        <v>691</v>
      </c>
      <c r="F30" s="1021">
        <v>45589</v>
      </c>
      <c r="G30" s="1021">
        <v>45451</v>
      </c>
      <c r="H30" s="1022" t="s">
        <v>663</v>
      </c>
    </row>
    <row r="31" spans="1:8">
      <c r="A31" s="1023">
        <v>30</v>
      </c>
      <c r="B31" s="1024" t="s">
        <v>58</v>
      </c>
      <c r="C31" s="1025" t="s">
        <v>660</v>
      </c>
      <c r="D31" s="1025" t="s">
        <v>692</v>
      </c>
      <c r="E31" s="1025" t="s">
        <v>693</v>
      </c>
      <c r="F31" s="1026">
        <v>45344</v>
      </c>
      <c r="G31" s="1026">
        <v>45344</v>
      </c>
      <c r="H31" s="1027" t="s">
        <v>663</v>
      </c>
    </row>
    <row r="32" spans="1:8">
      <c r="A32" s="1018">
        <v>31</v>
      </c>
      <c r="B32" s="1019" t="s">
        <v>58</v>
      </c>
      <c r="C32" s="1020" t="s">
        <v>660</v>
      </c>
      <c r="D32" s="1020" t="s">
        <v>692</v>
      </c>
      <c r="E32" s="1020" t="s">
        <v>694</v>
      </c>
      <c r="F32" s="1021">
        <v>45344</v>
      </c>
      <c r="G32" s="1021">
        <v>45344</v>
      </c>
      <c r="H32" s="1022" t="s">
        <v>663</v>
      </c>
    </row>
    <row r="33" spans="1:8">
      <c r="A33" s="1023">
        <v>32</v>
      </c>
      <c r="B33" s="1024" t="s">
        <v>58</v>
      </c>
      <c r="C33" s="1025" t="s">
        <v>660</v>
      </c>
      <c r="D33" s="1025" t="s">
        <v>692</v>
      </c>
      <c r="E33" s="1025" t="s">
        <v>695</v>
      </c>
      <c r="F33" s="1026">
        <v>45344</v>
      </c>
      <c r="G33" s="1026">
        <v>45344</v>
      </c>
      <c r="H33" s="1027" t="s">
        <v>663</v>
      </c>
    </row>
    <row r="34" spans="1:8" ht="26">
      <c r="A34" s="1018">
        <v>33</v>
      </c>
      <c r="B34" s="1019" t="s">
        <v>58</v>
      </c>
      <c r="C34" s="1020" t="s">
        <v>660</v>
      </c>
      <c r="D34" s="1020" t="s">
        <v>692</v>
      </c>
      <c r="E34" s="1020" t="s">
        <v>696</v>
      </c>
      <c r="F34" s="1021">
        <v>45344</v>
      </c>
      <c r="G34" s="1021">
        <v>45344</v>
      </c>
      <c r="H34" s="1022" t="s">
        <v>663</v>
      </c>
    </row>
    <row r="35" spans="1:8">
      <c r="A35" s="1023">
        <v>34</v>
      </c>
      <c r="B35" s="1024" t="s">
        <v>58</v>
      </c>
      <c r="C35" s="1025" t="s">
        <v>660</v>
      </c>
      <c r="D35" s="1025" t="s">
        <v>692</v>
      </c>
      <c r="E35" s="1025" t="s">
        <v>697</v>
      </c>
      <c r="F35" s="1026">
        <v>45344</v>
      </c>
      <c r="G35" s="1026">
        <v>45344</v>
      </c>
      <c r="H35" s="1027" t="s">
        <v>663</v>
      </c>
    </row>
    <row r="36" spans="1:8">
      <c r="A36" s="1018">
        <v>35</v>
      </c>
      <c r="B36" s="1019" t="s">
        <v>58</v>
      </c>
      <c r="C36" s="1020" t="s">
        <v>660</v>
      </c>
      <c r="D36" s="1020" t="s">
        <v>692</v>
      </c>
      <c r="E36" s="1020" t="s">
        <v>698</v>
      </c>
      <c r="F36" s="1021">
        <v>45344</v>
      </c>
      <c r="G36" s="1021">
        <v>45344</v>
      </c>
      <c r="H36" s="1022" t="s">
        <v>663</v>
      </c>
    </row>
    <row r="37" spans="1:8">
      <c r="A37" s="1023">
        <v>36</v>
      </c>
      <c r="B37" s="1024" t="s">
        <v>58</v>
      </c>
      <c r="C37" s="1025" t="s">
        <v>660</v>
      </c>
      <c r="D37" s="1025" t="s">
        <v>692</v>
      </c>
      <c r="E37" s="1025" t="s">
        <v>699</v>
      </c>
      <c r="F37" s="1026">
        <v>45344</v>
      </c>
      <c r="G37" s="1026">
        <v>45344</v>
      </c>
      <c r="H37" s="1027" t="s">
        <v>663</v>
      </c>
    </row>
    <row r="38" spans="1:8">
      <c r="A38" s="1018">
        <v>37</v>
      </c>
      <c r="B38" s="1019" t="s">
        <v>58</v>
      </c>
      <c r="C38" s="1020" t="s">
        <v>660</v>
      </c>
      <c r="D38" s="1020" t="s">
        <v>692</v>
      </c>
      <c r="E38" s="1020" t="s">
        <v>700</v>
      </c>
      <c r="F38" s="1021">
        <v>45423</v>
      </c>
      <c r="G38" s="1021"/>
      <c r="H38" s="1022" t="s">
        <v>701</v>
      </c>
    </row>
    <row r="39" spans="1:8">
      <c r="A39" s="1023">
        <v>38</v>
      </c>
      <c r="B39" s="1024" t="s">
        <v>58</v>
      </c>
      <c r="C39" s="1025" t="s">
        <v>660</v>
      </c>
      <c r="D39" s="1025" t="s">
        <v>692</v>
      </c>
      <c r="E39" s="1025" t="s">
        <v>702</v>
      </c>
      <c r="F39" s="1026">
        <v>45423</v>
      </c>
      <c r="G39" s="1026"/>
      <c r="H39" s="1027" t="s">
        <v>701</v>
      </c>
    </row>
    <row r="40" spans="1:8">
      <c r="A40" s="1018">
        <v>39</v>
      </c>
      <c r="B40" s="1019" t="s">
        <v>58</v>
      </c>
      <c r="C40" s="1020" t="s">
        <v>660</v>
      </c>
      <c r="D40" s="1020" t="s">
        <v>692</v>
      </c>
      <c r="E40" s="1020" t="s">
        <v>703</v>
      </c>
      <c r="F40" s="1021">
        <v>45423</v>
      </c>
      <c r="G40" s="1021"/>
      <c r="H40" s="1022" t="s">
        <v>701</v>
      </c>
    </row>
    <row r="41" spans="1:8">
      <c r="A41" s="1023">
        <v>40</v>
      </c>
      <c r="B41" s="1024" t="s">
        <v>58</v>
      </c>
      <c r="C41" s="1025" t="s">
        <v>660</v>
      </c>
      <c r="D41" s="1025" t="s">
        <v>692</v>
      </c>
      <c r="E41" s="1025" t="s">
        <v>704</v>
      </c>
      <c r="F41" s="1026">
        <v>45423</v>
      </c>
      <c r="G41" s="1026"/>
      <c r="H41" s="1027" t="s">
        <v>701</v>
      </c>
    </row>
    <row r="42" spans="1:8">
      <c r="A42" s="1018">
        <v>41</v>
      </c>
      <c r="B42" s="1019" t="s">
        <v>58</v>
      </c>
      <c r="C42" s="1020" t="s">
        <v>660</v>
      </c>
      <c r="D42" s="1020" t="s">
        <v>692</v>
      </c>
      <c r="E42" s="1020" t="s">
        <v>705</v>
      </c>
      <c r="F42" s="1021">
        <v>45423</v>
      </c>
      <c r="G42" s="1021"/>
      <c r="H42" s="1022" t="s">
        <v>701</v>
      </c>
    </row>
    <row r="43" spans="1:8">
      <c r="A43" s="1023">
        <v>42</v>
      </c>
      <c r="B43" s="1024" t="s">
        <v>58</v>
      </c>
      <c r="C43" s="1025" t="s">
        <v>660</v>
      </c>
      <c r="D43" s="1025" t="s">
        <v>692</v>
      </c>
      <c r="E43" s="1025" t="s">
        <v>706</v>
      </c>
      <c r="F43" s="1026">
        <v>45344</v>
      </c>
      <c r="G43" s="1026">
        <v>45344</v>
      </c>
      <c r="H43" s="1027" t="s">
        <v>663</v>
      </c>
    </row>
    <row r="44" spans="1:8">
      <c r="A44" s="1018">
        <v>43</v>
      </c>
      <c r="B44" s="1019" t="s">
        <v>58</v>
      </c>
      <c r="C44" s="1020" t="s">
        <v>660</v>
      </c>
      <c r="D44" s="1020" t="s">
        <v>692</v>
      </c>
      <c r="E44" s="1020" t="s">
        <v>707</v>
      </c>
      <c r="F44" s="1021">
        <v>45344</v>
      </c>
      <c r="G44" s="1021">
        <v>45344</v>
      </c>
      <c r="H44" s="1022" t="s">
        <v>663</v>
      </c>
    </row>
    <row r="45" spans="1:8">
      <c r="A45" s="1023">
        <v>44</v>
      </c>
      <c r="B45" s="1024" t="s">
        <v>58</v>
      </c>
      <c r="C45" s="1025" t="s">
        <v>660</v>
      </c>
      <c r="D45" s="1025" t="s">
        <v>692</v>
      </c>
      <c r="E45" s="1025" t="s">
        <v>708</v>
      </c>
      <c r="F45" s="1026">
        <v>45344</v>
      </c>
      <c r="G45" s="1026">
        <v>45344</v>
      </c>
      <c r="H45" s="1027" t="s">
        <v>663</v>
      </c>
    </row>
    <row r="46" spans="1:8">
      <c r="A46" s="1018">
        <v>45</v>
      </c>
      <c r="B46" s="1019" t="s">
        <v>58</v>
      </c>
      <c r="C46" s="1020" t="s">
        <v>660</v>
      </c>
      <c r="D46" s="1020" t="s">
        <v>692</v>
      </c>
      <c r="E46" s="1020" t="s">
        <v>709</v>
      </c>
      <c r="F46" s="1021">
        <v>45344</v>
      </c>
      <c r="G46" s="1021">
        <v>45344</v>
      </c>
      <c r="H46" s="1022" t="s">
        <v>663</v>
      </c>
    </row>
    <row r="47" spans="1:8">
      <c r="A47" s="1023">
        <v>46</v>
      </c>
      <c r="B47" s="1024" t="s">
        <v>58</v>
      </c>
      <c r="C47" s="1025" t="s">
        <v>660</v>
      </c>
      <c r="D47" s="1025" t="s">
        <v>692</v>
      </c>
      <c r="E47" s="1025" t="s">
        <v>710</v>
      </c>
      <c r="F47" s="1026">
        <v>45344</v>
      </c>
      <c r="G47" s="1026">
        <v>45344</v>
      </c>
      <c r="H47" s="1027" t="s">
        <v>663</v>
      </c>
    </row>
    <row r="48" spans="1:8">
      <c r="A48" s="1018">
        <v>47</v>
      </c>
      <c r="B48" s="1019" t="s">
        <v>58</v>
      </c>
      <c r="C48" s="1020" t="s">
        <v>660</v>
      </c>
      <c r="D48" s="1020" t="s">
        <v>692</v>
      </c>
      <c r="E48" s="1020" t="s">
        <v>711</v>
      </c>
      <c r="F48" s="1021">
        <v>45344</v>
      </c>
      <c r="G48" s="1021">
        <v>45344</v>
      </c>
      <c r="H48" s="1022" t="s">
        <v>663</v>
      </c>
    </row>
    <row r="49" spans="1:8">
      <c r="A49" s="1023">
        <v>48</v>
      </c>
      <c r="B49" s="1024" t="s">
        <v>58</v>
      </c>
      <c r="C49" s="1025" t="s">
        <v>660</v>
      </c>
      <c r="D49" s="1025" t="s">
        <v>692</v>
      </c>
      <c r="E49" s="1025" t="s">
        <v>712</v>
      </c>
      <c r="F49" s="1026">
        <v>45344</v>
      </c>
      <c r="G49" s="1026">
        <v>45344</v>
      </c>
      <c r="H49" s="1027" t="s">
        <v>663</v>
      </c>
    </row>
    <row r="50" spans="1:8">
      <c r="A50" s="1018">
        <v>49</v>
      </c>
      <c r="B50" s="1019" t="s">
        <v>58</v>
      </c>
      <c r="C50" s="1020" t="s">
        <v>660</v>
      </c>
      <c r="D50" s="1020" t="s">
        <v>692</v>
      </c>
      <c r="E50" s="1020" t="s">
        <v>713</v>
      </c>
      <c r="F50" s="1021">
        <v>45344</v>
      </c>
      <c r="G50" s="1021">
        <v>45344</v>
      </c>
      <c r="H50" s="1022" t="s">
        <v>663</v>
      </c>
    </row>
    <row r="51" spans="1:8">
      <c r="A51" s="1023">
        <v>50</v>
      </c>
      <c r="B51" s="1024" t="s">
        <v>58</v>
      </c>
      <c r="C51" s="1025" t="s">
        <v>660</v>
      </c>
      <c r="D51" s="1025" t="s">
        <v>692</v>
      </c>
      <c r="E51" s="1025" t="s">
        <v>714</v>
      </c>
      <c r="F51" s="1026">
        <v>45423</v>
      </c>
      <c r="G51" s="1026">
        <v>45510</v>
      </c>
      <c r="H51" s="1027" t="s">
        <v>663</v>
      </c>
    </row>
    <row r="52" spans="1:8">
      <c r="A52" s="1018">
        <v>51</v>
      </c>
      <c r="B52" s="1019" t="s">
        <v>58</v>
      </c>
      <c r="C52" s="1020" t="s">
        <v>660</v>
      </c>
      <c r="D52" s="1020" t="s">
        <v>692</v>
      </c>
      <c r="E52" s="1020" t="s">
        <v>715</v>
      </c>
      <c r="F52" s="1021">
        <v>45496</v>
      </c>
      <c r="G52" s="1021">
        <v>45513</v>
      </c>
      <c r="H52" s="1022" t="s">
        <v>663</v>
      </c>
    </row>
    <row r="53" spans="1:8">
      <c r="A53" s="1023">
        <v>52</v>
      </c>
      <c r="B53" s="1024" t="s">
        <v>58</v>
      </c>
      <c r="C53" s="1025" t="s">
        <v>660</v>
      </c>
      <c r="D53" s="1025" t="s">
        <v>692</v>
      </c>
      <c r="E53" s="1025" t="s">
        <v>716</v>
      </c>
      <c r="F53" s="1026">
        <v>45496</v>
      </c>
      <c r="G53" s="1026">
        <v>45519</v>
      </c>
      <c r="H53" s="1027" t="s">
        <v>663</v>
      </c>
    </row>
    <row r="54" spans="1:8">
      <c r="A54" s="1018">
        <v>53</v>
      </c>
      <c r="B54" s="1019" t="s">
        <v>58</v>
      </c>
      <c r="C54" s="1020" t="s">
        <v>660</v>
      </c>
      <c r="D54" s="1020" t="s">
        <v>692</v>
      </c>
      <c r="E54" s="1020" t="s">
        <v>717</v>
      </c>
      <c r="F54" s="1021">
        <v>45496</v>
      </c>
      <c r="G54" s="1021"/>
      <c r="H54" s="1022" t="s">
        <v>701</v>
      </c>
    </row>
    <row r="55" spans="1:8">
      <c r="A55" s="1023">
        <v>54</v>
      </c>
      <c r="B55" s="1024" t="s">
        <v>58</v>
      </c>
      <c r="C55" s="1025" t="s">
        <v>660</v>
      </c>
      <c r="D55" s="1025" t="s">
        <v>692</v>
      </c>
      <c r="E55" s="1025" t="s">
        <v>718</v>
      </c>
      <c r="F55" s="1026">
        <v>45496</v>
      </c>
      <c r="G55" s="1026"/>
      <c r="H55" s="1027" t="s">
        <v>701</v>
      </c>
    </row>
    <row r="56" spans="1:8">
      <c r="A56" s="1018">
        <v>55</v>
      </c>
      <c r="B56" s="1019" t="s">
        <v>58</v>
      </c>
      <c r="C56" s="1020" t="s">
        <v>660</v>
      </c>
      <c r="D56" s="1020" t="s">
        <v>692</v>
      </c>
      <c r="E56" s="1020" t="s">
        <v>719</v>
      </c>
      <c r="F56" s="1021">
        <v>45650</v>
      </c>
      <c r="G56" s="1021"/>
      <c r="H56" s="1022" t="s">
        <v>701</v>
      </c>
    </row>
    <row r="57" spans="1:8">
      <c r="A57" s="1023">
        <v>56</v>
      </c>
      <c r="B57" s="1024" t="s">
        <v>58</v>
      </c>
      <c r="C57" s="1025" t="s">
        <v>660</v>
      </c>
      <c r="D57" s="1025" t="s">
        <v>692</v>
      </c>
      <c r="E57" s="1025" t="s">
        <v>720</v>
      </c>
      <c r="F57" s="1026">
        <v>45650</v>
      </c>
      <c r="G57" s="1026"/>
      <c r="H57" s="1027" t="s">
        <v>701</v>
      </c>
    </row>
    <row r="58" spans="1:8">
      <c r="A58" s="1018">
        <v>57</v>
      </c>
      <c r="B58" s="1019" t="s">
        <v>58</v>
      </c>
      <c r="C58" s="1020" t="s">
        <v>660</v>
      </c>
      <c r="D58" s="1020" t="s">
        <v>692</v>
      </c>
      <c r="E58" s="1020" t="s">
        <v>721</v>
      </c>
      <c r="F58" s="1021">
        <v>45650</v>
      </c>
      <c r="G58" s="1021"/>
      <c r="H58" s="1022" t="s">
        <v>701</v>
      </c>
    </row>
    <row r="59" spans="1:8">
      <c r="A59" s="1023">
        <v>58</v>
      </c>
      <c r="B59" s="1024" t="s">
        <v>58</v>
      </c>
      <c r="C59" s="1025" t="s">
        <v>660</v>
      </c>
      <c r="D59" s="1025" t="s">
        <v>692</v>
      </c>
      <c r="E59" s="1025" t="s">
        <v>722</v>
      </c>
      <c r="F59" s="1026">
        <v>45650</v>
      </c>
      <c r="G59" s="1026"/>
      <c r="H59" s="1027" t="s">
        <v>701</v>
      </c>
    </row>
    <row r="60" spans="1:8">
      <c r="A60" s="1018">
        <v>59</v>
      </c>
      <c r="B60" s="1019" t="s">
        <v>58</v>
      </c>
      <c r="C60" s="1020" t="s">
        <v>660</v>
      </c>
      <c r="D60" s="1020" t="s">
        <v>692</v>
      </c>
      <c r="E60" s="1020" t="s">
        <v>723</v>
      </c>
      <c r="F60" s="1021">
        <v>45650</v>
      </c>
      <c r="G60" s="1021"/>
      <c r="H60" s="1022" t="s">
        <v>701</v>
      </c>
    </row>
    <row r="61" spans="1:8">
      <c r="A61" s="1023">
        <v>60</v>
      </c>
      <c r="B61" s="1024" t="s">
        <v>58</v>
      </c>
      <c r="C61" s="1025" t="s">
        <v>660</v>
      </c>
      <c r="D61" s="1025" t="s">
        <v>692</v>
      </c>
      <c r="E61" s="1025" t="s">
        <v>724</v>
      </c>
      <c r="F61" s="1026">
        <v>45650</v>
      </c>
      <c r="G61" s="1026"/>
      <c r="H61" s="1027" t="s">
        <v>701</v>
      </c>
    </row>
    <row r="62" spans="1:8">
      <c r="A62" s="1018">
        <v>61</v>
      </c>
      <c r="B62" s="1019" t="s">
        <v>58</v>
      </c>
      <c r="C62" s="1020" t="s">
        <v>660</v>
      </c>
      <c r="D62" s="1020" t="s">
        <v>692</v>
      </c>
      <c r="E62" s="1020" t="s">
        <v>725</v>
      </c>
      <c r="F62" s="1021">
        <v>45650</v>
      </c>
      <c r="G62" s="1021"/>
      <c r="H62" s="1022" t="s">
        <v>701</v>
      </c>
    </row>
    <row r="63" spans="1:8">
      <c r="A63" s="1023">
        <v>62</v>
      </c>
      <c r="B63" s="1024" t="s">
        <v>58</v>
      </c>
      <c r="C63" s="1025" t="s">
        <v>660</v>
      </c>
      <c r="D63" s="1025" t="s">
        <v>692</v>
      </c>
      <c r="E63" s="1025" t="s">
        <v>726</v>
      </c>
      <c r="F63" s="1026">
        <v>45650</v>
      </c>
      <c r="G63" s="1026"/>
      <c r="H63" s="1027" t="s">
        <v>701</v>
      </c>
    </row>
    <row r="64" spans="1:8">
      <c r="A64" s="1018">
        <v>63</v>
      </c>
      <c r="B64" s="1019" t="s">
        <v>58</v>
      </c>
      <c r="C64" s="1020" t="s">
        <v>660</v>
      </c>
      <c r="D64" s="1020" t="s">
        <v>692</v>
      </c>
      <c r="E64" s="1020" t="s">
        <v>727</v>
      </c>
      <c r="F64" s="1021">
        <v>45650</v>
      </c>
      <c r="G64" s="1021"/>
      <c r="H64" s="1022" t="s">
        <v>701</v>
      </c>
    </row>
    <row r="65" spans="1:8">
      <c r="A65" s="1023">
        <v>64</v>
      </c>
      <c r="B65" s="1024" t="s">
        <v>58</v>
      </c>
      <c r="C65" s="1025" t="s">
        <v>660</v>
      </c>
      <c r="D65" s="1025" t="s">
        <v>692</v>
      </c>
      <c r="E65" s="1025" t="s">
        <v>728</v>
      </c>
      <c r="F65" s="1026">
        <v>45650</v>
      </c>
      <c r="G65" s="1026"/>
      <c r="H65" s="1027" t="s">
        <v>701</v>
      </c>
    </row>
    <row r="66" spans="1:8">
      <c r="A66" s="1018">
        <v>65</v>
      </c>
      <c r="B66" s="1019" t="s">
        <v>58</v>
      </c>
      <c r="C66" s="1020" t="s">
        <v>660</v>
      </c>
      <c r="D66" s="1020" t="s">
        <v>692</v>
      </c>
      <c r="E66" s="1020" t="s">
        <v>729</v>
      </c>
      <c r="F66" s="1021">
        <v>45650</v>
      </c>
      <c r="G66" s="1021"/>
      <c r="H66" s="1022" t="s">
        <v>701</v>
      </c>
    </row>
    <row r="67" spans="1:8">
      <c r="A67" s="1023">
        <v>66</v>
      </c>
      <c r="B67" s="1024" t="s">
        <v>58</v>
      </c>
      <c r="C67" s="1025" t="s">
        <v>660</v>
      </c>
      <c r="D67" s="1025" t="s">
        <v>692</v>
      </c>
      <c r="E67" s="1025" t="s">
        <v>730</v>
      </c>
      <c r="F67" s="1026">
        <v>45650</v>
      </c>
      <c r="G67" s="1026"/>
      <c r="H67" s="1027" t="s">
        <v>701</v>
      </c>
    </row>
    <row r="68" spans="1:8">
      <c r="A68" s="1018">
        <v>67</v>
      </c>
      <c r="B68" s="1019" t="s">
        <v>58</v>
      </c>
      <c r="C68" s="1020" t="s">
        <v>660</v>
      </c>
      <c r="D68" s="1020" t="s">
        <v>692</v>
      </c>
      <c r="E68" s="1020" t="s">
        <v>731</v>
      </c>
      <c r="F68" s="1021">
        <v>45466</v>
      </c>
      <c r="G68" s="1021">
        <v>45466</v>
      </c>
      <c r="H68" s="1022" t="s">
        <v>663</v>
      </c>
    </row>
    <row r="69" spans="1:8">
      <c r="A69" s="1023">
        <v>68</v>
      </c>
      <c r="B69" s="1024" t="s">
        <v>58</v>
      </c>
      <c r="C69" s="1025" t="s">
        <v>660</v>
      </c>
      <c r="D69" s="1025" t="s">
        <v>692</v>
      </c>
      <c r="E69" s="1025" t="s">
        <v>732</v>
      </c>
      <c r="F69" s="1026">
        <v>45466</v>
      </c>
      <c r="G69" s="1026">
        <v>45466</v>
      </c>
      <c r="H69" s="1027" t="s">
        <v>663</v>
      </c>
    </row>
    <row r="70" spans="1:8">
      <c r="A70" s="1018">
        <v>69</v>
      </c>
      <c r="B70" s="1019" t="s">
        <v>58</v>
      </c>
      <c r="C70" s="1020" t="s">
        <v>660</v>
      </c>
      <c r="D70" s="1020" t="s">
        <v>692</v>
      </c>
      <c r="E70" s="1020" t="s">
        <v>733</v>
      </c>
      <c r="F70" s="1021">
        <v>45466</v>
      </c>
      <c r="G70" s="1021">
        <v>45466</v>
      </c>
      <c r="H70" s="1022" t="s">
        <v>663</v>
      </c>
    </row>
    <row r="71" spans="1:8">
      <c r="A71" s="1023">
        <v>70</v>
      </c>
      <c r="B71" s="1024" t="s">
        <v>58</v>
      </c>
      <c r="C71" s="1025" t="s">
        <v>660</v>
      </c>
      <c r="D71" s="1025" t="s">
        <v>734</v>
      </c>
      <c r="E71" s="1025" t="s">
        <v>735</v>
      </c>
      <c r="F71" s="1026">
        <v>45423</v>
      </c>
      <c r="G71" s="1026">
        <v>45497</v>
      </c>
      <c r="H71" s="1027" t="s">
        <v>663</v>
      </c>
    </row>
    <row r="72" spans="1:8">
      <c r="A72" s="1018">
        <v>71</v>
      </c>
      <c r="B72" s="1019" t="s">
        <v>58</v>
      </c>
      <c r="C72" s="1020" t="s">
        <v>660</v>
      </c>
      <c r="D72" s="1020" t="s">
        <v>734</v>
      </c>
      <c r="E72" s="1020" t="s">
        <v>736</v>
      </c>
      <c r="F72" s="1021">
        <v>45423</v>
      </c>
      <c r="G72" s="1021">
        <v>45497</v>
      </c>
      <c r="H72" s="1022" t="s">
        <v>663</v>
      </c>
    </row>
    <row r="73" spans="1:8">
      <c r="A73" s="1023">
        <v>72</v>
      </c>
      <c r="B73" s="1024" t="s">
        <v>58</v>
      </c>
      <c r="C73" s="1025" t="s">
        <v>660</v>
      </c>
      <c r="D73" s="1025" t="s">
        <v>734</v>
      </c>
      <c r="E73" s="1025" t="s">
        <v>737</v>
      </c>
      <c r="F73" s="1026">
        <v>45423</v>
      </c>
      <c r="G73" s="1026">
        <v>45497</v>
      </c>
      <c r="H73" s="1027" t="s">
        <v>663</v>
      </c>
    </row>
    <row r="74" spans="1:8">
      <c r="A74" s="1018">
        <v>73</v>
      </c>
      <c r="B74" s="1019" t="s">
        <v>58</v>
      </c>
      <c r="C74" s="1020" t="s">
        <v>660</v>
      </c>
      <c r="D74" s="1020" t="s">
        <v>734</v>
      </c>
      <c r="E74" s="1020" t="s">
        <v>738</v>
      </c>
      <c r="F74" s="1021">
        <v>45423</v>
      </c>
      <c r="G74" s="1021">
        <v>45497</v>
      </c>
      <c r="H74" s="1022" t="s">
        <v>663</v>
      </c>
    </row>
    <row r="75" spans="1:8">
      <c r="A75" s="1023">
        <v>74</v>
      </c>
      <c r="B75" s="1024" t="s">
        <v>58</v>
      </c>
      <c r="C75" s="1025" t="s">
        <v>660</v>
      </c>
      <c r="D75" s="1025" t="s">
        <v>734</v>
      </c>
      <c r="E75" s="1025" t="s">
        <v>739</v>
      </c>
      <c r="F75" s="1026">
        <v>45423</v>
      </c>
      <c r="G75" s="1026">
        <v>45497</v>
      </c>
      <c r="H75" s="1027" t="s">
        <v>663</v>
      </c>
    </row>
    <row r="76" spans="1:8">
      <c r="A76" s="1018">
        <v>75</v>
      </c>
      <c r="B76" s="1019" t="s">
        <v>58</v>
      </c>
      <c r="C76" s="1020" t="s">
        <v>660</v>
      </c>
      <c r="D76" s="1020" t="s">
        <v>734</v>
      </c>
      <c r="E76" s="1020" t="s">
        <v>740</v>
      </c>
      <c r="F76" s="1021">
        <v>45423</v>
      </c>
      <c r="G76" s="1021"/>
      <c r="H76" s="1022" t="s">
        <v>701</v>
      </c>
    </row>
    <row r="77" spans="1:8">
      <c r="A77" s="1023">
        <v>76</v>
      </c>
      <c r="B77" s="1024" t="s">
        <v>58</v>
      </c>
      <c r="C77" s="1025" t="s">
        <v>660</v>
      </c>
      <c r="D77" s="1025" t="s">
        <v>734</v>
      </c>
      <c r="E77" s="1025" t="s">
        <v>741</v>
      </c>
      <c r="F77" s="1026">
        <v>45423</v>
      </c>
      <c r="G77" s="1026">
        <v>45501</v>
      </c>
      <c r="H77" s="1027" t="s">
        <v>663</v>
      </c>
    </row>
    <row r="78" spans="1:8">
      <c r="A78" s="1018">
        <v>77</v>
      </c>
      <c r="B78" s="1019" t="s">
        <v>58</v>
      </c>
      <c r="C78" s="1020" t="s">
        <v>660</v>
      </c>
      <c r="D78" s="1020" t="s">
        <v>734</v>
      </c>
      <c r="E78" s="1020" t="s">
        <v>742</v>
      </c>
      <c r="F78" s="1021">
        <v>45423</v>
      </c>
      <c r="G78" s="1021">
        <v>45563</v>
      </c>
      <c r="H78" s="1022" t="s">
        <v>663</v>
      </c>
    </row>
    <row r="79" spans="1:8">
      <c r="A79" s="1023">
        <v>78</v>
      </c>
      <c r="B79" s="1024" t="s">
        <v>58</v>
      </c>
      <c r="C79" s="1025" t="s">
        <v>660</v>
      </c>
      <c r="D79" s="1025" t="s">
        <v>734</v>
      </c>
      <c r="E79" s="1025" t="s">
        <v>743</v>
      </c>
      <c r="F79" s="1026">
        <v>45423</v>
      </c>
      <c r="G79" s="1026">
        <v>45497</v>
      </c>
      <c r="H79" s="1027" t="s">
        <v>663</v>
      </c>
    </row>
    <row r="80" spans="1:8">
      <c r="A80" s="1018">
        <v>79</v>
      </c>
      <c r="B80" s="1019" t="s">
        <v>58</v>
      </c>
      <c r="C80" s="1020" t="s">
        <v>660</v>
      </c>
      <c r="D80" s="1020" t="s">
        <v>734</v>
      </c>
      <c r="E80" s="1020" t="s">
        <v>744</v>
      </c>
      <c r="F80" s="1021">
        <v>45423</v>
      </c>
      <c r="G80" s="1021">
        <v>45497</v>
      </c>
      <c r="H80" s="1022" t="s">
        <v>663</v>
      </c>
    </row>
    <row r="81" spans="1:8">
      <c r="A81" s="1023">
        <v>80</v>
      </c>
      <c r="B81" s="1024" t="s">
        <v>58</v>
      </c>
      <c r="C81" s="1025" t="s">
        <v>660</v>
      </c>
      <c r="D81" s="1025" t="s">
        <v>734</v>
      </c>
      <c r="E81" s="1025" t="s">
        <v>745</v>
      </c>
      <c r="F81" s="1026">
        <v>45423</v>
      </c>
      <c r="G81" s="1026">
        <v>45497</v>
      </c>
      <c r="H81" s="1027" t="s">
        <v>663</v>
      </c>
    </row>
    <row r="82" spans="1:8">
      <c r="A82" s="1018">
        <v>81</v>
      </c>
      <c r="B82" s="1019" t="s">
        <v>58</v>
      </c>
      <c r="C82" s="1020" t="s">
        <v>660</v>
      </c>
      <c r="D82" s="1020" t="s">
        <v>734</v>
      </c>
      <c r="E82" s="1020" t="s">
        <v>746</v>
      </c>
      <c r="F82" s="1021">
        <v>45423</v>
      </c>
      <c r="G82" s="1021"/>
      <c r="H82" s="1022" t="s">
        <v>701</v>
      </c>
    </row>
    <row r="83" spans="1:8">
      <c r="A83" s="1023">
        <v>82</v>
      </c>
      <c r="B83" s="1024" t="s">
        <v>58</v>
      </c>
      <c r="C83" s="1025" t="s">
        <v>660</v>
      </c>
      <c r="D83" s="1025" t="s">
        <v>734</v>
      </c>
      <c r="E83" s="1025" t="s">
        <v>747</v>
      </c>
      <c r="F83" s="1026">
        <v>45423</v>
      </c>
      <c r="G83" s="1026"/>
      <c r="H83" s="1027" t="s">
        <v>701</v>
      </c>
    </row>
    <row r="84" spans="1:8">
      <c r="A84" s="1018">
        <v>83</v>
      </c>
      <c r="B84" s="1019" t="s">
        <v>58</v>
      </c>
      <c r="C84" s="1020" t="s">
        <v>660</v>
      </c>
      <c r="D84" s="1020" t="s">
        <v>734</v>
      </c>
      <c r="E84" s="1020" t="s">
        <v>748</v>
      </c>
      <c r="F84" s="1021">
        <v>45423</v>
      </c>
      <c r="G84" s="1021">
        <v>45466</v>
      </c>
      <c r="H84" s="1022" t="s">
        <v>663</v>
      </c>
    </row>
    <row r="85" spans="1:8">
      <c r="A85" s="1023">
        <v>84</v>
      </c>
      <c r="B85" s="1024" t="s">
        <v>58</v>
      </c>
      <c r="C85" s="1025" t="s">
        <v>660</v>
      </c>
      <c r="D85" s="1025" t="s">
        <v>734</v>
      </c>
      <c r="E85" s="1025" t="s">
        <v>749</v>
      </c>
      <c r="F85" s="1026">
        <v>45423</v>
      </c>
      <c r="G85" s="1026">
        <v>45466</v>
      </c>
      <c r="H85" s="1027" t="s">
        <v>663</v>
      </c>
    </row>
    <row r="86" spans="1:8" ht="26">
      <c r="A86" s="1018">
        <v>85</v>
      </c>
      <c r="B86" s="1019" t="s">
        <v>58</v>
      </c>
      <c r="C86" s="1020" t="s">
        <v>660</v>
      </c>
      <c r="D86" s="1020" t="s">
        <v>734</v>
      </c>
      <c r="E86" s="1020" t="s">
        <v>750</v>
      </c>
      <c r="F86" s="1021">
        <v>45423</v>
      </c>
      <c r="G86" s="1021">
        <v>45466</v>
      </c>
      <c r="H86" s="1022" t="s">
        <v>663</v>
      </c>
    </row>
    <row r="87" spans="1:8" ht="26">
      <c r="A87" s="1023">
        <v>86</v>
      </c>
      <c r="B87" s="1024" t="s">
        <v>58</v>
      </c>
      <c r="C87" s="1025" t="s">
        <v>660</v>
      </c>
      <c r="D87" s="1025" t="s">
        <v>734</v>
      </c>
      <c r="E87" s="1025" t="s">
        <v>751</v>
      </c>
      <c r="F87" s="1026">
        <v>45423</v>
      </c>
      <c r="G87" s="1026">
        <v>45466</v>
      </c>
      <c r="H87" s="1027" t="s">
        <v>663</v>
      </c>
    </row>
    <row r="88" spans="1:8">
      <c r="A88" s="1018">
        <v>87</v>
      </c>
      <c r="B88" s="1019" t="s">
        <v>58</v>
      </c>
      <c r="C88" s="1020" t="s">
        <v>660</v>
      </c>
      <c r="D88" s="1020" t="s">
        <v>734</v>
      </c>
      <c r="E88" s="1020" t="s">
        <v>752</v>
      </c>
      <c r="F88" s="1021">
        <v>45423</v>
      </c>
      <c r="G88" s="1021">
        <v>45466</v>
      </c>
      <c r="H88" s="1022" t="s">
        <v>663</v>
      </c>
    </row>
    <row r="89" spans="1:8">
      <c r="A89" s="1023">
        <v>88</v>
      </c>
      <c r="B89" s="1024" t="s">
        <v>58</v>
      </c>
      <c r="C89" s="1025" t="s">
        <v>660</v>
      </c>
      <c r="D89" s="1025" t="s">
        <v>734</v>
      </c>
      <c r="E89" s="1025" t="s">
        <v>753</v>
      </c>
      <c r="F89" s="1026">
        <v>45423</v>
      </c>
      <c r="G89" s="1026">
        <v>45475</v>
      </c>
      <c r="H89" s="1027" t="s">
        <v>663</v>
      </c>
    </row>
    <row r="90" spans="1:8">
      <c r="A90" s="1018">
        <v>89</v>
      </c>
      <c r="B90" s="1019" t="s">
        <v>58</v>
      </c>
      <c r="C90" s="1020" t="s">
        <v>660</v>
      </c>
      <c r="D90" s="1020" t="s">
        <v>734</v>
      </c>
      <c r="E90" s="1020" t="s">
        <v>753</v>
      </c>
      <c r="F90" s="1021">
        <v>45423</v>
      </c>
      <c r="G90" s="1021">
        <v>45475</v>
      </c>
      <c r="H90" s="1022" t="s">
        <v>663</v>
      </c>
    </row>
    <row r="91" spans="1:8">
      <c r="A91" s="1023">
        <v>90</v>
      </c>
      <c r="B91" s="1024" t="s">
        <v>58</v>
      </c>
      <c r="C91" s="1025" t="s">
        <v>660</v>
      </c>
      <c r="D91" s="1025" t="s">
        <v>734</v>
      </c>
      <c r="E91" s="1025" t="s">
        <v>753</v>
      </c>
      <c r="F91" s="1026">
        <v>45423</v>
      </c>
      <c r="G91" s="1026">
        <v>45475</v>
      </c>
      <c r="H91" s="1027" t="s">
        <v>663</v>
      </c>
    </row>
    <row r="92" spans="1:8" ht="26">
      <c r="A92" s="1018">
        <v>91</v>
      </c>
      <c r="B92" s="1019" t="s">
        <v>58</v>
      </c>
      <c r="C92" s="1020" t="s">
        <v>660</v>
      </c>
      <c r="D92" s="1020" t="s">
        <v>734</v>
      </c>
      <c r="E92" s="1020" t="s">
        <v>754</v>
      </c>
      <c r="F92" s="1021">
        <v>45423</v>
      </c>
      <c r="G92" s="1021">
        <v>45475</v>
      </c>
      <c r="H92" s="1022" t="s">
        <v>663</v>
      </c>
    </row>
    <row r="93" spans="1:8">
      <c r="A93" s="1023">
        <v>92</v>
      </c>
      <c r="B93" s="1024" t="s">
        <v>58</v>
      </c>
      <c r="C93" s="1025" t="s">
        <v>660</v>
      </c>
      <c r="D93" s="1025" t="s">
        <v>734</v>
      </c>
      <c r="E93" s="1025" t="s">
        <v>755</v>
      </c>
      <c r="F93" s="1026">
        <v>45423</v>
      </c>
      <c r="G93" s="1026">
        <v>45466</v>
      </c>
      <c r="H93" s="1027" t="s">
        <v>663</v>
      </c>
    </row>
    <row r="94" spans="1:8">
      <c r="A94" s="1018">
        <v>93</v>
      </c>
      <c r="B94" s="1019" t="s">
        <v>58</v>
      </c>
      <c r="C94" s="1020" t="s">
        <v>660</v>
      </c>
      <c r="D94" s="1020" t="s">
        <v>734</v>
      </c>
      <c r="E94" s="1020" t="s">
        <v>756</v>
      </c>
      <c r="F94" s="1021">
        <v>45423</v>
      </c>
      <c r="G94" s="1021">
        <v>45466</v>
      </c>
      <c r="H94" s="1022" t="s">
        <v>663</v>
      </c>
    </row>
    <row r="95" spans="1:8">
      <c r="A95" s="1023">
        <v>94</v>
      </c>
      <c r="B95" s="1024" t="s">
        <v>58</v>
      </c>
      <c r="C95" s="1025" t="s">
        <v>660</v>
      </c>
      <c r="D95" s="1025" t="s">
        <v>734</v>
      </c>
      <c r="E95" s="1025" t="s">
        <v>757</v>
      </c>
      <c r="F95" s="1026">
        <v>45423</v>
      </c>
      <c r="G95" s="1026">
        <v>45475</v>
      </c>
      <c r="H95" s="1027" t="s">
        <v>663</v>
      </c>
    </row>
    <row r="96" spans="1:8">
      <c r="A96" s="1018">
        <v>95</v>
      </c>
      <c r="B96" s="1019" t="s">
        <v>58</v>
      </c>
      <c r="C96" s="1020" t="s">
        <v>660</v>
      </c>
      <c r="D96" s="1020" t="s">
        <v>734</v>
      </c>
      <c r="E96" s="1020" t="s">
        <v>757</v>
      </c>
      <c r="F96" s="1021">
        <v>45423</v>
      </c>
      <c r="G96" s="1021">
        <v>45475</v>
      </c>
      <c r="H96" s="1022" t="s">
        <v>663</v>
      </c>
    </row>
    <row r="97" spans="1:8">
      <c r="A97" s="1023">
        <v>96</v>
      </c>
      <c r="B97" s="1024" t="s">
        <v>58</v>
      </c>
      <c r="C97" s="1025" t="s">
        <v>660</v>
      </c>
      <c r="D97" s="1025" t="s">
        <v>734</v>
      </c>
      <c r="E97" s="1025" t="s">
        <v>757</v>
      </c>
      <c r="F97" s="1026">
        <v>45423</v>
      </c>
      <c r="G97" s="1026">
        <v>45475</v>
      </c>
      <c r="H97" s="1027" t="s">
        <v>663</v>
      </c>
    </row>
    <row r="98" spans="1:8" ht="26">
      <c r="A98" s="1018">
        <v>97</v>
      </c>
      <c r="B98" s="1019" t="s">
        <v>58</v>
      </c>
      <c r="C98" s="1020" t="s">
        <v>660</v>
      </c>
      <c r="D98" s="1020" t="s">
        <v>734</v>
      </c>
      <c r="E98" s="1020" t="s">
        <v>758</v>
      </c>
      <c r="F98" s="1021">
        <v>45423</v>
      </c>
      <c r="G98" s="1021">
        <v>45475</v>
      </c>
      <c r="H98" s="1022" t="s">
        <v>663</v>
      </c>
    </row>
    <row r="99" spans="1:8">
      <c r="A99" s="1023">
        <v>98</v>
      </c>
      <c r="B99" s="1024" t="s">
        <v>58</v>
      </c>
      <c r="C99" s="1025" t="s">
        <v>660</v>
      </c>
      <c r="D99" s="1025" t="s">
        <v>734</v>
      </c>
      <c r="E99" s="1025" t="s">
        <v>759</v>
      </c>
      <c r="F99" s="1026">
        <v>45609</v>
      </c>
      <c r="G99" s="1026"/>
      <c r="H99" s="1027" t="s">
        <v>701</v>
      </c>
    </row>
    <row r="100" spans="1:8">
      <c r="A100" s="1018">
        <v>99</v>
      </c>
      <c r="B100" s="1019" t="s">
        <v>58</v>
      </c>
      <c r="C100" s="1020" t="s">
        <v>660</v>
      </c>
      <c r="D100" s="1020" t="s">
        <v>734</v>
      </c>
      <c r="E100" s="1020" t="s">
        <v>760</v>
      </c>
      <c r="F100" s="1021">
        <v>45423</v>
      </c>
      <c r="G100" s="1021"/>
      <c r="H100" s="1022" t="s">
        <v>701</v>
      </c>
    </row>
    <row r="101" spans="1:8">
      <c r="A101" s="1023">
        <v>100</v>
      </c>
      <c r="B101" s="1024" t="s">
        <v>58</v>
      </c>
      <c r="C101" s="1025" t="s">
        <v>660</v>
      </c>
      <c r="D101" s="1025" t="s">
        <v>734</v>
      </c>
      <c r="E101" s="1025" t="s">
        <v>761</v>
      </c>
      <c r="F101" s="1026">
        <v>45423</v>
      </c>
      <c r="G101" s="1026"/>
      <c r="H101" s="1027" t="s">
        <v>701</v>
      </c>
    </row>
    <row r="102" spans="1:8">
      <c r="A102" s="1018">
        <v>101</v>
      </c>
      <c r="B102" s="1019" t="s">
        <v>58</v>
      </c>
      <c r="C102" s="1020" t="s">
        <v>660</v>
      </c>
      <c r="D102" s="1020" t="s">
        <v>734</v>
      </c>
      <c r="E102" s="1020" t="s">
        <v>762</v>
      </c>
      <c r="F102" s="1021">
        <v>45576</v>
      </c>
      <c r="G102" s="1021"/>
      <c r="H102" s="1022" t="s">
        <v>701</v>
      </c>
    </row>
    <row r="103" spans="1:8">
      <c r="A103" s="1023">
        <v>102</v>
      </c>
      <c r="B103" s="1024" t="s">
        <v>58</v>
      </c>
      <c r="C103" s="1025" t="s">
        <v>660</v>
      </c>
      <c r="D103" s="1025" t="s">
        <v>734</v>
      </c>
      <c r="E103" s="1025" t="s">
        <v>763</v>
      </c>
      <c r="F103" s="1026">
        <v>45576</v>
      </c>
      <c r="G103" s="1026"/>
      <c r="H103" s="1027" t="s">
        <v>701</v>
      </c>
    </row>
    <row r="104" spans="1:8">
      <c r="A104" s="1018">
        <v>103</v>
      </c>
      <c r="B104" s="1019" t="s">
        <v>58</v>
      </c>
      <c r="C104" s="1020" t="s">
        <v>660</v>
      </c>
      <c r="D104" s="1020" t="s">
        <v>734</v>
      </c>
      <c r="E104" s="1020" t="s">
        <v>764</v>
      </c>
      <c r="F104" s="1021">
        <v>45576</v>
      </c>
      <c r="G104" s="1021"/>
      <c r="H104" s="1022" t="s">
        <v>701</v>
      </c>
    </row>
    <row r="105" spans="1:8">
      <c r="A105" s="1023">
        <v>104</v>
      </c>
      <c r="B105" s="1024" t="s">
        <v>58</v>
      </c>
      <c r="C105" s="1025" t="s">
        <v>660</v>
      </c>
      <c r="D105" s="1025" t="s">
        <v>734</v>
      </c>
      <c r="E105" s="1025" t="s">
        <v>765</v>
      </c>
      <c r="F105" s="1026">
        <v>45576</v>
      </c>
      <c r="G105" s="1026"/>
      <c r="H105" s="1027" t="s">
        <v>701</v>
      </c>
    </row>
    <row r="106" spans="1:8">
      <c r="A106" s="1018">
        <v>105</v>
      </c>
      <c r="B106" s="1019" t="s">
        <v>58</v>
      </c>
      <c r="C106" s="1020" t="s">
        <v>660</v>
      </c>
      <c r="D106" s="1020" t="s">
        <v>734</v>
      </c>
      <c r="E106" s="1020" t="s">
        <v>766</v>
      </c>
      <c r="F106" s="1021">
        <v>45576</v>
      </c>
      <c r="G106" s="1021"/>
      <c r="H106" s="1022" t="s">
        <v>701</v>
      </c>
    </row>
    <row r="107" spans="1:8">
      <c r="A107" s="1023">
        <v>106</v>
      </c>
      <c r="B107" s="1024" t="s">
        <v>58</v>
      </c>
      <c r="C107" s="1025" t="s">
        <v>660</v>
      </c>
      <c r="D107" s="1025" t="s">
        <v>734</v>
      </c>
      <c r="E107" s="1025" t="s">
        <v>767</v>
      </c>
      <c r="F107" s="1026">
        <v>45576</v>
      </c>
      <c r="G107" s="1026"/>
      <c r="H107" s="1027" t="s">
        <v>701</v>
      </c>
    </row>
    <row r="108" spans="1:8">
      <c r="A108" s="1018">
        <v>107</v>
      </c>
      <c r="B108" s="1019" t="s">
        <v>58</v>
      </c>
      <c r="C108" s="1020" t="s">
        <v>660</v>
      </c>
      <c r="D108" s="1020" t="s">
        <v>734</v>
      </c>
      <c r="E108" s="1020" t="s">
        <v>768</v>
      </c>
      <c r="F108" s="1021">
        <v>45576</v>
      </c>
      <c r="G108" s="1021">
        <v>45537</v>
      </c>
      <c r="H108" s="1022" t="s">
        <v>663</v>
      </c>
    </row>
    <row r="109" spans="1:8">
      <c r="A109" s="1023">
        <v>108</v>
      </c>
      <c r="B109" s="1024" t="s">
        <v>58</v>
      </c>
      <c r="C109" s="1025" t="s">
        <v>660</v>
      </c>
      <c r="D109" s="1025" t="s">
        <v>734</v>
      </c>
      <c r="E109" s="1025" t="s">
        <v>769</v>
      </c>
      <c r="F109" s="1026">
        <v>45576</v>
      </c>
      <c r="G109" s="1026">
        <v>45537</v>
      </c>
      <c r="H109" s="1027" t="s">
        <v>663</v>
      </c>
    </row>
    <row r="110" spans="1:8">
      <c r="A110" s="1018">
        <v>109</v>
      </c>
      <c r="B110" s="1019" t="s">
        <v>58</v>
      </c>
      <c r="C110" s="1020" t="s">
        <v>660</v>
      </c>
      <c r="D110" s="1020" t="s">
        <v>734</v>
      </c>
      <c r="E110" s="1020" t="s">
        <v>770</v>
      </c>
      <c r="F110" s="1021">
        <v>45576</v>
      </c>
      <c r="G110" s="1021">
        <v>45537</v>
      </c>
      <c r="H110" s="1022" t="s">
        <v>663</v>
      </c>
    </row>
    <row r="111" spans="1:8">
      <c r="A111" s="1023">
        <v>110</v>
      </c>
      <c r="B111" s="1024" t="s">
        <v>58</v>
      </c>
      <c r="C111" s="1025" t="s">
        <v>660</v>
      </c>
      <c r="D111" s="1025" t="s">
        <v>734</v>
      </c>
      <c r="E111" s="1025" t="s">
        <v>771</v>
      </c>
      <c r="F111" s="1026">
        <v>45576</v>
      </c>
      <c r="G111" s="1026">
        <v>45537</v>
      </c>
      <c r="H111" s="1027" t="s">
        <v>663</v>
      </c>
    </row>
    <row r="112" spans="1:8">
      <c r="A112" s="1018">
        <v>111</v>
      </c>
      <c r="B112" s="1019" t="s">
        <v>58</v>
      </c>
      <c r="C112" s="1020" t="s">
        <v>660</v>
      </c>
      <c r="D112" s="1020" t="s">
        <v>734</v>
      </c>
      <c r="E112" s="1020" t="s">
        <v>772</v>
      </c>
      <c r="F112" s="1021">
        <v>45576</v>
      </c>
      <c r="G112" s="1021">
        <v>45537</v>
      </c>
      <c r="H112" s="1022" t="s">
        <v>663</v>
      </c>
    </row>
    <row r="113" spans="1:8">
      <c r="A113" s="1023">
        <v>112</v>
      </c>
      <c r="B113" s="1024" t="s">
        <v>58</v>
      </c>
      <c r="C113" s="1025" t="s">
        <v>660</v>
      </c>
      <c r="D113" s="1025" t="s">
        <v>734</v>
      </c>
      <c r="E113" s="1025" t="s">
        <v>773</v>
      </c>
      <c r="F113" s="1026">
        <v>45576</v>
      </c>
      <c r="G113" s="1026">
        <v>45534</v>
      </c>
      <c r="H113" s="1027" t="s">
        <v>663</v>
      </c>
    </row>
    <row r="114" spans="1:8">
      <c r="A114" s="1018">
        <v>113</v>
      </c>
      <c r="B114" s="1019" t="s">
        <v>58</v>
      </c>
      <c r="C114" s="1020" t="s">
        <v>660</v>
      </c>
      <c r="D114" s="1020" t="s">
        <v>774</v>
      </c>
      <c r="E114" s="1020" t="s">
        <v>775</v>
      </c>
      <c r="F114" s="1021">
        <v>45423</v>
      </c>
      <c r="G114" s="1021"/>
      <c r="H114" s="1022" t="s">
        <v>701</v>
      </c>
    </row>
    <row r="115" spans="1:8">
      <c r="A115" s="1023">
        <v>114</v>
      </c>
      <c r="B115" s="1024" t="s">
        <v>58</v>
      </c>
      <c r="C115" s="1025" t="s">
        <v>660</v>
      </c>
      <c r="D115" s="1025" t="s">
        <v>774</v>
      </c>
      <c r="E115" s="1025" t="s">
        <v>776</v>
      </c>
      <c r="F115" s="1026">
        <v>45423</v>
      </c>
      <c r="G115" s="1026"/>
      <c r="H115" s="1027" t="s">
        <v>701</v>
      </c>
    </row>
    <row r="116" spans="1:8">
      <c r="A116" s="1018">
        <v>115</v>
      </c>
      <c r="B116" s="1019" t="s">
        <v>58</v>
      </c>
      <c r="C116" s="1020" t="s">
        <v>660</v>
      </c>
      <c r="D116" s="1020" t="s">
        <v>774</v>
      </c>
      <c r="E116" s="1020" t="s">
        <v>777</v>
      </c>
      <c r="F116" s="1021">
        <v>45423</v>
      </c>
      <c r="G116" s="1021"/>
      <c r="H116" s="1022" t="s">
        <v>701</v>
      </c>
    </row>
    <row r="117" spans="1:8">
      <c r="A117" s="1023">
        <v>116</v>
      </c>
      <c r="B117" s="1024" t="s">
        <v>58</v>
      </c>
      <c r="C117" s="1025" t="s">
        <v>660</v>
      </c>
      <c r="D117" s="1025" t="s">
        <v>774</v>
      </c>
      <c r="E117" s="1025" t="s">
        <v>778</v>
      </c>
      <c r="F117" s="1026">
        <v>45423</v>
      </c>
      <c r="G117" s="1026"/>
      <c r="H117" s="1027" t="s">
        <v>701</v>
      </c>
    </row>
    <row r="118" spans="1:8">
      <c r="A118" s="1018">
        <v>117</v>
      </c>
      <c r="B118" s="1019" t="s">
        <v>58</v>
      </c>
      <c r="C118" s="1020" t="s">
        <v>660</v>
      </c>
      <c r="D118" s="1020" t="s">
        <v>774</v>
      </c>
      <c r="E118" s="1020" t="s">
        <v>779</v>
      </c>
      <c r="F118" s="1021">
        <v>45576</v>
      </c>
      <c r="G118" s="1021">
        <v>45564</v>
      </c>
      <c r="H118" s="1022" t="s">
        <v>663</v>
      </c>
    </row>
    <row r="119" spans="1:8">
      <c r="A119" s="1023">
        <v>118</v>
      </c>
      <c r="B119" s="1024" t="s">
        <v>58</v>
      </c>
      <c r="C119" s="1025" t="s">
        <v>660</v>
      </c>
      <c r="D119" s="1025" t="s">
        <v>780</v>
      </c>
      <c r="E119" s="1025" t="s">
        <v>781</v>
      </c>
      <c r="F119" s="1026">
        <v>45437</v>
      </c>
      <c r="G119" s="1026">
        <v>45437</v>
      </c>
      <c r="H119" s="1027" t="s">
        <v>663</v>
      </c>
    </row>
    <row r="120" spans="1:8">
      <c r="A120" s="1018">
        <v>119</v>
      </c>
      <c r="B120" s="1019" t="s">
        <v>58</v>
      </c>
      <c r="C120" s="1020" t="s">
        <v>660</v>
      </c>
      <c r="D120" s="1020" t="s">
        <v>780</v>
      </c>
      <c r="E120" s="1020" t="s">
        <v>782</v>
      </c>
      <c r="F120" s="1021">
        <v>45437</v>
      </c>
      <c r="G120" s="1021">
        <v>45437</v>
      </c>
      <c r="H120" s="1022" t="s">
        <v>663</v>
      </c>
    </row>
    <row r="121" spans="1:8">
      <c r="A121" s="1023">
        <v>120</v>
      </c>
      <c r="B121" s="1024" t="s">
        <v>58</v>
      </c>
      <c r="C121" s="1025" t="s">
        <v>660</v>
      </c>
      <c r="D121" s="1025" t="s">
        <v>780</v>
      </c>
      <c r="E121" s="1025" t="s">
        <v>783</v>
      </c>
      <c r="F121" s="1026">
        <v>45437</v>
      </c>
      <c r="G121" s="1026">
        <v>45437</v>
      </c>
      <c r="H121" s="1027" t="s">
        <v>663</v>
      </c>
    </row>
    <row r="122" spans="1:8">
      <c r="A122" s="1018">
        <v>121</v>
      </c>
      <c r="B122" s="1019" t="s">
        <v>58</v>
      </c>
      <c r="C122" s="1020" t="s">
        <v>660</v>
      </c>
      <c r="D122" s="1020" t="s">
        <v>780</v>
      </c>
      <c r="E122" s="1020" t="s">
        <v>784</v>
      </c>
      <c r="F122" s="1021">
        <v>45437</v>
      </c>
      <c r="G122" s="1021">
        <v>45437</v>
      </c>
      <c r="H122" s="1022" t="s">
        <v>663</v>
      </c>
    </row>
    <row r="123" spans="1:8">
      <c r="A123" s="1023">
        <v>122</v>
      </c>
      <c r="B123" s="1024" t="s">
        <v>58</v>
      </c>
      <c r="C123" s="1025" t="s">
        <v>660</v>
      </c>
      <c r="D123" s="1025" t="s">
        <v>780</v>
      </c>
      <c r="E123" s="1025" t="s">
        <v>785</v>
      </c>
      <c r="F123" s="1026">
        <v>45437</v>
      </c>
      <c r="G123" s="1026">
        <v>45437</v>
      </c>
      <c r="H123" s="1027" t="s">
        <v>663</v>
      </c>
    </row>
    <row r="124" spans="1:8" ht="26">
      <c r="A124" s="1018">
        <v>123</v>
      </c>
      <c r="B124" s="1019" t="s">
        <v>58</v>
      </c>
      <c r="C124" s="1020" t="s">
        <v>660</v>
      </c>
      <c r="D124" s="1020" t="s">
        <v>780</v>
      </c>
      <c r="E124" s="1020" t="s">
        <v>786</v>
      </c>
      <c r="F124" s="1021">
        <v>45437</v>
      </c>
      <c r="G124" s="1021">
        <v>45437</v>
      </c>
      <c r="H124" s="1022" t="s">
        <v>663</v>
      </c>
    </row>
    <row r="125" spans="1:8">
      <c r="A125" s="1023">
        <v>124</v>
      </c>
      <c r="B125" s="1024" t="s">
        <v>58</v>
      </c>
      <c r="C125" s="1025" t="s">
        <v>660</v>
      </c>
      <c r="D125" s="1025" t="s">
        <v>780</v>
      </c>
      <c r="E125" s="1025" t="s">
        <v>787</v>
      </c>
      <c r="F125" s="1026">
        <v>45402</v>
      </c>
      <c r="G125" s="1026">
        <v>45328</v>
      </c>
      <c r="H125" s="1027" t="s">
        <v>663</v>
      </c>
    </row>
    <row r="126" spans="1:8">
      <c r="A126" s="1018">
        <v>125</v>
      </c>
      <c r="B126" s="1019" t="s">
        <v>58</v>
      </c>
      <c r="C126" s="1020" t="s">
        <v>660</v>
      </c>
      <c r="D126" s="1020" t="s">
        <v>780</v>
      </c>
      <c r="E126" s="1020" t="s">
        <v>788</v>
      </c>
      <c r="F126" s="1021">
        <v>45402</v>
      </c>
      <c r="G126" s="1021">
        <v>45328</v>
      </c>
      <c r="H126" s="1022" t="s">
        <v>663</v>
      </c>
    </row>
    <row r="127" spans="1:8">
      <c r="A127" s="1023">
        <v>126</v>
      </c>
      <c r="B127" s="1024" t="s">
        <v>58</v>
      </c>
      <c r="C127" s="1025" t="s">
        <v>660</v>
      </c>
      <c r="D127" s="1025" t="s">
        <v>780</v>
      </c>
      <c r="E127" s="1025" t="s">
        <v>789</v>
      </c>
      <c r="F127" s="1026">
        <v>45402</v>
      </c>
      <c r="G127" s="1026">
        <v>45328</v>
      </c>
      <c r="H127" s="1027" t="s">
        <v>663</v>
      </c>
    </row>
    <row r="128" spans="1:8" ht="26">
      <c r="A128" s="1018">
        <v>127</v>
      </c>
      <c r="B128" s="1019" t="s">
        <v>58</v>
      </c>
      <c r="C128" s="1020" t="s">
        <v>660</v>
      </c>
      <c r="D128" s="1020" t="s">
        <v>780</v>
      </c>
      <c r="E128" s="1020" t="s">
        <v>790</v>
      </c>
      <c r="F128" s="1021">
        <v>45402</v>
      </c>
      <c r="G128" s="1021">
        <v>45328</v>
      </c>
      <c r="H128" s="1022" t="s">
        <v>663</v>
      </c>
    </row>
    <row r="129" spans="1:8">
      <c r="A129" s="1023">
        <v>128</v>
      </c>
      <c r="B129" s="1024" t="s">
        <v>58</v>
      </c>
      <c r="C129" s="1025" t="s">
        <v>660</v>
      </c>
      <c r="D129" s="1025" t="s">
        <v>780</v>
      </c>
      <c r="E129" s="1025" t="s">
        <v>791</v>
      </c>
      <c r="F129" s="1026">
        <v>45437</v>
      </c>
      <c r="G129" s="1026">
        <v>45437</v>
      </c>
      <c r="H129" s="1027" t="s">
        <v>663</v>
      </c>
    </row>
    <row r="130" spans="1:8" ht="26">
      <c r="A130" s="1018">
        <v>129</v>
      </c>
      <c r="B130" s="1019" t="s">
        <v>58</v>
      </c>
      <c r="C130" s="1020" t="s">
        <v>660</v>
      </c>
      <c r="D130" s="1020" t="s">
        <v>780</v>
      </c>
      <c r="E130" s="1020" t="s">
        <v>792</v>
      </c>
      <c r="F130" s="1021">
        <v>45437</v>
      </c>
      <c r="G130" s="1021">
        <v>45437</v>
      </c>
      <c r="H130" s="1022" t="s">
        <v>663</v>
      </c>
    </row>
    <row r="131" spans="1:8">
      <c r="A131" s="1023">
        <v>130</v>
      </c>
      <c r="B131" s="1024" t="s">
        <v>58</v>
      </c>
      <c r="C131" s="1025" t="s">
        <v>660</v>
      </c>
      <c r="D131" s="1025" t="s">
        <v>780</v>
      </c>
      <c r="E131" s="1025" t="s">
        <v>793</v>
      </c>
      <c r="F131" s="1026">
        <v>45437</v>
      </c>
      <c r="G131" s="1026">
        <v>45437</v>
      </c>
      <c r="H131" s="1027" t="s">
        <v>663</v>
      </c>
    </row>
    <row r="132" spans="1:8" ht="26">
      <c r="A132" s="1018">
        <v>131</v>
      </c>
      <c r="B132" s="1019" t="s">
        <v>58</v>
      </c>
      <c r="C132" s="1020" t="s">
        <v>660</v>
      </c>
      <c r="D132" s="1020" t="s">
        <v>780</v>
      </c>
      <c r="E132" s="1020" t="s">
        <v>794</v>
      </c>
      <c r="F132" s="1021">
        <v>45402</v>
      </c>
      <c r="G132" s="1021">
        <v>45436</v>
      </c>
      <c r="H132" s="1022" t="s">
        <v>663</v>
      </c>
    </row>
    <row r="133" spans="1:8">
      <c r="A133" s="1023">
        <v>132</v>
      </c>
      <c r="B133" s="1024" t="s">
        <v>58</v>
      </c>
      <c r="C133" s="1025" t="s">
        <v>660</v>
      </c>
      <c r="D133" s="1025" t="s">
        <v>780</v>
      </c>
      <c r="E133" s="1025" t="s">
        <v>795</v>
      </c>
      <c r="F133" s="1026">
        <v>45402</v>
      </c>
      <c r="G133" s="1026">
        <v>45436</v>
      </c>
      <c r="H133" s="1027" t="s">
        <v>663</v>
      </c>
    </row>
    <row r="134" spans="1:8">
      <c r="A134" s="1018">
        <v>133</v>
      </c>
      <c r="B134" s="1019" t="s">
        <v>58</v>
      </c>
      <c r="C134" s="1020" t="s">
        <v>660</v>
      </c>
      <c r="D134" s="1020" t="s">
        <v>780</v>
      </c>
      <c r="E134" s="1020" t="s">
        <v>796</v>
      </c>
      <c r="F134" s="1021">
        <v>45402</v>
      </c>
      <c r="G134" s="1021">
        <v>45328</v>
      </c>
      <c r="H134" s="1022" t="s">
        <v>663</v>
      </c>
    </row>
    <row r="135" spans="1:8">
      <c r="A135" s="1023">
        <v>134</v>
      </c>
      <c r="B135" s="1024" t="s">
        <v>58</v>
      </c>
      <c r="C135" s="1025" t="s">
        <v>660</v>
      </c>
      <c r="D135" s="1025" t="s">
        <v>780</v>
      </c>
      <c r="E135" s="1025" t="s">
        <v>797</v>
      </c>
      <c r="F135" s="1026">
        <v>45402</v>
      </c>
      <c r="G135" s="1026">
        <v>45328</v>
      </c>
      <c r="H135" s="1027" t="s">
        <v>663</v>
      </c>
    </row>
    <row r="136" spans="1:8">
      <c r="A136" s="1018">
        <v>135</v>
      </c>
      <c r="B136" s="1019" t="s">
        <v>58</v>
      </c>
      <c r="C136" s="1020" t="s">
        <v>660</v>
      </c>
      <c r="D136" s="1020" t="s">
        <v>780</v>
      </c>
      <c r="E136" s="1020" t="s">
        <v>798</v>
      </c>
      <c r="F136" s="1021">
        <v>45402</v>
      </c>
      <c r="G136" s="1021">
        <v>45436</v>
      </c>
      <c r="H136" s="1022" t="s">
        <v>663</v>
      </c>
    </row>
    <row r="137" spans="1:8">
      <c r="A137" s="1023">
        <v>136</v>
      </c>
      <c r="B137" s="1024" t="s">
        <v>58</v>
      </c>
      <c r="C137" s="1025" t="s">
        <v>660</v>
      </c>
      <c r="D137" s="1025" t="s">
        <v>780</v>
      </c>
      <c r="E137" s="1025" t="s">
        <v>799</v>
      </c>
      <c r="F137" s="1026">
        <v>45609</v>
      </c>
      <c r="G137" s="1026"/>
      <c r="H137" s="1027" t="s">
        <v>701</v>
      </c>
    </row>
    <row r="138" spans="1:8">
      <c r="A138" s="1018">
        <v>137</v>
      </c>
      <c r="B138" s="1019" t="s">
        <v>58</v>
      </c>
      <c r="C138" s="1020" t="s">
        <v>660</v>
      </c>
      <c r="D138" s="1020" t="s">
        <v>780</v>
      </c>
      <c r="E138" s="1020" t="s">
        <v>800</v>
      </c>
      <c r="F138" s="1021">
        <v>45609</v>
      </c>
      <c r="G138" s="1021"/>
      <c r="H138" s="1022" t="s">
        <v>701</v>
      </c>
    </row>
    <row r="139" spans="1:8">
      <c r="A139" s="1023">
        <v>138</v>
      </c>
      <c r="B139" s="1024" t="s">
        <v>58</v>
      </c>
      <c r="C139" s="1025" t="s">
        <v>660</v>
      </c>
      <c r="D139" s="1025" t="s">
        <v>780</v>
      </c>
      <c r="E139" s="1025" t="s">
        <v>801</v>
      </c>
      <c r="F139" s="1026">
        <v>45576</v>
      </c>
      <c r="G139" s="1026"/>
      <c r="H139" s="1027" t="s">
        <v>701</v>
      </c>
    </row>
    <row r="140" spans="1:8">
      <c r="A140" s="1018">
        <v>139</v>
      </c>
      <c r="B140" s="1019" t="s">
        <v>58</v>
      </c>
      <c r="C140" s="1020" t="s">
        <v>660</v>
      </c>
      <c r="D140" s="1020" t="s">
        <v>780</v>
      </c>
      <c r="E140" s="1020" t="s">
        <v>802</v>
      </c>
      <c r="F140" s="1021">
        <v>45576</v>
      </c>
      <c r="G140" s="1021">
        <v>45513</v>
      </c>
      <c r="H140" s="1022" t="s">
        <v>663</v>
      </c>
    </row>
    <row r="141" spans="1:8">
      <c r="A141" s="1023">
        <v>140</v>
      </c>
      <c r="B141" s="1024" t="s">
        <v>58</v>
      </c>
      <c r="C141" s="1025" t="s">
        <v>660</v>
      </c>
      <c r="D141" s="1025" t="s">
        <v>780</v>
      </c>
      <c r="E141" s="1025" t="s">
        <v>803</v>
      </c>
      <c r="F141" s="1026">
        <v>45576</v>
      </c>
      <c r="G141" s="1026">
        <v>45513</v>
      </c>
      <c r="H141" s="1027" t="s">
        <v>663</v>
      </c>
    </row>
    <row r="142" spans="1:8">
      <c r="A142" s="1018">
        <v>141</v>
      </c>
      <c r="B142" s="1019" t="s">
        <v>58</v>
      </c>
      <c r="C142" s="1020" t="s">
        <v>660</v>
      </c>
      <c r="D142" s="1020" t="s">
        <v>780</v>
      </c>
      <c r="E142" s="1020" t="s">
        <v>804</v>
      </c>
      <c r="F142" s="1021">
        <v>45576</v>
      </c>
      <c r="G142" s="1021">
        <v>45522</v>
      </c>
      <c r="H142" s="1022" t="s">
        <v>663</v>
      </c>
    </row>
    <row r="143" spans="1:8">
      <c r="A143" s="1023">
        <v>142</v>
      </c>
      <c r="B143" s="1024" t="s">
        <v>58</v>
      </c>
      <c r="C143" s="1025" t="s">
        <v>660</v>
      </c>
      <c r="D143" s="1025" t="s">
        <v>780</v>
      </c>
      <c r="E143" s="1025" t="s">
        <v>805</v>
      </c>
      <c r="F143" s="1026">
        <v>45576</v>
      </c>
      <c r="G143" s="1026">
        <v>45522</v>
      </c>
      <c r="H143" s="1027" t="s">
        <v>663</v>
      </c>
    </row>
    <row r="144" spans="1:8">
      <c r="A144" s="1018">
        <v>143</v>
      </c>
      <c r="B144" s="1019" t="s">
        <v>58</v>
      </c>
      <c r="C144" s="1020" t="s">
        <v>660</v>
      </c>
      <c r="D144" s="1020" t="s">
        <v>780</v>
      </c>
      <c r="E144" s="1020" t="s">
        <v>806</v>
      </c>
      <c r="F144" s="1021">
        <v>45576</v>
      </c>
      <c r="G144" s="1021">
        <v>45522</v>
      </c>
      <c r="H144" s="1022" t="s">
        <v>663</v>
      </c>
    </row>
    <row r="145" spans="1:8">
      <c r="A145" s="1023">
        <v>144</v>
      </c>
      <c r="B145" s="1024" t="s">
        <v>58</v>
      </c>
      <c r="C145" s="1025" t="s">
        <v>660</v>
      </c>
      <c r="D145" s="1025" t="s">
        <v>780</v>
      </c>
      <c r="E145" s="1025" t="s">
        <v>807</v>
      </c>
      <c r="F145" s="1026">
        <v>45576</v>
      </c>
      <c r="G145" s="1026">
        <v>45531</v>
      </c>
      <c r="H145" s="1027" t="s">
        <v>663</v>
      </c>
    </row>
    <row r="146" spans="1:8">
      <c r="A146" s="1018">
        <v>145</v>
      </c>
      <c r="B146" s="1019" t="s">
        <v>58</v>
      </c>
      <c r="C146" s="1020" t="s">
        <v>660</v>
      </c>
      <c r="D146" s="1020" t="s">
        <v>780</v>
      </c>
      <c r="E146" s="1020" t="s">
        <v>808</v>
      </c>
      <c r="F146" s="1021">
        <v>45576</v>
      </c>
      <c r="G146" s="1021">
        <v>45531</v>
      </c>
      <c r="H146" s="1022" t="s">
        <v>663</v>
      </c>
    </row>
    <row r="147" spans="1:8">
      <c r="A147" s="1023">
        <v>146</v>
      </c>
      <c r="B147" s="1024" t="s">
        <v>58</v>
      </c>
      <c r="C147" s="1025" t="s">
        <v>660</v>
      </c>
      <c r="D147" s="1025" t="s">
        <v>780</v>
      </c>
      <c r="E147" s="1025" t="s">
        <v>809</v>
      </c>
      <c r="F147" s="1026">
        <v>45576</v>
      </c>
      <c r="G147" s="1026">
        <v>45531</v>
      </c>
      <c r="H147" s="1027" t="s">
        <v>663</v>
      </c>
    </row>
    <row r="148" spans="1:8">
      <c r="A148" s="1018">
        <v>147</v>
      </c>
      <c r="B148" s="1019" t="s">
        <v>58</v>
      </c>
      <c r="C148" s="1020" t="s">
        <v>660</v>
      </c>
      <c r="D148" s="1020" t="s">
        <v>780</v>
      </c>
      <c r="E148" s="1020" t="s">
        <v>810</v>
      </c>
      <c r="F148" s="1021">
        <v>45576</v>
      </c>
      <c r="G148" s="1021">
        <v>45513</v>
      </c>
      <c r="H148" s="1022" t="s">
        <v>663</v>
      </c>
    </row>
    <row r="149" spans="1:8">
      <c r="A149" s="1023">
        <v>148</v>
      </c>
      <c r="B149" s="1024" t="s">
        <v>58</v>
      </c>
      <c r="C149" s="1025" t="s">
        <v>660</v>
      </c>
      <c r="D149" s="1025" t="s">
        <v>780</v>
      </c>
      <c r="E149" s="1025" t="s">
        <v>811</v>
      </c>
      <c r="F149" s="1026">
        <v>45576</v>
      </c>
      <c r="G149" s="1026">
        <v>45513</v>
      </c>
      <c r="H149" s="1027" t="s">
        <v>663</v>
      </c>
    </row>
    <row r="150" spans="1:8">
      <c r="A150" s="1018">
        <v>149</v>
      </c>
      <c r="B150" s="1019" t="s">
        <v>58</v>
      </c>
      <c r="C150" s="1020" t="s">
        <v>660</v>
      </c>
      <c r="D150" s="1020" t="s">
        <v>780</v>
      </c>
      <c r="E150" s="1020" t="s">
        <v>812</v>
      </c>
      <c r="F150" s="1021">
        <v>45576</v>
      </c>
      <c r="G150" s="1021">
        <v>45522</v>
      </c>
      <c r="H150" s="1022" t="s">
        <v>663</v>
      </c>
    </row>
    <row r="151" spans="1:8">
      <c r="A151" s="1023">
        <v>150</v>
      </c>
      <c r="B151" s="1024" t="s">
        <v>58</v>
      </c>
      <c r="C151" s="1025" t="s">
        <v>660</v>
      </c>
      <c r="D151" s="1025" t="s">
        <v>780</v>
      </c>
      <c r="E151" s="1025" t="s">
        <v>813</v>
      </c>
      <c r="F151" s="1026">
        <v>45576</v>
      </c>
      <c r="G151" s="1026"/>
      <c r="H151" s="1027" t="s">
        <v>701</v>
      </c>
    </row>
    <row r="152" spans="1:8">
      <c r="A152" s="1018">
        <v>151</v>
      </c>
      <c r="B152" s="1019" t="s">
        <v>58</v>
      </c>
      <c r="C152" s="1020" t="s">
        <v>660</v>
      </c>
      <c r="D152" s="1020" t="s">
        <v>780</v>
      </c>
      <c r="E152" s="1020" t="s">
        <v>814</v>
      </c>
      <c r="F152" s="1021">
        <v>45576</v>
      </c>
      <c r="G152" s="1021"/>
      <c r="H152" s="1022" t="s">
        <v>701</v>
      </c>
    </row>
    <row r="153" spans="1:8">
      <c r="A153" s="1023">
        <v>152</v>
      </c>
      <c r="B153" s="1024" t="s">
        <v>58</v>
      </c>
      <c r="C153" s="1025" t="s">
        <v>660</v>
      </c>
      <c r="D153" s="1025" t="s">
        <v>780</v>
      </c>
      <c r="E153" s="1025" t="s">
        <v>815</v>
      </c>
      <c r="F153" s="1026">
        <v>45576</v>
      </c>
      <c r="G153" s="1026"/>
      <c r="H153" s="1027" t="s">
        <v>701</v>
      </c>
    </row>
    <row r="154" spans="1:8">
      <c r="A154" s="1018">
        <v>153</v>
      </c>
      <c r="B154" s="1019" t="s">
        <v>58</v>
      </c>
      <c r="C154" s="1020" t="s">
        <v>660</v>
      </c>
      <c r="D154" s="1020" t="s">
        <v>780</v>
      </c>
      <c r="E154" s="1020" t="s">
        <v>816</v>
      </c>
      <c r="F154" s="1021">
        <v>45576</v>
      </c>
      <c r="G154" s="1021">
        <v>45532</v>
      </c>
      <c r="H154" s="1022" t="s">
        <v>663</v>
      </c>
    </row>
    <row r="155" spans="1:8">
      <c r="A155" s="1023">
        <v>154</v>
      </c>
      <c r="B155" s="1024" t="s">
        <v>58</v>
      </c>
      <c r="C155" s="1025" t="s">
        <v>660</v>
      </c>
      <c r="D155" s="1025" t="s">
        <v>780</v>
      </c>
      <c r="E155" s="1025" t="s">
        <v>817</v>
      </c>
      <c r="F155" s="1026">
        <v>45576</v>
      </c>
      <c r="G155" s="1026">
        <v>45565</v>
      </c>
      <c r="H155" s="1027" t="s">
        <v>663</v>
      </c>
    </row>
    <row r="156" spans="1:8">
      <c r="A156" s="1018">
        <v>155</v>
      </c>
      <c r="B156" s="1019" t="s">
        <v>58</v>
      </c>
      <c r="C156" s="1020" t="s">
        <v>660</v>
      </c>
      <c r="D156" s="1020" t="s">
        <v>780</v>
      </c>
      <c r="E156" s="1020" t="s">
        <v>818</v>
      </c>
      <c r="F156" s="1021">
        <v>45576</v>
      </c>
      <c r="G156" s="1021">
        <v>45532</v>
      </c>
      <c r="H156" s="1022" t="s">
        <v>663</v>
      </c>
    </row>
    <row r="157" spans="1:8">
      <c r="A157" s="1023">
        <v>156</v>
      </c>
      <c r="B157" s="1024" t="s">
        <v>58</v>
      </c>
      <c r="C157" s="1025" t="s">
        <v>660</v>
      </c>
      <c r="D157" s="1025" t="s">
        <v>780</v>
      </c>
      <c r="E157" s="1025" t="s">
        <v>819</v>
      </c>
      <c r="F157" s="1026">
        <v>45576</v>
      </c>
      <c r="G157" s="1026">
        <v>45565</v>
      </c>
      <c r="H157" s="1027" t="s">
        <v>663</v>
      </c>
    </row>
    <row r="158" spans="1:8">
      <c r="A158" s="1018">
        <v>157</v>
      </c>
      <c r="B158" s="1019" t="s">
        <v>58</v>
      </c>
      <c r="C158" s="1020" t="s">
        <v>660</v>
      </c>
      <c r="D158" s="1020" t="s">
        <v>780</v>
      </c>
      <c r="E158" s="1020" t="s">
        <v>820</v>
      </c>
      <c r="F158" s="1021">
        <v>45576</v>
      </c>
      <c r="G158" s="1021">
        <v>45532</v>
      </c>
      <c r="H158" s="1022" t="s">
        <v>663</v>
      </c>
    </row>
    <row r="159" spans="1:8">
      <c r="A159" s="1023">
        <v>158</v>
      </c>
      <c r="B159" s="1024" t="s">
        <v>58</v>
      </c>
      <c r="C159" s="1025" t="s">
        <v>660</v>
      </c>
      <c r="D159" s="1025" t="s">
        <v>780</v>
      </c>
      <c r="E159" s="1025" t="s">
        <v>821</v>
      </c>
      <c r="F159" s="1026">
        <v>45576</v>
      </c>
      <c r="G159" s="1026">
        <v>45565</v>
      </c>
      <c r="H159" s="1027" t="s">
        <v>663</v>
      </c>
    </row>
    <row r="160" spans="1:8">
      <c r="A160" s="1018">
        <v>159</v>
      </c>
      <c r="B160" s="1019" t="s">
        <v>58</v>
      </c>
      <c r="C160" s="1020" t="s">
        <v>660</v>
      </c>
      <c r="D160" s="1020" t="s">
        <v>780</v>
      </c>
      <c r="E160" s="1020" t="s">
        <v>822</v>
      </c>
      <c r="F160" s="1021">
        <v>45576</v>
      </c>
      <c r="G160" s="1021">
        <v>45532</v>
      </c>
      <c r="H160" s="1022" t="s">
        <v>663</v>
      </c>
    </row>
    <row r="161" spans="1:8">
      <c r="A161" s="1023">
        <v>160</v>
      </c>
      <c r="B161" s="1024" t="s">
        <v>58</v>
      </c>
      <c r="C161" s="1025" t="s">
        <v>660</v>
      </c>
      <c r="D161" s="1025" t="s">
        <v>780</v>
      </c>
      <c r="E161" s="1025" t="s">
        <v>823</v>
      </c>
      <c r="F161" s="1026">
        <v>45576</v>
      </c>
      <c r="G161" s="1026">
        <v>45565</v>
      </c>
      <c r="H161" s="1027" t="s">
        <v>663</v>
      </c>
    </row>
    <row r="162" spans="1:8">
      <c r="A162" s="1018">
        <v>161</v>
      </c>
      <c r="B162" s="1019" t="s">
        <v>58</v>
      </c>
      <c r="C162" s="1020" t="s">
        <v>660</v>
      </c>
      <c r="D162" s="1020" t="s">
        <v>780</v>
      </c>
      <c r="E162" s="1020" t="s">
        <v>824</v>
      </c>
      <c r="F162" s="1021">
        <v>45576</v>
      </c>
      <c r="G162" s="1021">
        <v>45532</v>
      </c>
      <c r="H162" s="1022" t="s">
        <v>663</v>
      </c>
    </row>
    <row r="163" spans="1:8">
      <c r="A163" s="1023">
        <v>162</v>
      </c>
      <c r="B163" s="1024" t="s">
        <v>58</v>
      </c>
      <c r="C163" s="1025" t="s">
        <v>660</v>
      </c>
      <c r="D163" s="1025" t="s">
        <v>780</v>
      </c>
      <c r="E163" s="1025" t="s">
        <v>825</v>
      </c>
      <c r="F163" s="1026">
        <v>45576</v>
      </c>
      <c r="G163" s="1026">
        <v>45565</v>
      </c>
      <c r="H163" s="1027" t="s">
        <v>663</v>
      </c>
    </row>
    <row r="164" spans="1:8">
      <c r="A164" s="1018">
        <v>163</v>
      </c>
      <c r="B164" s="1019" t="s">
        <v>58</v>
      </c>
      <c r="C164" s="1020" t="s">
        <v>660</v>
      </c>
      <c r="D164" s="1020" t="s">
        <v>780</v>
      </c>
      <c r="E164" s="1020" t="s">
        <v>826</v>
      </c>
      <c r="F164" s="1021">
        <v>45576</v>
      </c>
      <c r="G164" s="1021">
        <v>45532</v>
      </c>
      <c r="H164" s="1022" t="s">
        <v>663</v>
      </c>
    </row>
    <row r="165" spans="1:8">
      <c r="A165" s="1023">
        <v>164</v>
      </c>
      <c r="B165" s="1024" t="s">
        <v>58</v>
      </c>
      <c r="C165" s="1025" t="s">
        <v>660</v>
      </c>
      <c r="D165" s="1025" t="s">
        <v>780</v>
      </c>
      <c r="E165" s="1025" t="s">
        <v>827</v>
      </c>
      <c r="F165" s="1026">
        <v>45576</v>
      </c>
      <c r="G165" s="1026">
        <v>45565</v>
      </c>
      <c r="H165" s="1027" t="s">
        <v>663</v>
      </c>
    </row>
    <row r="166" spans="1:8">
      <c r="A166" s="1018">
        <v>165</v>
      </c>
      <c r="B166" s="1019" t="s">
        <v>58</v>
      </c>
      <c r="C166" s="1020" t="s">
        <v>660</v>
      </c>
      <c r="D166" s="1020" t="s">
        <v>780</v>
      </c>
      <c r="E166" s="1020" t="s">
        <v>828</v>
      </c>
      <c r="F166" s="1021">
        <v>45576</v>
      </c>
      <c r="G166" s="1021">
        <v>45512</v>
      </c>
      <c r="H166" s="1022" t="s">
        <v>663</v>
      </c>
    </row>
    <row r="167" spans="1:8">
      <c r="A167" s="1023">
        <v>166</v>
      </c>
      <c r="B167" s="1024" t="s">
        <v>58</v>
      </c>
      <c r="C167" s="1025" t="s">
        <v>660</v>
      </c>
      <c r="D167" s="1025" t="s">
        <v>780</v>
      </c>
      <c r="E167" s="1025" t="s">
        <v>829</v>
      </c>
      <c r="F167" s="1026">
        <v>45576</v>
      </c>
      <c r="G167" s="1026">
        <v>45512</v>
      </c>
      <c r="H167" s="1027" t="s">
        <v>663</v>
      </c>
    </row>
    <row r="168" spans="1:8">
      <c r="A168" s="1018">
        <v>167</v>
      </c>
      <c r="B168" s="1019" t="s">
        <v>58</v>
      </c>
      <c r="C168" s="1020" t="s">
        <v>660</v>
      </c>
      <c r="D168" s="1020" t="s">
        <v>780</v>
      </c>
      <c r="E168" s="1020" t="s">
        <v>830</v>
      </c>
      <c r="F168" s="1021">
        <v>45576</v>
      </c>
      <c r="G168" s="1021">
        <v>45512</v>
      </c>
      <c r="H168" s="1022" t="s">
        <v>663</v>
      </c>
    </row>
    <row r="169" spans="1:8">
      <c r="A169" s="1023">
        <v>168</v>
      </c>
      <c r="B169" s="1024" t="s">
        <v>58</v>
      </c>
      <c r="C169" s="1025" t="s">
        <v>660</v>
      </c>
      <c r="D169" s="1025" t="s">
        <v>780</v>
      </c>
      <c r="E169" s="1025" t="s">
        <v>831</v>
      </c>
      <c r="F169" s="1026">
        <v>45576</v>
      </c>
      <c r="G169" s="1026">
        <v>45512</v>
      </c>
      <c r="H169" s="1027" t="s">
        <v>663</v>
      </c>
    </row>
    <row r="170" spans="1:8">
      <c r="A170" s="1018">
        <v>169</v>
      </c>
      <c r="B170" s="1019" t="s">
        <v>58</v>
      </c>
      <c r="C170" s="1020" t="s">
        <v>660</v>
      </c>
      <c r="D170" s="1020" t="s">
        <v>780</v>
      </c>
      <c r="E170" s="1020" t="s">
        <v>832</v>
      </c>
      <c r="F170" s="1021">
        <v>45576</v>
      </c>
      <c r="G170" s="1021">
        <v>45466</v>
      </c>
      <c r="H170" s="1022" t="s">
        <v>663</v>
      </c>
    </row>
    <row r="171" spans="1:8">
      <c r="A171" s="1023">
        <v>170</v>
      </c>
      <c r="B171" s="1024" t="s">
        <v>58</v>
      </c>
      <c r="C171" s="1025" t="s">
        <v>660</v>
      </c>
      <c r="D171" s="1025" t="s">
        <v>780</v>
      </c>
      <c r="E171" s="1025" t="s">
        <v>833</v>
      </c>
      <c r="F171" s="1026">
        <v>45576</v>
      </c>
      <c r="G171" s="1026">
        <v>45522</v>
      </c>
      <c r="H171" s="1027" t="s">
        <v>663</v>
      </c>
    </row>
    <row r="172" spans="1:8">
      <c r="A172" s="1018">
        <v>171</v>
      </c>
      <c r="B172" s="1019" t="s">
        <v>58</v>
      </c>
      <c r="C172" s="1020" t="s">
        <v>660</v>
      </c>
      <c r="D172" s="1020" t="s">
        <v>780</v>
      </c>
      <c r="E172" s="1020" t="s">
        <v>834</v>
      </c>
      <c r="F172" s="1021">
        <v>45576</v>
      </c>
      <c r="G172" s="1021">
        <v>45522</v>
      </c>
      <c r="H172" s="1022" t="s">
        <v>663</v>
      </c>
    </row>
    <row r="173" spans="1:8">
      <c r="A173" s="1023">
        <v>172</v>
      </c>
      <c r="B173" s="1024" t="s">
        <v>58</v>
      </c>
      <c r="C173" s="1025" t="s">
        <v>660</v>
      </c>
      <c r="D173" s="1025" t="s">
        <v>780</v>
      </c>
      <c r="E173" s="1025" t="s">
        <v>835</v>
      </c>
      <c r="F173" s="1026">
        <v>45576</v>
      </c>
      <c r="G173" s="1026"/>
      <c r="H173" s="1027" t="s">
        <v>701</v>
      </c>
    </row>
    <row r="174" spans="1:8">
      <c r="A174" s="1018">
        <v>173</v>
      </c>
      <c r="B174" s="1019" t="s">
        <v>58</v>
      </c>
      <c r="C174" s="1020" t="s">
        <v>660</v>
      </c>
      <c r="D174" s="1020" t="s">
        <v>780</v>
      </c>
      <c r="E174" s="1020" t="s">
        <v>836</v>
      </c>
      <c r="F174" s="1021">
        <v>45576</v>
      </c>
      <c r="G174" s="1021"/>
      <c r="H174" s="1022" t="s">
        <v>701</v>
      </c>
    </row>
    <row r="175" spans="1:8">
      <c r="A175" s="1023">
        <v>174</v>
      </c>
      <c r="B175" s="1024" t="s">
        <v>58</v>
      </c>
      <c r="C175" s="1025" t="s">
        <v>660</v>
      </c>
      <c r="D175" s="1025" t="s">
        <v>780</v>
      </c>
      <c r="E175" s="1025" t="s">
        <v>837</v>
      </c>
      <c r="F175" s="1026">
        <v>45576</v>
      </c>
      <c r="G175" s="1026"/>
      <c r="H175" s="1027" t="s">
        <v>701</v>
      </c>
    </row>
    <row r="176" spans="1:8">
      <c r="A176" s="1018">
        <v>175</v>
      </c>
      <c r="B176" s="1019" t="s">
        <v>58</v>
      </c>
      <c r="C176" s="1020" t="s">
        <v>660</v>
      </c>
      <c r="D176" s="1020" t="s">
        <v>780</v>
      </c>
      <c r="E176" s="1020" t="s">
        <v>838</v>
      </c>
      <c r="F176" s="1021">
        <v>45576</v>
      </c>
      <c r="G176" s="1021">
        <v>45522</v>
      </c>
      <c r="H176" s="1022" t="s">
        <v>663</v>
      </c>
    </row>
    <row r="177" spans="1:8">
      <c r="A177" s="1023">
        <v>176</v>
      </c>
      <c r="B177" s="1024" t="s">
        <v>58</v>
      </c>
      <c r="C177" s="1025" t="s">
        <v>660</v>
      </c>
      <c r="D177" s="1025" t="s">
        <v>780</v>
      </c>
      <c r="E177" s="1025" t="s">
        <v>839</v>
      </c>
      <c r="F177" s="1026">
        <v>45576</v>
      </c>
      <c r="G177" s="1026">
        <v>45522</v>
      </c>
      <c r="H177" s="1027" t="s">
        <v>663</v>
      </c>
    </row>
    <row r="178" spans="1:8">
      <c r="A178" s="1018">
        <v>177</v>
      </c>
      <c r="B178" s="1019" t="s">
        <v>58</v>
      </c>
      <c r="C178" s="1020" t="s">
        <v>660</v>
      </c>
      <c r="D178" s="1020" t="s">
        <v>840</v>
      </c>
      <c r="E178" s="1020" t="s">
        <v>841</v>
      </c>
      <c r="F178" s="1021">
        <v>45358</v>
      </c>
      <c r="G178" s="1021">
        <v>45327</v>
      </c>
      <c r="H178" s="1022" t="s">
        <v>663</v>
      </c>
    </row>
    <row r="179" spans="1:8">
      <c r="A179" s="1023">
        <v>178</v>
      </c>
      <c r="B179" s="1024" t="s">
        <v>58</v>
      </c>
      <c r="C179" s="1025" t="s">
        <v>660</v>
      </c>
      <c r="D179" s="1025" t="s">
        <v>840</v>
      </c>
      <c r="E179" s="1025" t="s">
        <v>842</v>
      </c>
      <c r="F179" s="1026">
        <v>45358</v>
      </c>
      <c r="G179" s="1026">
        <v>45327</v>
      </c>
      <c r="H179" s="1027" t="s">
        <v>663</v>
      </c>
    </row>
    <row r="180" spans="1:8">
      <c r="A180" s="1018">
        <v>179</v>
      </c>
      <c r="B180" s="1019" t="s">
        <v>58</v>
      </c>
      <c r="C180" s="1020" t="s">
        <v>660</v>
      </c>
      <c r="D180" s="1020" t="s">
        <v>840</v>
      </c>
      <c r="E180" s="1020" t="s">
        <v>843</v>
      </c>
      <c r="F180" s="1021">
        <v>45358</v>
      </c>
      <c r="G180" s="1021">
        <v>45327</v>
      </c>
      <c r="H180" s="1022" t="s">
        <v>663</v>
      </c>
    </row>
    <row r="181" spans="1:8" ht="26">
      <c r="A181" s="1023">
        <v>180</v>
      </c>
      <c r="B181" s="1024" t="s">
        <v>58</v>
      </c>
      <c r="C181" s="1025" t="s">
        <v>660</v>
      </c>
      <c r="D181" s="1025" t="s">
        <v>840</v>
      </c>
      <c r="E181" s="1025" t="s">
        <v>844</v>
      </c>
      <c r="F181" s="1026">
        <v>45358</v>
      </c>
      <c r="G181" s="1026">
        <v>45327</v>
      </c>
      <c r="H181" s="1027" t="s">
        <v>663</v>
      </c>
    </row>
    <row r="182" spans="1:8" ht="26">
      <c r="A182" s="1018">
        <v>181</v>
      </c>
      <c r="B182" s="1019" t="s">
        <v>58</v>
      </c>
      <c r="C182" s="1020" t="s">
        <v>660</v>
      </c>
      <c r="D182" s="1020" t="s">
        <v>840</v>
      </c>
      <c r="E182" s="1020" t="s">
        <v>845</v>
      </c>
      <c r="F182" s="1021">
        <v>45358</v>
      </c>
      <c r="G182" s="1021"/>
      <c r="H182" s="1022" t="s">
        <v>701</v>
      </c>
    </row>
    <row r="183" spans="1:8">
      <c r="A183" s="1023">
        <v>182</v>
      </c>
      <c r="B183" s="1024" t="s">
        <v>58</v>
      </c>
      <c r="C183" s="1025" t="s">
        <v>660</v>
      </c>
      <c r="D183" s="1025" t="s">
        <v>840</v>
      </c>
      <c r="E183" s="1025" t="s">
        <v>798</v>
      </c>
      <c r="F183" s="1026">
        <v>45358</v>
      </c>
      <c r="G183" s="1026"/>
      <c r="H183" s="1027" t="s">
        <v>701</v>
      </c>
    </row>
    <row r="184" spans="1:8">
      <c r="A184" s="1018">
        <v>183</v>
      </c>
      <c r="B184" s="1019" t="s">
        <v>58</v>
      </c>
      <c r="C184" s="1020" t="s">
        <v>660</v>
      </c>
      <c r="D184" s="1020" t="s">
        <v>840</v>
      </c>
      <c r="E184" s="1020" t="s">
        <v>804</v>
      </c>
      <c r="F184" s="1021">
        <v>45576</v>
      </c>
      <c r="G184" s="1021">
        <v>45522</v>
      </c>
      <c r="H184" s="1022" t="s">
        <v>701</v>
      </c>
    </row>
    <row r="185" spans="1:8">
      <c r="A185" s="1023">
        <v>184</v>
      </c>
      <c r="B185" s="1024" t="s">
        <v>58</v>
      </c>
      <c r="C185" s="1025" t="s">
        <v>660</v>
      </c>
      <c r="D185" s="1025" t="s">
        <v>840</v>
      </c>
      <c r="E185" s="1025" t="s">
        <v>811</v>
      </c>
      <c r="F185" s="1026">
        <v>45576</v>
      </c>
      <c r="G185" s="1026"/>
      <c r="H185" s="1027" t="s">
        <v>701</v>
      </c>
    </row>
    <row r="186" spans="1:8">
      <c r="A186" s="1018">
        <v>185</v>
      </c>
      <c r="B186" s="1019" t="s">
        <v>58</v>
      </c>
      <c r="C186" s="1020" t="s">
        <v>660</v>
      </c>
      <c r="D186" s="1020" t="s">
        <v>840</v>
      </c>
      <c r="E186" s="1020" t="s">
        <v>812</v>
      </c>
      <c r="F186" s="1021">
        <v>45576</v>
      </c>
      <c r="G186" s="1021"/>
      <c r="H186" s="1022" t="s">
        <v>701</v>
      </c>
    </row>
    <row r="187" spans="1:8">
      <c r="A187" s="1023">
        <v>186</v>
      </c>
      <c r="B187" s="1024" t="s">
        <v>58</v>
      </c>
      <c r="C187" s="1025" t="s">
        <v>660</v>
      </c>
      <c r="D187" s="1025" t="s">
        <v>840</v>
      </c>
      <c r="E187" s="1025" t="s">
        <v>813</v>
      </c>
      <c r="F187" s="1026">
        <v>45576</v>
      </c>
      <c r="G187" s="1026"/>
      <c r="H187" s="1027" t="s">
        <v>701</v>
      </c>
    </row>
    <row r="188" spans="1:8">
      <c r="A188" s="1018">
        <v>187</v>
      </c>
      <c r="B188" s="1019" t="s">
        <v>58</v>
      </c>
      <c r="C188" s="1020" t="s">
        <v>660</v>
      </c>
      <c r="D188" s="1020" t="s">
        <v>840</v>
      </c>
      <c r="E188" s="1020" t="s">
        <v>814</v>
      </c>
      <c r="F188" s="1021">
        <v>45576</v>
      </c>
      <c r="G188" s="1021">
        <v>45531</v>
      </c>
      <c r="H188" s="1022" t="s">
        <v>663</v>
      </c>
    </row>
    <row r="189" spans="1:8">
      <c r="A189" s="1023">
        <v>188</v>
      </c>
      <c r="B189" s="1024" t="s">
        <v>58</v>
      </c>
      <c r="C189" s="1025" t="s">
        <v>660</v>
      </c>
      <c r="D189" s="1025" t="s">
        <v>840</v>
      </c>
      <c r="E189" s="1025" t="s">
        <v>815</v>
      </c>
      <c r="F189" s="1026">
        <v>45576</v>
      </c>
      <c r="G189" s="1021">
        <v>45531</v>
      </c>
      <c r="H189" s="1027" t="s">
        <v>663</v>
      </c>
    </row>
    <row r="190" spans="1:8">
      <c r="A190" s="1018">
        <v>189</v>
      </c>
      <c r="B190" s="1019" t="s">
        <v>58</v>
      </c>
      <c r="C190" s="1020" t="s">
        <v>660</v>
      </c>
      <c r="D190" s="1020" t="s">
        <v>840</v>
      </c>
      <c r="E190" s="1020" t="s">
        <v>822</v>
      </c>
      <c r="F190" s="1021">
        <v>45576</v>
      </c>
      <c r="G190" s="1021">
        <v>45532</v>
      </c>
      <c r="H190" s="1022" t="s">
        <v>663</v>
      </c>
    </row>
    <row r="191" spans="1:8">
      <c r="A191" s="1023">
        <v>190</v>
      </c>
      <c r="B191" s="1024" t="s">
        <v>58</v>
      </c>
      <c r="C191" s="1025" t="s">
        <v>660</v>
      </c>
      <c r="D191" s="1025" t="s">
        <v>840</v>
      </c>
      <c r="E191" s="1025" t="s">
        <v>823</v>
      </c>
      <c r="F191" s="1026">
        <v>45576</v>
      </c>
      <c r="G191" s="1026"/>
      <c r="H191" s="1027" t="s">
        <v>701</v>
      </c>
    </row>
    <row r="192" spans="1:8">
      <c r="A192" s="1018">
        <v>191</v>
      </c>
      <c r="B192" s="1019" t="s">
        <v>58</v>
      </c>
      <c r="C192" s="1020" t="s">
        <v>660</v>
      </c>
      <c r="D192" s="1020" t="s">
        <v>840</v>
      </c>
      <c r="E192" s="1020" t="s">
        <v>824</v>
      </c>
      <c r="F192" s="1021">
        <v>45576</v>
      </c>
      <c r="G192" s="1021">
        <v>45532</v>
      </c>
      <c r="H192" s="1022" t="s">
        <v>663</v>
      </c>
    </row>
    <row r="193" spans="1:8">
      <c r="A193" s="1023">
        <v>192</v>
      </c>
      <c r="B193" s="1024" t="s">
        <v>58</v>
      </c>
      <c r="C193" s="1025" t="s">
        <v>660</v>
      </c>
      <c r="D193" s="1025" t="s">
        <v>840</v>
      </c>
      <c r="E193" s="1025" t="s">
        <v>825</v>
      </c>
      <c r="F193" s="1026">
        <v>45576</v>
      </c>
      <c r="G193" s="1026"/>
      <c r="H193" s="1027" t="s">
        <v>701</v>
      </c>
    </row>
    <row r="194" spans="1:8">
      <c r="A194" s="1018">
        <v>193</v>
      </c>
      <c r="B194" s="1019" t="s">
        <v>58</v>
      </c>
      <c r="C194" s="1020" t="s">
        <v>660</v>
      </c>
      <c r="D194" s="1020" t="s">
        <v>840</v>
      </c>
      <c r="E194" s="1020" t="s">
        <v>826</v>
      </c>
      <c r="F194" s="1021">
        <v>45576</v>
      </c>
      <c r="G194" s="1021">
        <v>45532</v>
      </c>
      <c r="H194" s="1022" t="s">
        <v>663</v>
      </c>
    </row>
    <row r="195" spans="1:8">
      <c r="A195" s="1023">
        <v>194</v>
      </c>
      <c r="B195" s="1024" t="s">
        <v>58</v>
      </c>
      <c r="C195" s="1025" t="s">
        <v>660</v>
      </c>
      <c r="D195" s="1025" t="s">
        <v>840</v>
      </c>
      <c r="E195" s="1025" t="s">
        <v>827</v>
      </c>
      <c r="F195" s="1026">
        <v>45576</v>
      </c>
      <c r="G195" s="1026"/>
      <c r="H195" s="1027" t="s">
        <v>701</v>
      </c>
    </row>
    <row r="196" spans="1:8">
      <c r="A196" s="1018">
        <v>195</v>
      </c>
      <c r="B196" s="1019" t="s">
        <v>58</v>
      </c>
      <c r="C196" s="1020" t="s">
        <v>660</v>
      </c>
      <c r="D196" s="1020" t="s">
        <v>840</v>
      </c>
      <c r="E196" s="1020" t="s">
        <v>830</v>
      </c>
      <c r="F196" s="1021">
        <v>45576</v>
      </c>
      <c r="G196" s="1021">
        <v>45512</v>
      </c>
      <c r="H196" s="1022" t="s">
        <v>663</v>
      </c>
    </row>
    <row r="197" spans="1:8">
      <c r="A197" s="1023">
        <v>196</v>
      </c>
      <c r="B197" s="1024" t="s">
        <v>58</v>
      </c>
      <c r="C197" s="1025" t="s">
        <v>660</v>
      </c>
      <c r="D197" s="1025" t="s">
        <v>840</v>
      </c>
      <c r="E197" s="1025" t="s">
        <v>831</v>
      </c>
      <c r="F197" s="1026">
        <v>45576</v>
      </c>
      <c r="G197" s="1021">
        <v>45512</v>
      </c>
      <c r="H197" s="1027" t="s">
        <v>663</v>
      </c>
    </row>
    <row r="198" spans="1:8">
      <c r="A198" s="1018">
        <v>197</v>
      </c>
      <c r="B198" s="1019" t="s">
        <v>58</v>
      </c>
      <c r="C198" s="1020" t="s">
        <v>660</v>
      </c>
      <c r="D198" s="1020" t="s">
        <v>840</v>
      </c>
      <c r="E198" s="1020" t="s">
        <v>833</v>
      </c>
      <c r="F198" s="1021">
        <v>45576</v>
      </c>
      <c r="G198" s="1021">
        <v>45522</v>
      </c>
      <c r="H198" s="1022" t="s">
        <v>663</v>
      </c>
    </row>
    <row r="199" spans="1:8">
      <c r="A199" s="1023">
        <v>198</v>
      </c>
      <c r="B199" s="1024" t="s">
        <v>58</v>
      </c>
      <c r="C199" s="1025" t="s">
        <v>660</v>
      </c>
      <c r="D199" s="1025" t="s">
        <v>840</v>
      </c>
      <c r="E199" s="1025" t="s">
        <v>834</v>
      </c>
      <c r="F199" s="1026">
        <v>45576</v>
      </c>
      <c r="G199" s="1021">
        <v>45522</v>
      </c>
      <c r="H199" s="1027" t="s">
        <v>663</v>
      </c>
    </row>
    <row r="200" spans="1:8">
      <c r="A200" s="1018">
        <v>199</v>
      </c>
      <c r="B200" s="1019" t="s">
        <v>58</v>
      </c>
      <c r="C200" s="1020" t="s">
        <v>660</v>
      </c>
      <c r="D200" s="1020" t="s">
        <v>840</v>
      </c>
      <c r="E200" s="1020" t="s">
        <v>837</v>
      </c>
      <c r="F200" s="1021">
        <v>45576</v>
      </c>
      <c r="G200" s="1021"/>
      <c r="H200" s="1022" t="s">
        <v>701</v>
      </c>
    </row>
    <row r="201" spans="1:8">
      <c r="A201" s="1023">
        <v>200</v>
      </c>
      <c r="B201" s="1024" t="s">
        <v>58</v>
      </c>
      <c r="C201" s="1025" t="s">
        <v>660</v>
      </c>
      <c r="D201" s="1025" t="s">
        <v>840</v>
      </c>
      <c r="E201" s="1025" t="s">
        <v>838</v>
      </c>
      <c r="F201" s="1026">
        <v>45576</v>
      </c>
      <c r="G201" s="1021">
        <v>45522</v>
      </c>
      <c r="H201" s="1027" t="s">
        <v>663</v>
      </c>
    </row>
    <row r="202" spans="1:8">
      <c r="A202" s="1018">
        <v>201</v>
      </c>
      <c r="B202" s="1019" t="s">
        <v>58</v>
      </c>
      <c r="C202" s="1020" t="s">
        <v>660</v>
      </c>
      <c r="D202" s="1020" t="s">
        <v>840</v>
      </c>
      <c r="E202" s="1020" t="s">
        <v>839</v>
      </c>
      <c r="F202" s="1021">
        <v>45576</v>
      </c>
      <c r="G202" s="1021"/>
      <c r="H202" s="1022" t="s">
        <v>701</v>
      </c>
    </row>
    <row r="203" spans="1:8">
      <c r="A203" s="1023">
        <v>202</v>
      </c>
      <c r="B203" s="1024" t="s">
        <v>58</v>
      </c>
      <c r="C203" s="1025" t="s">
        <v>660</v>
      </c>
      <c r="D203" s="1025" t="s">
        <v>846</v>
      </c>
      <c r="E203" s="1025" t="s">
        <v>847</v>
      </c>
      <c r="F203" s="1026">
        <v>45358</v>
      </c>
      <c r="G203" s="1026">
        <v>45299</v>
      </c>
      <c r="H203" s="1027" t="s">
        <v>663</v>
      </c>
    </row>
    <row r="204" spans="1:8">
      <c r="A204" s="1018">
        <v>203</v>
      </c>
      <c r="B204" s="1019" t="s">
        <v>58</v>
      </c>
      <c r="C204" s="1020" t="s">
        <v>660</v>
      </c>
      <c r="D204" s="1020" t="s">
        <v>846</v>
      </c>
      <c r="E204" s="1020" t="s">
        <v>848</v>
      </c>
      <c r="F204" s="1021">
        <v>45358</v>
      </c>
      <c r="G204" s="1021">
        <v>45299</v>
      </c>
      <c r="H204" s="1022" t="s">
        <v>663</v>
      </c>
    </row>
    <row r="205" spans="1:8">
      <c r="A205" s="1023">
        <v>204</v>
      </c>
      <c r="B205" s="1024" t="s">
        <v>58</v>
      </c>
      <c r="C205" s="1025" t="s">
        <v>660</v>
      </c>
      <c r="D205" s="1025" t="s">
        <v>846</v>
      </c>
      <c r="E205" s="1025" t="s">
        <v>849</v>
      </c>
      <c r="F205" s="1026">
        <v>45358</v>
      </c>
      <c r="G205" s="1026">
        <v>45299</v>
      </c>
      <c r="H205" s="1027" t="s">
        <v>663</v>
      </c>
    </row>
    <row r="206" spans="1:8">
      <c r="A206" s="1018">
        <v>205</v>
      </c>
      <c r="B206" s="1019" t="s">
        <v>58</v>
      </c>
      <c r="C206" s="1020" t="s">
        <v>660</v>
      </c>
      <c r="D206" s="1020" t="s">
        <v>846</v>
      </c>
      <c r="E206" s="1020" t="s">
        <v>850</v>
      </c>
      <c r="F206" s="1021">
        <v>45358</v>
      </c>
      <c r="G206" s="1021">
        <v>45299</v>
      </c>
      <c r="H206" s="1022" t="s">
        <v>663</v>
      </c>
    </row>
    <row r="207" spans="1:8">
      <c r="A207" s="1023">
        <v>206</v>
      </c>
      <c r="B207" s="1024" t="s">
        <v>58</v>
      </c>
      <c r="C207" s="1025" t="s">
        <v>660</v>
      </c>
      <c r="D207" s="1025" t="s">
        <v>846</v>
      </c>
      <c r="E207" s="1025" t="s">
        <v>851</v>
      </c>
      <c r="F207" s="1026">
        <v>45358</v>
      </c>
      <c r="G207" s="1026">
        <v>45299</v>
      </c>
      <c r="H207" s="1027" t="s">
        <v>663</v>
      </c>
    </row>
    <row r="208" spans="1:8">
      <c r="A208" s="1018">
        <v>207</v>
      </c>
      <c r="B208" s="1019" t="s">
        <v>58</v>
      </c>
      <c r="C208" s="1020" t="s">
        <v>660</v>
      </c>
      <c r="D208" s="1020" t="s">
        <v>846</v>
      </c>
      <c r="E208" s="1020" t="s">
        <v>852</v>
      </c>
      <c r="F208" s="1021">
        <v>45358</v>
      </c>
      <c r="G208" s="1021">
        <v>45299</v>
      </c>
      <c r="H208" s="1022" t="s">
        <v>663</v>
      </c>
    </row>
    <row r="209" spans="1:8">
      <c r="A209" s="1023">
        <v>208</v>
      </c>
      <c r="B209" s="1024" t="s">
        <v>58</v>
      </c>
      <c r="C209" s="1025" t="s">
        <v>660</v>
      </c>
      <c r="D209" s="1025" t="s">
        <v>846</v>
      </c>
      <c r="E209" s="1025" t="s">
        <v>853</v>
      </c>
      <c r="F209" s="1026">
        <v>45358</v>
      </c>
      <c r="G209" s="1026">
        <v>45299</v>
      </c>
      <c r="H209" s="1027" t="s">
        <v>663</v>
      </c>
    </row>
    <row r="210" spans="1:8">
      <c r="A210" s="1018">
        <v>209</v>
      </c>
      <c r="B210" s="1019" t="s">
        <v>58</v>
      </c>
      <c r="C210" s="1020" t="s">
        <v>660</v>
      </c>
      <c r="D210" s="1020" t="s">
        <v>846</v>
      </c>
      <c r="E210" s="1020" t="s">
        <v>854</v>
      </c>
      <c r="F210" s="1021">
        <v>45358</v>
      </c>
      <c r="G210" s="1021">
        <v>45299</v>
      </c>
      <c r="H210" s="1022" t="s">
        <v>663</v>
      </c>
    </row>
    <row r="211" spans="1:8">
      <c r="A211" s="1023">
        <v>210</v>
      </c>
      <c r="B211" s="1024" t="s">
        <v>58</v>
      </c>
      <c r="C211" s="1025" t="s">
        <v>660</v>
      </c>
      <c r="D211" s="1025" t="s">
        <v>846</v>
      </c>
      <c r="E211" s="1025" t="s">
        <v>855</v>
      </c>
      <c r="F211" s="1026">
        <v>45358</v>
      </c>
      <c r="G211" s="1026">
        <v>45299</v>
      </c>
      <c r="H211" s="1027" t="s">
        <v>663</v>
      </c>
    </row>
    <row r="212" spans="1:8">
      <c r="A212" s="1018">
        <v>211</v>
      </c>
      <c r="B212" s="1019" t="s">
        <v>58</v>
      </c>
      <c r="C212" s="1020" t="s">
        <v>660</v>
      </c>
      <c r="D212" s="1020" t="s">
        <v>846</v>
      </c>
      <c r="E212" s="1020" t="s">
        <v>856</v>
      </c>
      <c r="F212" s="1021">
        <v>45358</v>
      </c>
      <c r="G212" s="1021">
        <v>45299</v>
      </c>
      <c r="H212" s="1022" t="s">
        <v>663</v>
      </c>
    </row>
    <row r="213" spans="1:8">
      <c r="A213" s="1023">
        <v>212</v>
      </c>
      <c r="B213" s="1024" t="s">
        <v>58</v>
      </c>
      <c r="C213" s="1025" t="s">
        <v>660</v>
      </c>
      <c r="D213" s="1025" t="s">
        <v>846</v>
      </c>
      <c r="E213" s="1025" t="s">
        <v>857</v>
      </c>
      <c r="F213" s="1026">
        <v>45358</v>
      </c>
      <c r="G213" s="1026">
        <v>45299</v>
      </c>
      <c r="H213" s="1027" t="s">
        <v>663</v>
      </c>
    </row>
    <row r="214" spans="1:8">
      <c r="A214" s="1018">
        <v>213</v>
      </c>
      <c r="B214" s="1019" t="s">
        <v>58</v>
      </c>
      <c r="C214" s="1020" t="s">
        <v>660</v>
      </c>
      <c r="D214" s="1020" t="s">
        <v>846</v>
      </c>
      <c r="E214" s="1020" t="s">
        <v>858</v>
      </c>
      <c r="F214" s="1021">
        <v>45358</v>
      </c>
      <c r="G214" s="1021">
        <v>45299</v>
      </c>
      <c r="H214" s="1022" t="s">
        <v>663</v>
      </c>
    </row>
    <row r="215" spans="1:8">
      <c r="A215" s="1023">
        <v>214</v>
      </c>
      <c r="B215" s="1024" t="s">
        <v>58</v>
      </c>
      <c r="C215" s="1025" t="s">
        <v>660</v>
      </c>
      <c r="D215" s="1025" t="s">
        <v>846</v>
      </c>
      <c r="E215" s="1025" t="s">
        <v>859</v>
      </c>
      <c r="F215" s="1026">
        <v>45358</v>
      </c>
      <c r="G215" s="1026">
        <v>45299</v>
      </c>
      <c r="H215" s="1027" t="s">
        <v>663</v>
      </c>
    </row>
    <row r="216" spans="1:8">
      <c r="A216" s="1018">
        <v>215</v>
      </c>
      <c r="B216" s="1019" t="s">
        <v>58</v>
      </c>
      <c r="C216" s="1020" t="s">
        <v>660</v>
      </c>
      <c r="D216" s="1020" t="s">
        <v>846</v>
      </c>
      <c r="E216" s="1020" t="s">
        <v>860</v>
      </c>
      <c r="F216" s="1021">
        <v>45389</v>
      </c>
      <c r="G216" s="1021">
        <v>45373</v>
      </c>
      <c r="H216" s="1022" t="s">
        <v>663</v>
      </c>
    </row>
    <row r="217" spans="1:8" ht="26">
      <c r="A217" s="1023">
        <v>216</v>
      </c>
      <c r="B217" s="1024" t="s">
        <v>58</v>
      </c>
      <c r="C217" s="1025" t="s">
        <v>660</v>
      </c>
      <c r="D217" s="1025" t="s">
        <v>846</v>
      </c>
      <c r="E217" s="1025" t="s">
        <v>861</v>
      </c>
      <c r="F217" s="1026">
        <v>45389</v>
      </c>
      <c r="G217" s="1026">
        <v>45373</v>
      </c>
      <c r="H217" s="1027" t="s">
        <v>663</v>
      </c>
    </row>
    <row r="218" spans="1:8" ht="26">
      <c r="A218" s="1018">
        <v>217</v>
      </c>
      <c r="B218" s="1019" t="s">
        <v>58</v>
      </c>
      <c r="C218" s="1020" t="s">
        <v>660</v>
      </c>
      <c r="D218" s="1020" t="s">
        <v>846</v>
      </c>
      <c r="E218" s="1020" t="s">
        <v>862</v>
      </c>
      <c r="F218" s="1021">
        <v>45389</v>
      </c>
      <c r="G218" s="1021">
        <v>45373</v>
      </c>
      <c r="H218" s="1022" t="s">
        <v>663</v>
      </c>
    </row>
    <row r="219" spans="1:8">
      <c r="A219" s="1023">
        <v>218</v>
      </c>
      <c r="B219" s="1024" t="s">
        <v>58</v>
      </c>
      <c r="C219" s="1025" t="s">
        <v>660</v>
      </c>
      <c r="D219" s="1025" t="s">
        <v>846</v>
      </c>
      <c r="E219" s="1025" t="s">
        <v>863</v>
      </c>
      <c r="F219" s="1026">
        <v>45389</v>
      </c>
      <c r="G219" s="1026">
        <v>45373</v>
      </c>
      <c r="H219" s="1027" t="s">
        <v>663</v>
      </c>
    </row>
    <row r="220" spans="1:8" ht="26">
      <c r="A220" s="1018">
        <v>219</v>
      </c>
      <c r="B220" s="1019" t="s">
        <v>58</v>
      </c>
      <c r="C220" s="1020" t="s">
        <v>660</v>
      </c>
      <c r="D220" s="1020" t="s">
        <v>846</v>
      </c>
      <c r="E220" s="1020" t="s">
        <v>864</v>
      </c>
      <c r="F220" s="1021">
        <v>45389</v>
      </c>
      <c r="G220" s="1021">
        <v>45373</v>
      </c>
      <c r="H220" s="1022" t="s">
        <v>663</v>
      </c>
    </row>
    <row r="221" spans="1:8" ht="26">
      <c r="A221" s="1023">
        <v>220</v>
      </c>
      <c r="B221" s="1024" t="s">
        <v>58</v>
      </c>
      <c r="C221" s="1025" t="s">
        <v>660</v>
      </c>
      <c r="D221" s="1025" t="s">
        <v>846</v>
      </c>
      <c r="E221" s="1025" t="s">
        <v>865</v>
      </c>
      <c r="F221" s="1026">
        <v>45389</v>
      </c>
      <c r="G221" s="1026">
        <v>45373</v>
      </c>
      <c r="H221" s="1027" t="s">
        <v>663</v>
      </c>
    </row>
    <row r="222" spans="1:8">
      <c r="A222" s="1018">
        <v>221</v>
      </c>
      <c r="B222" s="1019" t="s">
        <v>58</v>
      </c>
      <c r="C222" s="1020" t="s">
        <v>660</v>
      </c>
      <c r="D222" s="1020" t="s">
        <v>846</v>
      </c>
      <c r="E222" s="1020" t="s">
        <v>866</v>
      </c>
      <c r="F222" s="1021">
        <v>45389</v>
      </c>
      <c r="G222" s="1021">
        <v>45373</v>
      </c>
      <c r="H222" s="1022" t="s">
        <v>663</v>
      </c>
    </row>
    <row r="223" spans="1:8">
      <c r="A223" s="1023">
        <v>222</v>
      </c>
      <c r="B223" s="1024" t="s">
        <v>58</v>
      </c>
      <c r="C223" s="1025" t="s">
        <v>660</v>
      </c>
      <c r="D223" s="1025" t="s">
        <v>846</v>
      </c>
      <c r="E223" s="1025" t="s">
        <v>867</v>
      </c>
      <c r="F223" s="1026">
        <v>45389</v>
      </c>
      <c r="G223" s="1026">
        <v>45299</v>
      </c>
      <c r="H223" s="1027" t="s">
        <v>663</v>
      </c>
    </row>
    <row r="224" spans="1:8">
      <c r="A224" s="1018">
        <v>223</v>
      </c>
      <c r="B224" s="1019" t="s">
        <v>58</v>
      </c>
      <c r="C224" s="1020" t="s">
        <v>660</v>
      </c>
      <c r="D224" s="1020" t="s">
        <v>846</v>
      </c>
      <c r="E224" s="1020" t="s">
        <v>868</v>
      </c>
      <c r="F224" s="1021">
        <v>45389</v>
      </c>
      <c r="G224" s="1021">
        <v>45299</v>
      </c>
      <c r="H224" s="1022" t="s">
        <v>663</v>
      </c>
    </row>
    <row r="225" spans="1:8">
      <c r="A225" s="1023">
        <v>224</v>
      </c>
      <c r="B225" s="1024" t="s">
        <v>58</v>
      </c>
      <c r="C225" s="1025" t="s">
        <v>660</v>
      </c>
      <c r="D225" s="1025" t="s">
        <v>846</v>
      </c>
      <c r="E225" s="1025" t="s">
        <v>869</v>
      </c>
      <c r="F225" s="1026">
        <v>45389</v>
      </c>
      <c r="G225" s="1026">
        <v>45299</v>
      </c>
      <c r="H225" s="1027" t="s">
        <v>663</v>
      </c>
    </row>
    <row r="226" spans="1:8">
      <c r="A226" s="1018">
        <v>225</v>
      </c>
      <c r="B226" s="1019" t="s">
        <v>58</v>
      </c>
      <c r="C226" s="1020" t="s">
        <v>660</v>
      </c>
      <c r="D226" s="1020" t="s">
        <v>846</v>
      </c>
      <c r="E226" s="1020" t="s">
        <v>870</v>
      </c>
      <c r="F226" s="1021">
        <v>45389</v>
      </c>
      <c r="G226" s="1021">
        <v>45299</v>
      </c>
      <c r="H226" s="1022" t="s">
        <v>663</v>
      </c>
    </row>
    <row r="227" spans="1:8">
      <c r="A227" s="1023">
        <v>226</v>
      </c>
      <c r="B227" s="1024" t="s">
        <v>58</v>
      </c>
      <c r="C227" s="1025" t="s">
        <v>660</v>
      </c>
      <c r="D227" s="1025" t="s">
        <v>846</v>
      </c>
      <c r="E227" s="1025" t="s">
        <v>871</v>
      </c>
      <c r="F227" s="1026">
        <v>45440</v>
      </c>
      <c r="G227" s="1026">
        <v>45440</v>
      </c>
      <c r="H227" s="1027" t="s">
        <v>663</v>
      </c>
    </row>
    <row r="228" spans="1:8">
      <c r="A228" s="1018">
        <v>227</v>
      </c>
      <c r="B228" s="1019" t="s">
        <v>58</v>
      </c>
      <c r="C228" s="1020" t="s">
        <v>660</v>
      </c>
      <c r="D228" s="1020" t="s">
        <v>846</v>
      </c>
      <c r="E228" s="1020" t="s">
        <v>872</v>
      </c>
      <c r="F228" s="1021">
        <v>45389</v>
      </c>
      <c r="G228" s="1021">
        <v>45299</v>
      </c>
      <c r="H228" s="1022" t="s">
        <v>663</v>
      </c>
    </row>
    <row r="229" spans="1:8">
      <c r="A229" s="1023">
        <v>228</v>
      </c>
      <c r="B229" s="1024" t="s">
        <v>58</v>
      </c>
      <c r="C229" s="1025" t="s">
        <v>660</v>
      </c>
      <c r="D229" s="1025" t="s">
        <v>846</v>
      </c>
      <c r="E229" s="1025" t="s">
        <v>873</v>
      </c>
      <c r="F229" s="1026">
        <v>45389</v>
      </c>
      <c r="G229" s="1026">
        <v>45299</v>
      </c>
      <c r="H229" s="1027" t="s">
        <v>663</v>
      </c>
    </row>
    <row r="230" spans="1:8" ht="26">
      <c r="A230" s="1018">
        <v>229</v>
      </c>
      <c r="B230" s="1019" t="s">
        <v>58</v>
      </c>
      <c r="C230" s="1020" t="s">
        <v>660</v>
      </c>
      <c r="D230" s="1020" t="s">
        <v>846</v>
      </c>
      <c r="E230" s="1020" t="s">
        <v>874</v>
      </c>
      <c r="F230" s="1021">
        <v>45389</v>
      </c>
      <c r="G230" s="1021">
        <v>45299</v>
      </c>
      <c r="H230" s="1022" t="s">
        <v>663</v>
      </c>
    </row>
    <row r="231" spans="1:8" ht="26">
      <c r="A231" s="1023">
        <v>230</v>
      </c>
      <c r="B231" s="1024" t="s">
        <v>58</v>
      </c>
      <c r="C231" s="1025" t="s">
        <v>660</v>
      </c>
      <c r="D231" s="1025" t="s">
        <v>846</v>
      </c>
      <c r="E231" s="1025" t="s">
        <v>875</v>
      </c>
      <c r="F231" s="1026">
        <v>45389</v>
      </c>
      <c r="G231" s="1026">
        <v>45299</v>
      </c>
      <c r="H231" s="1027" t="s">
        <v>663</v>
      </c>
    </row>
    <row r="232" spans="1:8">
      <c r="A232" s="1018">
        <v>231</v>
      </c>
      <c r="B232" s="1019" t="s">
        <v>58</v>
      </c>
      <c r="C232" s="1020" t="s">
        <v>660</v>
      </c>
      <c r="D232" s="1020" t="s">
        <v>846</v>
      </c>
      <c r="E232" s="1020" t="s">
        <v>876</v>
      </c>
      <c r="F232" s="1021">
        <v>45389</v>
      </c>
      <c r="G232" s="1021">
        <v>45485</v>
      </c>
      <c r="H232" s="1022" t="s">
        <v>663</v>
      </c>
    </row>
    <row r="233" spans="1:8">
      <c r="A233" s="1023">
        <v>232</v>
      </c>
      <c r="B233" s="1024" t="s">
        <v>58</v>
      </c>
      <c r="C233" s="1025" t="s">
        <v>660</v>
      </c>
      <c r="D233" s="1025" t="s">
        <v>846</v>
      </c>
      <c r="E233" s="1025" t="s">
        <v>877</v>
      </c>
      <c r="F233" s="1026">
        <v>45576</v>
      </c>
      <c r="G233" s="1026"/>
      <c r="H233" s="1027" t="s">
        <v>701</v>
      </c>
    </row>
    <row r="234" spans="1:8">
      <c r="A234" s="1018">
        <v>233</v>
      </c>
      <c r="B234" s="1019" t="s">
        <v>58</v>
      </c>
      <c r="C234" s="1020" t="s">
        <v>660</v>
      </c>
      <c r="D234" s="1020" t="s">
        <v>846</v>
      </c>
      <c r="E234" s="1020" t="s">
        <v>878</v>
      </c>
      <c r="F234" s="1021">
        <v>45576</v>
      </c>
      <c r="G234" s="1021"/>
      <c r="H234" s="1022" t="s">
        <v>701</v>
      </c>
    </row>
    <row r="235" spans="1:8">
      <c r="A235" s="1023">
        <v>234</v>
      </c>
      <c r="B235" s="1024" t="s">
        <v>58</v>
      </c>
      <c r="C235" s="1025" t="s">
        <v>660</v>
      </c>
      <c r="D235" s="1025" t="s">
        <v>846</v>
      </c>
      <c r="E235" s="1025" t="s">
        <v>879</v>
      </c>
      <c r="F235" s="1026">
        <v>45389</v>
      </c>
      <c r="G235" s="1026">
        <v>45363</v>
      </c>
      <c r="H235" s="1027" t="s">
        <v>663</v>
      </c>
    </row>
    <row r="236" spans="1:8">
      <c r="A236" s="1018">
        <v>235</v>
      </c>
      <c r="B236" s="1019" t="s">
        <v>58</v>
      </c>
      <c r="C236" s="1020" t="s">
        <v>660</v>
      </c>
      <c r="D236" s="1020" t="s">
        <v>846</v>
      </c>
      <c r="E236" s="1020" t="s">
        <v>880</v>
      </c>
      <c r="F236" s="1021">
        <v>45389</v>
      </c>
      <c r="G236" s="1021">
        <v>45363</v>
      </c>
      <c r="H236" s="1022" t="s">
        <v>663</v>
      </c>
    </row>
    <row r="237" spans="1:8">
      <c r="A237" s="1023">
        <v>236</v>
      </c>
      <c r="B237" s="1024" t="s">
        <v>58</v>
      </c>
      <c r="C237" s="1025" t="s">
        <v>660</v>
      </c>
      <c r="D237" s="1025" t="s">
        <v>846</v>
      </c>
      <c r="E237" s="1025" t="s">
        <v>881</v>
      </c>
      <c r="F237" s="1026">
        <v>45389</v>
      </c>
      <c r="G237" s="1026">
        <v>45363</v>
      </c>
      <c r="H237" s="1027" t="s">
        <v>663</v>
      </c>
    </row>
    <row r="238" spans="1:8">
      <c r="A238" s="1018">
        <v>237</v>
      </c>
      <c r="B238" s="1019" t="s">
        <v>58</v>
      </c>
      <c r="C238" s="1020" t="s">
        <v>660</v>
      </c>
      <c r="D238" s="1020" t="s">
        <v>846</v>
      </c>
      <c r="E238" s="1020" t="s">
        <v>882</v>
      </c>
      <c r="F238" s="1021">
        <v>45389</v>
      </c>
      <c r="G238" s="1021">
        <v>45363</v>
      </c>
      <c r="H238" s="1022" t="s">
        <v>663</v>
      </c>
    </row>
    <row r="239" spans="1:8">
      <c r="A239" s="1023">
        <v>238</v>
      </c>
      <c r="B239" s="1024" t="s">
        <v>58</v>
      </c>
      <c r="C239" s="1025" t="s">
        <v>660</v>
      </c>
      <c r="D239" s="1025" t="s">
        <v>846</v>
      </c>
      <c r="E239" s="1025" t="s">
        <v>883</v>
      </c>
      <c r="F239" s="1026">
        <v>45389</v>
      </c>
      <c r="G239" s="1026">
        <v>45363</v>
      </c>
      <c r="H239" s="1027" t="s">
        <v>663</v>
      </c>
    </row>
    <row r="240" spans="1:8">
      <c r="A240" s="1018">
        <v>239</v>
      </c>
      <c r="B240" s="1019" t="s">
        <v>58</v>
      </c>
      <c r="C240" s="1020" t="s">
        <v>660</v>
      </c>
      <c r="D240" s="1020" t="s">
        <v>846</v>
      </c>
      <c r="E240" s="1020" t="s">
        <v>884</v>
      </c>
      <c r="F240" s="1021">
        <v>45389</v>
      </c>
      <c r="G240" s="1021">
        <v>45363</v>
      </c>
      <c r="H240" s="1022" t="s">
        <v>663</v>
      </c>
    </row>
    <row r="241" spans="1:8">
      <c r="A241" s="1023">
        <v>240</v>
      </c>
      <c r="B241" s="1024" t="s">
        <v>58</v>
      </c>
      <c r="C241" s="1025" t="s">
        <v>660</v>
      </c>
      <c r="D241" s="1025" t="s">
        <v>846</v>
      </c>
      <c r="E241" s="1025" t="s">
        <v>885</v>
      </c>
      <c r="F241" s="1026">
        <v>45389</v>
      </c>
      <c r="G241" s="1026">
        <v>45363</v>
      </c>
      <c r="H241" s="1027" t="s">
        <v>663</v>
      </c>
    </row>
    <row r="242" spans="1:8">
      <c r="A242" s="1018">
        <v>241</v>
      </c>
      <c r="B242" s="1019" t="s">
        <v>58</v>
      </c>
      <c r="C242" s="1020" t="s">
        <v>660</v>
      </c>
      <c r="D242" s="1020" t="s">
        <v>846</v>
      </c>
      <c r="E242" s="1020" t="s">
        <v>886</v>
      </c>
      <c r="F242" s="1021">
        <v>45389</v>
      </c>
      <c r="G242" s="1021">
        <v>45363</v>
      </c>
      <c r="H242" s="1022" t="s">
        <v>663</v>
      </c>
    </row>
    <row r="243" spans="1:8">
      <c r="A243" s="1023">
        <v>242</v>
      </c>
      <c r="B243" s="1024" t="s">
        <v>58</v>
      </c>
      <c r="C243" s="1025" t="s">
        <v>660</v>
      </c>
      <c r="D243" s="1025" t="s">
        <v>846</v>
      </c>
      <c r="E243" s="1025" t="s">
        <v>887</v>
      </c>
      <c r="F243" s="1026">
        <v>45389</v>
      </c>
      <c r="G243" s="1026">
        <v>45378</v>
      </c>
      <c r="H243" s="1027" t="s">
        <v>663</v>
      </c>
    </row>
    <row r="244" spans="1:8">
      <c r="A244" s="1018">
        <v>243</v>
      </c>
      <c r="B244" s="1019" t="s">
        <v>58</v>
      </c>
      <c r="C244" s="1020" t="s">
        <v>660</v>
      </c>
      <c r="D244" s="1020" t="s">
        <v>846</v>
      </c>
      <c r="E244" s="1020" t="s">
        <v>888</v>
      </c>
      <c r="F244" s="1021">
        <v>45389</v>
      </c>
      <c r="G244" s="1021">
        <v>45378</v>
      </c>
      <c r="H244" s="1022" t="s">
        <v>663</v>
      </c>
    </row>
    <row r="245" spans="1:8">
      <c r="A245" s="1023">
        <v>244</v>
      </c>
      <c r="B245" s="1024" t="s">
        <v>58</v>
      </c>
      <c r="C245" s="1025" t="s">
        <v>660</v>
      </c>
      <c r="D245" s="1025" t="s">
        <v>846</v>
      </c>
      <c r="E245" s="1025" t="s">
        <v>889</v>
      </c>
      <c r="F245" s="1026">
        <v>45389</v>
      </c>
      <c r="G245" s="1026">
        <v>45378</v>
      </c>
      <c r="H245" s="1027" t="s">
        <v>663</v>
      </c>
    </row>
    <row r="246" spans="1:8">
      <c r="A246" s="1018">
        <v>245</v>
      </c>
      <c r="B246" s="1019" t="s">
        <v>58</v>
      </c>
      <c r="C246" s="1020" t="s">
        <v>660</v>
      </c>
      <c r="D246" s="1020" t="s">
        <v>846</v>
      </c>
      <c r="E246" s="1020" t="s">
        <v>890</v>
      </c>
      <c r="F246" s="1021">
        <v>45389</v>
      </c>
      <c r="G246" s="1021">
        <v>45378</v>
      </c>
      <c r="H246" s="1022" t="s">
        <v>663</v>
      </c>
    </row>
    <row r="247" spans="1:8">
      <c r="A247" s="1023">
        <v>246</v>
      </c>
      <c r="B247" s="1024" t="s">
        <v>58</v>
      </c>
      <c r="C247" s="1025" t="s">
        <v>660</v>
      </c>
      <c r="D247" s="1025" t="s">
        <v>846</v>
      </c>
      <c r="E247" s="1025" t="s">
        <v>891</v>
      </c>
      <c r="F247" s="1026">
        <v>45389</v>
      </c>
      <c r="G247" s="1026">
        <v>45436</v>
      </c>
      <c r="H247" s="1027" t="s">
        <v>663</v>
      </c>
    </row>
    <row r="248" spans="1:8">
      <c r="A248" s="1018">
        <v>247</v>
      </c>
      <c r="B248" s="1019" t="s">
        <v>58</v>
      </c>
      <c r="C248" s="1020" t="s">
        <v>660</v>
      </c>
      <c r="D248" s="1020" t="s">
        <v>846</v>
      </c>
      <c r="E248" s="1020" t="s">
        <v>892</v>
      </c>
      <c r="F248" s="1021">
        <v>45389</v>
      </c>
      <c r="G248" s="1021">
        <v>45436</v>
      </c>
      <c r="H248" s="1022" t="s">
        <v>663</v>
      </c>
    </row>
    <row r="249" spans="1:8">
      <c r="A249" s="1023">
        <v>248</v>
      </c>
      <c r="B249" s="1024" t="s">
        <v>58</v>
      </c>
      <c r="C249" s="1025" t="s">
        <v>660</v>
      </c>
      <c r="D249" s="1025" t="s">
        <v>846</v>
      </c>
      <c r="E249" s="1025" t="s">
        <v>893</v>
      </c>
      <c r="F249" s="1026">
        <v>45389</v>
      </c>
      <c r="G249" s="1026">
        <v>45440</v>
      </c>
      <c r="H249" s="1027" t="s">
        <v>663</v>
      </c>
    </row>
    <row r="250" spans="1:8">
      <c r="A250" s="1018">
        <v>249</v>
      </c>
      <c r="B250" s="1019" t="s">
        <v>58</v>
      </c>
      <c r="C250" s="1020" t="s">
        <v>660</v>
      </c>
      <c r="D250" s="1020" t="s">
        <v>846</v>
      </c>
      <c r="E250" s="1020" t="s">
        <v>894</v>
      </c>
      <c r="F250" s="1021">
        <v>45389</v>
      </c>
      <c r="G250" s="1021">
        <v>45440</v>
      </c>
      <c r="H250" s="1022" t="s">
        <v>663</v>
      </c>
    </row>
    <row r="251" spans="1:8">
      <c r="A251" s="1023">
        <v>250</v>
      </c>
      <c r="B251" s="1024" t="s">
        <v>58</v>
      </c>
      <c r="C251" s="1025" t="s">
        <v>660</v>
      </c>
      <c r="D251" s="1025" t="s">
        <v>846</v>
      </c>
      <c r="E251" s="1025" t="s">
        <v>895</v>
      </c>
      <c r="F251" s="1026">
        <v>45576</v>
      </c>
      <c r="G251" s="1026">
        <v>45363</v>
      </c>
      <c r="H251" s="1027" t="s">
        <v>663</v>
      </c>
    </row>
    <row r="252" spans="1:8">
      <c r="A252" s="1018">
        <v>251</v>
      </c>
      <c r="B252" s="1019" t="s">
        <v>58</v>
      </c>
      <c r="C252" s="1020" t="s">
        <v>660</v>
      </c>
      <c r="D252" s="1020" t="s">
        <v>846</v>
      </c>
      <c r="E252" s="1020" t="s">
        <v>896</v>
      </c>
      <c r="F252" s="1021">
        <v>45576</v>
      </c>
      <c r="G252" s="1021">
        <v>45363</v>
      </c>
      <c r="H252" s="1022" t="s">
        <v>663</v>
      </c>
    </row>
    <row r="253" spans="1:8">
      <c r="A253" s="1023">
        <v>252</v>
      </c>
      <c r="B253" s="1024" t="s">
        <v>58</v>
      </c>
      <c r="C253" s="1025" t="s">
        <v>660</v>
      </c>
      <c r="D253" s="1025" t="s">
        <v>846</v>
      </c>
      <c r="E253" s="1025" t="s">
        <v>897</v>
      </c>
      <c r="F253" s="1026">
        <v>45576</v>
      </c>
      <c r="G253" s="1026">
        <v>45363</v>
      </c>
      <c r="H253" s="1027" t="s">
        <v>663</v>
      </c>
    </row>
    <row r="254" spans="1:8">
      <c r="A254" s="1018">
        <v>253</v>
      </c>
      <c r="B254" s="1019" t="s">
        <v>58</v>
      </c>
      <c r="C254" s="1020" t="s">
        <v>660</v>
      </c>
      <c r="D254" s="1020" t="s">
        <v>846</v>
      </c>
      <c r="E254" s="1020" t="s">
        <v>898</v>
      </c>
      <c r="F254" s="1021">
        <v>45576</v>
      </c>
      <c r="G254" s="1021">
        <v>45363</v>
      </c>
      <c r="H254" s="1022" t="s">
        <v>663</v>
      </c>
    </row>
    <row r="255" spans="1:8">
      <c r="A255" s="1023">
        <v>254</v>
      </c>
      <c r="B255" s="1024" t="s">
        <v>58</v>
      </c>
      <c r="C255" s="1025" t="s">
        <v>660</v>
      </c>
      <c r="D255" s="1025" t="s">
        <v>846</v>
      </c>
      <c r="E255" s="1025" t="s">
        <v>899</v>
      </c>
      <c r="F255" s="1026">
        <v>45389</v>
      </c>
      <c r="G255" s="1026">
        <v>45363</v>
      </c>
      <c r="H255" s="1027" t="s">
        <v>663</v>
      </c>
    </row>
    <row r="256" spans="1:8">
      <c r="A256" s="1018">
        <v>255</v>
      </c>
      <c r="B256" s="1019" t="s">
        <v>58</v>
      </c>
      <c r="C256" s="1020" t="s">
        <v>660</v>
      </c>
      <c r="D256" s="1020" t="s">
        <v>846</v>
      </c>
      <c r="E256" s="1020" t="s">
        <v>900</v>
      </c>
      <c r="F256" s="1021">
        <v>45389</v>
      </c>
      <c r="G256" s="1021">
        <v>45363</v>
      </c>
      <c r="H256" s="1022" t="s">
        <v>663</v>
      </c>
    </row>
    <row r="257" spans="1:8">
      <c r="A257" s="1023">
        <v>256</v>
      </c>
      <c r="B257" s="1024" t="s">
        <v>58</v>
      </c>
      <c r="C257" s="1025" t="s">
        <v>660</v>
      </c>
      <c r="D257" s="1025" t="s">
        <v>846</v>
      </c>
      <c r="E257" s="1025" t="s">
        <v>901</v>
      </c>
      <c r="F257" s="1026">
        <v>45389</v>
      </c>
      <c r="G257" s="1026">
        <v>45363</v>
      </c>
      <c r="H257" s="1027" t="s">
        <v>663</v>
      </c>
    </row>
    <row r="258" spans="1:8">
      <c r="A258" s="1018">
        <v>257</v>
      </c>
      <c r="B258" s="1019" t="s">
        <v>58</v>
      </c>
      <c r="C258" s="1020" t="s">
        <v>660</v>
      </c>
      <c r="D258" s="1020" t="s">
        <v>846</v>
      </c>
      <c r="E258" s="1020" t="s">
        <v>902</v>
      </c>
      <c r="F258" s="1021">
        <v>45389</v>
      </c>
      <c r="G258" s="1021">
        <v>45363</v>
      </c>
      <c r="H258" s="1022" t="s">
        <v>663</v>
      </c>
    </row>
    <row r="259" spans="1:8">
      <c r="A259" s="1023">
        <v>258</v>
      </c>
      <c r="B259" s="1024" t="s">
        <v>58</v>
      </c>
      <c r="C259" s="1025" t="s">
        <v>660</v>
      </c>
      <c r="D259" s="1025" t="s">
        <v>846</v>
      </c>
      <c r="E259" s="1025" t="s">
        <v>903</v>
      </c>
      <c r="F259" s="1026">
        <v>45397</v>
      </c>
      <c r="G259" s="1026">
        <v>45397</v>
      </c>
      <c r="H259" s="1027" t="s">
        <v>663</v>
      </c>
    </row>
    <row r="260" spans="1:8">
      <c r="A260" s="1018">
        <v>259</v>
      </c>
      <c r="B260" s="1019" t="s">
        <v>58</v>
      </c>
      <c r="C260" s="1020" t="s">
        <v>660</v>
      </c>
      <c r="D260" s="1020" t="s">
        <v>846</v>
      </c>
      <c r="E260" s="1020" t="s">
        <v>904</v>
      </c>
      <c r="F260" s="1021">
        <v>45386</v>
      </c>
      <c r="G260" s="1021">
        <v>45386</v>
      </c>
      <c r="H260" s="1022" t="s">
        <v>663</v>
      </c>
    </row>
    <row r="261" spans="1:8">
      <c r="A261" s="1023">
        <v>260</v>
      </c>
      <c r="B261" s="1024" t="s">
        <v>58</v>
      </c>
      <c r="C261" s="1025" t="s">
        <v>660</v>
      </c>
      <c r="D261" s="1025" t="s">
        <v>846</v>
      </c>
      <c r="E261" s="1025" t="s">
        <v>905</v>
      </c>
      <c r="F261" s="1026">
        <v>45389</v>
      </c>
      <c r="G261" s="1026">
        <v>45378</v>
      </c>
      <c r="H261" s="1027" t="s">
        <v>663</v>
      </c>
    </row>
    <row r="262" spans="1:8">
      <c r="A262" s="1018">
        <v>261</v>
      </c>
      <c r="B262" s="1019" t="s">
        <v>58</v>
      </c>
      <c r="C262" s="1020" t="s">
        <v>660</v>
      </c>
      <c r="D262" s="1020" t="s">
        <v>846</v>
      </c>
      <c r="E262" s="1020" t="s">
        <v>906</v>
      </c>
      <c r="F262" s="1021">
        <v>45389</v>
      </c>
      <c r="G262" s="1021">
        <v>45409</v>
      </c>
      <c r="H262" s="1022" t="s">
        <v>663</v>
      </c>
    </row>
    <row r="263" spans="1:8" ht="26">
      <c r="A263" s="1023">
        <v>262</v>
      </c>
      <c r="B263" s="1024" t="s">
        <v>58</v>
      </c>
      <c r="C263" s="1025" t="s">
        <v>660</v>
      </c>
      <c r="D263" s="1025" t="s">
        <v>846</v>
      </c>
      <c r="E263" s="1025" t="s">
        <v>907</v>
      </c>
      <c r="F263" s="1026">
        <v>45389</v>
      </c>
      <c r="G263" s="1026">
        <v>45409</v>
      </c>
      <c r="H263" s="1027" t="s">
        <v>663</v>
      </c>
    </row>
    <row r="264" spans="1:8">
      <c r="A264" s="1018">
        <v>263</v>
      </c>
      <c r="B264" s="1019" t="s">
        <v>58</v>
      </c>
      <c r="C264" s="1020" t="s">
        <v>660</v>
      </c>
      <c r="D264" s="1020" t="s">
        <v>846</v>
      </c>
      <c r="E264" s="1020" t="s">
        <v>908</v>
      </c>
      <c r="F264" s="1021">
        <v>45389</v>
      </c>
      <c r="G264" s="1021">
        <v>45409</v>
      </c>
      <c r="H264" s="1022" t="s">
        <v>663</v>
      </c>
    </row>
    <row r="265" spans="1:8">
      <c r="A265" s="1023">
        <v>264</v>
      </c>
      <c r="B265" s="1024" t="s">
        <v>58</v>
      </c>
      <c r="C265" s="1025" t="s">
        <v>660</v>
      </c>
      <c r="D265" s="1025" t="s">
        <v>846</v>
      </c>
      <c r="E265" s="1025" t="s">
        <v>909</v>
      </c>
      <c r="F265" s="1026">
        <v>45389</v>
      </c>
      <c r="G265" s="1026">
        <v>45409</v>
      </c>
      <c r="H265" s="1027" t="s">
        <v>663</v>
      </c>
    </row>
    <row r="266" spans="1:8">
      <c r="A266" s="1018">
        <v>265</v>
      </c>
      <c r="B266" s="1019" t="s">
        <v>58</v>
      </c>
      <c r="C266" s="1020" t="s">
        <v>660</v>
      </c>
      <c r="D266" s="1020" t="s">
        <v>846</v>
      </c>
      <c r="E266" s="1020" t="s">
        <v>910</v>
      </c>
      <c r="F266" s="1021">
        <v>45389</v>
      </c>
      <c r="G266" s="1021">
        <v>45412</v>
      </c>
      <c r="H266" s="1022" t="s">
        <v>663</v>
      </c>
    </row>
    <row r="267" spans="1:8">
      <c r="A267" s="1023">
        <v>266</v>
      </c>
      <c r="B267" s="1024" t="s">
        <v>58</v>
      </c>
      <c r="C267" s="1025" t="s">
        <v>660</v>
      </c>
      <c r="D267" s="1025" t="s">
        <v>846</v>
      </c>
      <c r="E267" s="1025" t="s">
        <v>911</v>
      </c>
      <c r="F267" s="1026">
        <v>45389</v>
      </c>
      <c r="G267" s="1026">
        <v>45436</v>
      </c>
      <c r="H267" s="1027" t="s">
        <v>663</v>
      </c>
    </row>
    <row r="268" spans="1:8">
      <c r="A268" s="1018">
        <v>267</v>
      </c>
      <c r="B268" s="1019" t="s">
        <v>58</v>
      </c>
      <c r="C268" s="1020" t="s">
        <v>660</v>
      </c>
      <c r="D268" s="1020" t="s">
        <v>846</v>
      </c>
      <c r="E268" s="1020" t="s">
        <v>912</v>
      </c>
      <c r="F268" s="1021">
        <v>45389</v>
      </c>
      <c r="G268" s="1021">
        <v>45440</v>
      </c>
      <c r="H268" s="1022" t="s">
        <v>663</v>
      </c>
    </row>
    <row r="269" spans="1:8">
      <c r="A269" s="1023">
        <v>268</v>
      </c>
      <c r="B269" s="1024" t="s">
        <v>58</v>
      </c>
      <c r="C269" s="1025" t="s">
        <v>660</v>
      </c>
      <c r="D269" s="1025" t="s">
        <v>846</v>
      </c>
      <c r="E269" s="1025" t="s">
        <v>913</v>
      </c>
      <c r="F269" s="1026">
        <v>45389</v>
      </c>
      <c r="G269" s="1026">
        <v>45363</v>
      </c>
      <c r="H269" s="1027" t="s">
        <v>663</v>
      </c>
    </row>
    <row r="270" spans="1:8">
      <c r="A270" s="1018">
        <v>269</v>
      </c>
      <c r="B270" s="1019" t="s">
        <v>58</v>
      </c>
      <c r="C270" s="1020" t="s">
        <v>660</v>
      </c>
      <c r="D270" s="1020" t="s">
        <v>846</v>
      </c>
      <c r="E270" s="1020" t="s">
        <v>914</v>
      </c>
      <c r="F270" s="1021">
        <v>45389</v>
      </c>
      <c r="G270" s="1021">
        <v>45363</v>
      </c>
      <c r="H270" s="1022" t="s">
        <v>663</v>
      </c>
    </row>
    <row r="271" spans="1:8">
      <c r="A271" s="1023">
        <v>270</v>
      </c>
      <c r="B271" s="1024" t="s">
        <v>58</v>
      </c>
      <c r="C271" s="1025" t="s">
        <v>660</v>
      </c>
      <c r="D271" s="1025" t="s">
        <v>846</v>
      </c>
      <c r="E271" s="1025" t="s">
        <v>915</v>
      </c>
      <c r="F271" s="1026">
        <v>45576</v>
      </c>
      <c r="G271" s="1026">
        <v>45466</v>
      </c>
      <c r="H271" s="1027" t="s">
        <v>663</v>
      </c>
    </row>
    <row r="272" spans="1:8">
      <c r="A272" s="1018">
        <v>271</v>
      </c>
      <c r="B272" s="1019" t="s">
        <v>58</v>
      </c>
      <c r="C272" s="1020" t="s">
        <v>660</v>
      </c>
      <c r="D272" s="1020" t="s">
        <v>846</v>
      </c>
      <c r="E272" s="1020" t="s">
        <v>916</v>
      </c>
      <c r="F272" s="1021">
        <v>45576</v>
      </c>
      <c r="G272" s="1021">
        <v>45532</v>
      </c>
      <c r="H272" s="1022" t="s">
        <v>663</v>
      </c>
    </row>
    <row r="273" spans="1:8">
      <c r="A273" s="1023">
        <v>272</v>
      </c>
      <c r="B273" s="1024" t="s">
        <v>58</v>
      </c>
      <c r="C273" s="1025" t="s">
        <v>660</v>
      </c>
      <c r="D273" s="1025" t="s">
        <v>846</v>
      </c>
      <c r="E273" s="1025" t="s">
        <v>917</v>
      </c>
      <c r="F273" s="1026">
        <v>45576</v>
      </c>
      <c r="G273" s="1026">
        <v>45532</v>
      </c>
      <c r="H273" s="1027" t="s">
        <v>663</v>
      </c>
    </row>
    <row r="274" spans="1:8">
      <c r="A274" s="1018">
        <v>273</v>
      </c>
      <c r="B274" s="1019" t="s">
        <v>58</v>
      </c>
      <c r="C274" s="1020" t="s">
        <v>660</v>
      </c>
      <c r="D274" s="1020" t="s">
        <v>846</v>
      </c>
      <c r="E274" s="1020" t="s">
        <v>918</v>
      </c>
      <c r="F274" s="1021">
        <v>45576</v>
      </c>
      <c r="G274" s="1021">
        <v>45532</v>
      </c>
      <c r="H274" s="1022" t="s">
        <v>663</v>
      </c>
    </row>
    <row r="275" spans="1:8">
      <c r="A275" s="1023">
        <v>274</v>
      </c>
      <c r="B275" s="1024" t="s">
        <v>58</v>
      </c>
      <c r="C275" s="1025" t="s">
        <v>660</v>
      </c>
      <c r="D275" s="1025" t="s">
        <v>846</v>
      </c>
      <c r="E275" s="1025" t="s">
        <v>919</v>
      </c>
      <c r="F275" s="1026">
        <v>45576</v>
      </c>
      <c r="G275" s="1026">
        <v>45532</v>
      </c>
      <c r="H275" s="1027" t="s">
        <v>663</v>
      </c>
    </row>
    <row r="276" spans="1:8">
      <c r="A276" s="1018">
        <v>275</v>
      </c>
      <c r="B276" s="1019" t="s">
        <v>58</v>
      </c>
      <c r="C276" s="1020" t="s">
        <v>660</v>
      </c>
      <c r="D276" s="1020" t="s">
        <v>846</v>
      </c>
      <c r="E276" s="1020" t="s">
        <v>920</v>
      </c>
      <c r="F276" s="1021">
        <v>45576</v>
      </c>
      <c r="G276" s="1021">
        <v>45532</v>
      </c>
      <c r="H276" s="1022" t="s">
        <v>663</v>
      </c>
    </row>
    <row r="277" spans="1:8">
      <c r="A277" s="1023">
        <v>276</v>
      </c>
      <c r="B277" s="1024" t="s">
        <v>58</v>
      </c>
      <c r="C277" s="1025" t="s">
        <v>660</v>
      </c>
      <c r="D277" s="1025" t="s">
        <v>846</v>
      </c>
      <c r="E277" s="1025" t="s">
        <v>921</v>
      </c>
      <c r="F277" s="1026">
        <v>45576</v>
      </c>
      <c r="G277" s="1026">
        <v>45532</v>
      </c>
      <c r="H277" s="1027" t="s">
        <v>663</v>
      </c>
    </row>
    <row r="278" spans="1:8">
      <c r="A278" s="1018">
        <v>277</v>
      </c>
      <c r="B278" s="1019" t="s">
        <v>58</v>
      </c>
      <c r="C278" s="1020" t="s">
        <v>660</v>
      </c>
      <c r="D278" s="1020" t="s">
        <v>846</v>
      </c>
      <c r="E278" s="1020" t="s">
        <v>922</v>
      </c>
      <c r="F278" s="1021">
        <v>45576</v>
      </c>
      <c r="G278" s="1021"/>
      <c r="H278" s="1022" t="s">
        <v>701</v>
      </c>
    </row>
    <row r="279" spans="1:8">
      <c r="A279" s="1023">
        <v>278</v>
      </c>
      <c r="B279" s="1024" t="s">
        <v>58</v>
      </c>
      <c r="C279" s="1025" t="s">
        <v>660</v>
      </c>
      <c r="D279" s="1025" t="s">
        <v>846</v>
      </c>
      <c r="E279" s="1025" t="s">
        <v>923</v>
      </c>
      <c r="F279" s="1026">
        <v>45576</v>
      </c>
      <c r="G279" s="1026"/>
      <c r="H279" s="1027" t="s">
        <v>701</v>
      </c>
    </row>
    <row r="280" spans="1:8">
      <c r="A280" s="1018">
        <v>279</v>
      </c>
      <c r="B280" s="1019" t="s">
        <v>58</v>
      </c>
      <c r="C280" s="1020" t="s">
        <v>660</v>
      </c>
      <c r="D280" s="1020" t="s">
        <v>846</v>
      </c>
      <c r="E280" s="1020" t="s">
        <v>924</v>
      </c>
      <c r="F280" s="1021">
        <v>45576</v>
      </c>
      <c r="G280" s="1021"/>
      <c r="H280" s="1022" t="s">
        <v>701</v>
      </c>
    </row>
    <row r="281" spans="1:8">
      <c r="A281" s="1023">
        <v>280</v>
      </c>
      <c r="B281" s="1024" t="s">
        <v>58</v>
      </c>
      <c r="C281" s="1025" t="s">
        <v>660</v>
      </c>
      <c r="D281" s="1025" t="s">
        <v>846</v>
      </c>
      <c r="E281" s="1025" t="s">
        <v>925</v>
      </c>
      <c r="F281" s="1026">
        <v>45576</v>
      </c>
      <c r="G281" s="1026"/>
      <c r="H281" s="1027" t="s">
        <v>701</v>
      </c>
    </row>
    <row r="282" spans="1:8">
      <c r="A282" s="1018">
        <v>281</v>
      </c>
      <c r="B282" s="1019" t="s">
        <v>58</v>
      </c>
      <c r="C282" s="1020" t="s">
        <v>660</v>
      </c>
      <c r="D282" s="1020" t="s">
        <v>846</v>
      </c>
      <c r="E282" s="1020" t="s">
        <v>926</v>
      </c>
      <c r="F282" s="1021">
        <v>45576</v>
      </c>
      <c r="G282" s="1021"/>
      <c r="H282" s="1022" t="s">
        <v>701</v>
      </c>
    </row>
    <row r="283" spans="1:8">
      <c r="A283" s="1023">
        <v>282</v>
      </c>
      <c r="B283" s="1024" t="s">
        <v>58</v>
      </c>
      <c r="C283" s="1025" t="s">
        <v>660</v>
      </c>
      <c r="D283" s="1025" t="s">
        <v>846</v>
      </c>
      <c r="E283" s="1025" t="s">
        <v>927</v>
      </c>
      <c r="F283" s="1026">
        <v>45576</v>
      </c>
      <c r="G283" s="1026"/>
      <c r="H283" s="1027" t="s">
        <v>701</v>
      </c>
    </row>
    <row r="284" spans="1:8">
      <c r="A284" s="1018">
        <v>283</v>
      </c>
      <c r="B284" s="1019" t="s">
        <v>58</v>
      </c>
      <c r="C284" s="1020" t="s">
        <v>660</v>
      </c>
      <c r="D284" s="1020" t="s">
        <v>846</v>
      </c>
      <c r="E284" s="1020" t="s">
        <v>928</v>
      </c>
      <c r="F284" s="1021">
        <v>45576</v>
      </c>
      <c r="G284" s="1021"/>
      <c r="H284" s="1022" t="s">
        <v>701</v>
      </c>
    </row>
    <row r="285" spans="1:8">
      <c r="A285" s="1023">
        <v>284</v>
      </c>
      <c r="B285" s="1024" t="s">
        <v>58</v>
      </c>
      <c r="C285" s="1025" t="s">
        <v>660</v>
      </c>
      <c r="D285" s="1025" t="s">
        <v>846</v>
      </c>
      <c r="E285" s="1025" t="s">
        <v>929</v>
      </c>
      <c r="F285" s="1026">
        <v>45576</v>
      </c>
      <c r="G285" s="1026"/>
      <c r="H285" s="1027" t="s">
        <v>701</v>
      </c>
    </row>
    <row r="286" spans="1:8">
      <c r="A286" s="1018">
        <v>285</v>
      </c>
      <c r="B286" s="1019" t="s">
        <v>58</v>
      </c>
      <c r="C286" s="1020" t="s">
        <v>660</v>
      </c>
      <c r="D286" s="1020" t="s">
        <v>846</v>
      </c>
      <c r="E286" s="1020" t="s">
        <v>930</v>
      </c>
      <c r="F286" s="1021">
        <v>45576</v>
      </c>
      <c r="G286" s="1021"/>
      <c r="H286" s="1022" t="s">
        <v>701</v>
      </c>
    </row>
    <row r="287" spans="1:8">
      <c r="A287" s="1023">
        <v>286</v>
      </c>
      <c r="B287" s="1024" t="s">
        <v>58</v>
      </c>
      <c r="C287" s="1025" t="s">
        <v>660</v>
      </c>
      <c r="D287" s="1025" t="s">
        <v>846</v>
      </c>
      <c r="E287" s="1025" t="s">
        <v>931</v>
      </c>
      <c r="F287" s="1026">
        <v>45576</v>
      </c>
      <c r="G287" s="1026"/>
      <c r="H287" s="1027" t="s">
        <v>701</v>
      </c>
    </row>
    <row r="288" spans="1:8">
      <c r="A288" s="1018">
        <v>287</v>
      </c>
      <c r="B288" s="1019" t="s">
        <v>58</v>
      </c>
      <c r="C288" s="1020" t="s">
        <v>660</v>
      </c>
      <c r="D288" s="1020" t="s">
        <v>846</v>
      </c>
      <c r="E288" s="1020" t="s">
        <v>932</v>
      </c>
      <c r="F288" s="1021">
        <v>45576</v>
      </c>
      <c r="G288" s="1021"/>
      <c r="H288" s="1022" t="s">
        <v>701</v>
      </c>
    </row>
    <row r="289" spans="1:8">
      <c r="A289" s="1023">
        <v>288</v>
      </c>
      <c r="B289" s="1024" t="s">
        <v>58</v>
      </c>
      <c r="C289" s="1025" t="s">
        <v>660</v>
      </c>
      <c r="D289" s="1025" t="s">
        <v>846</v>
      </c>
      <c r="E289" s="1025" t="s">
        <v>933</v>
      </c>
      <c r="F289" s="1026">
        <v>45576</v>
      </c>
      <c r="G289" s="1026"/>
      <c r="H289" s="1027" t="s">
        <v>701</v>
      </c>
    </row>
    <row r="290" spans="1:8">
      <c r="A290" s="1018">
        <v>289</v>
      </c>
      <c r="B290" s="1019" t="s">
        <v>58</v>
      </c>
      <c r="C290" s="1020" t="s">
        <v>660</v>
      </c>
      <c r="D290" s="1020" t="s">
        <v>846</v>
      </c>
      <c r="E290" s="1020" t="s">
        <v>934</v>
      </c>
      <c r="F290" s="1021">
        <v>45576</v>
      </c>
      <c r="G290" s="1021"/>
      <c r="H290" s="1022" t="s">
        <v>701</v>
      </c>
    </row>
    <row r="291" spans="1:8">
      <c r="A291" s="1023">
        <v>290</v>
      </c>
      <c r="B291" s="1024" t="s">
        <v>58</v>
      </c>
      <c r="C291" s="1025" t="s">
        <v>660</v>
      </c>
      <c r="D291" s="1025" t="s">
        <v>846</v>
      </c>
      <c r="E291" s="1025" t="s">
        <v>935</v>
      </c>
      <c r="F291" s="1026">
        <v>45576</v>
      </c>
      <c r="G291" s="1026"/>
      <c r="H291" s="1027" t="s">
        <v>701</v>
      </c>
    </row>
    <row r="292" spans="1:8">
      <c r="A292" s="1018">
        <v>291</v>
      </c>
      <c r="B292" s="1019" t="s">
        <v>58</v>
      </c>
      <c r="C292" s="1020" t="s">
        <v>660</v>
      </c>
      <c r="D292" s="1020" t="s">
        <v>846</v>
      </c>
      <c r="E292" s="1020" t="s">
        <v>936</v>
      </c>
      <c r="F292" s="1021">
        <v>45576</v>
      </c>
      <c r="G292" s="1021">
        <v>45399</v>
      </c>
      <c r="H292" s="1022" t="s">
        <v>663</v>
      </c>
    </row>
    <row r="293" spans="1:8">
      <c r="A293" s="1023">
        <v>292</v>
      </c>
      <c r="B293" s="1024" t="s">
        <v>58</v>
      </c>
      <c r="C293" s="1025" t="s">
        <v>660</v>
      </c>
      <c r="D293" s="1025" t="s">
        <v>846</v>
      </c>
      <c r="E293" s="1025" t="s">
        <v>937</v>
      </c>
      <c r="F293" s="1026">
        <v>45576</v>
      </c>
      <c r="G293" s="1026">
        <v>45399</v>
      </c>
      <c r="H293" s="1027" t="s">
        <v>663</v>
      </c>
    </row>
    <row r="294" spans="1:8">
      <c r="A294" s="1018">
        <v>293</v>
      </c>
      <c r="B294" s="1019" t="s">
        <v>58</v>
      </c>
      <c r="C294" s="1020" t="s">
        <v>660</v>
      </c>
      <c r="D294" s="1020" t="s">
        <v>846</v>
      </c>
      <c r="E294" s="1020" t="s">
        <v>938</v>
      </c>
      <c r="F294" s="1021">
        <v>45576</v>
      </c>
      <c r="G294" s="1021">
        <v>45399</v>
      </c>
      <c r="H294" s="1022" t="s">
        <v>663</v>
      </c>
    </row>
    <row r="295" spans="1:8">
      <c r="A295" s="1023">
        <v>294</v>
      </c>
      <c r="B295" s="1024" t="s">
        <v>58</v>
      </c>
      <c r="C295" s="1025" t="s">
        <v>660</v>
      </c>
      <c r="D295" s="1025" t="s">
        <v>846</v>
      </c>
      <c r="E295" s="1025" t="s">
        <v>939</v>
      </c>
      <c r="F295" s="1026">
        <v>45576</v>
      </c>
      <c r="G295" s="1026">
        <v>45399</v>
      </c>
      <c r="H295" s="1027" t="s">
        <v>663</v>
      </c>
    </row>
    <row r="296" spans="1:8">
      <c r="A296" s="1018">
        <v>295</v>
      </c>
      <c r="B296" s="1019" t="s">
        <v>58</v>
      </c>
      <c r="C296" s="1020" t="s">
        <v>660</v>
      </c>
      <c r="D296" s="1020" t="s">
        <v>846</v>
      </c>
      <c r="E296" s="1020" t="s">
        <v>940</v>
      </c>
      <c r="F296" s="1021">
        <v>45576</v>
      </c>
      <c r="G296" s="1021">
        <v>45399</v>
      </c>
      <c r="H296" s="1022" t="s">
        <v>663</v>
      </c>
    </row>
    <row r="297" spans="1:8">
      <c r="A297" s="1023">
        <v>296</v>
      </c>
      <c r="B297" s="1024" t="s">
        <v>58</v>
      </c>
      <c r="C297" s="1025" t="s">
        <v>660</v>
      </c>
      <c r="D297" s="1025" t="s">
        <v>846</v>
      </c>
      <c r="E297" s="1025" t="s">
        <v>941</v>
      </c>
      <c r="F297" s="1026">
        <v>45576</v>
      </c>
      <c r="G297" s="1026">
        <v>45399</v>
      </c>
      <c r="H297" s="1027" t="s">
        <v>663</v>
      </c>
    </row>
    <row r="298" spans="1:8">
      <c r="A298" s="1018">
        <v>297</v>
      </c>
      <c r="B298" s="1019" t="s">
        <v>58</v>
      </c>
      <c r="C298" s="1020" t="s">
        <v>660</v>
      </c>
      <c r="D298" s="1020" t="s">
        <v>846</v>
      </c>
      <c r="E298" s="1020" t="s">
        <v>942</v>
      </c>
      <c r="F298" s="1021">
        <v>45576</v>
      </c>
      <c r="G298" s="1021">
        <v>45401</v>
      </c>
      <c r="H298" s="1022" t="s">
        <v>663</v>
      </c>
    </row>
    <row r="299" spans="1:8">
      <c r="A299" s="1023">
        <v>298</v>
      </c>
      <c r="B299" s="1024" t="s">
        <v>58</v>
      </c>
      <c r="C299" s="1025" t="s">
        <v>660</v>
      </c>
      <c r="D299" s="1025" t="s">
        <v>846</v>
      </c>
      <c r="E299" s="1025" t="s">
        <v>943</v>
      </c>
      <c r="F299" s="1026">
        <v>45576</v>
      </c>
      <c r="G299" s="1026">
        <v>45401</v>
      </c>
      <c r="H299" s="1027" t="s">
        <v>663</v>
      </c>
    </row>
    <row r="300" spans="1:8">
      <c r="A300" s="1018">
        <v>299</v>
      </c>
      <c r="B300" s="1019" t="s">
        <v>58</v>
      </c>
      <c r="C300" s="1020" t="s">
        <v>660</v>
      </c>
      <c r="D300" s="1020" t="s">
        <v>846</v>
      </c>
      <c r="E300" s="1020" t="s">
        <v>944</v>
      </c>
      <c r="F300" s="1021">
        <v>45576</v>
      </c>
      <c r="G300" s="1021">
        <v>45401</v>
      </c>
      <c r="H300" s="1022" t="s">
        <v>663</v>
      </c>
    </row>
    <row r="301" spans="1:8">
      <c r="A301" s="1023">
        <v>300</v>
      </c>
      <c r="B301" s="1024" t="s">
        <v>58</v>
      </c>
      <c r="C301" s="1025" t="s">
        <v>660</v>
      </c>
      <c r="D301" s="1025" t="s">
        <v>846</v>
      </c>
      <c r="E301" s="1025" t="s">
        <v>945</v>
      </c>
      <c r="F301" s="1026">
        <v>45576</v>
      </c>
      <c r="G301" s="1026">
        <v>45401</v>
      </c>
      <c r="H301" s="1027" t="s">
        <v>663</v>
      </c>
    </row>
    <row r="302" spans="1:8">
      <c r="A302" s="1018">
        <v>301</v>
      </c>
      <c r="B302" s="1019" t="s">
        <v>58</v>
      </c>
      <c r="C302" s="1020" t="s">
        <v>660</v>
      </c>
      <c r="D302" s="1020" t="s">
        <v>846</v>
      </c>
      <c r="E302" s="1020" t="s">
        <v>946</v>
      </c>
      <c r="F302" s="1021">
        <v>45576</v>
      </c>
      <c r="G302" s="1021">
        <v>45401</v>
      </c>
      <c r="H302" s="1022" t="s">
        <v>663</v>
      </c>
    </row>
    <row r="303" spans="1:8">
      <c r="A303" s="1023">
        <v>302</v>
      </c>
      <c r="B303" s="1024" t="s">
        <v>58</v>
      </c>
      <c r="C303" s="1025" t="s">
        <v>660</v>
      </c>
      <c r="D303" s="1025" t="s">
        <v>846</v>
      </c>
      <c r="E303" s="1025" t="s">
        <v>947</v>
      </c>
      <c r="F303" s="1026">
        <v>45576</v>
      </c>
      <c r="G303" s="1026">
        <v>45401</v>
      </c>
      <c r="H303" s="1027" t="s">
        <v>663</v>
      </c>
    </row>
    <row r="304" spans="1:8">
      <c r="A304" s="1018">
        <v>303</v>
      </c>
      <c r="B304" s="1019" t="s">
        <v>58</v>
      </c>
      <c r="C304" s="1020" t="s">
        <v>660</v>
      </c>
      <c r="D304" s="1020" t="s">
        <v>846</v>
      </c>
      <c r="E304" s="1020" t="s">
        <v>948</v>
      </c>
      <c r="F304" s="1021">
        <v>45607</v>
      </c>
      <c r="G304" s="1021">
        <v>45451</v>
      </c>
      <c r="H304" s="1022" t="s">
        <v>663</v>
      </c>
    </row>
    <row r="305" spans="1:8">
      <c r="A305" s="1023">
        <v>304</v>
      </c>
      <c r="B305" s="1024" t="s">
        <v>58</v>
      </c>
      <c r="C305" s="1025" t="s">
        <v>660</v>
      </c>
      <c r="D305" s="1025" t="s">
        <v>846</v>
      </c>
      <c r="E305" s="1025" t="s">
        <v>949</v>
      </c>
      <c r="F305" s="1026">
        <v>45607</v>
      </c>
      <c r="G305" s="1026">
        <v>45451</v>
      </c>
      <c r="H305" s="1027" t="s">
        <v>663</v>
      </c>
    </row>
    <row r="306" spans="1:8">
      <c r="A306" s="1018">
        <v>305</v>
      </c>
      <c r="B306" s="1019" t="s">
        <v>58</v>
      </c>
      <c r="C306" s="1020" t="s">
        <v>660</v>
      </c>
      <c r="D306" s="1020" t="s">
        <v>846</v>
      </c>
      <c r="E306" s="1020" t="s">
        <v>950</v>
      </c>
      <c r="F306" s="1021">
        <v>45607</v>
      </c>
      <c r="G306" s="1021">
        <v>45451</v>
      </c>
      <c r="H306" s="1022" t="s">
        <v>663</v>
      </c>
    </row>
    <row r="307" spans="1:8">
      <c r="A307" s="1023">
        <v>306</v>
      </c>
      <c r="B307" s="1024" t="s">
        <v>58</v>
      </c>
      <c r="C307" s="1025" t="s">
        <v>660</v>
      </c>
      <c r="D307" s="1025" t="s">
        <v>846</v>
      </c>
      <c r="E307" s="1025" t="s">
        <v>951</v>
      </c>
      <c r="F307" s="1026">
        <v>45607</v>
      </c>
      <c r="G307" s="1026">
        <v>45451</v>
      </c>
      <c r="H307" s="1027" t="s">
        <v>663</v>
      </c>
    </row>
    <row r="308" spans="1:8">
      <c r="A308" s="1018">
        <v>307</v>
      </c>
      <c r="B308" s="1019" t="s">
        <v>58</v>
      </c>
      <c r="C308" s="1020" t="s">
        <v>660</v>
      </c>
      <c r="D308" s="1020" t="s">
        <v>846</v>
      </c>
      <c r="E308" s="1020" t="s">
        <v>952</v>
      </c>
      <c r="F308" s="1021">
        <v>45607</v>
      </c>
      <c r="G308" s="1021">
        <v>45451</v>
      </c>
      <c r="H308" s="1022" t="s">
        <v>663</v>
      </c>
    </row>
    <row r="309" spans="1:8">
      <c r="A309" s="1023">
        <v>308</v>
      </c>
      <c r="B309" s="1024" t="s">
        <v>58</v>
      </c>
      <c r="C309" s="1025" t="s">
        <v>660</v>
      </c>
      <c r="D309" s="1025" t="s">
        <v>846</v>
      </c>
      <c r="E309" s="1025" t="s">
        <v>953</v>
      </c>
      <c r="F309" s="1026">
        <v>45607</v>
      </c>
      <c r="G309" s="1026">
        <v>45451</v>
      </c>
      <c r="H309" s="1027" t="s">
        <v>663</v>
      </c>
    </row>
    <row r="310" spans="1:8">
      <c r="A310" s="1018">
        <v>309</v>
      </c>
      <c r="B310" s="1019" t="s">
        <v>58</v>
      </c>
      <c r="C310" s="1020" t="s">
        <v>660</v>
      </c>
      <c r="D310" s="1020" t="s">
        <v>846</v>
      </c>
      <c r="E310" s="1020" t="s">
        <v>954</v>
      </c>
      <c r="F310" s="1021">
        <v>45607</v>
      </c>
      <c r="G310" s="1021">
        <v>45451</v>
      </c>
      <c r="H310" s="1022" t="s">
        <v>663</v>
      </c>
    </row>
    <row r="311" spans="1:8">
      <c r="A311" s="1023">
        <v>310</v>
      </c>
      <c r="B311" s="1024" t="s">
        <v>58</v>
      </c>
      <c r="C311" s="1025" t="s">
        <v>660</v>
      </c>
      <c r="D311" s="1025" t="s">
        <v>846</v>
      </c>
      <c r="E311" s="1025" t="s">
        <v>955</v>
      </c>
      <c r="F311" s="1026">
        <v>45607</v>
      </c>
      <c r="G311" s="1026">
        <v>45451</v>
      </c>
      <c r="H311" s="1027" t="s">
        <v>663</v>
      </c>
    </row>
    <row r="312" spans="1:8">
      <c r="A312" s="1018">
        <v>311</v>
      </c>
      <c r="B312" s="1019" t="s">
        <v>58</v>
      </c>
      <c r="C312" s="1020" t="s">
        <v>660</v>
      </c>
      <c r="D312" s="1020" t="s">
        <v>846</v>
      </c>
      <c r="E312" s="1020" t="s">
        <v>956</v>
      </c>
      <c r="F312" s="1021">
        <v>45607</v>
      </c>
      <c r="G312" s="1021">
        <v>45451</v>
      </c>
      <c r="H312" s="1022" t="s">
        <v>663</v>
      </c>
    </row>
    <row r="313" spans="1:8">
      <c r="A313" s="1023">
        <v>312</v>
      </c>
      <c r="B313" s="1024" t="s">
        <v>58</v>
      </c>
      <c r="C313" s="1025" t="s">
        <v>660</v>
      </c>
      <c r="D313" s="1025" t="s">
        <v>846</v>
      </c>
      <c r="E313" s="1025" t="s">
        <v>957</v>
      </c>
      <c r="F313" s="1026">
        <v>45607</v>
      </c>
      <c r="G313" s="1026">
        <v>45451</v>
      </c>
      <c r="H313" s="1027" t="s">
        <v>663</v>
      </c>
    </row>
    <row r="314" spans="1:8">
      <c r="A314" s="1018">
        <v>313</v>
      </c>
      <c r="B314" s="1019" t="s">
        <v>58</v>
      </c>
      <c r="C314" s="1020" t="s">
        <v>660</v>
      </c>
      <c r="D314" s="1020" t="s">
        <v>846</v>
      </c>
      <c r="E314" s="1020" t="s">
        <v>958</v>
      </c>
      <c r="F314" s="1021">
        <v>45607</v>
      </c>
      <c r="G314" s="1021">
        <v>45451</v>
      </c>
      <c r="H314" s="1022" t="s">
        <v>663</v>
      </c>
    </row>
    <row r="315" spans="1:8">
      <c r="A315" s="1023">
        <v>314</v>
      </c>
      <c r="B315" s="1024" t="s">
        <v>58</v>
      </c>
      <c r="C315" s="1025" t="s">
        <v>660</v>
      </c>
      <c r="D315" s="1025" t="s">
        <v>846</v>
      </c>
      <c r="E315" s="1025" t="s">
        <v>959</v>
      </c>
      <c r="F315" s="1026">
        <v>45607</v>
      </c>
      <c r="G315" s="1026">
        <v>45451</v>
      </c>
      <c r="H315" s="1027" t="s">
        <v>663</v>
      </c>
    </row>
    <row r="316" spans="1:8">
      <c r="A316" s="1018">
        <v>315</v>
      </c>
      <c r="B316" s="1019" t="s">
        <v>58</v>
      </c>
      <c r="C316" s="1020" t="s">
        <v>660</v>
      </c>
      <c r="D316" s="1020" t="s">
        <v>846</v>
      </c>
      <c r="E316" s="1020" t="s">
        <v>960</v>
      </c>
      <c r="F316" s="1021">
        <v>45576</v>
      </c>
      <c r="G316" s="1021">
        <v>45407</v>
      </c>
      <c r="H316" s="1022" t="s">
        <v>663</v>
      </c>
    </row>
    <row r="317" spans="1:8">
      <c r="A317" s="1023">
        <v>316</v>
      </c>
      <c r="B317" s="1024" t="s">
        <v>58</v>
      </c>
      <c r="C317" s="1025" t="s">
        <v>660</v>
      </c>
      <c r="D317" s="1025" t="s">
        <v>846</v>
      </c>
      <c r="E317" s="1025" t="s">
        <v>961</v>
      </c>
      <c r="F317" s="1026">
        <v>45576</v>
      </c>
      <c r="G317" s="1026">
        <v>45407</v>
      </c>
      <c r="H317" s="1027" t="s">
        <v>663</v>
      </c>
    </row>
    <row r="318" spans="1:8">
      <c r="A318" s="1018">
        <v>317</v>
      </c>
      <c r="B318" s="1019" t="s">
        <v>58</v>
      </c>
      <c r="C318" s="1020" t="s">
        <v>660</v>
      </c>
      <c r="D318" s="1020" t="s">
        <v>846</v>
      </c>
      <c r="E318" s="1020" t="s">
        <v>962</v>
      </c>
      <c r="F318" s="1021">
        <v>45576</v>
      </c>
      <c r="G318" s="1021">
        <v>45407</v>
      </c>
      <c r="H318" s="1022" t="s">
        <v>663</v>
      </c>
    </row>
    <row r="319" spans="1:8">
      <c r="A319" s="1023">
        <v>318</v>
      </c>
      <c r="B319" s="1024" t="s">
        <v>58</v>
      </c>
      <c r="C319" s="1025" t="s">
        <v>660</v>
      </c>
      <c r="D319" s="1025" t="s">
        <v>846</v>
      </c>
      <c r="E319" s="1025" t="s">
        <v>963</v>
      </c>
      <c r="F319" s="1026">
        <v>45576</v>
      </c>
      <c r="G319" s="1026">
        <v>45466</v>
      </c>
      <c r="H319" s="1027" t="s">
        <v>663</v>
      </c>
    </row>
    <row r="320" spans="1:8">
      <c r="A320" s="1018">
        <v>319</v>
      </c>
      <c r="B320" s="1019" t="s">
        <v>58</v>
      </c>
      <c r="C320" s="1020" t="s">
        <v>660</v>
      </c>
      <c r="D320" s="1020" t="s">
        <v>846</v>
      </c>
      <c r="E320" s="1020" t="s">
        <v>964</v>
      </c>
      <c r="F320" s="1021">
        <v>45576</v>
      </c>
      <c r="G320" s="1021">
        <v>45512</v>
      </c>
      <c r="H320" s="1022" t="s">
        <v>663</v>
      </c>
    </row>
    <row r="321" spans="1:8">
      <c r="A321" s="1023">
        <v>320</v>
      </c>
      <c r="B321" s="1024" t="s">
        <v>58</v>
      </c>
      <c r="C321" s="1025" t="s">
        <v>660</v>
      </c>
      <c r="D321" s="1025" t="s">
        <v>846</v>
      </c>
      <c r="E321" s="1025" t="s">
        <v>965</v>
      </c>
      <c r="F321" s="1026">
        <v>45576</v>
      </c>
      <c r="G321" s="1026">
        <v>45512</v>
      </c>
      <c r="H321" s="1027" t="s">
        <v>663</v>
      </c>
    </row>
    <row r="322" spans="1:8">
      <c r="A322" s="1018">
        <v>321</v>
      </c>
      <c r="B322" s="1019" t="s">
        <v>58</v>
      </c>
      <c r="C322" s="1020" t="s">
        <v>660</v>
      </c>
      <c r="D322" s="1020" t="s">
        <v>846</v>
      </c>
      <c r="E322" s="1020" t="s">
        <v>966</v>
      </c>
      <c r="F322" s="1021">
        <v>45576</v>
      </c>
      <c r="G322" s="1021">
        <v>45513</v>
      </c>
      <c r="H322" s="1022" t="s">
        <v>663</v>
      </c>
    </row>
    <row r="323" spans="1:8">
      <c r="A323" s="1023">
        <v>322</v>
      </c>
      <c r="B323" s="1024" t="s">
        <v>58</v>
      </c>
      <c r="C323" s="1025" t="s">
        <v>660</v>
      </c>
      <c r="D323" s="1025" t="s">
        <v>846</v>
      </c>
      <c r="E323" s="1025" t="s">
        <v>967</v>
      </c>
      <c r="F323" s="1026">
        <v>45576</v>
      </c>
      <c r="G323" s="1026">
        <v>45513</v>
      </c>
      <c r="H323" s="1027" t="s">
        <v>663</v>
      </c>
    </row>
    <row r="324" spans="1:8">
      <c r="A324" s="1018">
        <v>323</v>
      </c>
      <c r="B324" s="1019" t="s">
        <v>58</v>
      </c>
      <c r="C324" s="1020" t="s">
        <v>660</v>
      </c>
      <c r="D324" s="1020" t="s">
        <v>846</v>
      </c>
      <c r="E324" s="1020" t="s">
        <v>968</v>
      </c>
      <c r="F324" s="1021">
        <v>45576</v>
      </c>
      <c r="G324" s="1021">
        <v>45513</v>
      </c>
      <c r="H324" s="1022" t="s">
        <v>663</v>
      </c>
    </row>
    <row r="325" spans="1:8">
      <c r="A325" s="1023">
        <v>324</v>
      </c>
      <c r="B325" s="1024" t="s">
        <v>58</v>
      </c>
      <c r="C325" s="1025" t="s">
        <v>660</v>
      </c>
      <c r="D325" s="1025" t="s">
        <v>846</v>
      </c>
      <c r="E325" s="1025" t="s">
        <v>969</v>
      </c>
      <c r="F325" s="1026">
        <v>45576</v>
      </c>
      <c r="G325" s="1026">
        <v>45513</v>
      </c>
      <c r="H325" s="1027" t="s">
        <v>663</v>
      </c>
    </row>
    <row r="326" spans="1:8">
      <c r="A326" s="1018">
        <v>325</v>
      </c>
      <c r="B326" s="1019" t="s">
        <v>58</v>
      </c>
      <c r="C326" s="1020" t="s">
        <v>660</v>
      </c>
      <c r="D326" s="1020" t="s">
        <v>846</v>
      </c>
      <c r="E326" s="1020" t="s">
        <v>970</v>
      </c>
      <c r="F326" s="1021">
        <v>45607</v>
      </c>
      <c r="G326" s="1021">
        <v>45522</v>
      </c>
      <c r="H326" s="1022" t="s">
        <v>663</v>
      </c>
    </row>
    <row r="327" spans="1:8">
      <c r="A327" s="1023">
        <v>326</v>
      </c>
      <c r="B327" s="1024" t="s">
        <v>58</v>
      </c>
      <c r="C327" s="1025" t="s">
        <v>660</v>
      </c>
      <c r="D327" s="1025" t="s">
        <v>846</v>
      </c>
      <c r="E327" s="1025" t="s">
        <v>971</v>
      </c>
      <c r="F327" s="1026">
        <v>45607</v>
      </c>
      <c r="G327" s="1026">
        <v>45522</v>
      </c>
      <c r="H327" s="1027" t="s">
        <v>663</v>
      </c>
    </row>
    <row r="328" spans="1:8">
      <c r="A328" s="1018">
        <v>327</v>
      </c>
      <c r="B328" s="1019" t="s">
        <v>58</v>
      </c>
      <c r="C328" s="1020" t="s">
        <v>660</v>
      </c>
      <c r="D328" s="1020" t="s">
        <v>846</v>
      </c>
      <c r="E328" s="1020" t="s">
        <v>972</v>
      </c>
      <c r="F328" s="1021">
        <v>45607</v>
      </c>
      <c r="G328" s="1021">
        <v>45522</v>
      </c>
      <c r="H328" s="1022" t="s">
        <v>663</v>
      </c>
    </row>
    <row r="329" spans="1:8">
      <c r="A329" s="1023">
        <v>328</v>
      </c>
      <c r="B329" s="1024" t="s">
        <v>58</v>
      </c>
      <c r="C329" s="1025" t="s">
        <v>660</v>
      </c>
      <c r="D329" s="1025" t="s">
        <v>846</v>
      </c>
      <c r="E329" s="1025" t="s">
        <v>973</v>
      </c>
      <c r="F329" s="1026">
        <v>45607</v>
      </c>
      <c r="G329" s="1026">
        <v>45522</v>
      </c>
      <c r="H329" s="1027" t="s">
        <v>663</v>
      </c>
    </row>
    <row r="330" spans="1:8">
      <c r="A330" s="1018">
        <v>329</v>
      </c>
      <c r="B330" s="1019" t="s">
        <v>58</v>
      </c>
      <c r="C330" s="1020" t="s">
        <v>660</v>
      </c>
      <c r="D330" s="1020" t="s">
        <v>846</v>
      </c>
      <c r="E330" s="1020" t="s">
        <v>974</v>
      </c>
      <c r="F330" s="1021">
        <v>45607</v>
      </c>
      <c r="G330" s="1021">
        <v>45522</v>
      </c>
      <c r="H330" s="1022" t="s">
        <v>663</v>
      </c>
    </row>
    <row r="331" spans="1:8">
      <c r="A331" s="1023">
        <v>330</v>
      </c>
      <c r="B331" s="1024" t="s">
        <v>58</v>
      </c>
      <c r="C331" s="1025" t="s">
        <v>660</v>
      </c>
      <c r="D331" s="1025" t="s">
        <v>846</v>
      </c>
      <c r="E331" s="1025" t="s">
        <v>975</v>
      </c>
      <c r="F331" s="1026">
        <v>45607</v>
      </c>
      <c r="G331" s="1026">
        <v>45522</v>
      </c>
      <c r="H331" s="1027" t="s">
        <v>663</v>
      </c>
    </row>
    <row r="332" spans="1:8">
      <c r="A332" s="1018">
        <v>331</v>
      </c>
      <c r="B332" s="1019" t="s">
        <v>58</v>
      </c>
      <c r="C332" s="1020" t="s">
        <v>660</v>
      </c>
      <c r="D332" s="1020" t="s">
        <v>846</v>
      </c>
      <c r="E332" s="1020" t="s">
        <v>976</v>
      </c>
      <c r="F332" s="1021">
        <v>45607</v>
      </c>
      <c r="G332" s="1021">
        <v>45522</v>
      </c>
      <c r="H332" s="1022" t="s">
        <v>663</v>
      </c>
    </row>
    <row r="333" spans="1:8">
      <c r="A333" s="1023">
        <v>332</v>
      </c>
      <c r="B333" s="1024" t="s">
        <v>58</v>
      </c>
      <c r="C333" s="1025" t="s">
        <v>660</v>
      </c>
      <c r="D333" s="1025" t="s">
        <v>846</v>
      </c>
      <c r="E333" s="1025" t="s">
        <v>977</v>
      </c>
      <c r="F333" s="1026">
        <v>45607</v>
      </c>
      <c r="G333" s="1026">
        <v>45522</v>
      </c>
      <c r="H333" s="1027" t="s">
        <v>663</v>
      </c>
    </row>
    <row r="334" spans="1:8">
      <c r="A334" s="1018">
        <v>333</v>
      </c>
      <c r="B334" s="1019" t="s">
        <v>58</v>
      </c>
      <c r="C334" s="1020" t="s">
        <v>660</v>
      </c>
      <c r="D334" s="1020" t="s">
        <v>846</v>
      </c>
      <c r="E334" s="1020" t="s">
        <v>978</v>
      </c>
      <c r="F334" s="1021">
        <v>45607</v>
      </c>
      <c r="G334" s="1021">
        <v>45522</v>
      </c>
      <c r="H334" s="1022" t="s">
        <v>663</v>
      </c>
    </row>
    <row r="335" spans="1:8">
      <c r="A335" s="1023">
        <v>334</v>
      </c>
      <c r="B335" s="1024" t="s">
        <v>58</v>
      </c>
      <c r="C335" s="1025" t="s">
        <v>660</v>
      </c>
      <c r="D335" s="1025" t="s">
        <v>846</v>
      </c>
      <c r="E335" s="1025" t="s">
        <v>979</v>
      </c>
      <c r="F335" s="1026">
        <v>45607</v>
      </c>
      <c r="G335" s="1026">
        <v>45522</v>
      </c>
      <c r="H335" s="1027" t="s">
        <v>663</v>
      </c>
    </row>
    <row r="336" spans="1:8">
      <c r="A336" s="1018">
        <v>335</v>
      </c>
      <c r="B336" s="1019" t="s">
        <v>58</v>
      </c>
      <c r="C336" s="1020" t="s">
        <v>660</v>
      </c>
      <c r="D336" s="1020" t="s">
        <v>846</v>
      </c>
      <c r="E336" s="1020" t="s">
        <v>980</v>
      </c>
      <c r="F336" s="1021">
        <v>45607</v>
      </c>
      <c r="G336" s="1021">
        <v>45522</v>
      </c>
      <c r="H336" s="1022" t="s">
        <v>663</v>
      </c>
    </row>
    <row r="337" spans="1:8">
      <c r="A337" s="1023">
        <v>336</v>
      </c>
      <c r="B337" s="1024" t="s">
        <v>58</v>
      </c>
      <c r="C337" s="1025" t="s">
        <v>660</v>
      </c>
      <c r="D337" s="1025" t="s">
        <v>846</v>
      </c>
      <c r="E337" s="1025" t="s">
        <v>981</v>
      </c>
      <c r="F337" s="1026">
        <v>45607</v>
      </c>
      <c r="G337" s="1026">
        <v>45522</v>
      </c>
      <c r="H337" s="1027" t="s">
        <v>663</v>
      </c>
    </row>
    <row r="338" spans="1:8">
      <c r="A338" s="1018">
        <v>337</v>
      </c>
      <c r="B338" s="1019" t="s">
        <v>58</v>
      </c>
      <c r="C338" s="1020" t="s">
        <v>660</v>
      </c>
      <c r="D338" s="1020" t="s">
        <v>846</v>
      </c>
      <c r="E338" s="1020" t="s">
        <v>982</v>
      </c>
      <c r="F338" s="1021">
        <v>45607</v>
      </c>
      <c r="G338" s="1021">
        <v>45522</v>
      </c>
      <c r="H338" s="1022" t="s">
        <v>663</v>
      </c>
    </row>
    <row r="339" spans="1:8">
      <c r="A339" s="1023">
        <v>338</v>
      </c>
      <c r="B339" s="1024" t="s">
        <v>58</v>
      </c>
      <c r="C339" s="1025" t="s">
        <v>660</v>
      </c>
      <c r="D339" s="1025" t="s">
        <v>846</v>
      </c>
      <c r="E339" s="1025" t="s">
        <v>983</v>
      </c>
      <c r="F339" s="1026">
        <v>45607</v>
      </c>
      <c r="G339" s="1026"/>
      <c r="H339" s="1027" t="s">
        <v>701</v>
      </c>
    </row>
    <row r="340" spans="1:8">
      <c r="A340" s="1018">
        <v>339</v>
      </c>
      <c r="B340" s="1019" t="s">
        <v>58</v>
      </c>
      <c r="C340" s="1020" t="s">
        <v>660</v>
      </c>
      <c r="D340" s="1020" t="s">
        <v>846</v>
      </c>
      <c r="E340" s="1020" t="s">
        <v>984</v>
      </c>
      <c r="F340" s="1021">
        <v>45607</v>
      </c>
      <c r="G340" s="1021">
        <v>45522</v>
      </c>
      <c r="H340" s="1022" t="s">
        <v>663</v>
      </c>
    </row>
    <row r="341" spans="1:8">
      <c r="A341" s="1023">
        <v>340</v>
      </c>
      <c r="B341" s="1024" t="s">
        <v>58</v>
      </c>
      <c r="C341" s="1025" t="s">
        <v>660</v>
      </c>
      <c r="D341" s="1025" t="s">
        <v>846</v>
      </c>
      <c r="E341" s="1025" t="s">
        <v>985</v>
      </c>
      <c r="F341" s="1026">
        <v>45607</v>
      </c>
      <c r="G341" s="1026">
        <v>45522</v>
      </c>
      <c r="H341" s="1027" t="s">
        <v>663</v>
      </c>
    </row>
    <row r="342" spans="1:8">
      <c r="A342" s="1018">
        <v>341</v>
      </c>
      <c r="B342" s="1019" t="s">
        <v>58</v>
      </c>
      <c r="C342" s="1020" t="s">
        <v>660</v>
      </c>
      <c r="D342" s="1020" t="s">
        <v>846</v>
      </c>
      <c r="E342" s="1020" t="s">
        <v>986</v>
      </c>
      <c r="F342" s="1021">
        <v>45607</v>
      </c>
      <c r="G342" s="1021">
        <v>45522</v>
      </c>
      <c r="H342" s="1022" t="s">
        <v>663</v>
      </c>
    </row>
    <row r="343" spans="1:8">
      <c r="A343" s="1023">
        <v>342</v>
      </c>
      <c r="B343" s="1024" t="s">
        <v>58</v>
      </c>
      <c r="C343" s="1025" t="s">
        <v>660</v>
      </c>
      <c r="D343" s="1025" t="s">
        <v>846</v>
      </c>
      <c r="E343" s="1025" t="s">
        <v>987</v>
      </c>
      <c r="F343" s="1026">
        <v>45607</v>
      </c>
      <c r="G343" s="1026"/>
      <c r="H343" s="1027" t="s">
        <v>701</v>
      </c>
    </row>
    <row r="344" spans="1:8">
      <c r="A344" s="1018">
        <v>343</v>
      </c>
      <c r="B344" s="1019" t="s">
        <v>58</v>
      </c>
      <c r="C344" s="1020" t="s">
        <v>660</v>
      </c>
      <c r="D344" s="1020" t="s">
        <v>846</v>
      </c>
      <c r="E344" s="1020" t="s">
        <v>988</v>
      </c>
      <c r="F344" s="1021">
        <v>45607</v>
      </c>
      <c r="G344" s="1021">
        <v>45522</v>
      </c>
      <c r="H344" s="1022" t="s">
        <v>663</v>
      </c>
    </row>
    <row r="345" spans="1:8">
      <c r="A345" s="1023">
        <v>344</v>
      </c>
      <c r="B345" s="1024" t="s">
        <v>58</v>
      </c>
      <c r="C345" s="1025" t="s">
        <v>660</v>
      </c>
      <c r="D345" s="1025" t="s">
        <v>846</v>
      </c>
      <c r="E345" s="1025" t="s">
        <v>989</v>
      </c>
      <c r="F345" s="1026">
        <v>45607</v>
      </c>
      <c r="G345" s="1026"/>
      <c r="H345" s="1027" t="s">
        <v>701</v>
      </c>
    </row>
    <row r="346" spans="1:8">
      <c r="A346" s="1018">
        <v>345</v>
      </c>
      <c r="B346" s="1019" t="s">
        <v>58</v>
      </c>
      <c r="C346" s="1020" t="s">
        <v>660</v>
      </c>
      <c r="D346" s="1020" t="s">
        <v>846</v>
      </c>
      <c r="E346" s="1020" t="s">
        <v>990</v>
      </c>
      <c r="F346" s="1021">
        <v>45607</v>
      </c>
      <c r="G346" s="1021"/>
      <c r="H346" s="1022" t="s">
        <v>701</v>
      </c>
    </row>
    <row r="347" spans="1:8">
      <c r="A347" s="1023">
        <v>346</v>
      </c>
      <c r="B347" s="1024" t="s">
        <v>58</v>
      </c>
      <c r="C347" s="1025" t="s">
        <v>660</v>
      </c>
      <c r="D347" s="1025" t="s">
        <v>846</v>
      </c>
      <c r="E347" s="1025" t="s">
        <v>991</v>
      </c>
      <c r="F347" s="1026">
        <v>45607</v>
      </c>
      <c r="G347" s="1026"/>
      <c r="H347" s="1027" t="s">
        <v>701</v>
      </c>
    </row>
    <row r="348" spans="1:8">
      <c r="A348" s="1018">
        <v>347</v>
      </c>
      <c r="B348" s="1019" t="s">
        <v>58</v>
      </c>
      <c r="C348" s="1020" t="s">
        <v>660</v>
      </c>
      <c r="D348" s="1020" t="s">
        <v>846</v>
      </c>
      <c r="E348" s="1020" t="s">
        <v>992</v>
      </c>
      <c r="F348" s="1021">
        <v>45607</v>
      </c>
      <c r="G348" s="1021"/>
      <c r="H348" s="1022" t="s">
        <v>701</v>
      </c>
    </row>
    <row r="349" spans="1:8">
      <c r="A349" s="1023">
        <v>348</v>
      </c>
      <c r="B349" s="1024" t="s">
        <v>58</v>
      </c>
      <c r="C349" s="1025" t="s">
        <v>660</v>
      </c>
      <c r="D349" s="1025" t="s">
        <v>846</v>
      </c>
      <c r="E349" s="1025" t="s">
        <v>993</v>
      </c>
      <c r="F349" s="1026">
        <v>45607</v>
      </c>
      <c r="G349" s="1026">
        <v>45522</v>
      </c>
      <c r="H349" s="1027" t="s">
        <v>663</v>
      </c>
    </row>
    <row r="350" spans="1:8">
      <c r="A350" s="1018">
        <v>349</v>
      </c>
      <c r="B350" s="1019" t="s">
        <v>58</v>
      </c>
      <c r="C350" s="1020" t="s">
        <v>660</v>
      </c>
      <c r="D350" s="1020" t="s">
        <v>846</v>
      </c>
      <c r="E350" s="1020" t="s">
        <v>994</v>
      </c>
      <c r="F350" s="1021">
        <v>45607</v>
      </c>
      <c r="G350" s="1021">
        <v>45522</v>
      </c>
      <c r="H350" s="1022" t="s">
        <v>663</v>
      </c>
    </row>
    <row r="351" spans="1:8">
      <c r="A351" s="1023">
        <v>350</v>
      </c>
      <c r="B351" s="1024" t="s">
        <v>58</v>
      </c>
      <c r="C351" s="1025" t="s">
        <v>660</v>
      </c>
      <c r="D351" s="1025" t="s">
        <v>846</v>
      </c>
      <c r="E351" s="1025" t="s">
        <v>995</v>
      </c>
      <c r="F351" s="1026">
        <v>45607</v>
      </c>
      <c r="G351" s="1026"/>
      <c r="H351" s="1027" t="s">
        <v>701</v>
      </c>
    </row>
    <row r="352" spans="1:8">
      <c r="A352" s="1018">
        <v>351</v>
      </c>
      <c r="B352" s="1019" t="s">
        <v>58</v>
      </c>
      <c r="C352" s="1020" t="s">
        <v>660</v>
      </c>
      <c r="D352" s="1020" t="s">
        <v>846</v>
      </c>
      <c r="E352" s="1020" t="s">
        <v>996</v>
      </c>
      <c r="F352" s="1021">
        <v>45607</v>
      </c>
      <c r="G352" s="1021"/>
      <c r="H352" s="1022" t="s">
        <v>701</v>
      </c>
    </row>
    <row r="353" spans="1:8">
      <c r="A353" s="1023">
        <v>352</v>
      </c>
      <c r="B353" s="1024" t="s">
        <v>58</v>
      </c>
      <c r="C353" s="1025" t="s">
        <v>660</v>
      </c>
      <c r="D353" s="1025" t="s">
        <v>846</v>
      </c>
      <c r="E353" s="1025" t="s">
        <v>997</v>
      </c>
      <c r="F353" s="1026">
        <v>45607</v>
      </c>
      <c r="G353" s="1026"/>
      <c r="H353" s="1027" t="s">
        <v>701</v>
      </c>
    </row>
    <row r="354" spans="1:8">
      <c r="A354" s="1018">
        <v>353</v>
      </c>
      <c r="B354" s="1019" t="s">
        <v>58</v>
      </c>
      <c r="C354" s="1020" t="s">
        <v>660</v>
      </c>
      <c r="D354" s="1020" t="s">
        <v>846</v>
      </c>
      <c r="E354" s="1020" t="s">
        <v>998</v>
      </c>
      <c r="F354" s="1021">
        <v>45607</v>
      </c>
      <c r="G354" s="1021"/>
      <c r="H354" s="1022" t="s">
        <v>701</v>
      </c>
    </row>
    <row r="355" spans="1:8">
      <c r="A355" s="1023">
        <v>354</v>
      </c>
      <c r="B355" s="1024" t="s">
        <v>58</v>
      </c>
      <c r="C355" s="1025" t="s">
        <v>660</v>
      </c>
      <c r="D355" s="1025" t="s">
        <v>846</v>
      </c>
      <c r="E355" s="1025" t="s">
        <v>999</v>
      </c>
      <c r="F355" s="1026">
        <v>45607</v>
      </c>
      <c r="G355" s="1026"/>
      <c r="H355" s="1027" t="s">
        <v>701</v>
      </c>
    </row>
    <row r="356" spans="1:8">
      <c r="A356" s="1018">
        <v>355</v>
      </c>
      <c r="B356" s="1019" t="s">
        <v>58</v>
      </c>
      <c r="C356" s="1020" t="s">
        <v>660</v>
      </c>
      <c r="D356" s="1020" t="s">
        <v>846</v>
      </c>
      <c r="E356" s="1020" t="s">
        <v>1000</v>
      </c>
      <c r="F356" s="1021">
        <v>45607</v>
      </c>
      <c r="G356" s="1021"/>
      <c r="H356" s="1022" t="s">
        <v>701</v>
      </c>
    </row>
    <row r="357" spans="1:8">
      <c r="A357" s="1023">
        <v>356</v>
      </c>
      <c r="B357" s="1024" t="s">
        <v>58</v>
      </c>
      <c r="C357" s="1025" t="s">
        <v>660</v>
      </c>
      <c r="D357" s="1025" t="s">
        <v>846</v>
      </c>
      <c r="E357" s="1025" t="s">
        <v>1001</v>
      </c>
      <c r="F357" s="1026">
        <v>45607</v>
      </c>
      <c r="G357" s="1026"/>
      <c r="H357" s="1027" t="s">
        <v>701</v>
      </c>
    </row>
    <row r="358" spans="1:8">
      <c r="A358" s="1018">
        <v>357</v>
      </c>
      <c r="B358" s="1019" t="s">
        <v>58</v>
      </c>
      <c r="C358" s="1020" t="s">
        <v>660</v>
      </c>
      <c r="D358" s="1020" t="s">
        <v>846</v>
      </c>
      <c r="E358" s="1020" t="s">
        <v>1002</v>
      </c>
      <c r="F358" s="1021">
        <v>45607</v>
      </c>
      <c r="G358" s="1021"/>
      <c r="H358" s="1022" t="s">
        <v>701</v>
      </c>
    </row>
    <row r="359" spans="1:8">
      <c r="A359" s="1023">
        <v>358</v>
      </c>
      <c r="B359" s="1024" t="s">
        <v>58</v>
      </c>
      <c r="C359" s="1025" t="s">
        <v>660</v>
      </c>
      <c r="D359" s="1025" t="s">
        <v>846</v>
      </c>
      <c r="E359" s="1025" t="s">
        <v>1003</v>
      </c>
      <c r="F359" s="1026">
        <v>45607</v>
      </c>
      <c r="G359" s="1026"/>
      <c r="H359" s="1027" t="s">
        <v>701</v>
      </c>
    </row>
    <row r="360" spans="1:8">
      <c r="A360" s="1018">
        <v>359</v>
      </c>
      <c r="B360" s="1019" t="s">
        <v>58</v>
      </c>
      <c r="C360" s="1020" t="s">
        <v>660</v>
      </c>
      <c r="D360" s="1020" t="s">
        <v>846</v>
      </c>
      <c r="E360" s="1020" t="s">
        <v>1004</v>
      </c>
      <c r="F360" s="1021">
        <v>45607</v>
      </c>
      <c r="G360" s="1021"/>
      <c r="H360" s="1022" t="s">
        <v>701</v>
      </c>
    </row>
    <row r="361" spans="1:8">
      <c r="A361" s="1023">
        <v>360</v>
      </c>
      <c r="B361" s="1024" t="s">
        <v>58</v>
      </c>
      <c r="C361" s="1025" t="s">
        <v>660</v>
      </c>
      <c r="D361" s="1025" t="s">
        <v>846</v>
      </c>
      <c r="E361" s="1025" t="s">
        <v>1005</v>
      </c>
      <c r="F361" s="1026">
        <v>45607</v>
      </c>
      <c r="G361" s="1026"/>
      <c r="H361" s="1027" t="s">
        <v>701</v>
      </c>
    </row>
    <row r="362" spans="1:8">
      <c r="A362" s="1018">
        <v>361</v>
      </c>
      <c r="B362" s="1019" t="s">
        <v>58</v>
      </c>
      <c r="C362" s="1020" t="s">
        <v>660</v>
      </c>
      <c r="D362" s="1020" t="s">
        <v>846</v>
      </c>
      <c r="E362" s="1020" t="s">
        <v>1006</v>
      </c>
      <c r="F362" s="1021">
        <v>45607</v>
      </c>
      <c r="G362" s="1021"/>
      <c r="H362" s="1022" t="s">
        <v>701</v>
      </c>
    </row>
    <row r="363" spans="1:8">
      <c r="A363" s="1023">
        <v>362</v>
      </c>
      <c r="B363" s="1024" t="s">
        <v>58</v>
      </c>
      <c r="C363" s="1025" t="s">
        <v>660</v>
      </c>
      <c r="D363" s="1025" t="s">
        <v>846</v>
      </c>
      <c r="E363" s="1025" t="s">
        <v>1007</v>
      </c>
      <c r="F363" s="1026">
        <v>45607</v>
      </c>
      <c r="G363" s="1026"/>
      <c r="H363" s="1027" t="s">
        <v>701</v>
      </c>
    </row>
    <row r="364" spans="1:8">
      <c r="A364" s="1018">
        <v>363</v>
      </c>
      <c r="B364" s="1019" t="s">
        <v>58</v>
      </c>
      <c r="C364" s="1020" t="s">
        <v>660</v>
      </c>
      <c r="D364" s="1020" t="s">
        <v>846</v>
      </c>
      <c r="E364" s="1020" t="s">
        <v>1008</v>
      </c>
      <c r="F364" s="1021">
        <v>45607</v>
      </c>
      <c r="G364" s="1021">
        <v>45522</v>
      </c>
      <c r="H364" s="1022" t="s">
        <v>663</v>
      </c>
    </row>
    <row r="365" spans="1:8">
      <c r="A365" s="1023">
        <v>364</v>
      </c>
      <c r="B365" s="1024" t="s">
        <v>58</v>
      </c>
      <c r="C365" s="1025" t="s">
        <v>660</v>
      </c>
      <c r="D365" s="1025" t="s">
        <v>846</v>
      </c>
      <c r="E365" s="1025" t="s">
        <v>1009</v>
      </c>
      <c r="F365" s="1026">
        <v>45607</v>
      </c>
      <c r="G365" s="1026">
        <v>45522</v>
      </c>
      <c r="H365" s="1027" t="s">
        <v>663</v>
      </c>
    </row>
    <row r="366" spans="1:8">
      <c r="A366" s="1018">
        <v>365</v>
      </c>
      <c r="B366" s="1019" t="s">
        <v>58</v>
      </c>
      <c r="C366" s="1020" t="s">
        <v>660</v>
      </c>
      <c r="D366" s="1020" t="s">
        <v>846</v>
      </c>
      <c r="E366" s="1020" t="s">
        <v>1010</v>
      </c>
      <c r="F366" s="1021">
        <v>45607</v>
      </c>
      <c r="G366" s="1021">
        <v>45522</v>
      </c>
      <c r="H366" s="1022" t="s">
        <v>663</v>
      </c>
    </row>
    <row r="367" spans="1:8">
      <c r="A367" s="1023">
        <v>366</v>
      </c>
      <c r="B367" s="1024" t="s">
        <v>58</v>
      </c>
      <c r="C367" s="1025" t="s">
        <v>660</v>
      </c>
      <c r="D367" s="1025" t="s">
        <v>846</v>
      </c>
      <c r="E367" s="1025" t="s">
        <v>1011</v>
      </c>
      <c r="F367" s="1026">
        <v>45607</v>
      </c>
      <c r="G367" s="1026">
        <v>45522</v>
      </c>
      <c r="H367" s="1027" t="s">
        <v>663</v>
      </c>
    </row>
    <row r="368" spans="1:8">
      <c r="A368" s="1018">
        <v>367</v>
      </c>
      <c r="B368" s="1019" t="s">
        <v>58</v>
      </c>
      <c r="C368" s="1020" t="s">
        <v>660</v>
      </c>
      <c r="D368" s="1020" t="s">
        <v>846</v>
      </c>
      <c r="E368" s="1020" t="s">
        <v>1012</v>
      </c>
      <c r="F368" s="1021">
        <v>45607</v>
      </c>
      <c r="G368" s="1021">
        <v>45522</v>
      </c>
      <c r="H368" s="1022" t="s">
        <v>663</v>
      </c>
    </row>
    <row r="369" spans="1:8">
      <c r="A369" s="1023">
        <v>368</v>
      </c>
      <c r="B369" s="1024" t="s">
        <v>58</v>
      </c>
      <c r="C369" s="1025" t="s">
        <v>660</v>
      </c>
      <c r="D369" s="1025" t="s">
        <v>1013</v>
      </c>
      <c r="E369" s="1025" t="s">
        <v>1014</v>
      </c>
      <c r="F369" s="1026">
        <v>45358</v>
      </c>
      <c r="G369" s="1026">
        <v>45299</v>
      </c>
      <c r="H369" s="1027" t="s">
        <v>663</v>
      </c>
    </row>
    <row r="370" spans="1:8">
      <c r="A370" s="1018">
        <v>369</v>
      </c>
      <c r="B370" s="1019" t="s">
        <v>58</v>
      </c>
      <c r="C370" s="1020" t="s">
        <v>660</v>
      </c>
      <c r="D370" s="1020" t="s">
        <v>1013</v>
      </c>
      <c r="E370" s="1020" t="s">
        <v>1015</v>
      </c>
      <c r="F370" s="1021">
        <v>45358</v>
      </c>
      <c r="G370" s="1021">
        <v>45299</v>
      </c>
      <c r="H370" s="1022" t="s">
        <v>663</v>
      </c>
    </row>
    <row r="371" spans="1:8">
      <c r="A371" s="1023">
        <v>370</v>
      </c>
      <c r="B371" s="1024" t="s">
        <v>58</v>
      </c>
      <c r="C371" s="1025" t="s">
        <v>660</v>
      </c>
      <c r="D371" s="1025" t="s">
        <v>1013</v>
      </c>
      <c r="E371" s="1025" t="s">
        <v>1016</v>
      </c>
      <c r="F371" s="1026">
        <v>45358</v>
      </c>
      <c r="G371" s="1026">
        <v>45299</v>
      </c>
      <c r="H371" s="1027" t="s">
        <v>663</v>
      </c>
    </row>
    <row r="372" spans="1:8">
      <c r="A372" s="1018">
        <v>371</v>
      </c>
      <c r="B372" s="1019" t="s">
        <v>58</v>
      </c>
      <c r="C372" s="1020" t="s">
        <v>660</v>
      </c>
      <c r="D372" s="1020" t="s">
        <v>1013</v>
      </c>
      <c r="E372" s="1020" t="s">
        <v>1017</v>
      </c>
      <c r="F372" s="1021">
        <v>45358</v>
      </c>
      <c r="G372" s="1021">
        <v>45299</v>
      </c>
      <c r="H372" s="1022" t="s">
        <v>663</v>
      </c>
    </row>
    <row r="373" spans="1:8">
      <c r="A373" s="1023">
        <v>372</v>
      </c>
      <c r="B373" s="1024" t="s">
        <v>58</v>
      </c>
      <c r="C373" s="1025" t="s">
        <v>660</v>
      </c>
      <c r="D373" s="1025" t="s">
        <v>1013</v>
      </c>
      <c r="E373" s="1025" t="s">
        <v>1018</v>
      </c>
      <c r="F373" s="1026">
        <v>45358</v>
      </c>
      <c r="G373" s="1026">
        <v>45299</v>
      </c>
      <c r="H373" s="1027" t="s">
        <v>663</v>
      </c>
    </row>
    <row r="374" spans="1:8">
      <c r="A374" s="1018">
        <v>373</v>
      </c>
      <c r="B374" s="1019" t="s">
        <v>58</v>
      </c>
      <c r="C374" s="1020" t="s">
        <v>660</v>
      </c>
      <c r="D374" s="1020" t="s">
        <v>1013</v>
      </c>
      <c r="E374" s="1020" t="s">
        <v>1019</v>
      </c>
      <c r="F374" s="1021">
        <v>45358</v>
      </c>
      <c r="G374" s="1021"/>
      <c r="H374" s="1022" t="s">
        <v>701</v>
      </c>
    </row>
    <row r="375" spans="1:8" ht="26">
      <c r="A375" s="1023">
        <v>374</v>
      </c>
      <c r="B375" s="1024" t="s">
        <v>58</v>
      </c>
      <c r="C375" s="1025" t="s">
        <v>660</v>
      </c>
      <c r="D375" s="1025" t="s">
        <v>1013</v>
      </c>
      <c r="E375" s="1025" t="s">
        <v>1020</v>
      </c>
      <c r="F375" s="1026">
        <v>45358</v>
      </c>
      <c r="G375" s="1026"/>
      <c r="H375" s="1027" t="s">
        <v>701</v>
      </c>
    </row>
    <row r="376" spans="1:8">
      <c r="A376" s="1018">
        <v>375</v>
      </c>
      <c r="B376" s="1019" t="s">
        <v>58</v>
      </c>
      <c r="C376" s="1020" t="s">
        <v>660</v>
      </c>
      <c r="D376" s="1020" t="s">
        <v>1013</v>
      </c>
      <c r="E376" s="1020" t="s">
        <v>1021</v>
      </c>
      <c r="F376" s="1021">
        <v>45358</v>
      </c>
      <c r="G376" s="1021"/>
      <c r="H376" s="1022" t="s">
        <v>701</v>
      </c>
    </row>
    <row r="377" spans="1:8">
      <c r="A377" s="1023">
        <v>376</v>
      </c>
      <c r="B377" s="1024" t="s">
        <v>58</v>
      </c>
      <c r="C377" s="1025" t="s">
        <v>660</v>
      </c>
      <c r="D377" s="1025" t="s">
        <v>1013</v>
      </c>
      <c r="E377" s="1025" t="s">
        <v>1022</v>
      </c>
      <c r="F377" s="1026">
        <v>45358</v>
      </c>
      <c r="G377" s="1026"/>
      <c r="H377" s="1027" t="s">
        <v>701</v>
      </c>
    </row>
    <row r="378" spans="1:8">
      <c r="A378" s="1018">
        <v>377</v>
      </c>
      <c r="B378" s="1019" t="s">
        <v>58</v>
      </c>
      <c r="C378" s="1020" t="s">
        <v>660</v>
      </c>
      <c r="D378" s="1020" t="s">
        <v>1013</v>
      </c>
      <c r="E378" s="1020" t="s">
        <v>1023</v>
      </c>
      <c r="F378" s="1021">
        <v>45358</v>
      </c>
      <c r="G378" s="1021">
        <v>45299</v>
      </c>
      <c r="H378" s="1022" t="s">
        <v>663</v>
      </c>
    </row>
    <row r="379" spans="1:8">
      <c r="A379" s="1023">
        <v>378</v>
      </c>
      <c r="B379" s="1024" t="s">
        <v>58</v>
      </c>
      <c r="C379" s="1025" t="s">
        <v>660</v>
      </c>
      <c r="D379" s="1025" t="s">
        <v>1013</v>
      </c>
      <c r="E379" s="1025" t="s">
        <v>1024</v>
      </c>
      <c r="F379" s="1026">
        <v>45358</v>
      </c>
      <c r="G379" s="1026">
        <v>45299</v>
      </c>
      <c r="H379" s="1027" t="s">
        <v>663</v>
      </c>
    </row>
    <row r="380" spans="1:8">
      <c r="A380" s="1018">
        <v>379</v>
      </c>
      <c r="B380" s="1019" t="s">
        <v>58</v>
      </c>
      <c r="C380" s="1020" t="s">
        <v>660</v>
      </c>
      <c r="D380" s="1020" t="s">
        <v>1013</v>
      </c>
      <c r="E380" s="1020" t="s">
        <v>1025</v>
      </c>
      <c r="F380" s="1021">
        <v>45358</v>
      </c>
      <c r="G380" s="1021"/>
      <c r="H380" s="1022" t="s">
        <v>701</v>
      </c>
    </row>
    <row r="381" spans="1:8">
      <c r="A381" s="1023">
        <v>380</v>
      </c>
      <c r="B381" s="1024" t="s">
        <v>58</v>
      </c>
      <c r="C381" s="1025" t="s">
        <v>660</v>
      </c>
      <c r="D381" s="1025" t="s">
        <v>1013</v>
      </c>
      <c r="E381" s="1025" t="s">
        <v>1026</v>
      </c>
      <c r="F381" s="1026">
        <v>45529</v>
      </c>
      <c r="G381" s="1026"/>
      <c r="H381" s="1027" t="s">
        <v>701</v>
      </c>
    </row>
    <row r="382" spans="1:8">
      <c r="A382" s="1018">
        <v>381</v>
      </c>
      <c r="B382" s="1019" t="s">
        <v>58</v>
      </c>
      <c r="C382" s="1020" t="s">
        <v>660</v>
      </c>
      <c r="D382" s="1020" t="s">
        <v>1013</v>
      </c>
      <c r="E382" s="1020" t="s">
        <v>1027</v>
      </c>
      <c r="F382" s="1021">
        <v>45529</v>
      </c>
      <c r="G382" s="1021"/>
      <c r="H382" s="1022" t="s">
        <v>701</v>
      </c>
    </row>
    <row r="383" spans="1:8">
      <c r="A383" s="1023">
        <v>382</v>
      </c>
      <c r="B383" s="1024" t="s">
        <v>58</v>
      </c>
      <c r="C383" s="1025" t="s">
        <v>660</v>
      </c>
      <c r="D383" s="1025" t="s">
        <v>1013</v>
      </c>
      <c r="E383" s="1025" t="s">
        <v>1028</v>
      </c>
      <c r="F383" s="1026">
        <v>45358</v>
      </c>
      <c r="G383" s="1026">
        <v>45362</v>
      </c>
      <c r="H383" s="1027" t="s">
        <v>663</v>
      </c>
    </row>
    <row r="384" spans="1:8">
      <c r="A384" s="1018">
        <v>383</v>
      </c>
      <c r="B384" s="1019" t="s">
        <v>58</v>
      </c>
      <c r="C384" s="1020" t="s">
        <v>660</v>
      </c>
      <c r="D384" s="1020" t="s">
        <v>1013</v>
      </c>
      <c r="E384" s="1020" t="s">
        <v>1029</v>
      </c>
      <c r="F384" s="1021">
        <v>45358</v>
      </c>
      <c r="G384" s="1021">
        <v>45362</v>
      </c>
      <c r="H384" s="1022" t="s">
        <v>663</v>
      </c>
    </row>
    <row r="385" spans="1:8">
      <c r="A385" s="1023">
        <v>384</v>
      </c>
      <c r="B385" s="1024" t="s">
        <v>58</v>
      </c>
      <c r="C385" s="1025" t="s">
        <v>660</v>
      </c>
      <c r="D385" s="1025" t="s">
        <v>1013</v>
      </c>
      <c r="E385" s="1025" t="s">
        <v>1030</v>
      </c>
      <c r="F385" s="1026">
        <v>45407</v>
      </c>
      <c r="G385" s="1026">
        <v>45407</v>
      </c>
      <c r="H385" s="1027" t="s">
        <v>663</v>
      </c>
    </row>
    <row r="386" spans="1:8">
      <c r="A386" s="1018">
        <v>385</v>
      </c>
      <c r="B386" s="1019" t="s">
        <v>58</v>
      </c>
      <c r="C386" s="1020" t="s">
        <v>660</v>
      </c>
      <c r="D386" s="1020" t="s">
        <v>1013</v>
      </c>
      <c r="E386" s="1020" t="s">
        <v>1031</v>
      </c>
      <c r="F386" s="1021">
        <v>45407</v>
      </c>
      <c r="G386" s="1021">
        <v>45407</v>
      </c>
      <c r="H386" s="1022" t="s">
        <v>663</v>
      </c>
    </row>
    <row r="387" spans="1:8">
      <c r="A387" s="1023">
        <v>386</v>
      </c>
      <c r="B387" s="1024" t="s">
        <v>58</v>
      </c>
      <c r="C387" s="1025" t="s">
        <v>660</v>
      </c>
      <c r="D387" s="1025" t="s">
        <v>1013</v>
      </c>
      <c r="E387" s="1025" t="s">
        <v>1032</v>
      </c>
      <c r="F387" s="1026">
        <v>45576</v>
      </c>
      <c r="G387" s="1026"/>
      <c r="H387" s="1027" t="s">
        <v>701</v>
      </c>
    </row>
    <row r="388" spans="1:8">
      <c r="A388" s="1018">
        <v>387</v>
      </c>
      <c r="B388" s="1019" t="s">
        <v>58</v>
      </c>
      <c r="C388" s="1020" t="s">
        <v>660</v>
      </c>
      <c r="D388" s="1020" t="s">
        <v>1013</v>
      </c>
      <c r="E388" s="1020" t="s">
        <v>1033</v>
      </c>
      <c r="F388" s="1021">
        <v>45576</v>
      </c>
      <c r="G388" s="1021"/>
      <c r="H388" s="1022" t="s">
        <v>701</v>
      </c>
    </row>
    <row r="389" spans="1:8">
      <c r="A389" s="1023">
        <v>388</v>
      </c>
      <c r="B389" s="1024" t="s">
        <v>58</v>
      </c>
      <c r="C389" s="1025" t="s">
        <v>660</v>
      </c>
      <c r="D389" s="1025" t="s">
        <v>1013</v>
      </c>
      <c r="E389" s="1025" t="s">
        <v>1034</v>
      </c>
      <c r="F389" s="1026">
        <v>45576</v>
      </c>
      <c r="G389" s="1026">
        <v>45407</v>
      </c>
      <c r="H389" s="1027" t="s">
        <v>663</v>
      </c>
    </row>
    <row r="390" spans="1:8">
      <c r="A390" s="1018">
        <v>389</v>
      </c>
      <c r="B390" s="1019" t="s">
        <v>58</v>
      </c>
      <c r="C390" s="1020" t="s">
        <v>660</v>
      </c>
      <c r="D390" s="1020" t="s">
        <v>1013</v>
      </c>
      <c r="E390" s="1020" t="s">
        <v>1035</v>
      </c>
      <c r="F390" s="1021">
        <v>45576</v>
      </c>
      <c r="G390" s="1021">
        <v>45407</v>
      </c>
      <c r="H390" s="1022" t="s">
        <v>663</v>
      </c>
    </row>
    <row r="391" spans="1:8">
      <c r="A391" s="1023">
        <v>390</v>
      </c>
      <c r="B391" s="1024" t="s">
        <v>58</v>
      </c>
      <c r="C391" s="1025" t="s">
        <v>660</v>
      </c>
      <c r="D391" s="1025" t="s">
        <v>1013</v>
      </c>
      <c r="E391" s="1025" t="s">
        <v>1036</v>
      </c>
      <c r="F391" s="1026">
        <v>45576</v>
      </c>
      <c r="G391" s="1026">
        <v>45407</v>
      </c>
      <c r="H391" s="1027" t="s">
        <v>663</v>
      </c>
    </row>
    <row r="392" spans="1:8">
      <c r="A392" s="1018">
        <v>391</v>
      </c>
      <c r="B392" s="1019" t="s">
        <v>58</v>
      </c>
      <c r="C392" s="1020" t="s">
        <v>660</v>
      </c>
      <c r="D392" s="1020" t="s">
        <v>1013</v>
      </c>
      <c r="E392" s="1020" t="s">
        <v>1037</v>
      </c>
      <c r="F392" s="1021">
        <v>45576</v>
      </c>
      <c r="G392" s="1021">
        <v>45407</v>
      </c>
      <c r="H392" s="1022" t="s">
        <v>663</v>
      </c>
    </row>
    <row r="393" spans="1:8">
      <c r="A393" s="1023">
        <v>392</v>
      </c>
      <c r="B393" s="1024" t="s">
        <v>58</v>
      </c>
      <c r="C393" s="1025" t="s">
        <v>660</v>
      </c>
      <c r="D393" s="1025" t="s">
        <v>1013</v>
      </c>
      <c r="E393" s="1025" t="s">
        <v>1038</v>
      </c>
      <c r="F393" s="1026">
        <v>45576</v>
      </c>
      <c r="G393" s="1026">
        <v>45407</v>
      </c>
      <c r="H393" s="1027" t="s">
        <v>663</v>
      </c>
    </row>
    <row r="394" spans="1:8">
      <c r="A394" s="1018">
        <v>393</v>
      </c>
      <c r="B394" s="1019" t="s">
        <v>58</v>
      </c>
      <c r="C394" s="1020" t="s">
        <v>660</v>
      </c>
      <c r="D394" s="1020" t="s">
        <v>1013</v>
      </c>
      <c r="E394" s="1020" t="s">
        <v>1039</v>
      </c>
      <c r="F394" s="1021">
        <v>45576</v>
      </c>
      <c r="G394" s="1021"/>
      <c r="H394" s="1022" t="s">
        <v>701</v>
      </c>
    </row>
    <row r="395" spans="1:8">
      <c r="A395" s="1023">
        <v>394</v>
      </c>
      <c r="B395" s="1024" t="s">
        <v>58</v>
      </c>
      <c r="C395" s="1025" t="s">
        <v>660</v>
      </c>
      <c r="D395" s="1025" t="s">
        <v>1013</v>
      </c>
      <c r="E395" s="1025" t="s">
        <v>1040</v>
      </c>
      <c r="F395" s="1026">
        <v>45576</v>
      </c>
      <c r="G395" s="1026"/>
      <c r="H395" s="1027" t="s">
        <v>701</v>
      </c>
    </row>
    <row r="396" spans="1:8">
      <c r="A396" s="1018">
        <v>395</v>
      </c>
      <c r="B396" s="1019" t="s">
        <v>58</v>
      </c>
      <c r="C396" s="1020" t="s">
        <v>660</v>
      </c>
      <c r="D396" s="1020" t="s">
        <v>1013</v>
      </c>
      <c r="E396" s="1020" t="s">
        <v>1041</v>
      </c>
      <c r="F396" s="1021">
        <v>45576</v>
      </c>
      <c r="G396" s="1021"/>
      <c r="H396" s="1022" t="s">
        <v>701</v>
      </c>
    </row>
    <row r="397" spans="1:8">
      <c r="A397" s="1023">
        <v>396</v>
      </c>
      <c r="B397" s="1024" t="s">
        <v>58</v>
      </c>
      <c r="C397" s="1025" t="s">
        <v>660</v>
      </c>
      <c r="D397" s="1025" t="s">
        <v>1013</v>
      </c>
      <c r="E397" s="1025" t="s">
        <v>1042</v>
      </c>
      <c r="F397" s="1026">
        <v>45576</v>
      </c>
      <c r="G397" s="1026"/>
      <c r="H397" s="1027" t="s">
        <v>701</v>
      </c>
    </row>
    <row r="398" spans="1:8">
      <c r="A398" s="1018">
        <v>397</v>
      </c>
      <c r="B398" s="1019" t="s">
        <v>58</v>
      </c>
      <c r="C398" s="1020" t="s">
        <v>660</v>
      </c>
      <c r="D398" s="1020" t="s">
        <v>1013</v>
      </c>
      <c r="E398" s="1020" t="s">
        <v>1043</v>
      </c>
      <c r="F398" s="1021">
        <v>45576</v>
      </c>
      <c r="G398" s="1021"/>
      <c r="H398" s="1022" t="s">
        <v>701</v>
      </c>
    </row>
    <row r="399" spans="1:8">
      <c r="A399" s="1023">
        <v>398</v>
      </c>
      <c r="B399" s="1024" t="s">
        <v>58</v>
      </c>
      <c r="C399" s="1025" t="s">
        <v>660</v>
      </c>
      <c r="D399" s="1025" t="s">
        <v>1013</v>
      </c>
      <c r="E399" s="1025" t="s">
        <v>1044</v>
      </c>
      <c r="F399" s="1026">
        <v>45576</v>
      </c>
      <c r="G399" s="1026"/>
      <c r="H399" s="1027" t="s">
        <v>701</v>
      </c>
    </row>
    <row r="400" spans="1:8">
      <c r="A400" s="1018">
        <v>399</v>
      </c>
      <c r="B400" s="1019" t="s">
        <v>58</v>
      </c>
      <c r="C400" s="1020" t="s">
        <v>660</v>
      </c>
      <c r="D400" s="1020" t="s">
        <v>1013</v>
      </c>
      <c r="E400" s="1020" t="s">
        <v>1045</v>
      </c>
      <c r="F400" s="1021">
        <v>45576</v>
      </c>
      <c r="G400" s="1021"/>
      <c r="H400" s="1022" t="s">
        <v>701</v>
      </c>
    </row>
    <row r="401" spans="1:8">
      <c r="A401" s="1023">
        <v>400</v>
      </c>
      <c r="B401" s="1024" t="s">
        <v>58</v>
      </c>
      <c r="C401" s="1025" t="s">
        <v>660</v>
      </c>
      <c r="D401" s="1025" t="s">
        <v>1013</v>
      </c>
      <c r="E401" s="1025" t="s">
        <v>1046</v>
      </c>
      <c r="F401" s="1026">
        <v>45576</v>
      </c>
      <c r="G401" s="1026"/>
      <c r="H401" s="1027" t="s">
        <v>701</v>
      </c>
    </row>
    <row r="402" spans="1:8">
      <c r="A402" s="1018">
        <v>401</v>
      </c>
      <c r="B402" s="1019" t="s">
        <v>58</v>
      </c>
      <c r="C402" s="1020" t="s">
        <v>660</v>
      </c>
      <c r="D402" s="1020" t="s">
        <v>1013</v>
      </c>
      <c r="E402" s="1020" t="s">
        <v>1047</v>
      </c>
      <c r="F402" s="1021">
        <v>45607</v>
      </c>
      <c r="G402" s="1021">
        <v>45396</v>
      </c>
      <c r="H402" s="1022" t="s">
        <v>663</v>
      </c>
    </row>
    <row r="403" spans="1:8">
      <c r="A403" s="1023">
        <v>402</v>
      </c>
      <c r="B403" s="1024" t="s">
        <v>58</v>
      </c>
      <c r="C403" s="1025" t="s">
        <v>660</v>
      </c>
      <c r="D403" s="1025" t="s">
        <v>1013</v>
      </c>
      <c r="E403" s="1025" t="s">
        <v>1048</v>
      </c>
      <c r="F403" s="1026">
        <v>45607</v>
      </c>
      <c r="G403" s="1026">
        <v>45396</v>
      </c>
      <c r="H403" s="1027" t="s">
        <v>663</v>
      </c>
    </row>
    <row r="404" spans="1:8">
      <c r="A404" s="1018">
        <v>403</v>
      </c>
      <c r="B404" s="1019" t="s">
        <v>58</v>
      </c>
      <c r="C404" s="1020" t="s">
        <v>660</v>
      </c>
      <c r="D404" s="1020" t="s">
        <v>1013</v>
      </c>
      <c r="E404" s="1020" t="s">
        <v>1049</v>
      </c>
      <c r="F404" s="1021">
        <v>45396</v>
      </c>
      <c r="G404" s="1021">
        <v>45396</v>
      </c>
      <c r="H404" s="1022" t="s">
        <v>663</v>
      </c>
    </row>
    <row r="405" spans="1:8">
      <c r="A405" s="1023">
        <v>404</v>
      </c>
      <c r="B405" s="1024" t="s">
        <v>58</v>
      </c>
      <c r="C405" s="1025" t="s">
        <v>660</v>
      </c>
      <c r="D405" s="1025" t="s">
        <v>1013</v>
      </c>
      <c r="E405" s="1025" t="s">
        <v>1050</v>
      </c>
      <c r="F405" s="1026">
        <v>45607</v>
      </c>
      <c r="G405" s="1026">
        <v>45396</v>
      </c>
      <c r="H405" s="1027" t="s">
        <v>663</v>
      </c>
    </row>
    <row r="406" spans="1:8">
      <c r="A406" s="1018">
        <v>405</v>
      </c>
      <c r="B406" s="1019" t="s">
        <v>58</v>
      </c>
      <c r="C406" s="1020" t="s">
        <v>660</v>
      </c>
      <c r="D406" s="1020" t="s">
        <v>1013</v>
      </c>
      <c r="E406" s="1020" t="s">
        <v>1051</v>
      </c>
      <c r="F406" s="1021">
        <v>45423</v>
      </c>
      <c r="G406" s="1021">
        <v>45439</v>
      </c>
      <c r="H406" s="1022" t="s">
        <v>663</v>
      </c>
    </row>
    <row r="407" spans="1:8">
      <c r="A407" s="1023">
        <v>406</v>
      </c>
      <c r="B407" s="1024" t="s">
        <v>58</v>
      </c>
      <c r="C407" s="1025" t="s">
        <v>660</v>
      </c>
      <c r="D407" s="1025" t="s">
        <v>1013</v>
      </c>
      <c r="E407" s="1025" t="s">
        <v>1052</v>
      </c>
      <c r="F407" s="1026">
        <v>45423</v>
      </c>
      <c r="G407" s="1026">
        <v>45439</v>
      </c>
      <c r="H407" s="1027" t="s">
        <v>663</v>
      </c>
    </row>
    <row r="408" spans="1:8">
      <c r="A408" s="1018">
        <v>407</v>
      </c>
      <c r="B408" s="1019" t="s">
        <v>58</v>
      </c>
      <c r="C408" s="1020" t="s">
        <v>660</v>
      </c>
      <c r="D408" s="1020" t="s">
        <v>1013</v>
      </c>
      <c r="E408" s="1020" t="s">
        <v>1053</v>
      </c>
      <c r="F408" s="1021">
        <v>45423</v>
      </c>
      <c r="G408" s="1021">
        <v>45439</v>
      </c>
      <c r="H408" s="1022" t="s">
        <v>663</v>
      </c>
    </row>
    <row r="409" spans="1:8">
      <c r="A409" s="1023">
        <v>408</v>
      </c>
      <c r="B409" s="1024" t="s">
        <v>58</v>
      </c>
      <c r="C409" s="1025" t="s">
        <v>660</v>
      </c>
      <c r="D409" s="1025" t="s">
        <v>1013</v>
      </c>
      <c r="E409" s="1025" t="s">
        <v>1054</v>
      </c>
      <c r="F409" s="1026">
        <v>45423</v>
      </c>
      <c r="G409" s="1026">
        <v>45439</v>
      </c>
      <c r="H409" s="1027" t="s">
        <v>663</v>
      </c>
    </row>
    <row r="410" spans="1:8">
      <c r="A410" s="1018">
        <v>409</v>
      </c>
      <c r="B410" s="1019" t="s">
        <v>58</v>
      </c>
      <c r="C410" s="1020" t="s">
        <v>660</v>
      </c>
      <c r="D410" s="1020" t="s">
        <v>1013</v>
      </c>
      <c r="E410" s="1020" t="s">
        <v>1055</v>
      </c>
      <c r="F410" s="1021">
        <v>45607</v>
      </c>
      <c r="G410" s="1021">
        <v>45522</v>
      </c>
      <c r="H410" s="1022" t="s">
        <v>663</v>
      </c>
    </row>
    <row r="411" spans="1:8">
      <c r="A411" s="1023">
        <v>410</v>
      </c>
      <c r="B411" s="1024" t="s">
        <v>58</v>
      </c>
      <c r="C411" s="1025" t="s">
        <v>660</v>
      </c>
      <c r="D411" s="1025" t="s">
        <v>1013</v>
      </c>
      <c r="E411" s="1025" t="s">
        <v>1056</v>
      </c>
      <c r="F411" s="1026">
        <v>45607</v>
      </c>
      <c r="G411" s="1026">
        <v>45522</v>
      </c>
      <c r="H411" s="1027" t="s">
        <v>663</v>
      </c>
    </row>
    <row r="412" spans="1:8">
      <c r="A412" s="1018">
        <v>411</v>
      </c>
      <c r="B412" s="1019" t="s">
        <v>58</v>
      </c>
      <c r="C412" s="1020" t="s">
        <v>660</v>
      </c>
      <c r="D412" s="1020" t="s">
        <v>1013</v>
      </c>
      <c r="E412" s="1020" t="s">
        <v>1057</v>
      </c>
      <c r="F412" s="1021">
        <v>45607</v>
      </c>
      <c r="G412" s="1021"/>
      <c r="H412" s="1022" t="s">
        <v>701</v>
      </c>
    </row>
    <row r="413" spans="1:8">
      <c r="A413" s="1023">
        <v>412</v>
      </c>
      <c r="B413" s="1024" t="s">
        <v>58</v>
      </c>
      <c r="C413" s="1025" t="s">
        <v>660</v>
      </c>
      <c r="D413" s="1025" t="s">
        <v>1013</v>
      </c>
      <c r="E413" s="1025" t="s">
        <v>1058</v>
      </c>
      <c r="F413" s="1026">
        <v>45607</v>
      </c>
      <c r="G413" s="1026">
        <v>45417</v>
      </c>
      <c r="H413" s="1027" t="s">
        <v>663</v>
      </c>
    </row>
    <row r="414" spans="1:8">
      <c r="A414" s="1018">
        <v>413</v>
      </c>
      <c r="B414" s="1019" t="s">
        <v>58</v>
      </c>
      <c r="C414" s="1020" t="s">
        <v>660</v>
      </c>
      <c r="D414" s="1020" t="s">
        <v>1013</v>
      </c>
      <c r="E414" s="1020" t="s">
        <v>1059</v>
      </c>
      <c r="F414" s="1021">
        <v>45417</v>
      </c>
      <c r="G414" s="1021">
        <v>45417</v>
      </c>
      <c r="H414" s="1022" t="s">
        <v>663</v>
      </c>
    </row>
    <row r="415" spans="1:8">
      <c r="A415" s="1023">
        <v>414</v>
      </c>
      <c r="B415" s="1024" t="s">
        <v>58</v>
      </c>
      <c r="C415" s="1025" t="s">
        <v>660</v>
      </c>
      <c r="D415" s="1025" t="s">
        <v>1013</v>
      </c>
      <c r="E415" s="1025" t="s">
        <v>1060</v>
      </c>
      <c r="F415" s="1026">
        <v>45362</v>
      </c>
      <c r="G415" s="1026">
        <v>45362</v>
      </c>
      <c r="H415" s="1027" t="s">
        <v>663</v>
      </c>
    </row>
    <row r="416" spans="1:8">
      <c r="A416" s="1018">
        <v>415</v>
      </c>
      <c r="B416" s="1019" t="s">
        <v>58</v>
      </c>
      <c r="C416" s="1020" t="s">
        <v>660</v>
      </c>
      <c r="D416" s="1020" t="s">
        <v>1013</v>
      </c>
      <c r="E416" s="1020" t="s">
        <v>1061</v>
      </c>
      <c r="F416" s="1021">
        <v>45362</v>
      </c>
      <c r="G416" s="1021">
        <v>45362</v>
      </c>
      <c r="H416" s="1022" t="s">
        <v>663</v>
      </c>
    </row>
    <row r="417" spans="1:8">
      <c r="A417" s="1023">
        <v>416</v>
      </c>
      <c r="B417" s="1024" t="s">
        <v>58</v>
      </c>
      <c r="C417" s="1025" t="s">
        <v>660</v>
      </c>
      <c r="D417" s="1025" t="s">
        <v>1062</v>
      </c>
      <c r="E417" s="1025" t="s">
        <v>1063</v>
      </c>
      <c r="F417" s="1026">
        <v>45358</v>
      </c>
      <c r="G417" s="1026">
        <v>45299</v>
      </c>
      <c r="H417" s="1027" t="s">
        <v>663</v>
      </c>
    </row>
    <row r="418" spans="1:8">
      <c r="A418" s="1018">
        <v>417</v>
      </c>
      <c r="B418" s="1019" t="s">
        <v>58</v>
      </c>
      <c r="C418" s="1020" t="s">
        <v>660</v>
      </c>
      <c r="D418" s="1020" t="s">
        <v>1062</v>
      </c>
      <c r="E418" s="1020" t="s">
        <v>1064</v>
      </c>
      <c r="F418" s="1021">
        <v>45358</v>
      </c>
      <c r="G418" s="1021">
        <v>45299</v>
      </c>
      <c r="H418" s="1022" t="s">
        <v>663</v>
      </c>
    </row>
    <row r="419" spans="1:8">
      <c r="A419" s="1023">
        <v>418</v>
      </c>
      <c r="B419" s="1024" t="s">
        <v>58</v>
      </c>
      <c r="C419" s="1025" t="s">
        <v>660</v>
      </c>
      <c r="D419" s="1025" t="s">
        <v>1062</v>
      </c>
      <c r="E419" s="1025" t="s">
        <v>1065</v>
      </c>
      <c r="F419" s="1026">
        <v>45358</v>
      </c>
      <c r="G419" s="1026">
        <v>45299</v>
      </c>
      <c r="H419" s="1027" t="s">
        <v>663</v>
      </c>
    </row>
    <row r="420" spans="1:8">
      <c r="A420" s="1018">
        <v>419</v>
      </c>
      <c r="B420" s="1019" t="s">
        <v>58</v>
      </c>
      <c r="C420" s="1020" t="s">
        <v>660</v>
      </c>
      <c r="D420" s="1020" t="s">
        <v>1062</v>
      </c>
      <c r="E420" s="1020" t="s">
        <v>1066</v>
      </c>
      <c r="F420" s="1021">
        <v>45358</v>
      </c>
      <c r="G420" s="1021">
        <v>45299</v>
      </c>
      <c r="H420" s="1022" t="s">
        <v>663</v>
      </c>
    </row>
    <row r="421" spans="1:8">
      <c r="A421" s="1023">
        <v>420</v>
      </c>
      <c r="B421" s="1024" t="s">
        <v>58</v>
      </c>
      <c r="C421" s="1025" t="s">
        <v>660</v>
      </c>
      <c r="D421" s="1025" t="s">
        <v>1062</v>
      </c>
      <c r="E421" s="1025" t="s">
        <v>1067</v>
      </c>
      <c r="F421" s="1026">
        <v>45358</v>
      </c>
      <c r="G421" s="1026">
        <v>45299</v>
      </c>
      <c r="H421" s="1027" t="s">
        <v>663</v>
      </c>
    </row>
    <row r="422" spans="1:8">
      <c r="A422" s="1018">
        <v>421</v>
      </c>
      <c r="B422" s="1019" t="s">
        <v>58</v>
      </c>
      <c r="C422" s="1020" t="s">
        <v>660</v>
      </c>
      <c r="D422" s="1020" t="s">
        <v>1062</v>
      </c>
      <c r="E422" s="1020" t="s">
        <v>1068</v>
      </c>
      <c r="F422" s="1021">
        <v>45358</v>
      </c>
      <c r="G422" s="1021">
        <v>45299</v>
      </c>
      <c r="H422" s="1022" t="s">
        <v>663</v>
      </c>
    </row>
    <row r="423" spans="1:8">
      <c r="A423" s="1023">
        <v>422</v>
      </c>
      <c r="B423" s="1024" t="s">
        <v>58</v>
      </c>
      <c r="C423" s="1025" t="s">
        <v>660</v>
      </c>
      <c r="D423" s="1025" t="s">
        <v>1062</v>
      </c>
      <c r="E423" s="1025" t="s">
        <v>1069</v>
      </c>
      <c r="F423" s="1026">
        <v>45358</v>
      </c>
      <c r="G423" s="1026">
        <v>45299</v>
      </c>
      <c r="H423" s="1027" t="s">
        <v>663</v>
      </c>
    </row>
    <row r="424" spans="1:8" ht="26">
      <c r="A424" s="1018">
        <v>423</v>
      </c>
      <c r="B424" s="1019" t="s">
        <v>58</v>
      </c>
      <c r="C424" s="1020" t="s">
        <v>660</v>
      </c>
      <c r="D424" s="1020" t="s">
        <v>1062</v>
      </c>
      <c r="E424" s="1020" t="s">
        <v>1070</v>
      </c>
      <c r="F424" s="1021">
        <v>45358</v>
      </c>
      <c r="G424" s="1021">
        <v>45375</v>
      </c>
      <c r="H424" s="1022" t="s">
        <v>663</v>
      </c>
    </row>
    <row r="425" spans="1:8" ht="26">
      <c r="A425" s="1023">
        <v>424</v>
      </c>
      <c r="B425" s="1024" t="s">
        <v>58</v>
      </c>
      <c r="C425" s="1025" t="s">
        <v>660</v>
      </c>
      <c r="D425" s="1025" t="s">
        <v>1062</v>
      </c>
      <c r="E425" s="1025" t="s">
        <v>1071</v>
      </c>
      <c r="F425" s="1026">
        <v>45358</v>
      </c>
      <c r="G425" s="1026">
        <v>45375</v>
      </c>
      <c r="H425" s="1027" t="s">
        <v>663</v>
      </c>
    </row>
    <row r="426" spans="1:8" ht="26">
      <c r="A426" s="1018">
        <v>425</v>
      </c>
      <c r="B426" s="1019" t="s">
        <v>58</v>
      </c>
      <c r="C426" s="1020" t="s">
        <v>660</v>
      </c>
      <c r="D426" s="1020" t="s">
        <v>1062</v>
      </c>
      <c r="E426" s="1020" t="s">
        <v>1072</v>
      </c>
      <c r="F426" s="1021">
        <v>45358</v>
      </c>
      <c r="G426" s="1021">
        <v>45375</v>
      </c>
      <c r="H426" s="1022" t="s">
        <v>663</v>
      </c>
    </row>
    <row r="427" spans="1:8">
      <c r="A427" s="1023">
        <v>426</v>
      </c>
      <c r="B427" s="1024" t="s">
        <v>58</v>
      </c>
      <c r="C427" s="1025" t="s">
        <v>660</v>
      </c>
      <c r="D427" s="1025" t="s">
        <v>1062</v>
      </c>
      <c r="E427" s="1025" t="s">
        <v>1073</v>
      </c>
      <c r="F427" s="1026">
        <v>45358</v>
      </c>
      <c r="G427" s="1026">
        <v>45375</v>
      </c>
      <c r="H427" s="1027" t="s">
        <v>663</v>
      </c>
    </row>
    <row r="428" spans="1:8">
      <c r="A428" s="1018">
        <v>427</v>
      </c>
      <c r="B428" s="1019" t="s">
        <v>58</v>
      </c>
      <c r="C428" s="1020" t="s">
        <v>660</v>
      </c>
      <c r="D428" s="1020" t="s">
        <v>1062</v>
      </c>
      <c r="E428" s="1020" t="s">
        <v>1074</v>
      </c>
      <c r="F428" s="1021">
        <v>45358</v>
      </c>
      <c r="G428" s="1021"/>
      <c r="H428" s="1022" t="s">
        <v>701</v>
      </c>
    </row>
    <row r="429" spans="1:8">
      <c r="A429" s="1023">
        <v>428</v>
      </c>
      <c r="B429" s="1024" t="s">
        <v>58</v>
      </c>
      <c r="C429" s="1025" t="s">
        <v>660</v>
      </c>
      <c r="D429" s="1025" t="s">
        <v>1062</v>
      </c>
      <c r="E429" s="1025" t="s">
        <v>1075</v>
      </c>
      <c r="F429" s="1026">
        <v>45358</v>
      </c>
      <c r="G429" s="1026"/>
      <c r="H429" s="1027" t="s">
        <v>701</v>
      </c>
    </row>
    <row r="430" spans="1:8">
      <c r="A430" s="1018">
        <v>429</v>
      </c>
      <c r="B430" s="1019" t="s">
        <v>58</v>
      </c>
      <c r="C430" s="1020" t="s">
        <v>660</v>
      </c>
      <c r="D430" s="1020" t="s">
        <v>1062</v>
      </c>
      <c r="E430" s="1020" t="s">
        <v>1076</v>
      </c>
      <c r="F430" s="1021">
        <v>45358</v>
      </c>
      <c r="G430" s="1021"/>
      <c r="H430" s="1022" t="s">
        <v>701</v>
      </c>
    </row>
    <row r="431" spans="1:8">
      <c r="A431" s="1023">
        <v>430</v>
      </c>
      <c r="B431" s="1024" t="s">
        <v>58</v>
      </c>
      <c r="C431" s="1025" t="s">
        <v>660</v>
      </c>
      <c r="D431" s="1025" t="s">
        <v>1062</v>
      </c>
      <c r="E431" s="1025" t="s">
        <v>1077</v>
      </c>
      <c r="F431" s="1026">
        <v>45358</v>
      </c>
      <c r="G431" s="1026"/>
      <c r="H431" s="1027" t="s">
        <v>701</v>
      </c>
    </row>
    <row r="432" spans="1:8">
      <c r="A432" s="1018">
        <v>431</v>
      </c>
      <c r="B432" s="1019" t="s">
        <v>58</v>
      </c>
      <c r="C432" s="1020" t="s">
        <v>660</v>
      </c>
      <c r="D432" s="1020" t="s">
        <v>1062</v>
      </c>
      <c r="E432" s="1020" t="s">
        <v>1078</v>
      </c>
      <c r="F432" s="1021">
        <v>45358</v>
      </c>
      <c r="G432" s="1021"/>
      <c r="H432" s="1022" t="s">
        <v>701</v>
      </c>
    </row>
    <row r="433" spans="1:8" ht="39">
      <c r="A433" s="1023">
        <v>432</v>
      </c>
      <c r="B433" s="1024" t="s">
        <v>58</v>
      </c>
      <c r="C433" s="1025" t="s">
        <v>660</v>
      </c>
      <c r="D433" s="1025" t="s">
        <v>1062</v>
      </c>
      <c r="E433" s="1025" t="s">
        <v>1079</v>
      </c>
      <c r="F433" s="1026">
        <v>45358</v>
      </c>
      <c r="G433" s="1026">
        <v>45375</v>
      </c>
      <c r="H433" s="1027" t="s">
        <v>663</v>
      </c>
    </row>
    <row r="434" spans="1:8">
      <c r="A434" s="1018">
        <v>433</v>
      </c>
      <c r="B434" s="1019" t="s">
        <v>58</v>
      </c>
      <c r="C434" s="1020" t="s">
        <v>660</v>
      </c>
      <c r="D434" s="1020" t="s">
        <v>1062</v>
      </c>
      <c r="E434" s="1020" t="s">
        <v>1080</v>
      </c>
      <c r="F434" s="1021">
        <v>45358</v>
      </c>
      <c r="G434" s="1021">
        <v>45375</v>
      </c>
      <c r="H434" s="1022" t="s">
        <v>663</v>
      </c>
    </row>
    <row r="435" spans="1:8">
      <c r="A435" s="1023">
        <v>434</v>
      </c>
      <c r="B435" s="1024" t="s">
        <v>58</v>
      </c>
      <c r="C435" s="1025" t="s">
        <v>660</v>
      </c>
      <c r="D435" s="1025" t="s">
        <v>1062</v>
      </c>
      <c r="E435" s="1025" t="s">
        <v>1081</v>
      </c>
      <c r="F435" s="1026">
        <v>45358</v>
      </c>
      <c r="G435" s="1026">
        <v>45375</v>
      </c>
      <c r="H435" s="1027" t="s">
        <v>663</v>
      </c>
    </row>
    <row r="436" spans="1:8">
      <c r="A436" s="1018">
        <v>435</v>
      </c>
      <c r="B436" s="1019" t="s">
        <v>58</v>
      </c>
      <c r="C436" s="1020" t="s">
        <v>660</v>
      </c>
      <c r="D436" s="1020" t="s">
        <v>1062</v>
      </c>
      <c r="E436" s="1020" t="s">
        <v>1082</v>
      </c>
      <c r="F436" s="1021">
        <v>45358</v>
      </c>
      <c r="G436" s="1021">
        <v>45299</v>
      </c>
      <c r="H436" s="1022" t="s">
        <v>663</v>
      </c>
    </row>
    <row r="437" spans="1:8">
      <c r="A437" s="1023">
        <v>436</v>
      </c>
      <c r="B437" s="1024" t="s">
        <v>58</v>
      </c>
      <c r="C437" s="1025" t="s">
        <v>660</v>
      </c>
      <c r="D437" s="1025" t="s">
        <v>1062</v>
      </c>
      <c r="E437" s="1025" t="s">
        <v>1083</v>
      </c>
      <c r="F437" s="1026">
        <v>45358</v>
      </c>
      <c r="G437" s="1026">
        <v>45299</v>
      </c>
      <c r="H437" s="1027" t="s">
        <v>663</v>
      </c>
    </row>
    <row r="438" spans="1:8">
      <c r="A438" s="1018">
        <v>437</v>
      </c>
      <c r="B438" s="1019" t="s">
        <v>58</v>
      </c>
      <c r="C438" s="1020" t="s">
        <v>660</v>
      </c>
      <c r="D438" s="1020" t="s">
        <v>1062</v>
      </c>
      <c r="E438" s="1020" t="s">
        <v>1084</v>
      </c>
      <c r="F438" s="1021">
        <v>45358</v>
      </c>
      <c r="G438" s="1021">
        <v>45299</v>
      </c>
      <c r="H438" s="1022" t="s">
        <v>663</v>
      </c>
    </row>
    <row r="439" spans="1:8">
      <c r="A439" s="1023">
        <v>438</v>
      </c>
      <c r="B439" s="1024" t="s">
        <v>58</v>
      </c>
      <c r="C439" s="1025" t="s">
        <v>660</v>
      </c>
      <c r="D439" s="1025" t="s">
        <v>1062</v>
      </c>
      <c r="E439" s="1025" t="s">
        <v>1085</v>
      </c>
      <c r="F439" s="1026">
        <v>45358</v>
      </c>
      <c r="G439" s="1026">
        <v>45299</v>
      </c>
      <c r="H439" s="1027" t="s">
        <v>663</v>
      </c>
    </row>
    <row r="440" spans="1:8">
      <c r="A440" s="1018">
        <v>439</v>
      </c>
      <c r="B440" s="1019" t="s">
        <v>58</v>
      </c>
      <c r="C440" s="1020" t="s">
        <v>660</v>
      </c>
      <c r="D440" s="1020" t="s">
        <v>1062</v>
      </c>
      <c r="E440" s="1020" t="s">
        <v>1086</v>
      </c>
      <c r="F440" s="1021">
        <v>45358</v>
      </c>
      <c r="G440" s="1021">
        <v>45562</v>
      </c>
      <c r="H440" s="1022" t="s">
        <v>663</v>
      </c>
    </row>
    <row r="441" spans="1:8">
      <c r="A441" s="1023">
        <v>440</v>
      </c>
      <c r="B441" s="1024" t="s">
        <v>58</v>
      </c>
      <c r="C441" s="1025" t="s">
        <v>660</v>
      </c>
      <c r="D441" s="1025" t="s">
        <v>1062</v>
      </c>
      <c r="E441" s="1025" t="s">
        <v>1087</v>
      </c>
      <c r="F441" s="1026">
        <v>45529</v>
      </c>
      <c r="G441" s="1026"/>
      <c r="H441" s="1027" t="s">
        <v>701</v>
      </c>
    </row>
    <row r="442" spans="1:8">
      <c r="A442" s="1018">
        <v>441</v>
      </c>
      <c r="B442" s="1019" t="s">
        <v>58</v>
      </c>
      <c r="C442" s="1020" t="s">
        <v>660</v>
      </c>
      <c r="D442" s="1020" t="s">
        <v>1062</v>
      </c>
      <c r="E442" s="1020" t="s">
        <v>1088</v>
      </c>
      <c r="F442" s="1021">
        <v>45529</v>
      </c>
      <c r="G442" s="1021"/>
      <c r="H442" s="1022" t="s">
        <v>701</v>
      </c>
    </row>
    <row r="443" spans="1:8">
      <c r="A443" s="1023">
        <v>442</v>
      </c>
      <c r="B443" s="1024" t="s">
        <v>58</v>
      </c>
      <c r="C443" s="1025" t="s">
        <v>660</v>
      </c>
      <c r="D443" s="1025" t="s">
        <v>1062</v>
      </c>
      <c r="E443" s="1025" t="s">
        <v>1089</v>
      </c>
      <c r="F443" s="1026">
        <v>45358</v>
      </c>
      <c r="G443" s="1026">
        <v>45363</v>
      </c>
      <c r="H443" s="1027" t="s">
        <v>663</v>
      </c>
    </row>
    <row r="444" spans="1:8">
      <c r="A444" s="1018">
        <v>443</v>
      </c>
      <c r="B444" s="1019" t="s">
        <v>58</v>
      </c>
      <c r="C444" s="1020" t="s">
        <v>660</v>
      </c>
      <c r="D444" s="1020" t="s">
        <v>1062</v>
      </c>
      <c r="E444" s="1020" t="s">
        <v>1090</v>
      </c>
      <c r="F444" s="1021">
        <v>45358</v>
      </c>
      <c r="G444" s="1021">
        <v>45391</v>
      </c>
      <c r="H444" s="1022" t="s">
        <v>663</v>
      </c>
    </row>
    <row r="445" spans="1:8">
      <c r="A445" s="1023">
        <v>444</v>
      </c>
      <c r="B445" s="1024" t="s">
        <v>58</v>
      </c>
      <c r="C445" s="1025" t="s">
        <v>660</v>
      </c>
      <c r="D445" s="1025" t="s">
        <v>1062</v>
      </c>
      <c r="E445" s="1025" t="s">
        <v>1091</v>
      </c>
      <c r="F445" s="1026">
        <v>45358</v>
      </c>
      <c r="G445" s="1026">
        <v>45362</v>
      </c>
      <c r="H445" s="1027" t="s">
        <v>663</v>
      </c>
    </row>
    <row r="446" spans="1:8">
      <c r="A446" s="1018">
        <v>445</v>
      </c>
      <c r="B446" s="1019" t="s">
        <v>58</v>
      </c>
      <c r="C446" s="1020" t="s">
        <v>660</v>
      </c>
      <c r="D446" s="1020" t="s">
        <v>1062</v>
      </c>
      <c r="E446" s="1020" t="s">
        <v>1092</v>
      </c>
      <c r="F446" s="1021">
        <v>45440</v>
      </c>
      <c r="G446" s="1021">
        <v>45440</v>
      </c>
      <c r="H446" s="1022" t="s">
        <v>663</v>
      </c>
    </row>
    <row r="447" spans="1:8">
      <c r="A447" s="1023">
        <v>446</v>
      </c>
      <c r="B447" s="1024" t="s">
        <v>58</v>
      </c>
      <c r="C447" s="1025" t="s">
        <v>660</v>
      </c>
      <c r="D447" s="1025" t="s">
        <v>1062</v>
      </c>
      <c r="E447" s="1025" t="s">
        <v>1093</v>
      </c>
      <c r="F447" s="1026">
        <v>45366</v>
      </c>
      <c r="G447" s="1026">
        <v>45364</v>
      </c>
      <c r="H447" s="1027" t="s">
        <v>663</v>
      </c>
    </row>
    <row r="448" spans="1:8">
      <c r="A448" s="1018">
        <v>447</v>
      </c>
      <c r="B448" s="1019" t="s">
        <v>58</v>
      </c>
      <c r="C448" s="1020" t="s">
        <v>660</v>
      </c>
      <c r="D448" s="1020" t="s">
        <v>1062</v>
      </c>
      <c r="E448" s="1020" t="s">
        <v>1094</v>
      </c>
      <c r="F448" s="1021">
        <v>45366</v>
      </c>
      <c r="G448" s="1021">
        <v>45364</v>
      </c>
      <c r="H448" s="1022" t="s">
        <v>663</v>
      </c>
    </row>
    <row r="449" spans="1:8">
      <c r="A449" s="1023">
        <v>448</v>
      </c>
      <c r="B449" s="1024" t="s">
        <v>58</v>
      </c>
      <c r="C449" s="1025" t="s">
        <v>660</v>
      </c>
      <c r="D449" s="1025" t="s">
        <v>1062</v>
      </c>
      <c r="E449" s="1025" t="s">
        <v>1095</v>
      </c>
      <c r="F449" s="1026">
        <v>45366</v>
      </c>
      <c r="G449" s="1026">
        <v>45364</v>
      </c>
      <c r="H449" s="1027" t="s">
        <v>663</v>
      </c>
    </row>
    <row r="450" spans="1:8">
      <c r="A450" s="1018">
        <v>449</v>
      </c>
      <c r="B450" s="1019" t="s">
        <v>58</v>
      </c>
      <c r="C450" s="1020" t="s">
        <v>660</v>
      </c>
      <c r="D450" s="1020" t="s">
        <v>1062</v>
      </c>
      <c r="E450" s="1020" t="s">
        <v>1096</v>
      </c>
      <c r="F450" s="1021">
        <v>45366</v>
      </c>
      <c r="G450" s="1021">
        <v>45364</v>
      </c>
      <c r="H450" s="1022" t="s">
        <v>663</v>
      </c>
    </row>
    <row r="451" spans="1:8">
      <c r="A451" s="1023">
        <v>450</v>
      </c>
      <c r="B451" s="1024" t="s">
        <v>58</v>
      </c>
      <c r="C451" s="1025" t="s">
        <v>660</v>
      </c>
      <c r="D451" s="1025" t="s">
        <v>1062</v>
      </c>
      <c r="E451" s="1025" t="s">
        <v>1097</v>
      </c>
      <c r="F451" s="1026">
        <v>45366</v>
      </c>
      <c r="G451" s="1026">
        <v>45364</v>
      </c>
      <c r="H451" s="1027" t="s">
        <v>663</v>
      </c>
    </row>
    <row r="452" spans="1:8">
      <c r="A452" s="1018">
        <v>451</v>
      </c>
      <c r="B452" s="1019" t="s">
        <v>58</v>
      </c>
      <c r="C452" s="1020" t="s">
        <v>660</v>
      </c>
      <c r="D452" s="1020" t="s">
        <v>1062</v>
      </c>
      <c r="E452" s="1020" t="s">
        <v>1098</v>
      </c>
      <c r="F452" s="1021">
        <v>45427</v>
      </c>
      <c r="G452" s="1021">
        <v>45436</v>
      </c>
      <c r="H452" s="1022" t="s">
        <v>663</v>
      </c>
    </row>
    <row r="453" spans="1:8">
      <c r="A453" s="1023">
        <v>452</v>
      </c>
      <c r="B453" s="1024" t="s">
        <v>58</v>
      </c>
      <c r="C453" s="1025" t="s">
        <v>660</v>
      </c>
      <c r="D453" s="1025" t="s">
        <v>1062</v>
      </c>
      <c r="E453" s="1025" t="s">
        <v>1099</v>
      </c>
      <c r="F453" s="1026">
        <v>45427</v>
      </c>
      <c r="G453" s="1026"/>
      <c r="H453" s="1027" t="s">
        <v>701</v>
      </c>
    </row>
    <row r="454" spans="1:8">
      <c r="A454" s="1018">
        <v>453</v>
      </c>
      <c r="B454" s="1019" t="s">
        <v>58</v>
      </c>
      <c r="C454" s="1020" t="s">
        <v>660</v>
      </c>
      <c r="D454" s="1020" t="s">
        <v>1062</v>
      </c>
      <c r="E454" s="1020" t="s">
        <v>1100</v>
      </c>
      <c r="F454" s="1021">
        <v>45427</v>
      </c>
      <c r="G454" s="1021">
        <v>45396</v>
      </c>
      <c r="H454" s="1022" t="s">
        <v>663</v>
      </c>
    </row>
    <row r="455" spans="1:8" ht="26">
      <c r="A455" s="1023">
        <v>454</v>
      </c>
      <c r="B455" s="1024" t="s">
        <v>58</v>
      </c>
      <c r="C455" s="1025" t="s">
        <v>660</v>
      </c>
      <c r="D455" s="1025" t="s">
        <v>1062</v>
      </c>
      <c r="E455" s="1025" t="s">
        <v>1101</v>
      </c>
      <c r="F455" s="1026">
        <v>45427</v>
      </c>
      <c r="G455" s="1026">
        <v>45397</v>
      </c>
      <c r="H455" s="1027" t="s">
        <v>663</v>
      </c>
    </row>
    <row r="456" spans="1:8">
      <c r="A456" s="1018">
        <v>455</v>
      </c>
      <c r="B456" s="1019" t="s">
        <v>58</v>
      </c>
      <c r="C456" s="1020" t="s">
        <v>660</v>
      </c>
      <c r="D456" s="1020" t="s">
        <v>1062</v>
      </c>
      <c r="E456" s="1020" t="s">
        <v>1102</v>
      </c>
      <c r="F456" s="1021">
        <v>45427</v>
      </c>
      <c r="G456" s="1021">
        <v>45522</v>
      </c>
      <c r="H456" s="1022" t="s">
        <v>663</v>
      </c>
    </row>
    <row r="457" spans="1:8">
      <c r="A457" s="1023">
        <v>456</v>
      </c>
      <c r="B457" s="1024" t="s">
        <v>58</v>
      </c>
      <c r="C457" s="1025" t="s">
        <v>660</v>
      </c>
      <c r="D457" s="1025" t="s">
        <v>1062</v>
      </c>
      <c r="E457" s="1025" t="s">
        <v>1103</v>
      </c>
      <c r="F457" s="1026">
        <v>45427</v>
      </c>
      <c r="G457" s="1026"/>
      <c r="H457" s="1027" t="s">
        <v>701</v>
      </c>
    </row>
    <row r="458" spans="1:8">
      <c r="A458" s="1018">
        <v>457</v>
      </c>
      <c r="B458" s="1019" t="s">
        <v>58</v>
      </c>
      <c r="C458" s="1020" t="s">
        <v>660</v>
      </c>
      <c r="D458" s="1020" t="s">
        <v>1062</v>
      </c>
      <c r="E458" s="1020" t="s">
        <v>1104</v>
      </c>
      <c r="F458" s="1021">
        <v>45423</v>
      </c>
      <c r="G458" s="1021">
        <v>45439</v>
      </c>
      <c r="H458" s="1022" t="s">
        <v>663</v>
      </c>
    </row>
    <row r="459" spans="1:8">
      <c r="A459" s="1023">
        <v>458</v>
      </c>
      <c r="B459" s="1024" t="s">
        <v>58</v>
      </c>
      <c r="C459" s="1025" t="s">
        <v>660</v>
      </c>
      <c r="D459" s="1025" t="s">
        <v>1062</v>
      </c>
      <c r="E459" s="1025" t="s">
        <v>1105</v>
      </c>
      <c r="F459" s="1026">
        <v>45423</v>
      </c>
      <c r="G459" s="1026">
        <v>45439</v>
      </c>
      <c r="H459" s="1027" t="s">
        <v>663</v>
      </c>
    </row>
    <row r="460" spans="1:8">
      <c r="A460" s="1018">
        <v>459</v>
      </c>
      <c r="B460" s="1019" t="s">
        <v>58</v>
      </c>
      <c r="C460" s="1020" t="s">
        <v>660</v>
      </c>
      <c r="D460" s="1020" t="s">
        <v>1062</v>
      </c>
      <c r="E460" s="1020" t="s">
        <v>1106</v>
      </c>
      <c r="F460" s="1021">
        <v>45423</v>
      </c>
      <c r="G460" s="1021">
        <v>45439</v>
      </c>
      <c r="H460" s="1022" t="s">
        <v>663</v>
      </c>
    </row>
    <row r="461" spans="1:8">
      <c r="A461" s="1023">
        <v>460</v>
      </c>
      <c r="B461" s="1024" t="s">
        <v>58</v>
      </c>
      <c r="C461" s="1025" t="s">
        <v>660</v>
      </c>
      <c r="D461" s="1025" t="s">
        <v>1062</v>
      </c>
      <c r="E461" s="1025" t="s">
        <v>1107</v>
      </c>
      <c r="F461" s="1026">
        <v>45423</v>
      </c>
      <c r="G461" s="1026">
        <v>45439</v>
      </c>
      <c r="H461" s="1027" t="s">
        <v>663</v>
      </c>
    </row>
    <row r="462" spans="1:8">
      <c r="A462" s="1018">
        <v>461</v>
      </c>
      <c r="B462" s="1019" t="s">
        <v>58</v>
      </c>
      <c r="C462" s="1020" t="s">
        <v>660</v>
      </c>
      <c r="D462" s="1020" t="s">
        <v>1062</v>
      </c>
      <c r="E462" s="1020" t="s">
        <v>1108</v>
      </c>
      <c r="F462" s="1021">
        <v>45576</v>
      </c>
      <c r="G462" s="1021">
        <v>45513</v>
      </c>
      <c r="H462" s="1022" t="s">
        <v>663</v>
      </c>
    </row>
    <row r="463" spans="1:8">
      <c r="A463" s="1023">
        <v>462</v>
      </c>
      <c r="B463" s="1024" t="s">
        <v>58</v>
      </c>
      <c r="C463" s="1025" t="s">
        <v>660</v>
      </c>
      <c r="D463" s="1025" t="s">
        <v>1062</v>
      </c>
      <c r="E463" s="1025" t="s">
        <v>1109</v>
      </c>
      <c r="F463" s="1026">
        <v>45576</v>
      </c>
      <c r="G463" s="1026">
        <v>45531</v>
      </c>
      <c r="H463" s="1027" t="s">
        <v>663</v>
      </c>
    </row>
    <row r="464" spans="1:8">
      <c r="A464" s="1018">
        <v>463</v>
      </c>
      <c r="B464" s="1019" t="s">
        <v>58</v>
      </c>
      <c r="C464" s="1020" t="s">
        <v>660</v>
      </c>
      <c r="D464" s="1020" t="s">
        <v>1062</v>
      </c>
      <c r="E464" s="1020" t="s">
        <v>1110</v>
      </c>
      <c r="F464" s="1021">
        <v>45576</v>
      </c>
      <c r="G464" s="1021"/>
      <c r="H464" s="1022" t="s">
        <v>701</v>
      </c>
    </row>
    <row r="465" spans="1:8">
      <c r="A465" s="1023">
        <v>464</v>
      </c>
      <c r="B465" s="1024" t="s">
        <v>58</v>
      </c>
      <c r="C465" s="1025" t="s">
        <v>660</v>
      </c>
      <c r="D465" s="1025" t="s">
        <v>1062</v>
      </c>
      <c r="E465" s="1025" t="s">
        <v>1111</v>
      </c>
      <c r="F465" s="1026">
        <v>45576</v>
      </c>
      <c r="G465" s="1026"/>
      <c r="H465" s="1027" t="s">
        <v>701</v>
      </c>
    </row>
    <row r="466" spans="1:8">
      <c r="A466" s="1018">
        <v>465</v>
      </c>
      <c r="B466" s="1019" t="s">
        <v>58</v>
      </c>
      <c r="C466" s="1020" t="s">
        <v>660</v>
      </c>
      <c r="D466" s="1020" t="s">
        <v>1062</v>
      </c>
      <c r="E466" s="1020" t="s">
        <v>1112</v>
      </c>
      <c r="F466" s="1021">
        <v>45576</v>
      </c>
      <c r="G466" s="1021">
        <v>45531</v>
      </c>
      <c r="H466" s="1022" t="s">
        <v>663</v>
      </c>
    </row>
    <row r="467" spans="1:8">
      <c r="A467" s="1023">
        <v>466</v>
      </c>
      <c r="B467" s="1024" t="s">
        <v>58</v>
      </c>
      <c r="C467" s="1025" t="s">
        <v>660</v>
      </c>
      <c r="D467" s="1025" t="s">
        <v>1062</v>
      </c>
      <c r="E467" s="1025" t="s">
        <v>1113</v>
      </c>
      <c r="F467" s="1026">
        <v>45576</v>
      </c>
      <c r="G467" s="1026"/>
      <c r="H467" s="1027" t="s">
        <v>701</v>
      </c>
    </row>
    <row r="468" spans="1:8">
      <c r="A468" s="1018">
        <v>467</v>
      </c>
      <c r="B468" s="1019" t="s">
        <v>58</v>
      </c>
      <c r="C468" s="1020" t="s">
        <v>660</v>
      </c>
      <c r="D468" s="1020" t="s">
        <v>1062</v>
      </c>
      <c r="E468" s="1020" t="s">
        <v>1114</v>
      </c>
      <c r="F468" s="1021">
        <v>45576</v>
      </c>
      <c r="G468" s="1021"/>
      <c r="H468" s="1022" t="s">
        <v>701</v>
      </c>
    </row>
    <row r="469" spans="1:8">
      <c r="A469" s="1023">
        <v>468</v>
      </c>
      <c r="B469" s="1024" t="s">
        <v>58</v>
      </c>
      <c r="C469" s="1025" t="s">
        <v>660</v>
      </c>
      <c r="D469" s="1025" t="s">
        <v>1062</v>
      </c>
      <c r="E469" s="1025" t="s">
        <v>1115</v>
      </c>
      <c r="F469" s="1026">
        <v>45576</v>
      </c>
      <c r="G469" s="1026"/>
      <c r="H469" s="1027" t="s">
        <v>701</v>
      </c>
    </row>
    <row r="470" spans="1:8">
      <c r="A470" s="1018">
        <v>469</v>
      </c>
      <c r="B470" s="1019" t="s">
        <v>58</v>
      </c>
      <c r="C470" s="1020" t="s">
        <v>660</v>
      </c>
      <c r="D470" s="1020" t="s">
        <v>1062</v>
      </c>
      <c r="E470" s="1020" t="s">
        <v>1116</v>
      </c>
      <c r="F470" s="1021">
        <v>45576</v>
      </c>
      <c r="G470" s="1021">
        <v>45522</v>
      </c>
      <c r="H470" s="1022" t="s">
        <v>663</v>
      </c>
    </row>
    <row r="471" spans="1:8">
      <c r="A471" s="1023">
        <v>470</v>
      </c>
      <c r="B471" s="1024" t="s">
        <v>58</v>
      </c>
      <c r="C471" s="1025" t="s">
        <v>660</v>
      </c>
      <c r="D471" s="1025" t="s">
        <v>1062</v>
      </c>
      <c r="E471" s="1025" t="s">
        <v>1117</v>
      </c>
      <c r="F471" s="1026">
        <v>45576</v>
      </c>
      <c r="G471" s="1026">
        <v>45417</v>
      </c>
      <c r="H471" s="1027" t="s">
        <v>663</v>
      </c>
    </row>
    <row r="472" spans="1:8">
      <c r="A472" s="1018">
        <v>471</v>
      </c>
      <c r="B472" s="1019" t="s">
        <v>58</v>
      </c>
      <c r="C472" s="1020" t="s">
        <v>660</v>
      </c>
      <c r="D472" s="1020" t="s">
        <v>1062</v>
      </c>
      <c r="E472" s="1020" t="s">
        <v>1118</v>
      </c>
      <c r="F472" s="1021">
        <v>45576</v>
      </c>
      <c r="G472" s="1021"/>
      <c r="H472" s="1022" t="s">
        <v>701</v>
      </c>
    </row>
    <row r="473" spans="1:8">
      <c r="A473" s="1023">
        <v>472</v>
      </c>
      <c r="B473" s="1024" t="s">
        <v>58</v>
      </c>
      <c r="C473" s="1025" t="s">
        <v>660</v>
      </c>
      <c r="D473" s="1025" t="s">
        <v>1062</v>
      </c>
      <c r="E473" s="1025" t="s">
        <v>1119</v>
      </c>
      <c r="F473" s="1026">
        <v>45515</v>
      </c>
      <c r="G473" s="1026">
        <v>45427</v>
      </c>
      <c r="H473" s="1027" t="s">
        <v>663</v>
      </c>
    </row>
    <row r="474" spans="1:8">
      <c r="A474" s="1018">
        <v>473</v>
      </c>
      <c r="B474" s="1019" t="s">
        <v>58</v>
      </c>
      <c r="C474" s="1020" t="s">
        <v>660</v>
      </c>
      <c r="D474" s="1020" t="s">
        <v>1062</v>
      </c>
      <c r="E474" s="1020" t="s">
        <v>1120</v>
      </c>
      <c r="F474" s="1021">
        <v>45515</v>
      </c>
      <c r="G474" s="1021"/>
      <c r="H474" s="1022" t="s">
        <v>701</v>
      </c>
    </row>
    <row r="475" spans="1:8">
      <c r="A475" s="1023">
        <v>474</v>
      </c>
      <c r="B475" s="1024" t="s">
        <v>58</v>
      </c>
      <c r="C475" s="1025" t="s">
        <v>660</v>
      </c>
      <c r="D475" s="1025" t="s">
        <v>1062</v>
      </c>
      <c r="E475" s="1025" t="s">
        <v>1121</v>
      </c>
      <c r="F475" s="1026">
        <v>45576</v>
      </c>
      <c r="G475" s="1026">
        <v>45396</v>
      </c>
      <c r="H475" s="1027" t="s">
        <v>663</v>
      </c>
    </row>
    <row r="476" spans="1:8">
      <c r="A476" s="1018">
        <v>475</v>
      </c>
      <c r="B476" s="1019" t="s">
        <v>58</v>
      </c>
      <c r="C476" s="1020" t="s">
        <v>660</v>
      </c>
      <c r="D476" s="1020" t="s">
        <v>1062</v>
      </c>
      <c r="E476" s="1020" t="s">
        <v>1122</v>
      </c>
      <c r="F476" s="1021">
        <v>45576</v>
      </c>
      <c r="G476" s="1021">
        <v>45396</v>
      </c>
      <c r="H476" s="1022" t="s">
        <v>663</v>
      </c>
    </row>
    <row r="477" spans="1:8">
      <c r="A477" s="1023">
        <v>476</v>
      </c>
      <c r="B477" s="1024" t="s">
        <v>58</v>
      </c>
      <c r="C477" s="1025" t="s">
        <v>660</v>
      </c>
      <c r="D477" s="1025" t="s">
        <v>1062</v>
      </c>
      <c r="E477" s="1025" t="s">
        <v>1123</v>
      </c>
      <c r="F477" s="1026">
        <v>45576</v>
      </c>
      <c r="G477" s="1026">
        <v>45396</v>
      </c>
      <c r="H477" s="1027" t="s">
        <v>663</v>
      </c>
    </row>
    <row r="478" spans="1:8">
      <c r="A478" s="1018">
        <v>477</v>
      </c>
      <c r="B478" s="1019" t="s">
        <v>58</v>
      </c>
      <c r="C478" s="1020" t="s">
        <v>660</v>
      </c>
      <c r="D478" s="1020" t="s">
        <v>1062</v>
      </c>
      <c r="E478" s="1020" t="s">
        <v>1124</v>
      </c>
      <c r="F478" s="1021">
        <v>45576</v>
      </c>
      <c r="G478" s="1021">
        <v>45396</v>
      </c>
      <c r="H478" s="1022" t="s">
        <v>663</v>
      </c>
    </row>
    <row r="479" spans="1:8">
      <c r="A479" s="1023">
        <v>478</v>
      </c>
      <c r="B479" s="1024" t="s">
        <v>58</v>
      </c>
      <c r="C479" s="1025" t="s">
        <v>660</v>
      </c>
      <c r="D479" s="1025" t="s">
        <v>1062</v>
      </c>
      <c r="E479" s="1025" t="s">
        <v>1125</v>
      </c>
      <c r="F479" s="1026">
        <v>45576</v>
      </c>
      <c r="G479" s="1026">
        <v>45396</v>
      </c>
      <c r="H479" s="1027" t="s">
        <v>663</v>
      </c>
    </row>
    <row r="480" spans="1:8" ht="26">
      <c r="A480" s="1018">
        <v>479</v>
      </c>
      <c r="B480" s="1019" t="s">
        <v>58</v>
      </c>
      <c r="C480" s="1020" t="s">
        <v>660</v>
      </c>
      <c r="D480" s="1020" t="s">
        <v>1062</v>
      </c>
      <c r="E480" s="1020" t="s">
        <v>1126</v>
      </c>
      <c r="F480" s="1021">
        <v>45576</v>
      </c>
      <c r="G480" s="1021">
        <v>45396</v>
      </c>
      <c r="H480" s="1022" t="s">
        <v>663</v>
      </c>
    </row>
    <row r="481" spans="1:8" ht="26">
      <c r="A481" s="1023">
        <v>480</v>
      </c>
      <c r="B481" s="1024" t="s">
        <v>58</v>
      </c>
      <c r="C481" s="1025" t="s">
        <v>660</v>
      </c>
      <c r="D481" s="1025" t="s">
        <v>1062</v>
      </c>
      <c r="E481" s="1025" t="s">
        <v>1127</v>
      </c>
      <c r="F481" s="1026">
        <v>45576</v>
      </c>
      <c r="G481" s="1026">
        <v>45396</v>
      </c>
      <c r="H481" s="1027" t="s">
        <v>663</v>
      </c>
    </row>
    <row r="482" spans="1:8">
      <c r="A482" s="1018">
        <v>481</v>
      </c>
      <c r="B482" s="1019" t="s">
        <v>58</v>
      </c>
      <c r="C482" s="1020" t="s">
        <v>660</v>
      </c>
      <c r="D482" s="1020" t="s">
        <v>1062</v>
      </c>
      <c r="E482" s="1020" t="s">
        <v>1128</v>
      </c>
      <c r="F482" s="1021">
        <v>45576</v>
      </c>
      <c r="G482" s="1021">
        <v>45396</v>
      </c>
      <c r="H482" s="1022" t="s">
        <v>663</v>
      </c>
    </row>
    <row r="483" spans="1:8">
      <c r="A483" s="1023">
        <v>482</v>
      </c>
      <c r="B483" s="1024" t="s">
        <v>58</v>
      </c>
      <c r="C483" s="1025" t="s">
        <v>660</v>
      </c>
      <c r="D483" s="1025" t="s">
        <v>1062</v>
      </c>
      <c r="E483" s="1025" t="s">
        <v>1129</v>
      </c>
      <c r="F483" s="1026">
        <v>45576</v>
      </c>
      <c r="G483" s="1026">
        <v>45396</v>
      </c>
      <c r="H483" s="1027" t="s">
        <v>663</v>
      </c>
    </row>
    <row r="484" spans="1:8">
      <c r="A484" s="1018">
        <v>483</v>
      </c>
      <c r="B484" s="1019" t="s">
        <v>58</v>
      </c>
      <c r="C484" s="1020" t="s">
        <v>660</v>
      </c>
      <c r="D484" s="1020" t="s">
        <v>1062</v>
      </c>
      <c r="E484" s="1020" t="s">
        <v>1130</v>
      </c>
      <c r="F484" s="1021">
        <v>45576</v>
      </c>
      <c r="G484" s="1021">
        <v>45396</v>
      </c>
      <c r="H484" s="1022" t="s">
        <v>663</v>
      </c>
    </row>
    <row r="485" spans="1:8">
      <c r="A485" s="1023">
        <v>484</v>
      </c>
      <c r="B485" s="1024" t="s">
        <v>58</v>
      </c>
      <c r="C485" s="1025" t="s">
        <v>660</v>
      </c>
      <c r="D485" s="1025" t="s">
        <v>1062</v>
      </c>
      <c r="E485" s="1025" t="s">
        <v>1131</v>
      </c>
      <c r="F485" s="1026">
        <v>45576</v>
      </c>
      <c r="G485" s="1026">
        <v>45396</v>
      </c>
      <c r="H485" s="1027" t="s">
        <v>663</v>
      </c>
    </row>
    <row r="486" spans="1:8">
      <c r="A486" s="1018">
        <v>485</v>
      </c>
      <c r="B486" s="1019" t="s">
        <v>58</v>
      </c>
      <c r="C486" s="1020" t="s">
        <v>660</v>
      </c>
      <c r="D486" s="1020" t="s">
        <v>1062</v>
      </c>
      <c r="E486" s="1020" t="s">
        <v>1132</v>
      </c>
      <c r="F486" s="1021">
        <v>45576</v>
      </c>
      <c r="G486" s="1021">
        <v>45396</v>
      </c>
      <c r="H486" s="1022" t="s">
        <v>663</v>
      </c>
    </row>
    <row r="487" spans="1:8">
      <c r="A487" s="1023">
        <v>486</v>
      </c>
      <c r="B487" s="1024" t="s">
        <v>58</v>
      </c>
      <c r="C487" s="1025" t="s">
        <v>660</v>
      </c>
      <c r="D487" s="1025" t="s">
        <v>1062</v>
      </c>
      <c r="E487" s="1025" t="s">
        <v>1133</v>
      </c>
      <c r="F487" s="1026">
        <v>45576</v>
      </c>
      <c r="G487" s="1026">
        <v>45396</v>
      </c>
      <c r="H487" s="1027" t="s">
        <v>663</v>
      </c>
    </row>
    <row r="488" spans="1:8">
      <c r="A488" s="1018">
        <v>487</v>
      </c>
      <c r="B488" s="1019" t="s">
        <v>58</v>
      </c>
      <c r="C488" s="1020" t="s">
        <v>660</v>
      </c>
      <c r="D488" s="1020" t="s">
        <v>1062</v>
      </c>
      <c r="E488" s="1020" t="s">
        <v>1134</v>
      </c>
      <c r="F488" s="1021">
        <v>45576</v>
      </c>
      <c r="G488" s="1021">
        <v>45396</v>
      </c>
      <c r="H488" s="1022" t="s">
        <v>663</v>
      </c>
    </row>
    <row r="489" spans="1:8">
      <c r="A489" s="1023">
        <v>488</v>
      </c>
      <c r="B489" s="1024" t="s">
        <v>58</v>
      </c>
      <c r="C489" s="1025" t="s">
        <v>660</v>
      </c>
      <c r="D489" s="1025" t="s">
        <v>1062</v>
      </c>
      <c r="E489" s="1025" t="s">
        <v>1135</v>
      </c>
      <c r="F489" s="1026">
        <v>45576</v>
      </c>
      <c r="G489" s="1026">
        <v>45396</v>
      </c>
      <c r="H489" s="1027" t="s">
        <v>663</v>
      </c>
    </row>
    <row r="490" spans="1:8">
      <c r="A490" s="1018">
        <v>489</v>
      </c>
      <c r="B490" s="1019" t="s">
        <v>58</v>
      </c>
      <c r="C490" s="1020" t="s">
        <v>660</v>
      </c>
      <c r="D490" s="1020" t="s">
        <v>1062</v>
      </c>
      <c r="E490" s="1020" t="s">
        <v>1136</v>
      </c>
      <c r="F490" s="1021">
        <v>45576</v>
      </c>
      <c r="G490" s="1021">
        <v>45396</v>
      </c>
      <c r="H490" s="1022" t="s">
        <v>663</v>
      </c>
    </row>
    <row r="491" spans="1:8">
      <c r="A491" s="1023">
        <v>490</v>
      </c>
      <c r="B491" s="1024" t="s">
        <v>58</v>
      </c>
      <c r="C491" s="1025" t="s">
        <v>660</v>
      </c>
      <c r="D491" s="1025" t="s">
        <v>1062</v>
      </c>
      <c r="E491" s="1025" t="s">
        <v>1137</v>
      </c>
      <c r="F491" s="1026">
        <v>45607</v>
      </c>
      <c r="G491" s="1026">
        <v>45451</v>
      </c>
      <c r="H491" s="1027" t="s">
        <v>663</v>
      </c>
    </row>
    <row r="492" spans="1:8">
      <c r="A492" s="1018">
        <v>491</v>
      </c>
      <c r="B492" s="1019" t="s">
        <v>58</v>
      </c>
      <c r="C492" s="1020" t="s">
        <v>660</v>
      </c>
      <c r="D492" s="1020" t="s">
        <v>1062</v>
      </c>
      <c r="E492" s="1020" t="s">
        <v>1138</v>
      </c>
      <c r="F492" s="1021">
        <v>45607</v>
      </c>
      <c r="G492" s="1021">
        <v>45451</v>
      </c>
      <c r="H492" s="1022" t="s">
        <v>663</v>
      </c>
    </row>
    <row r="493" spans="1:8">
      <c r="A493" s="1023">
        <v>492</v>
      </c>
      <c r="B493" s="1024" t="s">
        <v>58</v>
      </c>
      <c r="C493" s="1025" t="s">
        <v>660</v>
      </c>
      <c r="D493" s="1025" t="s">
        <v>1062</v>
      </c>
      <c r="E493" s="1025" t="s">
        <v>1139</v>
      </c>
      <c r="F493" s="1026">
        <v>45607</v>
      </c>
      <c r="G493" s="1026">
        <v>45451</v>
      </c>
      <c r="H493" s="1027" t="s">
        <v>663</v>
      </c>
    </row>
    <row r="494" spans="1:8">
      <c r="A494" s="1018">
        <v>493</v>
      </c>
      <c r="B494" s="1019" t="s">
        <v>58</v>
      </c>
      <c r="C494" s="1020" t="s">
        <v>660</v>
      </c>
      <c r="D494" s="1020" t="s">
        <v>1062</v>
      </c>
      <c r="E494" s="1020" t="s">
        <v>1140</v>
      </c>
      <c r="F494" s="1021">
        <v>45607</v>
      </c>
      <c r="G494" s="1021">
        <v>45451</v>
      </c>
      <c r="H494" s="1022" t="s">
        <v>663</v>
      </c>
    </row>
    <row r="495" spans="1:8">
      <c r="A495" s="1023">
        <v>494</v>
      </c>
      <c r="B495" s="1024" t="s">
        <v>58</v>
      </c>
      <c r="C495" s="1025" t="s">
        <v>660</v>
      </c>
      <c r="D495" s="1025" t="s">
        <v>1062</v>
      </c>
      <c r="E495" s="1025" t="s">
        <v>1141</v>
      </c>
      <c r="F495" s="1026">
        <v>45607</v>
      </c>
      <c r="G495" s="1026">
        <v>45450</v>
      </c>
      <c r="H495" s="1027" t="s">
        <v>663</v>
      </c>
    </row>
    <row r="496" spans="1:8">
      <c r="A496" s="1018">
        <v>495</v>
      </c>
      <c r="B496" s="1019" t="s">
        <v>58</v>
      </c>
      <c r="C496" s="1020" t="s">
        <v>660</v>
      </c>
      <c r="D496" s="1020" t="s">
        <v>1062</v>
      </c>
      <c r="E496" s="1020" t="s">
        <v>1142</v>
      </c>
      <c r="F496" s="1021">
        <v>45607</v>
      </c>
      <c r="G496" s="1021">
        <v>45450</v>
      </c>
      <c r="H496" s="1022" t="s">
        <v>663</v>
      </c>
    </row>
    <row r="497" spans="1:8">
      <c r="A497" s="1023">
        <v>496</v>
      </c>
      <c r="B497" s="1024" t="s">
        <v>58</v>
      </c>
      <c r="C497" s="1025" t="s">
        <v>660</v>
      </c>
      <c r="D497" s="1025" t="s">
        <v>1062</v>
      </c>
      <c r="E497" s="1025" t="s">
        <v>1143</v>
      </c>
      <c r="F497" s="1026">
        <v>45607</v>
      </c>
      <c r="G497" s="1026">
        <v>45450</v>
      </c>
      <c r="H497" s="1027" t="s">
        <v>663</v>
      </c>
    </row>
    <row r="498" spans="1:8">
      <c r="A498" s="1018">
        <v>497</v>
      </c>
      <c r="B498" s="1019" t="s">
        <v>58</v>
      </c>
      <c r="C498" s="1020" t="s">
        <v>660</v>
      </c>
      <c r="D498" s="1020" t="s">
        <v>1062</v>
      </c>
      <c r="E498" s="1020" t="s">
        <v>1144</v>
      </c>
      <c r="F498" s="1021">
        <v>45607</v>
      </c>
      <c r="G498" s="1021">
        <v>45450</v>
      </c>
      <c r="H498" s="1022" t="s">
        <v>663</v>
      </c>
    </row>
    <row r="499" spans="1:8">
      <c r="A499" s="1023">
        <v>498</v>
      </c>
      <c r="B499" s="1024" t="s">
        <v>58</v>
      </c>
      <c r="C499" s="1025" t="s">
        <v>660</v>
      </c>
      <c r="D499" s="1025" t="s">
        <v>1062</v>
      </c>
      <c r="E499" s="1025" t="s">
        <v>1145</v>
      </c>
      <c r="F499" s="1026">
        <v>45607</v>
      </c>
      <c r="G499" s="1026">
        <v>45450</v>
      </c>
      <c r="H499" s="1027" t="s">
        <v>663</v>
      </c>
    </row>
    <row r="500" spans="1:8">
      <c r="A500" s="1018">
        <v>499</v>
      </c>
      <c r="B500" s="1019" t="s">
        <v>58</v>
      </c>
      <c r="C500" s="1020" t="s">
        <v>660</v>
      </c>
      <c r="D500" s="1020" t="s">
        <v>1062</v>
      </c>
      <c r="E500" s="1020" t="s">
        <v>1146</v>
      </c>
      <c r="F500" s="1021">
        <v>45576</v>
      </c>
      <c r="G500" s="1021">
        <v>45532</v>
      </c>
      <c r="H500" s="1022" t="s">
        <v>663</v>
      </c>
    </row>
    <row r="501" spans="1:8">
      <c r="A501" s="1023">
        <v>500</v>
      </c>
      <c r="B501" s="1024" t="s">
        <v>58</v>
      </c>
      <c r="C501" s="1025" t="s">
        <v>660</v>
      </c>
      <c r="D501" s="1025" t="s">
        <v>1062</v>
      </c>
      <c r="E501" s="1025" t="s">
        <v>1147</v>
      </c>
      <c r="F501" s="1026">
        <v>45576</v>
      </c>
      <c r="G501" s="1026">
        <v>45532</v>
      </c>
      <c r="H501" s="1027" t="s">
        <v>663</v>
      </c>
    </row>
    <row r="502" spans="1:8">
      <c r="A502" s="1018">
        <v>501</v>
      </c>
      <c r="B502" s="1019" t="s">
        <v>58</v>
      </c>
      <c r="C502" s="1020" t="s">
        <v>660</v>
      </c>
      <c r="D502" s="1020" t="s">
        <v>1062</v>
      </c>
      <c r="E502" s="1020" t="s">
        <v>1148</v>
      </c>
      <c r="F502" s="1021">
        <v>45576</v>
      </c>
      <c r="G502" s="1021">
        <v>45565</v>
      </c>
      <c r="H502" s="1022" t="s">
        <v>663</v>
      </c>
    </row>
    <row r="503" spans="1:8">
      <c r="A503" s="1023">
        <v>502</v>
      </c>
      <c r="B503" s="1024" t="s">
        <v>58</v>
      </c>
      <c r="C503" s="1025" t="s">
        <v>660</v>
      </c>
      <c r="D503" s="1025" t="s">
        <v>1062</v>
      </c>
      <c r="E503" s="1025" t="s">
        <v>1149</v>
      </c>
      <c r="F503" s="1026">
        <v>45576</v>
      </c>
      <c r="G503" s="1026"/>
      <c r="H503" s="1027" t="s">
        <v>701</v>
      </c>
    </row>
    <row r="504" spans="1:8">
      <c r="A504" s="1018">
        <v>503</v>
      </c>
      <c r="B504" s="1019" t="s">
        <v>58</v>
      </c>
      <c r="C504" s="1020" t="s">
        <v>660</v>
      </c>
      <c r="D504" s="1020" t="s">
        <v>1062</v>
      </c>
      <c r="E504" s="1020" t="s">
        <v>1150</v>
      </c>
      <c r="F504" s="1021">
        <v>45576</v>
      </c>
      <c r="G504" s="1021"/>
      <c r="H504" s="1022" t="s">
        <v>701</v>
      </c>
    </row>
    <row r="505" spans="1:8">
      <c r="A505" s="1023">
        <v>504</v>
      </c>
      <c r="B505" s="1024" t="s">
        <v>58</v>
      </c>
      <c r="C505" s="1025" t="s">
        <v>660</v>
      </c>
      <c r="D505" s="1025" t="s">
        <v>1062</v>
      </c>
      <c r="E505" s="1025" t="s">
        <v>1151</v>
      </c>
      <c r="F505" s="1026">
        <v>45576</v>
      </c>
      <c r="G505" s="1026"/>
      <c r="H505" s="1027" t="s">
        <v>701</v>
      </c>
    </row>
    <row r="506" spans="1:8">
      <c r="A506" s="1018">
        <v>505</v>
      </c>
      <c r="B506" s="1019" t="s">
        <v>58</v>
      </c>
      <c r="C506" s="1020" t="s">
        <v>660</v>
      </c>
      <c r="D506" s="1020" t="s">
        <v>1062</v>
      </c>
      <c r="E506" s="1020" t="s">
        <v>1152</v>
      </c>
      <c r="F506" s="1021">
        <v>45576</v>
      </c>
      <c r="G506" s="1021"/>
      <c r="H506" s="1022" t="s">
        <v>701</v>
      </c>
    </row>
    <row r="507" spans="1:8">
      <c r="A507" s="1023">
        <v>506</v>
      </c>
      <c r="B507" s="1024" t="s">
        <v>58</v>
      </c>
      <c r="C507" s="1025" t="s">
        <v>660</v>
      </c>
      <c r="D507" s="1025" t="s">
        <v>1062</v>
      </c>
      <c r="E507" s="1025" t="s">
        <v>1153</v>
      </c>
      <c r="F507" s="1026">
        <v>45576</v>
      </c>
      <c r="G507" s="1026"/>
      <c r="H507" s="1027" t="s">
        <v>701</v>
      </c>
    </row>
    <row r="508" spans="1:8">
      <c r="A508" s="1018">
        <v>507</v>
      </c>
      <c r="B508" s="1019" t="s">
        <v>58</v>
      </c>
      <c r="C508" s="1020" t="s">
        <v>660</v>
      </c>
      <c r="D508" s="1020" t="s">
        <v>1062</v>
      </c>
      <c r="E508" s="1020" t="s">
        <v>1154</v>
      </c>
      <c r="F508" s="1021">
        <v>45607</v>
      </c>
      <c r="G508" s="1021">
        <v>45407</v>
      </c>
      <c r="H508" s="1022" t="s">
        <v>663</v>
      </c>
    </row>
    <row r="509" spans="1:8">
      <c r="A509" s="1023">
        <v>508</v>
      </c>
      <c r="B509" s="1024" t="s">
        <v>58</v>
      </c>
      <c r="C509" s="1025" t="s">
        <v>660</v>
      </c>
      <c r="D509" s="1025" t="s">
        <v>1062</v>
      </c>
      <c r="E509" s="1025" t="s">
        <v>1155</v>
      </c>
      <c r="F509" s="1026">
        <v>45607</v>
      </c>
      <c r="G509" s="1026">
        <v>45407</v>
      </c>
      <c r="H509" s="1027" t="s">
        <v>663</v>
      </c>
    </row>
    <row r="510" spans="1:8">
      <c r="A510" s="1018">
        <v>509</v>
      </c>
      <c r="B510" s="1019" t="s">
        <v>58</v>
      </c>
      <c r="C510" s="1020" t="s">
        <v>660</v>
      </c>
      <c r="D510" s="1020" t="s">
        <v>1062</v>
      </c>
      <c r="E510" s="1020" t="s">
        <v>1156</v>
      </c>
      <c r="F510" s="1021">
        <v>45607</v>
      </c>
      <c r="G510" s="1021">
        <v>45407</v>
      </c>
      <c r="H510" s="1022" t="s">
        <v>663</v>
      </c>
    </row>
    <row r="511" spans="1:8">
      <c r="A511" s="1023">
        <v>510</v>
      </c>
      <c r="B511" s="1024" t="s">
        <v>58</v>
      </c>
      <c r="C511" s="1025" t="s">
        <v>660</v>
      </c>
      <c r="D511" s="1025" t="s">
        <v>1062</v>
      </c>
      <c r="E511" s="1025" t="s">
        <v>1157</v>
      </c>
      <c r="F511" s="1026">
        <v>45607</v>
      </c>
      <c r="G511" s="1026">
        <v>45407</v>
      </c>
      <c r="H511" s="1027" t="s">
        <v>663</v>
      </c>
    </row>
    <row r="512" spans="1:8">
      <c r="A512" s="1018">
        <v>511</v>
      </c>
      <c r="B512" s="1019" t="s">
        <v>58</v>
      </c>
      <c r="C512" s="1020" t="s">
        <v>660</v>
      </c>
      <c r="D512" s="1020" t="s">
        <v>1062</v>
      </c>
      <c r="E512" s="1020" t="s">
        <v>1158</v>
      </c>
      <c r="F512" s="1021">
        <v>45607</v>
      </c>
      <c r="G512" s="1021">
        <v>45407</v>
      </c>
      <c r="H512" s="1022" t="s">
        <v>663</v>
      </c>
    </row>
    <row r="513" spans="1:8">
      <c r="A513" s="1023">
        <v>512</v>
      </c>
      <c r="B513" s="1024" t="s">
        <v>58</v>
      </c>
      <c r="C513" s="1025" t="s">
        <v>660</v>
      </c>
      <c r="D513" s="1025" t="s">
        <v>1062</v>
      </c>
      <c r="E513" s="1025" t="s">
        <v>1159</v>
      </c>
      <c r="F513" s="1026">
        <v>45607</v>
      </c>
      <c r="G513" s="1026">
        <v>45432</v>
      </c>
      <c r="H513" s="1027" t="s">
        <v>663</v>
      </c>
    </row>
    <row r="514" spans="1:8">
      <c r="A514" s="1018">
        <v>513</v>
      </c>
      <c r="B514" s="1019" t="s">
        <v>58</v>
      </c>
      <c r="C514" s="1020" t="s">
        <v>660</v>
      </c>
      <c r="D514" s="1020" t="s">
        <v>1160</v>
      </c>
      <c r="E514" s="1020" t="s">
        <v>1161</v>
      </c>
      <c r="F514" s="1021">
        <v>45358</v>
      </c>
      <c r="G514" s="1021">
        <v>45299</v>
      </c>
      <c r="H514" s="1022" t="s">
        <v>663</v>
      </c>
    </row>
    <row r="515" spans="1:8">
      <c r="A515" s="1023">
        <v>514</v>
      </c>
      <c r="B515" s="1024" t="s">
        <v>58</v>
      </c>
      <c r="C515" s="1025" t="s">
        <v>660</v>
      </c>
      <c r="D515" s="1025" t="s">
        <v>1160</v>
      </c>
      <c r="E515" s="1025" t="s">
        <v>1162</v>
      </c>
      <c r="F515" s="1026">
        <v>45358</v>
      </c>
      <c r="G515" s="1026">
        <v>45299</v>
      </c>
      <c r="H515" s="1027" t="s">
        <v>663</v>
      </c>
    </row>
    <row r="516" spans="1:8">
      <c r="A516" s="1018">
        <v>515</v>
      </c>
      <c r="B516" s="1019" t="s">
        <v>58</v>
      </c>
      <c r="C516" s="1020" t="s">
        <v>660</v>
      </c>
      <c r="D516" s="1020" t="s">
        <v>1160</v>
      </c>
      <c r="E516" s="1020" t="s">
        <v>1163</v>
      </c>
      <c r="F516" s="1021">
        <v>45358</v>
      </c>
      <c r="G516" s="1021">
        <v>45299</v>
      </c>
      <c r="H516" s="1022" t="s">
        <v>663</v>
      </c>
    </row>
    <row r="517" spans="1:8">
      <c r="A517" s="1023">
        <v>516</v>
      </c>
      <c r="B517" s="1024" t="s">
        <v>58</v>
      </c>
      <c r="C517" s="1025" t="s">
        <v>660</v>
      </c>
      <c r="D517" s="1025" t="s">
        <v>1160</v>
      </c>
      <c r="E517" s="1025" t="s">
        <v>1164</v>
      </c>
      <c r="F517" s="1026">
        <v>45358</v>
      </c>
      <c r="G517" s="1026">
        <v>45299</v>
      </c>
      <c r="H517" s="1027" t="s">
        <v>663</v>
      </c>
    </row>
    <row r="518" spans="1:8" ht="26">
      <c r="A518" s="1018">
        <v>517</v>
      </c>
      <c r="B518" s="1019" t="s">
        <v>58</v>
      </c>
      <c r="C518" s="1020" t="s">
        <v>660</v>
      </c>
      <c r="D518" s="1020" t="s">
        <v>1160</v>
      </c>
      <c r="E518" s="1020" t="s">
        <v>1165</v>
      </c>
      <c r="F518" s="1021">
        <v>45358</v>
      </c>
      <c r="G518" s="1021">
        <v>45373</v>
      </c>
      <c r="H518" s="1022" t="s">
        <v>663</v>
      </c>
    </row>
    <row r="519" spans="1:8">
      <c r="A519" s="1023">
        <v>518</v>
      </c>
      <c r="B519" s="1024" t="s">
        <v>58</v>
      </c>
      <c r="C519" s="1025" t="s">
        <v>660</v>
      </c>
      <c r="D519" s="1025" t="s">
        <v>1160</v>
      </c>
      <c r="E519" s="1025" t="s">
        <v>1166</v>
      </c>
      <c r="F519" s="1026">
        <v>45358</v>
      </c>
      <c r="G519" s="1026">
        <v>45373</v>
      </c>
      <c r="H519" s="1027" t="s">
        <v>663</v>
      </c>
    </row>
    <row r="520" spans="1:8">
      <c r="A520" s="1018">
        <v>519</v>
      </c>
      <c r="B520" s="1019" t="s">
        <v>58</v>
      </c>
      <c r="C520" s="1020" t="s">
        <v>660</v>
      </c>
      <c r="D520" s="1020" t="s">
        <v>1160</v>
      </c>
      <c r="E520" s="1020" t="s">
        <v>1167</v>
      </c>
      <c r="F520" s="1021">
        <v>45358</v>
      </c>
      <c r="G520" s="1021">
        <v>45373</v>
      </c>
      <c r="H520" s="1022" t="s">
        <v>663</v>
      </c>
    </row>
    <row r="521" spans="1:8">
      <c r="A521" s="1023">
        <v>520</v>
      </c>
      <c r="B521" s="1024" t="s">
        <v>58</v>
      </c>
      <c r="C521" s="1025" t="s">
        <v>660</v>
      </c>
      <c r="D521" s="1025" t="s">
        <v>1160</v>
      </c>
      <c r="E521" s="1025" t="s">
        <v>1168</v>
      </c>
      <c r="F521" s="1026">
        <v>45358</v>
      </c>
      <c r="G521" s="1026">
        <v>45299</v>
      </c>
      <c r="H521" s="1027" t="s">
        <v>663</v>
      </c>
    </row>
    <row r="522" spans="1:8">
      <c r="A522" s="1018">
        <v>521</v>
      </c>
      <c r="B522" s="1019" t="s">
        <v>58</v>
      </c>
      <c r="C522" s="1020" t="s">
        <v>660</v>
      </c>
      <c r="D522" s="1020" t="s">
        <v>1160</v>
      </c>
      <c r="E522" s="1020" t="s">
        <v>1169</v>
      </c>
      <c r="F522" s="1021">
        <v>45358</v>
      </c>
      <c r="G522" s="1021">
        <v>45299</v>
      </c>
      <c r="H522" s="1022" t="s">
        <v>663</v>
      </c>
    </row>
    <row r="523" spans="1:8">
      <c r="A523" s="1023">
        <v>522</v>
      </c>
      <c r="B523" s="1024" t="s">
        <v>58</v>
      </c>
      <c r="C523" s="1025" t="s">
        <v>660</v>
      </c>
      <c r="D523" s="1025" t="s">
        <v>1160</v>
      </c>
      <c r="E523" s="1025" t="s">
        <v>1170</v>
      </c>
      <c r="F523" s="1026">
        <v>45358</v>
      </c>
      <c r="G523" s="1026"/>
      <c r="H523" s="1027" t="s">
        <v>701</v>
      </c>
    </row>
    <row r="524" spans="1:8">
      <c r="A524" s="1018">
        <v>523</v>
      </c>
      <c r="B524" s="1019" t="s">
        <v>58</v>
      </c>
      <c r="C524" s="1020" t="s">
        <v>660</v>
      </c>
      <c r="D524" s="1020" t="s">
        <v>1160</v>
      </c>
      <c r="E524" s="1020" t="s">
        <v>1171</v>
      </c>
      <c r="F524" s="1021">
        <v>45499</v>
      </c>
      <c r="G524" s="1021"/>
      <c r="H524" s="1022" t="s">
        <v>701</v>
      </c>
    </row>
    <row r="525" spans="1:8">
      <c r="A525" s="1023">
        <v>524</v>
      </c>
      <c r="B525" s="1024" t="s">
        <v>58</v>
      </c>
      <c r="C525" s="1025" t="s">
        <v>660</v>
      </c>
      <c r="D525" s="1025" t="s">
        <v>1160</v>
      </c>
      <c r="E525" s="1025" t="s">
        <v>1172</v>
      </c>
      <c r="F525" s="1026">
        <v>45499</v>
      </c>
      <c r="G525" s="1026"/>
      <c r="H525" s="1027" t="s">
        <v>701</v>
      </c>
    </row>
    <row r="526" spans="1:8">
      <c r="A526" s="1018">
        <v>525</v>
      </c>
      <c r="B526" s="1019" t="s">
        <v>58</v>
      </c>
      <c r="C526" s="1020" t="s">
        <v>660</v>
      </c>
      <c r="D526" s="1020" t="s">
        <v>1160</v>
      </c>
      <c r="E526" s="1020" t="s">
        <v>1173</v>
      </c>
      <c r="F526" s="1021">
        <v>45366</v>
      </c>
      <c r="G526" s="1021">
        <v>45357</v>
      </c>
      <c r="H526" s="1022" t="s">
        <v>663</v>
      </c>
    </row>
    <row r="527" spans="1:8">
      <c r="A527" s="1023">
        <v>526</v>
      </c>
      <c r="B527" s="1024" t="s">
        <v>58</v>
      </c>
      <c r="C527" s="1025" t="s">
        <v>660</v>
      </c>
      <c r="D527" s="1025" t="s">
        <v>1160</v>
      </c>
      <c r="E527" s="1025" t="s">
        <v>1174</v>
      </c>
      <c r="F527" s="1026">
        <v>45366</v>
      </c>
      <c r="G527" s="1026">
        <v>45345</v>
      </c>
      <c r="H527" s="1027" t="s">
        <v>663</v>
      </c>
    </row>
    <row r="528" spans="1:8">
      <c r="A528" s="1018">
        <v>527</v>
      </c>
      <c r="B528" s="1019" t="s">
        <v>58</v>
      </c>
      <c r="C528" s="1020" t="s">
        <v>660</v>
      </c>
      <c r="D528" s="1020" t="s">
        <v>1160</v>
      </c>
      <c r="E528" s="1020" t="s">
        <v>1175</v>
      </c>
      <c r="F528" s="1021">
        <v>45366</v>
      </c>
      <c r="G528" s="1021">
        <v>45345</v>
      </c>
      <c r="H528" s="1022" t="s">
        <v>663</v>
      </c>
    </row>
    <row r="529" spans="1:8">
      <c r="A529" s="1023">
        <v>528</v>
      </c>
      <c r="B529" s="1024" t="s">
        <v>58</v>
      </c>
      <c r="C529" s="1025" t="s">
        <v>660</v>
      </c>
      <c r="D529" s="1025" t="s">
        <v>1160</v>
      </c>
      <c r="E529" s="1025" t="s">
        <v>1176</v>
      </c>
      <c r="F529" s="1026">
        <v>45366</v>
      </c>
      <c r="G529" s="1026">
        <v>45345</v>
      </c>
      <c r="H529" s="1027" t="s">
        <v>663</v>
      </c>
    </row>
    <row r="530" spans="1:8">
      <c r="A530" s="1018">
        <v>529</v>
      </c>
      <c r="B530" s="1019" t="s">
        <v>58</v>
      </c>
      <c r="C530" s="1020" t="s">
        <v>660</v>
      </c>
      <c r="D530" s="1020" t="s">
        <v>1160</v>
      </c>
      <c r="E530" s="1020" t="s">
        <v>1177</v>
      </c>
      <c r="F530" s="1021">
        <v>45366</v>
      </c>
      <c r="G530" s="1021">
        <v>45345</v>
      </c>
      <c r="H530" s="1022" t="s">
        <v>663</v>
      </c>
    </row>
    <row r="531" spans="1:8" ht="26">
      <c r="A531" s="1023">
        <v>530</v>
      </c>
      <c r="B531" s="1024" t="s">
        <v>58</v>
      </c>
      <c r="C531" s="1025" t="s">
        <v>660</v>
      </c>
      <c r="D531" s="1025" t="s">
        <v>1160</v>
      </c>
      <c r="E531" s="1025" t="s">
        <v>1178</v>
      </c>
      <c r="F531" s="1026">
        <v>45366</v>
      </c>
      <c r="G531" s="1026">
        <v>45345</v>
      </c>
      <c r="H531" s="1027" t="s">
        <v>663</v>
      </c>
    </row>
    <row r="532" spans="1:8">
      <c r="A532" s="1018">
        <v>531</v>
      </c>
      <c r="B532" s="1019" t="s">
        <v>58</v>
      </c>
      <c r="C532" s="1020" t="s">
        <v>660</v>
      </c>
      <c r="D532" s="1020" t="s">
        <v>1160</v>
      </c>
      <c r="E532" s="1020" t="s">
        <v>1179</v>
      </c>
      <c r="F532" s="1021">
        <v>45366</v>
      </c>
      <c r="G532" s="1021">
        <v>45345</v>
      </c>
      <c r="H532" s="1022" t="s">
        <v>663</v>
      </c>
    </row>
    <row r="533" spans="1:8">
      <c r="A533" s="1023">
        <v>532</v>
      </c>
      <c r="B533" s="1024" t="s">
        <v>58</v>
      </c>
      <c r="C533" s="1025" t="s">
        <v>660</v>
      </c>
      <c r="D533" s="1025" t="s">
        <v>1160</v>
      </c>
      <c r="E533" s="1025" t="s">
        <v>1180</v>
      </c>
      <c r="F533" s="1026">
        <v>45366</v>
      </c>
      <c r="G533" s="1026">
        <v>45364</v>
      </c>
      <c r="H533" s="1027" t="s">
        <v>663</v>
      </c>
    </row>
    <row r="534" spans="1:8">
      <c r="A534" s="1018">
        <v>533</v>
      </c>
      <c r="B534" s="1019" t="s">
        <v>58</v>
      </c>
      <c r="C534" s="1020" t="s">
        <v>660</v>
      </c>
      <c r="D534" s="1020" t="s">
        <v>1160</v>
      </c>
      <c r="E534" s="1020" t="s">
        <v>1181</v>
      </c>
      <c r="F534" s="1021">
        <v>45366</v>
      </c>
      <c r="G534" s="1021">
        <v>45364</v>
      </c>
      <c r="H534" s="1022" t="s">
        <v>663</v>
      </c>
    </row>
    <row r="535" spans="1:8">
      <c r="A535" s="1023">
        <v>534</v>
      </c>
      <c r="B535" s="1024" t="s">
        <v>58</v>
      </c>
      <c r="C535" s="1025" t="s">
        <v>660</v>
      </c>
      <c r="D535" s="1025" t="s">
        <v>1160</v>
      </c>
      <c r="E535" s="1025" t="s">
        <v>1182</v>
      </c>
      <c r="F535" s="1026">
        <v>45440</v>
      </c>
      <c r="G535" s="1026">
        <v>45434</v>
      </c>
      <c r="H535" s="1027" t="s">
        <v>663</v>
      </c>
    </row>
    <row r="536" spans="1:8">
      <c r="A536" s="1018">
        <v>535</v>
      </c>
      <c r="B536" s="1019" t="s">
        <v>58</v>
      </c>
      <c r="C536" s="1020" t="s">
        <v>660</v>
      </c>
      <c r="D536" s="1020" t="s">
        <v>1160</v>
      </c>
      <c r="E536" s="1020" t="s">
        <v>1183</v>
      </c>
      <c r="F536" s="1021">
        <v>45576</v>
      </c>
      <c r="G536" s="1021"/>
      <c r="H536" s="1022" t="s">
        <v>701</v>
      </c>
    </row>
    <row r="537" spans="1:8">
      <c r="A537" s="1023">
        <v>536</v>
      </c>
      <c r="B537" s="1024" t="s">
        <v>58</v>
      </c>
      <c r="C537" s="1025" t="s">
        <v>660</v>
      </c>
      <c r="D537" s="1025" t="s">
        <v>1160</v>
      </c>
      <c r="E537" s="1025" t="s">
        <v>1184</v>
      </c>
      <c r="F537" s="1026">
        <v>45576</v>
      </c>
      <c r="G537" s="1026"/>
      <c r="H537" s="1027" t="s">
        <v>701</v>
      </c>
    </row>
    <row r="538" spans="1:8">
      <c r="A538" s="1018">
        <v>537</v>
      </c>
      <c r="B538" s="1019" t="s">
        <v>58</v>
      </c>
      <c r="C538" s="1020" t="s">
        <v>660</v>
      </c>
      <c r="D538" s="1020" t="s">
        <v>1160</v>
      </c>
      <c r="E538" s="1020" t="s">
        <v>1185</v>
      </c>
      <c r="F538" s="1021">
        <v>45576</v>
      </c>
      <c r="G538" s="1021"/>
      <c r="H538" s="1022" t="s">
        <v>701</v>
      </c>
    </row>
    <row r="539" spans="1:8">
      <c r="A539" s="1023">
        <v>538</v>
      </c>
      <c r="B539" s="1024" t="s">
        <v>58</v>
      </c>
      <c r="C539" s="1025" t="s">
        <v>660</v>
      </c>
      <c r="D539" s="1025" t="s">
        <v>1160</v>
      </c>
      <c r="E539" s="1025" t="s">
        <v>1186</v>
      </c>
      <c r="F539" s="1026">
        <v>45576</v>
      </c>
      <c r="G539" s="1026"/>
      <c r="H539" s="1027" t="s">
        <v>701</v>
      </c>
    </row>
    <row r="540" spans="1:8">
      <c r="A540" s="1018">
        <v>539</v>
      </c>
      <c r="B540" s="1019" t="s">
        <v>58</v>
      </c>
      <c r="C540" s="1020" t="s">
        <v>660</v>
      </c>
      <c r="D540" s="1020" t="s">
        <v>1187</v>
      </c>
      <c r="E540" s="1020" t="s">
        <v>1188</v>
      </c>
      <c r="F540" s="1021">
        <v>45358</v>
      </c>
      <c r="G540" s="1021">
        <v>45299</v>
      </c>
      <c r="H540" s="1022" t="s">
        <v>663</v>
      </c>
    </row>
    <row r="541" spans="1:8">
      <c r="A541" s="1023">
        <v>540</v>
      </c>
      <c r="B541" s="1024" t="s">
        <v>58</v>
      </c>
      <c r="C541" s="1025" t="s">
        <v>660</v>
      </c>
      <c r="D541" s="1025" t="s">
        <v>1187</v>
      </c>
      <c r="E541" s="1025" t="s">
        <v>1189</v>
      </c>
      <c r="F541" s="1026">
        <v>45358</v>
      </c>
      <c r="G541" s="1026">
        <v>45299</v>
      </c>
      <c r="H541" s="1027" t="s">
        <v>663</v>
      </c>
    </row>
    <row r="542" spans="1:8">
      <c r="A542" s="1018">
        <v>541</v>
      </c>
      <c r="B542" s="1019" t="s">
        <v>58</v>
      </c>
      <c r="C542" s="1020" t="s">
        <v>660</v>
      </c>
      <c r="D542" s="1020" t="s">
        <v>1187</v>
      </c>
      <c r="E542" s="1020" t="s">
        <v>1190</v>
      </c>
      <c r="F542" s="1021">
        <v>45358</v>
      </c>
      <c r="G542" s="1021">
        <v>45299</v>
      </c>
      <c r="H542" s="1022" t="s">
        <v>663</v>
      </c>
    </row>
    <row r="543" spans="1:8">
      <c r="A543" s="1023">
        <v>542</v>
      </c>
      <c r="B543" s="1024" t="s">
        <v>58</v>
      </c>
      <c r="C543" s="1025" t="s">
        <v>660</v>
      </c>
      <c r="D543" s="1025" t="s">
        <v>1187</v>
      </c>
      <c r="E543" s="1025" t="s">
        <v>1191</v>
      </c>
      <c r="F543" s="1026">
        <v>45358</v>
      </c>
      <c r="G543" s="1026">
        <v>45299</v>
      </c>
      <c r="H543" s="1027" t="s">
        <v>663</v>
      </c>
    </row>
    <row r="544" spans="1:8">
      <c r="A544" s="1018">
        <v>543</v>
      </c>
      <c r="B544" s="1019" t="s">
        <v>58</v>
      </c>
      <c r="C544" s="1020" t="s">
        <v>660</v>
      </c>
      <c r="D544" s="1020" t="s">
        <v>1187</v>
      </c>
      <c r="E544" s="1020" t="s">
        <v>1192</v>
      </c>
      <c r="F544" s="1021">
        <v>45358</v>
      </c>
      <c r="G544" s="1021">
        <v>45299</v>
      </c>
      <c r="H544" s="1022" t="s">
        <v>663</v>
      </c>
    </row>
    <row r="545" spans="1:8">
      <c r="A545" s="1023">
        <v>544</v>
      </c>
      <c r="B545" s="1024" t="s">
        <v>58</v>
      </c>
      <c r="C545" s="1025" t="s">
        <v>660</v>
      </c>
      <c r="D545" s="1025" t="s">
        <v>1187</v>
      </c>
      <c r="E545" s="1025" t="s">
        <v>1193</v>
      </c>
      <c r="F545" s="1026">
        <v>45358</v>
      </c>
      <c r="G545" s="1026">
        <v>45299</v>
      </c>
      <c r="H545" s="1027" t="s">
        <v>663</v>
      </c>
    </row>
    <row r="546" spans="1:8">
      <c r="A546" s="1018">
        <v>545</v>
      </c>
      <c r="B546" s="1019" t="s">
        <v>58</v>
      </c>
      <c r="C546" s="1020" t="s">
        <v>660</v>
      </c>
      <c r="D546" s="1020" t="s">
        <v>1187</v>
      </c>
      <c r="E546" s="1020" t="s">
        <v>1194</v>
      </c>
      <c r="F546" s="1021">
        <v>45358</v>
      </c>
      <c r="G546" s="1021">
        <v>45376</v>
      </c>
      <c r="H546" s="1022" t="s">
        <v>663</v>
      </c>
    </row>
    <row r="547" spans="1:8" ht="26">
      <c r="A547" s="1023">
        <v>546</v>
      </c>
      <c r="B547" s="1024" t="s">
        <v>58</v>
      </c>
      <c r="C547" s="1025" t="s">
        <v>660</v>
      </c>
      <c r="D547" s="1025" t="s">
        <v>1187</v>
      </c>
      <c r="E547" s="1025" t="s">
        <v>1195</v>
      </c>
      <c r="F547" s="1026">
        <v>45358</v>
      </c>
      <c r="G547" s="1026">
        <v>45376</v>
      </c>
      <c r="H547" s="1027" t="s">
        <v>663</v>
      </c>
    </row>
    <row r="548" spans="1:8">
      <c r="A548" s="1018">
        <v>547</v>
      </c>
      <c r="B548" s="1019" t="s">
        <v>58</v>
      </c>
      <c r="C548" s="1020" t="s">
        <v>660</v>
      </c>
      <c r="D548" s="1020" t="s">
        <v>1187</v>
      </c>
      <c r="E548" s="1020" t="s">
        <v>1196</v>
      </c>
      <c r="F548" s="1021">
        <v>45358</v>
      </c>
      <c r="G548" s="1021">
        <v>45376</v>
      </c>
      <c r="H548" s="1022" t="s">
        <v>663</v>
      </c>
    </row>
    <row r="549" spans="1:8">
      <c r="A549" s="1023">
        <v>548</v>
      </c>
      <c r="B549" s="1024" t="s">
        <v>58</v>
      </c>
      <c r="C549" s="1025" t="s">
        <v>660</v>
      </c>
      <c r="D549" s="1025" t="s">
        <v>1187</v>
      </c>
      <c r="E549" s="1025" t="s">
        <v>1197</v>
      </c>
      <c r="F549" s="1026">
        <v>45358</v>
      </c>
      <c r="G549" s="1026">
        <v>45376</v>
      </c>
      <c r="H549" s="1027" t="s">
        <v>663</v>
      </c>
    </row>
    <row r="550" spans="1:8">
      <c r="A550" s="1018">
        <v>549</v>
      </c>
      <c r="B550" s="1019" t="s">
        <v>58</v>
      </c>
      <c r="C550" s="1020" t="s">
        <v>660</v>
      </c>
      <c r="D550" s="1020" t="s">
        <v>1187</v>
      </c>
      <c r="E550" s="1020" t="s">
        <v>1198</v>
      </c>
      <c r="F550" s="1021">
        <v>45358</v>
      </c>
      <c r="G550" s="1021">
        <v>45376</v>
      </c>
      <c r="H550" s="1022" t="s">
        <v>663</v>
      </c>
    </row>
    <row r="551" spans="1:8">
      <c r="A551" s="1023">
        <v>550</v>
      </c>
      <c r="B551" s="1024" t="s">
        <v>58</v>
      </c>
      <c r="C551" s="1025" t="s">
        <v>660</v>
      </c>
      <c r="D551" s="1025" t="s">
        <v>1187</v>
      </c>
      <c r="E551" s="1025" t="s">
        <v>1199</v>
      </c>
      <c r="F551" s="1026">
        <v>45358</v>
      </c>
      <c r="G551" s="1026">
        <v>45299</v>
      </c>
      <c r="H551" s="1027" t="s">
        <v>663</v>
      </c>
    </row>
    <row r="552" spans="1:8">
      <c r="A552" s="1018">
        <v>551</v>
      </c>
      <c r="B552" s="1019" t="s">
        <v>58</v>
      </c>
      <c r="C552" s="1020" t="s">
        <v>660</v>
      </c>
      <c r="D552" s="1020" t="s">
        <v>1187</v>
      </c>
      <c r="E552" s="1020" t="s">
        <v>1200</v>
      </c>
      <c r="F552" s="1021">
        <v>45358</v>
      </c>
      <c r="G552" s="1021">
        <v>45299</v>
      </c>
      <c r="H552" s="1022" t="s">
        <v>663</v>
      </c>
    </row>
    <row r="553" spans="1:8">
      <c r="A553" s="1023">
        <v>552</v>
      </c>
      <c r="B553" s="1024" t="s">
        <v>58</v>
      </c>
      <c r="C553" s="1025" t="s">
        <v>660</v>
      </c>
      <c r="D553" s="1025" t="s">
        <v>1187</v>
      </c>
      <c r="E553" s="1025" t="s">
        <v>1201</v>
      </c>
      <c r="F553" s="1026">
        <v>45358</v>
      </c>
      <c r="G553" s="1026">
        <v>45299</v>
      </c>
      <c r="H553" s="1027" t="s">
        <v>663</v>
      </c>
    </row>
    <row r="554" spans="1:8">
      <c r="A554" s="1018">
        <v>553</v>
      </c>
      <c r="B554" s="1019" t="s">
        <v>58</v>
      </c>
      <c r="C554" s="1020" t="s">
        <v>660</v>
      </c>
      <c r="D554" s="1020" t="s">
        <v>1187</v>
      </c>
      <c r="E554" s="1020" t="s">
        <v>1202</v>
      </c>
      <c r="F554" s="1021">
        <v>45358</v>
      </c>
      <c r="G554" s="1021">
        <v>45376</v>
      </c>
      <c r="H554" s="1022" t="s">
        <v>663</v>
      </c>
    </row>
    <row r="555" spans="1:8">
      <c r="A555" s="1023">
        <v>554</v>
      </c>
      <c r="B555" s="1024" t="s">
        <v>58</v>
      </c>
      <c r="C555" s="1025" t="s">
        <v>660</v>
      </c>
      <c r="D555" s="1025" t="s">
        <v>1187</v>
      </c>
      <c r="E555" s="1025" t="s">
        <v>1203</v>
      </c>
      <c r="F555" s="1026">
        <v>45362</v>
      </c>
      <c r="G555" s="1026"/>
      <c r="H555" s="1027" t="s">
        <v>701</v>
      </c>
    </row>
    <row r="556" spans="1:8">
      <c r="A556" s="1018">
        <v>555</v>
      </c>
      <c r="B556" s="1019" t="s">
        <v>58</v>
      </c>
      <c r="C556" s="1020" t="s">
        <v>660</v>
      </c>
      <c r="D556" s="1020" t="s">
        <v>1187</v>
      </c>
      <c r="E556" s="1020" t="s">
        <v>1204</v>
      </c>
      <c r="F556" s="1021">
        <v>45362</v>
      </c>
      <c r="G556" s="1021"/>
      <c r="H556" s="1022" t="s">
        <v>701</v>
      </c>
    </row>
    <row r="557" spans="1:8">
      <c r="A557" s="1023">
        <v>556</v>
      </c>
      <c r="B557" s="1024" t="s">
        <v>58</v>
      </c>
      <c r="C557" s="1025" t="s">
        <v>660</v>
      </c>
      <c r="D557" s="1025" t="s">
        <v>1187</v>
      </c>
      <c r="E557" s="1025" t="s">
        <v>1205</v>
      </c>
      <c r="F557" s="1026">
        <v>45366</v>
      </c>
      <c r="G557" s="1026">
        <v>45436</v>
      </c>
      <c r="H557" s="1027" t="s">
        <v>663</v>
      </c>
    </row>
    <row r="558" spans="1:8">
      <c r="A558" s="1018">
        <v>557</v>
      </c>
      <c r="B558" s="1019" t="s">
        <v>58</v>
      </c>
      <c r="C558" s="1020" t="s">
        <v>660</v>
      </c>
      <c r="D558" s="1020" t="s">
        <v>1187</v>
      </c>
      <c r="E558" s="1020" t="s">
        <v>1206</v>
      </c>
      <c r="F558" s="1021">
        <v>45366</v>
      </c>
      <c r="G558" s="1021"/>
      <c r="H558" s="1022" t="s">
        <v>701</v>
      </c>
    </row>
    <row r="559" spans="1:8">
      <c r="A559" s="1023">
        <v>558</v>
      </c>
      <c r="B559" s="1024" t="s">
        <v>58</v>
      </c>
      <c r="C559" s="1025" t="s">
        <v>660</v>
      </c>
      <c r="D559" s="1025" t="s">
        <v>1187</v>
      </c>
      <c r="E559" s="1025" t="s">
        <v>1207</v>
      </c>
      <c r="F559" s="1026">
        <v>45366</v>
      </c>
      <c r="G559" s="1026">
        <v>45417</v>
      </c>
      <c r="H559" s="1027" t="s">
        <v>663</v>
      </c>
    </row>
    <row r="560" spans="1:8">
      <c r="A560" s="1018">
        <v>559</v>
      </c>
      <c r="B560" s="1019" t="s">
        <v>58</v>
      </c>
      <c r="C560" s="1020" t="s">
        <v>660</v>
      </c>
      <c r="D560" s="1020" t="s">
        <v>1187</v>
      </c>
      <c r="E560" s="1020" t="s">
        <v>1208</v>
      </c>
      <c r="F560" s="1021">
        <v>45366</v>
      </c>
      <c r="G560" s="1021">
        <v>45417</v>
      </c>
      <c r="H560" s="1022" t="s">
        <v>663</v>
      </c>
    </row>
    <row r="561" spans="1:8">
      <c r="A561" s="1023">
        <v>560</v>
      </c>
      <c r="B561" s="1024" t="s">
        <v>58</v>
      </c>
      <c r="C561" s="1025" t="s">
        <v>660</v>
      </c>
      <c r="D561" s="1025" t="s">
        <v>1187</v>
      </c>
      <c r="E561" s="1025" t="s">
        <v>1209</v>
      </c>
      <c r="F561" s="1026">
        <v>45366</v>
      </c>
      <c r="G561" s="1026">
        <v>45417</v>
      </c>
      <c r="H561" s="1027" t="s">
        <v>663</v>
      </c>
    </row>
    <row r="562" spans="1:8">
      <c r="A562" s="1018">
        <v>561</v>
      </c>
      <c r="B562" s="1019" t="s">
        <v>58</v>
      </c>
      <c r="C562" s="1020" t="s">
        <v>660</v>
      </c>
      <c r="D562" s="1020" t="s">
        <v>1187</v>
      </c>
      <c r="E562" s="1020" t="s">
        <v>1210</v>
      </c>
      <c r="F562" s="1021">
        <v>45366</v>
      </c>
      <c r="G562" s="1021">
        <v>45417</v>
      </c>
      <c r="H562" s="1022" t="s">
        <v>663</v>
      </c>
    </row>
    <row r="563" spans="1:8">
      <c r="A563" s="1023">
        <v>562</v>
      </c>
      <c r="B563" s="1024" t="s">
        <v>58</v>
      </c>
      <c r="C563" s="1025" t="s">
        <v>660</v>
      </c>
      <c r="D563" s="1025" t="s">
        <v>1187</v>
      </c>
      <c r="E563" s="1025" t="s">
        <v>1211</v>
      </c>
      <c r="F563" s="1026">
        <v>45366</v>
      </c>
      <c r="G563" s="1026">
        <v>45478</v>
      </c>
      <c r="H563" s="1027" t="s">
        <v>663</v>
      </c>
    </row>
    <row r="564" spans="1:8">
      <c r="A564" s="1018">
        <v>563</v>
      </c>
      <c r="B564" s="1019" t="s">
        <v>58</v>
      </c>
      <c r="C564" s="1020" t="s">
        <v>660</v>
      </c>
      <c r="D564" s="1020" t="s">
        <v>1187</v>
      </c>
      <c r="E564" s="1020" t="s">
        <v>1212</v>
      </c>
      <c r="F564" s="1021">
        <v>45366</v>
      </c>
      <c r="G564" s="1021">
        <v>45499</v>
      </c>
      <c r="H564" s="1022" t="s">
        <v>663</v>
      </c>
    </row>
    <row r="565" spans="1:8">
      <c r="A565" s="1023">
        <v>564</v>
      </c>
      <c r="B565" s="1024" t="s">
        <v>58</v>
      </c>
      <c r="C565" s="1025" t="s">
        <v>660</v>
      </c>
      <c r="D565" s="1025" t="s">
        <v>1187</v>
      </c>
      <c r="E565" s="1025" t="s">
        <v>1213</v>
      </c>
      <c r="F565" s="1026">
        <v>45366</v>
      </c>
      <c r="G565" s="1026">
        <v>45499</v>
      </c>
      <c r="H565" s="1027" t="s">
        <v>663</v>
      </c>
    </row>
    <row r="566" spans="1:8">
      <c r="A566" s="1018">
        <v>565</v>
      </c>
      <c r="B566" s="1019" t="s">
        <v>58</v>
      </c>
      <c r="C566" s="1020" t="s">
        <v>660</v>
      </c>
      <c r="D566" s="1020" t="s">
        <v>1187</v>
      </c>
      <c r="E566" s="1020" t="s">
        <v>1214</v>
      </c>
      <c r="F566" s="1021">
        <v>45366</v>
      </c>
      <c r="G566" s="1021">
        <v>45499</v>
      </c>
      <c r="H566" s="1022" t="s">
        <v>663</v>
      </c>
    </row>
    <row r="567" spans="1:8">
      <c r="A567" s="1023">
        <v>566</v>
      </c>
      <c r="B567" s="1024" t="s">
        <v>58</v>
      </c>
      <c r="C567" s="1025" t="s">
        <v>660</v>
      </c>
      <c r="D567" s="1025" t="s">
        <v>1187</v>
      </c>
      <c r="E567" s="1025" t="s">
        <v>1215</v>
      </c>
      <c r="F567" s="1026">
        <v>45366</v>
      </c>
      <c r="G567" s="1026">
        <v>45499</v>
      </c>
      <c r="H567" s="1027" t="s">
        <v>663</v>
      </c>
    </row>
    <row r="568" spans="1:8">
      <c r="A568" s="1018">
        <v>567</v>
      </c>
      <c r="B568" s="1019" t="s">
        <v>58</v>
      </c>
      <c r="C568" s="1020" t="s">
        <v>660</v>
      </c>
      <c r="D568" s="1020" t="s">
        <v>1187</v>
      </c>
      <c r="E568" s="1020" t="s">
        <v>1216</v>
      </c>
      <c r="F568" s="1021">
        <v>45366</v>
      </c>
      <c r="G568" s="1021">
        <v>45499</v>
      </c>
      <c r="H568" s="1022" t="s">
        <v>663</v>
      </c>
    </row>
    <row r="569" spans="1:8">
      <c r="A569" s="1023">
        <v>568</v>
      </c>
      <c r="B569" s="1024" t="s">
        <v>58</v>
      </c>
      <c r="C569" s="1025" t="s">
        <v>660</v>
      </c>
      <c r="D569" s="1025" t="s">
        <v>1187</v>
      </c>
      <c r="E569" s="1025" t="s">
        <v>1217</v>
      </c>
      <c r="F569" s="1026">
        <v>45366</v>
      </c>
      <c r="G569" s="1026">
        <v>45499</v>
      </c>
      <c r="H569" s="1027" t="s">
        <v>663</v>
      </c>
    </row>
    <row r="570" spans="1:8">
      <c r="A570" s="1018">
        <v>569</v>
      </c>
      <c r="B570" s="1019" t="s">
        <v>58</v>
      </c>
      <c r="C570" s="1020" t="s">
        <v>660</v>
      </c>
      <c r="D570" s="1020" t="s">
        <v>1187</v>
      </c>
      <c r="E570" s="1020" t="s">
        <v>1218</v>
      </c>
      <c r="F570" s="1021">
        <v>45366</v>
      </c>
      <c r="G570" s="1021">
        <v>45499</v>
      </c>
      <c r="H570" s="1022" t="s">
        <v>663</v>
      </c>
    </row>
    <row r="571" spans="1:8">
      <c r="A571" s="1023">
        <v>570</v>
      </c>
      <c r="B571" s="1024" t="s">
        <v>58</v>
      </c>
      <c r="C571" s="1025" t="s">
        <v>660</v>
      </c>
      <c r="D571" s="1025" t="s">
        <v>1187</v>
      </c>
      <c r="E571" s="1025" t="s">
        <v>1219</v>
      </c>
      <c r="F571" s="1026">
        <v>45366</v>
      </c>
      <c r="G571" s="1026">
        <v>45499</v>
      </c>
      <c r="H571" s="1027" t="s">
        <v>663</v>
      </c>
    </row>
    <row r="572" spans="1:8">
      <c r="A572" s="1018">
        <v>571</v>
      </c>
      <c r="B572" s="1019" t="s">
        <v>58</v>
      </c>
      <c r="C572" s="1020" t="s">
        <v>660</v>
      </c>
      <c r="D572" s="1020" t="s">
        <v>1187</v>
      </c>
      <c r="E572" s="1020" t="s">
        <v>1220</v>
      </c>
      <c r="F572" s="1021">
        <v>45366</v>
      </c>
      <c r="G572" s="1021">
        <v>45499</v>
      </c>
      <c r="H572" s="1022" t="s">
        <v>663</v>
      </c>
    </row>
    <row r="573" spans="1:8">
      <c r="A573" s="1023">
        <v>572</v>
      </c>
      <c r="B573" s="1024" t="s">
        <v>58</v>
      </c>
      <c r="C573" s="1025" t="s">
        <v>660</v>
      </c>
      <c r="D573" s="1025" t="s">
        <v>1187</v>
      </c>
      <c r="E573" s="1025" t="s">
        <v>1221</v>
      </c>
      <c r="F573" s="1026">
        <v>45366</v>
      </c>
      <c r="G573" s="1026">
        <v>45499</v>
      </c>
      <c r="H573" s="1027" t="s">
        <v>663</v>
      </c>
    </row>
    <row r="574" spans="1:8">
      <c r="A574" s="1018">
        <v>573</v>
      </c>
      <c r="B574" s="1019" t="s">
        <v>58</v>
      </c>
      <c r="C574" s="1020" t="s">
        <v>660</v>
      </c>
      <c r="D574" s="1020" t="s">
        <v>1187</v>
      </c>
      <c r="E574" s="1020" t="s">
        <v>1222</v>
      </c>
      <c r="F574" s="1021">
        <v>45366</v>
      </c>
      <c r="G574" s="1021">
        <v>45499</v>
      </c>
      <c r="H574" s="1022" t="s">
        <v>663</v>
      </c>
    </row>
    <row r="575" spans="1:8">
      <c r="A575" s="1023">
        <v>574</v>
      </c>
      <c r="B575" s="1024" t="s">
        <v>58</v>
      </c>
      <c r="C575" s="1025" t="s">
        <v>660</v>
      </c>
      <c r="D575" s="1025" t="s">
        <v>1187</v>
      </c>
      <c r="E575" s="1025" t="s">
        <v>1223</v>
      </c>
      <c r="F575" s="1026">
        <v>45366</v>
      </c>
      <c r="G575" s="1026">
        <v>45499</v>
      </c>
      <c r="H575" s="1027" t="s">
        <v>663</v>
      </c>
    </row>
    <row r="576" spans="1:8">
      <c r="A576" s="1018">
        <v>575</v>
      </c>
      <c r="B576" s="1019" t="s">
        <v>58</v>
      </c>
      <c r="C576" s="1020" t="s">
        <v>660</v>
      </c>
      <c r="D576" s="1020" t="s">
        <v>1187</v>
      </c>
      <c r="E576" s="1020" t="s">
        <v>1224</v>
      </c>
      <c r="F576" s="1021">
        <v>45366</v>
      </c>
      <c r="G576" s="1021">
        <v>45499</v>
      </c>
      <c r="H576" s="1022" t="s">
        <v>663</v>
      </c>
    </row>
    <row r="577" spans="1:8">
      <c r="A577" s="1023">
        <v>576</v>
      </c>
      <c r="B577" s="1024" t="s">
        <v>58</v>
      </c>
      <c r="C577" s="1025" t="s">
        <v>660</v>
      </c>
      <c r="D577" s="1025" t="s">
        <v>1187</v>
      </c>
      <c r="E577" s="1025" t="s">
        <v>1225</v>
      </c>
      <c r="F577" s="1026">
        <v>45366</v>
      </c>
      <c r="G577" s="1026">
        <v>45499</v>
      </c>
      <c r="H577" s="1027" t="s">
        <v>663</v>
      </c>
    </row>
    <row r="578" spans="1:8">
      <c r="A578" s="1018">
        <v>577</v>
      </c>
      <c r="B578" s="1019" t="s">
        <v>58</v>
      </c>
      <c r="C578" s="1020" t="s">
        <v>660</v>
      </c>
      <c r="D578" s="1020" t="s">
        <v>1187</v>
      </c>
      <c r="E578" s="1020" t="s">
        <v>1226</v>
      </c>
      <c r="F578" s="1021">
        <v>45366</v>
      </c>
      <c r="G578" s="1021">
        <v>45499</v>
      </c>
      <c r="H578" s="1022" t="s">
        <v>663</v>
      </c>
    </row>
    <row r="579" spans="1:8">
      <c r="A579" s="1023">
        <v>578</v>
      </c>
      <c r="B579" s="1024" t="s">
        <v>58</v>
      </c>
      <c r="C579" s="1025" t="s">
        <v>660</v>
      </c>
      <c r="D579" s="1025" t="s">
        <v>1187</v>
      </c>
      <c r="E579" s="1025" t="s">
        <v>1227</v>
      </c>
      <c r="F579" s="1026">
        <v>45366</v>
      </c>
      <c r="G579" s="1026">
        <v>45499</v>
      </c>
      <c r="H579" s="1027" t="s">
        <v>663</v>
      </c>
    </row>
    <row r="580" spans="1:8">
      <c r="A580" s="1018">
        <v>579</v>
      </c>
      <c r="B580" s="1019" t="s">
        <v>58</v>
      </c>
      <c r="C580" s="1020" t="s">
        <v>660</v>
      </c>
      <c r="D580" s="1020" t="s">
        <v>1187</v>
      </c>
      <c r="E580" s="1020" t="s">
        <v>1228</v>
      </c>
      <c r="F580" s="1021">
        <v>45366</v>
      </c>
      <c r="G580" s="1021"/>
      <c r="H580" s="1022" t="s">
        <v>701</v>
      </c>
    </row>
    <row r="581" spans="1:8">
      <c r="A581" s="1023">
        <v>580</v>
      </c>
      <c r="B581" s="1024" t="s">
        <v>58</v>
      </c>
      <c r="C581" s="1025" t="s">
        <v>660</v>
      </c>
      <c r="D581" s="1025" t="s">
        <v>1187</v>
      </c>
      <c r="E581" s="1025" t="s">
        <v>1229</v>
      </c>
      <c r="F581" s="1026">
        <v>45366</v>
      </c>
      <c r="G581" s="1026"/>
      <c r="H581" s="1027" t="s">
        <v>701</v>
      </c>
    </row>
    <row r="582" spans="1:8">
      <c r="A582" s="1018">
        <v>581</v>
      </c>
      <c r="B582" s="1019" t="s">
        <v>58</v>
      </c>
      <c r="C582" s="1020" t="s">
        <v>660</v>
      </c>
      <c r="D582" s="1020" t="s">
        <v>1187</v>
      </c>
      <c r="E582" s="1020" t="s">
        <v>1230</v>
      </c>
      <c r="F582" s="1021">
        <v>45366</v>
      </c>
      <c r="G582" s="1021"/>
      <c r="H582" s="1022" t="s">
        <v>701</v>
      </c>
    </row>
    <row r="583" spans="1:8">
      <c r="A583" s="1023">
        <v>582</v>
      </c>
      <c r="B583" s="1024" t="s">
        <v>58</v>
      </c>
      <c r="C583" s="1025" t="s">
        <v>660</v>
      </c>
      <c r="D583" s="1025" t="s">
        <v>1187</v>
      </c>
      <c r="E583" s="1025" t="s">
        <v>1231</v>
      </c>
      <c r="F583" s="1026">
        <v>45366</v>
      </c>
      <c r="G583" s="1026"/>
      <c r="H583" s="1027" t="s">
        <v>701</v>
      </c>
    </row>
    <row r="584" spans="1:8">
      <c r="A584" s="1018">
        <v>583</v>
      </c>
      <c r="B584" s="1019" t="s">
        <v>58</v>
      </c>
      <c r="C584" s="1020" t="s">
        <v>660</v>
      </c>
      <c r="D584" s="1020" t="s">
        <v>1187</v>
      </c>
      <c r="E584" s="1020" t="s">
        <v>1232</v>
      </c>
      <c r="F584" s="1021">
        <v>45366</v>
      </c>
      <c r="G584" s="1021"/>
      <c r="H584" s="1022" t="s">
        <v>701</v>
      </c>
    </row>
    <row r="585" spans="1:8">
      <c r="A585" s="1023">
        <v>584</v>
      </c>
      <c r="B585" s="1024" t="s">
        <v>58</v>
      </c>
      <c r="C585" s="1025" t="s">
        <v>660</v>
      </c>
      <c r="D585" s="1025" t="s">
        <v>1187</v>
      </c>
      <c r="E585" s="1025" t="s">
        <v>1233</v>
      </c>
      <c r="F585" s="1026">
        <v>45366</v>
      </c>
      <c r="G585" s="1026"/>
      <c r="H585" s="1027" t="s">
        <v>701</v>
      </c>
    </row>
    <row r="586" spans="1:8">
      <c r="A586" s="1018">
        <v>585</v>
      </c>
      <c r="B586" s="1019" t="s">
        <v>58</v>
      </c>
      <c r="C586" s="1020" t="s">
        <v>660</v>
      </c>
      <c r="D586" s="1020" t="s">
        <v>1187</v>
      </c>
      <c r="E586" s="1020" t="s">
        <v>1234</v>
      </c>
      <c r="F586" s="1021">
        <v>45366</v>
      </c>
      <c r="G586" s="1021"/>
      <c r="H586" s="1022" t="s">
        <v>701</v>
      </c>
    </row>
    <row r="587" spans="1:8">
      <c r="A587" s="1023">
        <v>586</v>
      </c>
      <c r="B587" s="1024" t="s">
        <v>58</v>
      </c>
      <c r="C587" s="1025" t="s">
        <v>660</v>
      </c>
      <c r="D587" s="1025" t="s">
        <v>1187</v>
      </c>
      <c r="E587" s="1025" t="s">
        <v>1235</v>
      </c>
      <c r="F587" s="1026">
        <v>45366</v>
      </c>
      <c r="G587" s="1026"/>
      <c r="H587" s="1027" t="s">
        <v>701</v>
      </c>
    </row>
    <row r="588" spans="1:8">
      <c r="A588" s="1018">
        <v>587</v>
      </c>
      <c r="B588" s="1019" t="s">
        <v>58</v>
      </c>
      <c r="C588" s="1020" t="s">
        <v>660</v>
      </c>
      <c r="D588" s="1020" t="s">
        <v>1187</v>
      </c>
      <c r="E588" s="1020" t="s">
        <v>1236</v>
      </c>
      <c r="F588" s="1021">
        <v>45366</v>
      </c>
      <c r="G588" s="1021"/>
      <c r="H588" s="1022" t="s">
        <v>701</v>
      </c>
    </row>
    <row r="589" spans="1:8">
      <c r="A589" s="1023">
        <v>588</v>
      </c>
      <c r="B589" s="1024" t="s">
        <v>58</v>
      </c>
      <c r="C589" s="1025" t="s">
        <v>660</v>
      </c>
      <c r="D589" s="1025" t="s">
        <v>1187</v>
      </c>
      <c r="E589" s="1025" t="s">
        <v>1237</v>
      </c>
      <c r="F589" s="1026">
        <v>45366</v>
      </c>
      <c r="G589" s="1026"/>
      <c r="H589" s="1027" t="s">
        <v>701</v>
      </c>
    </row>
    <row r="590" spans="1:8">
      <c r="A590" s="1018">
        <v>589</v>
      </c>
      <c r="B590" s="1019" t="s">
        <v>58</v>
      </c>
      <c r="C590" s="1020" t="s">
        <v>660</v>
      </c>
      <c r="D590" s="1020" t="s">
        <v>1187</v>
      </c>
      <c r="E590" s="1020" t="s">
        <v>1238</v>
      </c>
      <c r="F590" s="1021">
        <v>45366</v>
      </c>
      <c r="G590" s="1021"/>
      <c r="H590" s="1022" t="s">
        <v>701</v>
      </c>
    </row>
    <row r="591" spans="1:8">
      <c r="A591" s="1023">
        <v>590</v>
      </c>
      <c r="B591" s="1024" t="s">
        <v>58</v>
      </c>
      <c r="C591" s="1025" t="s">
        <v>660</v>
      </c>
      <c r="D591" s="1025" t="s">
        <v>1187</v>
      </c>
      <c r="E591" s="1025" t="s">
        <v>1239</v>
      </c>
      <c r="F591" s="1026">
        <v>45366</v>
      </c>
      <c r="G591" s="1026"/>
      <c r="H591" s="1027" t="s">
        <v>701</v>
      </c>
    </row>
    <row r="592" spans="1:8">
      <c r="A592" s="1018">
        <v>591</v>
      </c>
      <c r="B592" s="1019" t="s">
        <v>58</v>
      </c>
      <c r="C592" s="1020" t="s">
        <v>660</v>
      </c>
      <c r="D592" s="1020" t="s">
        <v>1187</v>
      </c>
      <c r="E592" s="1020" t="s">
        <v>1240</v>
      </c>
      <c r="F592" s="1021">
        <v>45366</v>
      </c>
      <c r="G592" s="1021"/>
      <c r="H592" s="1022" t="s">
        <v>701</v>
      </c>
    </row>
    <row r="593" spans="1:8">
      <c r="A593" s="1023">
        <v>592</v>
      </c>
      <c r="B593" s="1024" t="s">
        <v>58</v>
      </c>
      <c r="C593" s="1025" t="s">
        <v>660</v>
      </c>
      <c r="D593" s="1025" t="s">
        <v>1187</v>
      </c>
      <c r="E593" s="1025" t="s">
        <v>1241</v>
      </c>
      <c r="F593" s="1026">
        <v>45366</v>
      </c>
      <c r="G593" s="1026"/>
      <c r="H593" s="1027" t="s">
        <v>701</v>
      </c>
    </row>
    <row r="594" spans="1:8">
      <c r="A594" s="1018">
        <v>593</v>
      </c>
      <c r="B594" s="1019" t="s">
        <v>58</v>
      </c>
      <c r="C594" s="1020" t="s">
        <v>660</v>
      </c>
      <c r="D594" s="1020" t="s">
        <v>1187</v>
      </c>
      <c r="E594" s="1020" t="s">
        <v>1242</v>
      </c>
      <c r="F594" s="1021">
        <v>45366</v>
      </c>
      <c r="G594" s="1021"/>
      <c r="H594" s="1022" t="s">
        <v>701</v>
      </c>
    </row>
    <row r="595" spans="1:8">
      <c r="A595" s="1023">
        <v>594</v>
      </c>
      <c r="B595" s="1024" t="s">
        <v>58</v>
      </c>
      <c r="C595" s="1025" t="s">
        <v>660</v>
      </c>
      <c r="D595" s="1025" t="s">
        <v>1187</v>
      </c>
      <c r="E595" s="1025" t="s">
        <v>1243</v>
      </c>
      <c r="F595" s="1026">
        <v>45366</v>
      </c>
      <c r="G595" s="1026"/>
      <c r="H595" s="1027" t="s">
        <v>701</v>
      </c>
    </row>
    <row r="596" spans="1:8">
      <c r="A596" s="1018">
        <v>595</v>
      </c>
      <c r="B596" s="1019" t="s">
        <v>58</v>
      </c>
      <c r="C596" s="1020" t="s">
        <v>660</v>
      </c>
      <c r="D596" s="1020" t="s">
        <v>1187</v>
      </c>
      <c r="E596" s="1020" t="s">
        <v>1244</v>
      </c>
      <c r="F596" s="1021">
        <v>45366</v>
      </c>
      <c r="G596" s="1021"/>
      <c r="H596" s="1022" t="s">
        <v>701</v>
      </c>
    </row>
    <row r="597" spans="1:8">
      <c r="A597" s="1023">
        <v>596</v>
      </c>
      <c r="B597" s="1024" t="s">
        <v>58</v>
      </c>
      <c r="C597" s="1025" t="s">
        <v>660</v>
      </c>
      <c r="D597" s="1025" t="s">
        <v>1187</v>
      </c>
      <c r="E597" s="1025" t="s">
        <v>1245</v>
      </c>
      <c r="F597" s="1026">
        <v>45366</v>
      </c>
      <c r="G597" s="1026"/>
      <c r="H597" s="1027" t="s">
        <v>701</v>
      </c>
    </row>
    <row r="598" spans="1:8">
      <c r="A598" s="1018">
        <v>597</v>
      </c>
      <c r="B598" s="1019" t="s">
        <v>58</v>
      </c>
      <c r="C598" s="1020" t="s">
        <v>660</v>
      </c>
      <c r="D598" s="1020" t="s">
        <v>1187</v>
      </c>
      <c r="E598" s="1020" t="s">
        <v>1246</v>
      </c>
      <c r="F598" s="1021">
        <v>45358</v>
      </c>
      <c r="G598" s="1021">
        <v>45352</v>
      </c>
      <c r="H598" s="1022" t="s">
        <v>663</v>
      </c>
    </row>
    <row r="599" spans="1:8">
      <c r="A599" s="1023">
        <v>598</v>
      </c>
      <c r="B599" s="1024" t="s">
        <v>58</v>
      </c>
      <c r="C599" s="1025" t="s">
        <v>660</v>
      </c>
      <c r="D599" s="1025" t="s">
        <v>1187</v>
      </c>
      <c r="E599" s="1025" t="s">
        <v>1247</v>
      </c>
      <c r="F599" s="1026">
        <v>45358</v>
      </c>
      <c r="G599" s="1026"/>
      <c r="H599" s="1027" t="s">
        <v>701</v>
      </c>
    </row>
    <row r="600" spans="1:8">
      <c r="A600" s="1018">
        <v>599</v>
      </c>
      <c r="B600" s="1019" t="s">
        <v>58</v>
      </c>
      <c r="C600" s="1020" t="s">
        <v>660</v>
      </c>
      <c r="D600" s="1020" t="s">
        <v>1187</v>
      </c>
      <c r="E600" s="1020" t="s">
        <v>1248</v>
      </c>
      <c r="F600" s="1021">
        <v>45358</v>
      </c>
      <c r="G600" s="1021"/>
      <c r="H600" s="1022" t="s">
        <v>701</v>
      </c>
    </row>
    <row r="601" spans="1:8">
      <c r="A601" s="1023">
        <v>600</v>
      </c>
      <c r="B601" s="1024" t="s">
        <v>58</v>
      </c>
      <c r="C601" s="1025" t="s">
        <v>660</v>
      </c>
      <c r="D601" s="1025" t="s">
        <v>1187</v>
      </c>
      <c r="E601" s="1025" t="s">
        <v>1249</v>
      </c>
      <c r="F601" s="1026">
        <v>45358</v>
      </c>
      <c r="G601" s="1026"/>
      <c r="H601" s="1027" t="s">
        <v>701</v>
      </c>
    </row>
    <row r="602" spans="1:8">
      <c r="A602" s="1018">
        <v>601</v>
      </c>
      <c r="B602" s="1019" t="s">
        <v>58</v>
      </c>
      <c r="C602" s="1020" t="s">
        <v>660</v>
      </c>
      <c r="D602" s="1020" t="s">
        <v>1187</v>
      </c>
      <c r="E602" s="1020" t="s">
        <v>1250</v>
      </c>
      <c r="F602" s="1021">
        <v>45358</v>
      </c>
      <c r="G602" s="1021"/>
      <c r="H602" s="1022" t="s">
        <v>701</v>
      </c>
    </row>
    <row r="603" spans="1:8">
      <c r="A603" s="1023">
        <v>602</v>
      </c>
      <c r="B603" s="1024" t="s">
        <v>58</v>
      </c>
      <c r="C603" s="1025" t="s">
        <v>660</v>
      </c>
      <c r="D603" s="1025" t="s">
        <v>1187</v>
      </c>
      <c r="E603" s="1025" t="s">
        <v>1251</v>
      </c>
      <c r="F603" s="1026">
        <v>45358</v>
      </c>
      <c r="G603" s="1026"/>
      <c r="H603" s="1027" t="s">
        <v>701</v>
      </c>
    </row>
    <row r="604" spans="1:8">
      <c r="A604" s="1018">
        <v>603</v>
      </c>
      <c r="B604" s="1019" t="s">
        <v>58</v>
      </c>
      <c r="C604" s="1020" t="s">
        <v>660</v>
      </c>
      <c r="D604" s="1020" t="s">
        <v>1187</v>
      </c>
      <c r="E604" s="1020" t="s">
        <v>1252</v>
      </c>
      <c r="F604" s="1021">
        <v>45358</v>
      </c>
      <c r="G604" s="1021"/>
      <c r="H604" s="1022" t="s">
        <v>701</v>
      </c>
    </row>
    <row r="605" spans="1:8">
      <c r="A605" s="1023">
        <v>604</v>
      </c>
      <c r="B605" s="1024" t="s">
        <v>58</v>
      </c>
      <c r="C605" s="1025" t="s">
        <v>660</v>
      </c>
      <c r="D605" s="1025" t="s">
        <v>1187</v>
      </c>
      <c r="E605" s="1025" t="s">
        <v>1253</v>
      </c>
      <c r="F605" s="1026">
        <v>45358</v>
      </c>
      <c r="G605" s="1026"/>
      <c r="H605" s="1027" t="s">
        <v>701</v>
      </c>
    </row>
    <row r="606" spans="1:8">
      <c r="A606" s="1018">
        <v>605</v>
      </c>
      <c r="B606" s="1019" t="s">
        <v>58</v>
      </c>
      <c r="C606" s="1020" t="s">
        <v>660</v>
      </c>
      <c r="D606" s="1020" t="s">
        <v>1187</v>
      </c>
      <c r="E606" s="1020" t="s">
        <v>1254</v>
      </c>
      <c r="F606" s="1021">
        <v>45358</v>
      </c>
      <c r="G606" s="1021">
        <v>45352</v>
      </c>
      <c r="H606" s="1022" t="s">
        <v>663</v>
      </c>
    </row>
    <row r="607" spans="1:8">
      <c r="A607" s="1023">
        <v>606</v>
      </c>
      <c r="B607" s="1024" t="s">
        <v>58</v>
      </c>
      <c r="C607" s="1025" t="s">
        <v>660</v>
      </c>
      <c r="D607" s="1025" t="s">
        <v>1187</v>
      </c>
      <c r="E607" s="1025" t="s">
        <v>1255</v>
      </c>
      <c r="F607" s="1026">
        <v>45603</v>
      </c>
      <c r="G607" s="1026"/>
      <c r="H607" s="1027" t="s">
        <v>701</v>
      </c>
    </row>
    <row r="608" spans="1:8">
      <c r="A608" s="1018">
        <v>607</v>
      </c>
      <c r="B608" s="1019" t="s">
        <v>58</v>
      </c>
      <c r="C608" s="1020" t="s">
        <v>660</v>
      </c>
      <c r="D608" s="1020" t="s">
        <v>1187</v>
      </c>
      <c r="E608" s="1020" t="s">
        <v>1256</v>
      </c>
      <c r="F608" s="1021">
        <v>45511</v>
      </c>
      <c r="G608" s="1021">
        <v>45399</v>
      </c>
      <c r="H608" s="1022" t="s">
        <v>663</v>
      </c>
    </row>
    <row r="609" spans="1:8">
      <c r="A609" s="1023">
        <v>608</v>
      </c>
      <c r="B609" s="1024" t="s">
        <v>58</v>
      </c>
      <c r="C609" s="1025" t="s">
        <v>660</v>
      </c>
      <c r="D609" s="1025" t="s">
        <v>1187</v>
      </c>
      <c r="E609" s="1025" t="s">
        <v>1257</v>
      </c>
      <c r="F609" s="1026">
        <v>45511</v>
      </c>
      <c r="G609" s="1026">
        <v>45399</v>
      </c>
      <c r="H609" s="1027" t="s">
        <v>663</v>
      </c>
    </row>
    <row r="610" spans="1:8">
      <c r="A610" s="1018">
        <v>609</v>
      </c>
      <c r="B610" s="1019" t="s">
        <v>58</v>
      </c>
      <c r="C610" s="1020" t="s">
        <v>660</v>
      </c>
      <c r="D610" s="1020" t="s">
        <v>1187</v>
      </c>
      <c r="E610" s="1020" t="s">
        <v>1258</v>
      </c>
      <c r="F610" s="1021">
        <v>45511</v>
      </c>
      <c r="G610" s="1021">
        <v>45399</v>
      </c>
      <c r="H610" s="1022" t="s">
        <v>663</v>
      </c>
    </row>
    <row r="611" spans="1:8">
      <c r="A611" s="1023">
        <v>610</v>
      </c>
      <c r="B611" s="1024" t="s">
        <v>58</v>
      </c>
      <c r="C611" s="1025" t="s">
        <v>660</v>
      </c>
      <c r="D611" s="1025" t="s">
        <v>1187</v>
      </c>
      <c r="E611" s="1025" t="s">
        <v>1259</v>
      </c>
      <c r="F611" s="1026">
        <v>45576</v>
      </c>
      <c r="G611" s="1026">
        <v>45534</v>
      </c>
      <c r="H611" s="1027" t="s">
        <v>663</v>
      </c>
    </row>
    <row r="612" spans="1:8">
      <c r="A612" s="1018">
        <v>611</v>
      </c>
      <c r="B612" s="1019" t="s">
        <v>58</v>
      </c>
      <c r="C612" s="1020" t="s">
        <v>660</v>
      </c>
      <c r="D612" s="1020" t="s">
        <v>1187</v>
      </c>
      <c r="E612" s="1020" t="s">
        <v>1260</v>
      </c>
      <c r="F612" s="1021">
        <v>45576</v>
      </c>
      <c r="G612" s="1021"/>
      <c r="H612" s="1022" t="s">
        <v>701</v>
      </c>
    </row>
    <row r="613" spans="1:8">
      <c r="A613" s="1023">
        <v>612</v>
      </c>
      <c r="B613" s="1024" t="s">
        <v>58</v>
      </c>
      <c r="C613" s="1025" t="s">
        <v>660</v>
      </c>
      <c r="D613" s="1025" t="s">
        <v>1187</v>
      </c>
      <c r="E613" s="1025" t="s">
        <v>1261</v>
      </c>
      <c r="F613" s="1026">
        <v>45515</v>
      </c>
      <c r="G613" s="1026">
        <v>45427</v>
      </c>
      <c r="H613" s="1027" t="s">
        <v>663</v>
      </c>
    </row>
    <row r="614" spans="1:8">
      <c r="A614" s="1018">
        <v>613</v>
      </c>
      <c r="B614" s="1019" t="s">
        <v>58</v>
      </c>
      <c r="C614" s="1020" t="s">
        <v>660</v>
      </c>
      <c r="D614" s="1020" t="s">
        <v>1187</v>
      </c>
      <c r="E614" s="1020" t="s">
        <v>1262</v>
      </c>
      <c r="F614" s="1021">
        <v>45515</v>
      </c>
      <c r="G614" s="1021">
        <v>45451</v>
      </c>
      <c r="H614" s="1022" t="s">
        <v>663</v>
      </c>
    </row>
    <row r="615" spans="1:8">
      <c r="A615" s="1023">
        <v>614</v>
      </c>
      <c r="B615" s="1024" t="s">
        <v>58</v>
      </c>
      <c r="C615" s="1025" t="s">
        <v>660</v>
      </c>
      <c r="D615" s="1025" t="s">
        <v>1187</v>
      </c>
      <c r="E615" s="1025" t="s">
        <v>1263</v>
      </c>
      <c r="F615" s="1026">
        <v>45576</v>
      </c>
      <c r="G615" s="1026">
        <v>45522</v>
      </c>
      <c r="H615" s="1027" t="s">
        <v>663</v>
      </c>
    </row>
    <row r="616" spans="1:8">
      <c r="A616" s="1018">
        <v>615</v>
      </c>
      <c r="B616" s="1019" t="s">
        <v>58</v>
      </c>
      <c r="C616" s="1020" t="s">
        <v>660</v>
      </c>
      <c r="D616" s="1020" t="s">
        <v>1187</v>
      </c>
      <c r="E616" s="1020" t="s">
        <v>1264</v>
      </c>
      <c r="F616" s="1021">
        <v>45576</v>
      </c>
      <c r="G616" s="1021">
        <v>45522</v>
      </c>
      <c r="H616" s="1022" t="s">
        <v>663</v>
      </c>
    </row>
    <row r="617" spans="1:8">
      <c r="A617" s="1023">
        <v>616</v>
      </c>
      <c r="B617" s="1024" t="s">
        <v>58</v>
      </c>
      <c r="C617" s="1025" t="s">
        <v>660</v>
      </c>
      <c r="D617" s="1025" t="s">
        <v>1187</v>
      </c>
      <c r="E617" s="1025" t="s">
        <v>1265</v>
      </c>
      <c r="F617" s="1026">
        <v>45576</v>
      </c>
      <c r="G617" s="1026">
        <v>45522</v>
      </c>
      <c r="H617" s="1027" t="s">
        <v>663</v>
      </c>
    </row>
    <row r="618" spans="1:8">
      <c r="A618" s="1018">
        <v>617</v>
      </c>
      <c r="B618" s="1019" t="s">
        <v>58</v>
      </c>
      <c r="C618" s="1020" t="s">
        <v>660</v>
      </c>
      <c r="D618" s="1020" t="s">
        <v>1187</v>
      </c>
      <c r="E618" s="1020" t="s">
        <v>1266</v>
      </c>
      <c r="F618" s="1021">
        <v>45576</v>
      </c>
      <c r="G618" s="1021">
        <v>45522</v>
      </c>
      <c r="H618" s="1022" t="s">
        <v>663</v>
      </c>
    </row>
    <row r="619" spans="1:8">
      <c r="A619" s="1023">
        <v>618</v>
      </c>
      <c r="B619" s="1024" t="s">
        <v>58</v>
      </c>
      <c r="C619" s="1025" t="s">
        <v>660</v>
      </c>
      <c r="D619" s="1025" t="s">
        <v>1187</v>
      </c>
      <c r="E619" s="1025" t="s">
        <v>1267</v>
      </c>
      <c r="F619" s="1026">
        <v>45576</v>
      </c>
      <c r="G619" s="1026"/>
      <c r="H619" s="1027" t="s">
        <v>701</v>
      </c>
    </row>
    <row r="620" spans="1:8">
      <c r="A620" s="1018">
        <v>619</v>
      </c>
      <c r="B620" s="1019" t="s">
        <v>58</v>
      </c>
      <c r="C620" s="1020" t="s">
        <v>660</v>
      </c>
      <c r="D620" s="1020" t="s">
        <v>1187</v>
      </c>
      <c r="E620" s="1020" t="s">
        <v>1268</v>
      </c>
      <c r="F620" s="1021">
        <v>45576</v>
      </c>
      <c r="G620" s="1021"/>
      <c r="H620" s="1022" t="s">
        <v>701</v>
      </c>
    </row>
    <row r="621" spans="1:8">
      <c r="A621" s="1023">
        <v>620</v>
      </c>
      <c r="B621" s="1024" t="s">
        <v>58</v>
      </c>
      <c r="C621" s="1025" t="s">
        <v>660</v>
      </c>
      <c r="D621" s="1025" t="s">
        <v>1187</v>
      </c>
      <c r="E621" s="1025" t="s">
        <v>1269</v>
      </c>
      <c r="F621" s="1026">
        <v>45576</v>
      </c>
      <c r="G621" s="1026"/>
      <c r="H621" s="1027" t="s">
        <v>701</v>
      </c>
    </row>
    <row r="622" spans="1:8">
      <c r="A622" s="1018">
        <v>621</v>
      </c>
      <c r="B622" s="1019" t="s">
        <v>58</v>
      </c>
      <c r="C622" s="1020" t="s">
        <v>660</v>
      </c>
      <c r="D622" s="1020" t="s">
        <v>1187</v>
      </c>
      <c r="E622" s="1020" t="s">
        <v>1270</v>
      </c>
      <c r="F622" s="1021">
        <v>45576</v>
      </c>
      <c r="G622" s="1021"/>
      <c r="H622" s="1022" t="s">
        <v>701</v>
      </c>
    </row>
    <row r="623" spans="1:8">
      <c r="A623" s="1023">
        <v>622</v>
      </c>
      <c r="B623" s="1024" t="s">
        <v>58</v>
      </c>
      <c r="C623" s="1025" t="s">
        <v>660</v>
      </c>
      <c r="D623" s="1025" t="s">
        <v>1187</v>
      </c>
      <c r="E623" s="1025" t="s">
        <v>1271</v>
      </c>
      <c r="F623" s="1026">
        <v>45576</v>
      </c>
      <c r="G623" s="1026"/>
      <c r="H623" s="1027" t="s">
        <v>701</v>
      </c>
    </row>
    <row r="624" spans="1:8">
      <c r="A624" s="1018">
        <v>623</v>
      </c>
      <c r="B624" s="1019" t="s">
        <v>58</v>
      </c>
      <c r="C624" s="1020" t="s">
        <v>660</v>
      </c>
      <c r="D624" s="1020" t="s">
        <v>1187</v>
      </c>
      <c r="E624" s="1020" t="s">
        <v>1272</v>
      </c>
      <c r="F624" s="1021">
        <v>45576</v>
      </c>
      <c r="G624" s="1021"/>
      <c r="H624" s="1022" t="s">
        <v>701</v>
      </c>
    </row>
    <row r="625" spans="1:8">
      <c r="A625" s="1023">
        <v>624</v>
      </c>
      <c r="B625" s="1024" t="s">
        <v>58</v>
      </c>
      <c r="C625" s="1025" t="s">
        <v>660</v>
      </c>
      <c r="D625" s="1025" t="s">
        <v>1187</v>
      </c>
      <c r="E625" s="1025" t="s">
        <v>1273</v>
      </c>
      <c r="F625" s="1026">
        <v>45576</v>
      </c>
      <c r="G625" s="1026">
        <v>45522</v>
      </c>
      <c r="H625" s="1027" t="s">
        <v>663</v>
      </c>
    </row>
    <row r="626" spans="1:8">
      <c r="A626" s="1018">
        <v>625</v>
      </c>
      <c r="B626" s="1019" t="s">
        <v>58</v>
      </c>
      <c r="C626" s="1020" t="s">
        <v>660</v>
      </c>
      <c r="D626" s="1020" t="s">
        <v>1187</v>
      </c>
      <c r="E626" s="1020" t="s">
        <v>1274</v>
      </c>
      <c r="F626" s="1021">
        <v>45576</v>
      </c>
      <c r="G626" s="1021"/>
      <c r="H626" s="1022" t="s">
        <v>701</v>
      </c>
    </row>
    <row r="627" spans="1:8">
      <c r="A627" s="1023">
        <v>626</v>
      </c>
      <c r="B627" s="1024" t="s">
        <v>58</v>
      </c>
      <c r="C627" s="1025" t="s">
        <v>660</v>
      </c>
      <c r="D627" s="1025" t="s">
        <v>1187</v>
      </c>
      <c r="E627" s="1025" t="s">
        <v>1275</v>
      </c>
      <c r="F627" s="1026">
        <v>45576</v>
      </c>
      <c r="G627" s="1026"/>
      <c r="H627" s="1027" t="s">
        <v>701</v>
      </c>
    </row>
    <row r="628" spans="1:8">
      <c r="A628" s="1018">
        <v>627</v>
      </c>
      <c r="B628" s="1019" t="s">
        <v>58</v>
      </c>
      <c r="C628" s="1020" t="s">
        <v>660</v>
      </c>
      <c r="D628" s="1020" t="s">
        <v>1187</v>
      </c>
      <c r="E628" s="1020" t="s">
        <v>1276</v>
      </c>
      <c r="F628" s="1021">
        <v>45576</v>
      </c>
      <c r="G628" s="1021"/>
      <c r="H628" s="1022" t="s">
        <v>701</v>
      </c>
    </row>
    <row r="629" spans="1:8">
      <c r="A629" s="1023">
        <v>628</v>
      </c>
      <c r="B629" s="1024" t="s">
        <v>58</v>
      </c>
      <c r="C629" s="1025" t="s">
        <v>660</v>
      </c>
      <c r="D629" s="1025" t="s">
        <v>1187</v>
      </c>
      <c r="E629" s="1025" t="s">
        <v>1277</v>
      </c>
      <c r="F629" s="1026">
        <v>45576</v>
      </c>
      <c r="G629" s="1026"/>
      <c r="H629" s="1027" t="s">
        <v>701</v>
      </c>
    </row>
    <row r="630" spans="1:8">
      <c r="A630" s="1018">
        <v>629</v>
      </c>
      <c r="B630" s="1019" t="s">
        <v>58</v>
      </c>
      <c r="C630" s="1020" t="s">
        <v>660</v>
      </c>
      <c r="D630" s="1020" t="s">
        <v>1187</v>
      </c>
      <c r="E630" s="1020" t="s">
        <v>1278</v>
      </c>
      <c r="F630" s="1021">
        <v>45576</v>
      </c>
      <c r="G630" s="1021"/>
      <c r="H630" s="1022" t="s">
        <v>701</v>
      </c>
    </row>
    <row r="631" spans="1:8">
      <c r="A631" s="1023">
        <v>630</v>
      </c>
      <c r="B631" s="1024" t="s">
        <v>58</v>
      </c>
      <c r="C631" s="1025" t="s">
        <v>660</v>
      </c>
      <c r="D631" s="1025" t="s">
        <v>1187</v>
      </c>
      <c r="E631" s="1025" t="s">
        <v>1279</v>
      </c>
      <c r="F631" s="1026">
        <v>45576</v>
      </c>
      <c r="G631" s="1026"/>
      <c r="H631" s="1027" t="s">
        <v>701</v>
      </c>
    </row>
    <row r="632" spans="1:8">
      <c r="A632" s="1018">
        <v>631</v>
      </c>
      <c r="B632" s="1019" t="s">
        <v>58</v>
      </c>
      <c r="C632" s="1020" t="s">
        <v>660</v>
      </c>
      <c r="D632" s="1020" t="s">
        <v>1187</v>
      </c>
      <c r="E632" s="1020" t="s">
        <v>1280</v>
      </c>
      <c r="F632" s="1021">
        <v>45576</v>
      </c>
      <c r="G632" s="1021"/>
      <c r="H632" s="1022" t="s">
        <v>701</v>
      </c>
    </row>
    <row r="633" spans="1:8">
      <c r="A633" s="1023">
        <v>632</v>
      </c>
      <c r="B633" s="1024" t="s">
        <v>58</v>
      </c>
      <c r="C633" s="1025" t="s">
        <v>660</v>
      </c>
      <c r="D633" s="1025" t="s">
        <v>1187</v>
      </c>
      <c r="E633" s="1025" t="s">
        <v>1281</v>
      </c>
      <c r="F633" s="1026">
        <v>45576</v>
      </c>
      <c r="G633" s="1026"/>
      <c r="H633" s="1027" t="s">
        <v>701</v>
      </c>
    </row>
    <row r="634" spans="1:8">
      <c r="A634" s="1018">
        <v>633</v>
      </c>
      <c r="B634" s="1019" t="s">
        <v>58</v>
      </c>
      <c r="C634" s="1020" t="s">
        <v>660</v>
      </c>
      <c r="D634" s="1020" t="s">
        <v>1187</v>
      </c>
      <c r="E634" s="1020" t="s">
        <v>1282</v>
      </c>
      <c r="F634" s="1021">
        <v>45576</v>
      </c>
      <c r="G634" s="1021">
        <v>45522</v>
      </c>
      <c r="H634" s="1022" t="s">
        <v>663</v>
      </c>
    </row>
    <row r="635" spans="1:8">
      <c r="A635" s="1023">
        <v>634</v>
      </c>
      <c r="B635" s="1024" t="s">
        <v>58</v>
      </c>
      <c r="C635" s="1025" t="s">
        <v>660</v>
      </c>
      <c r="D635" s="1025" t="s">
        <v>1187</v>
      </c>
      <c r="E635" s="1025" t="s">
        <v>1283</v>
      </c>
      <c r="F635" s="1026">
        <v>45576</v>
      </c>
      <c r="G635" s="1026"/>
      <c r="H635" s="1027" t="s">
        <v>701</v>
      </c>
    </row>
    <row r="636" spans="1:8">
      <c r="A636" s="1018">
        <v>635</v>
      </c>
      <c r="B636" s="1019" t="s">
        <v>58</v>
      </c>
      <c r="C636" s="1020" t="s">
        <v>660</v>
      </c>
      <c r="D636" s="1020" t="s">
        <v>1187</v>
      </c>
      <c r="E636" s="1020" t="s">
        <v>1284</v>
      </c>
      <c r="F636" s="1021">
        <v>45576</v>
      </c>
      <c r="G636" s="1021"/>
      <c r="H636" s="1022" t="s">
        <v>701</v>
      </c>
    </row>
    <row r="637" spans="1:8">
      <c r="A637" s="1023">
        <v>636</v>
      </c>
      <c r="B637" s="1024" t="s">
        <v>58</v>
      </c>
      <c r="C637" s="1025" t="s">
        <v>660</v>
      </c>
      <c r="D637" s="1025" t="s">
        <v>1187</v>
      </c>
      <c r="E637" s="1025" t="s">
        <v>1285</v>
      </c>
      <c r="F637" s="1026">
        <v>45576</v>
      </c>
      <c r="G637" s="1026"/>
      <c r="H637" s="1027" t="s">
        <v>701</v>
      </c>
    </row>
    <row r="638" spans="1:8">
      <c r="A638" s="1018">
        <v>637</v>
      </c>
      <c r="B638" s="1019" t="s">
        <v>58</v>
      </c>
      <c r="C638" s="1020" t="s">
        <v>660</v>
      </c>
      <c r="D638" s="1020" t="s">
        <v>1187</v>
      </c>
      <c r="E638" s="1020" t="s">
        <v>1286</v>
      </c>
      <c r="F638" s="1021">
        <v>45576</v>
      </c>
      <c r="G638" s="1021">
        <v>45522</v>
      </c>
      <c r="H638" s="1022" t="s">
        <v>663</v>
      </c>
    </row>
    <row r="639" spans="1:8">
      <c r="A639" s="1023">
        <v>638</v>
      </c>
      <c r="B639" s="1024" t="s">
        <v>58</v>
      </c>
      <c r="C639" s="1025" t="s">
        <v>660</v>
      </c>
      <c r="D639" s="1025" t="s">
        <v>1187</v>
      </c>
      <c r="E639" s="1025" t="s">
        <v>1287</v>
      </c>
      <c r="F639" s="1026">
        <v>45576</v>
      </c>
      <c r="G639" s="1026"/>
      <c r="H639" s="1027" t="s">
        <v>701</v>
      </c>
    </row>
    <row r="640" spans="1:8">
      <c r="A640" s="1018">
        <v>639</v>
      </c>
      <c r="B640" s="1019" t="s">
        <v>58</v>
      </c>
      <c r="C640" s="1020" t="s">
        <v>660</v>
      </c>
      <c r="D640" s="1020" t="s">
        <v>1187</v>
      </c>
      <c r="E640" s="1020" t="s">
        <v>1288</v>
      </c>
      <c r="F640" s="1021">
        <v>45576</v>
      </c>
      <c r="G640" s="1021"/>
      <c r="H640" s="1022" t="s">
        <v>701</v>
      </c>
    </row>
    <row r="641" spans="1:8">
      <c r="A641" s="1023">
        <v>640</v>
      </c>
      <c r="B641" s="1024" t="s">
        <v>58</v>
      </c>
      <c r="C641" s="1025" t="s">
        <v>660</v>
      </c>
      <c r="D641" s="1025" t="s">
        <v>1187</v>
      </c>
      <c r="E641" s="1025" t="s">
        <v>1289</v>
      </c>
      <c r="F641" s="1026">
        <v>45576</v>
      </c>
      <c r="G641" s="1026"/>
      <c r="H641" s="1027" t="s">
        <v>701</v>
      </c>
    </row>
    <row r="642" spans="1:8">
      <c r="A642" s="1018">
        <v>641</v>
      </c>
      <c r="B642" s="1019" t="s">
        <v>58</v>
      </c>
      <c r="C642" s="1020" t="s">
        <v>660</v>
      </c>
      <c r="D642" s="1020" t="s">
        <v>1187</v>
      </c>
      <c r="E642" s="1020" t="s">
        <v>1290</v>
      </c>
      <c r="F642" s="1021">
        <v>45576</v>
      </c>
      <c r="G642" s="1021"/>
      <c r="H642" s="1022" t="s">
        <v>701</v>
      </c>
    </row>
    <row r="643" spans="1:8">
      <c r="A643" s="1023">
        <v>642</v>
      </c>
      <c r="B643" s="1024" t="s">
        <v>58</v>
      </c>
      <c r="C643" s="1025" t="s">
        <v>660</v>
      </c>
      <c r="D643" s="1025" t="s">
        <v>1187</v>
      </c>
      <c r="E643" s="1025" t="s">
        <v>1291</v>
      </c>
      <c r="F643" s="1026">
        <v>45423</v>
      </c>
      <c r="G643" s="1026">
        <v>45439</v>
      </c>
      <c r="H643" s="1027" t="s">
        <v>663</v>
      </c>
    </row>
    <row r="644" spans="1:8">
      <c r="A644" s="1018">
        <v>643</v>
      </c>
      <c r="B644" s="1019" t="s">
        <v>58</v>
      </c>
      <c r="C644" s="1020" t="s">
        <v>660</v>
      </c>
      <c r="D644" s="1020" t="s">
        <v>1187</v>
      </c>
      <c r="E644" s="1020" t="s">
        <v>1292</v>
      </c>
      <c r="F644" s="1021">
        <v>45423</v>
      </c>
      <c r="G644" s="1021">
        <v>45439</v>
      </c>
      <c r="H644" s="1022" t="s">
        <v>663</v>
      </c>
    </row>
    <row r="645" spans="1:8">
      <c r="A645" s="1023">
        <v>644</v>
      </c>
      <c r="B645" s="1024" t="s">
        <v>58</v>
      </c>
      <c r="C645" s="1025" t="s">
        <v>660</v>
      </c>
      <c r="D645" s="1025" t="s">
        <v>1187</v>
      </c>
      <c r="E645" s="1025" t="s">
        <v>1293</v>
      </c>
      <c r="F645" s="1026">
        <v>45423</v>
      </c>
      <c r="G645" s="1026">
        <v>45439</v>
      </c>
      <c r="H645" s="1027" t="s">
        <v>663</v>
      </c>
    </row>
    <row r="646" spans="1:8">
      <c r="A646" s="1018">
        <v>645</v>
      </c>
      <c r="B646" s="1019" t="s">
        <v>58</v>
      </c>
      <c r="C646" s="1020" t="s">
        <v>660</v>
      </c>
      <c r="D646" s="1020" t="s">
        <v>1187</v>
      </c>
      <c r="E646" s="1020" t="s">
        <v>1294</v>
      </c>
      <c r="F646" s="1021">
        <v>45423</v>
      </c>
      <c r="G646" s="1021">
        <v>45439</v>
      </c>
      <c r="H646" s="1022" t="s">
        <v>663</v>
      </c>
    </row>
    <row r="647" spans="1:8">
      <c r="A647" s="1023">
        <v>646</v>
      </c>
      <c r="B647" s="1024" t="s">
        <v>58</v>
      </c>
      <c r="C647" s="1025" t="s">
        <v>660</v>
      </c>
      <c r="D647" s="1025" t="s">
        <v>1187</v>
      </c>
      <c r="E647" s="1025" t="s">
        <v>1295</v>
      </c>
      <c r="F647" s="1026">
        <v>45366</v>
      </c>
      <c r="G647" s="1026">
        <v>45351</v>
      </c>
      <c r="H647" s="1027" t="s">
        <v>663</v>
      </c>
    </row>
    <row r="648" spans="1:8">
      <c r="A648" s="1018">
        <v>647</v>
      </c>
      <c r="B648" s="1019" t="s">
        <v>58</v>
      </c>
      <c r="C648" s="1020" t="s">
        <v>660</v>
      </c>
      <c r="D648" s="1020" t="s">
        <v>1187</v>
      </c>
      <c r="E648" s="1020" t="s">
        <v>1296</v>
      </c>
      <c r="F648" s="1021">
        <v>45366</v>
      </c>
      <c r="G648" s="1021">
        <v>45351</v>
      </c>
      <c r="H648" s="1022" t="s">
        <v>663</v>
      </c>
    </row>
    <row r="649" spans="1:8">
      <c r="A649" s="1023">
        <v>648</v>
      </c>
      <c r="B649" s="1024" t="s">
        <v>58</v>
      </c>
      <c r="C649" s="1025" t="s">
        <v>660</v>
      </c>
      <c r="D649" s="1025" t="s">
        <v>1187</v>
      </c>
      <c r="E649" s="1025" t="s">
        <v>1297</v>
      </c>
      <c r="F649" s="1026">
        <v>45366</v>
      </c>
      <c r="G649" s="1026"/>
      <c r="H649" s="1027" t="s">
        <v>701</v>
      </c>
    </row>
    <row r="650" spans="1:8">
      <c r="A650" s="1018">
        <v>649</v>
      </c>
      <c r="B650" s="1019" t="s">
        <v>58</v>
      </c>
      <c r="C650" s="1020" t="s">
        <v>660</v>
      </c>
      <c r="D650" s="1020" t="s">
        <v>1187</v>
      </c>
      <c r="E650" s="1020" t="s">
        <v>1298</v>
      </c>
      <c r="F650" s="1021">
        <v>45366</v>
      </c>
      <c r="G650" s="1021"/>
      <c r="H650" s="1022" t="s">
        <v>701</v>
      </c>
    </row>
    <row r="651" spans="1:8">
      <c r="A651" s="1023">
        <v>650</v>
      </c>
      <c r="B651" s="1024" t="s">
        <v>58</v>
      </c>
      <c r="C651" s="1025" t="s">
        <v>660</v>
      </c>
      <c r="D651" s="1025" t="s">
        <v>1187</v>
      </c>
      <c r="E651" s="1025" t="s">
        <v>1299</v>
      </c>
      <c r="F651" s="1026">
        <v>45576</v>
      </c>
      <c r="G651" s="1026">
        <v>45522</v>
      </c>
      <c r="H651" s="1027" t="s">
        <v>663</v>
      </c>
    </row>
    <row r="652" spans="1:8">
      <c r="A652" s="1018">
        <v>651</v>
      </c>
      <c r="B652" s="1019" t="s">
        <v>58</v>
      </c>
      <c r="C652" s="1020" t="s">
        <v>660</v>
      </c>
      <c r="D652" s="1020" t="s">
        <v>1187</v>
      </c>
      <c r="E652" s="1020" t="s">
        <v>1300</v>
      </c>
      <c r="F652" s="1021">
        <v>45576</v>
      </c>
      <c r="G652" s="1021">
        <v>45522</v>
      </c>
      <c r="H652" s="1022" t="s">
        <v>663</v>
      </c>
    </row>
    <row r="653" spans="1:8">
      <c r="A653" s="1023">
        <v>652</v>
      </c>
      <c r="B653" s="1024" t="s">
        <v>58</v>
      </c>
      <c r="C653" s="1025" t="s">
        <v>660</v>
      </c>
      <c r="D653" s="1025" t="s">
        <v>1187</v>
      </c>
      <c r="E653" s="1025" t="s">
        <v>1301</v>
      </c>
      <c r="F653" s="1026">
        <v>45576</v>
      </c>
      <c r="G653" s="1026">
        <v>45522</v>
      </c>
      <c r="H653" s="1027" t="s">
        <v>663</v>
      </c>
    </row>
    <row r="654" spans="1:8">
      <c r="A654" s="1018">
        <v>653</v>
      </c>
      <c r="B654" s="1019" t="s">
        <v>58</v>
      </c>
      <c r="C654" s="1020" t="s">
        <v>660</v>
      </c>
      <c r="D654" s="1020" t="s">
        <v>1187</v>
      </c>
      <c r="E654" s="1020" t="s">
        <v>1302</v>
      </c>
      <c r="F654" s="1021">
        <v>45576</v>
      </c>
      <c r="G654" s="1021">
        <v>45522</v>
      </c>
      <c r="H654" s="1022" t="s">
        <v>663</v>
      </c>
    </row>
    <row r="655" spans="1:8">
      <c r="A655" s="1023">
        <v>654</v>
      </c>
      <c r="B655" s="1024" t="s">
        <v>58</v>
      </c>
      <c r="C655" s="1025" t="s">
        <v>660</v>
      </c>
      <c r="D655" s="1025" t="s">
        <v>1187</v>
      </c>
      <c r="E655" s="1025" t="s">
        <v>1303</v>
      </c>
      <c r="F655" s="1026">
        <v>45576</v>
      </c>
      <c r="G655" s="1026">
        <v>45522</v>
      </c>
      <c r="H655" s="1027" t="s">
        <v>663</v>
      </c>
    </row>
    <row r="656" spans="1:8">
      <c r="A656" s="1018">
        <v>655</v>
      </c>
      <c r="B656" s="1019" t="s">
        <v>58</v>
      </c>
      <c r="C656" s="1020" t="s">
        <v>660</v>
      </c>
      <c r="D656" s="1020" t="s">
        <v>1187</v>
      </c>
      <c r="E656" s="1020" t="s">
        <v>1304</v>
      </c>
      <c r="F656" s="1021">
        <v>45576</v>
      </c>
      <c r="G656" s="1021">
        <v>45450</v>
      </c>
      <c r="H656" s="1022" t="s">
        <v>663</v>
      </c>
    </row>
    <row r="657" spans="1:8">
      <c r="A657" s="1023">
        <v>656</v>
      </c>
      <c r="B657" s="1024" t="s">
        <v>58</v>
      </c>
      <c r="C657" s="1025" t="s">
        <v>660</v>
      </c>
      <c r="D657" s="1025" t="s">
        <v>1187</v>
      </c>
      <c r="E657" s="1025" t="s">
        <v>1305</v>
      </c>
      <c r="F657" s="1026">
        <v>45576</v>
      </c>
      <c r="G657" s="1026">
        <v>45450</v>
      </c>
      <c r="H657" s="1027" t="s">
        <v>663</v>
      </c>
    </row>
    <row r="658" spans="1:8">
      <c r="A658" s="1018">
        <v>657</v>
      </c>
      <c r="B658" s="1019" t="s">
        <v>58</v>
      </c>
      <c r="C658" s="1020" t="s">
        <v>660</v>
      </c>
      <c r="D658" s="1020" t="s">
        <v>1187</v>
      </c>
      <c r="E658" s="1020" t="s">
        <v>1306</v>
      </c>
      <c r="F658" s="1021">
        <v>45576</v>
      </c>
      <c r="G658" s="1021">
        <v>45450</v>
      </c>
      <c r="H658" s="1022" t="s">
        <v>663</v>
      </c>
    </row>
    <row r="659" spans="1:8">
      <c r="A659" s="1023">
        <v>658</v>
      </c>
      <c r="B659" s="1024" t="s">
        <v>58</v>
      </c>
      <c r="C659" s="1025" t="s">
        <v>660</v>
      </c>
      <c r="D659" s="1025" t="s">
        <v>1187</v>
      </c>
      <c r="E659" s="1025" t="s">
        <v>1307</v>
      </c>
      <c r="F659" s="1026">
        <v>45576</v>
      </c>
      <c r="G659" s="1026">
        <v>45450</v>
      </c>
      <c r="H659" s="1027" t="s">
        <v>663</v>
      </c>
    </row>
    <row r="660" spans="1:8">
      <c r="A660" s="1018">
        <v>659</v>
      </c>
      <c r="B660" s="1019" t="s">
        <v>58</v>
      </c>
      <c r="C660" s="1020" t="s">
        <v>660</v>
      </c>
      <c r="D660" s="1020" t="s">
        <v>1187</v>
      </c>
      <c r="E660" s="1020" t="s">
        <v>1308</v>
      </c>
      <c r="F660" s="1021">
        <v>45576</v>
      </c>
      <c r="G660" s="1021">
        <v>45450</v>
      </c>
      <c r="H660" s="1022" t="s">
        <v>663</v>
      </c>
    </row>
    <row r="661" spans="1:8">
      <c r="A661" s="1023">
        <v>660</v>
      </c>
      <c r="B661" s="1024" t="s">
        <v>58</v>
      </c>
      <c r="C661" s="1025" t="s">
        <v>660</v>
      </c>
      <c r="D661" s="1025" t="s">
        <v>1187</v>
      </c>
      <c r="E661" s="1025" t="s">
        <v>1309</v>
      </c>
      <c r="F661" s="1026">
        <v>45576</v>
      </c>
      <c r="G661" s="1026">
        <v>45451</v>
      </c>
      <c r="H661" s="1027" t="s">
        <v>663</v>
      </c>
    </row>
    <row r="662" spans="1:8">
      <c r="A662" s="1018">
        <v>661</v>
      </c>
      <c r="B662" s="1019" t="s">
        <v>58</v>
      </c>
      <c r="C662" s="1020" t="s">
        <v>660</v>
      </c>
      <c r="D662" s="1020" t="s">
        <v>1187</v>
      </c>
      <c r="E662" s="1020" t="s">
        <v>1310</v>
      </c>
      <c r="F662" s="1021">
        <v>45576</v>
      </c>
      <c r="G662" s="1021">
        <v>45451</v>
      </c>
      <c r="H662" s="1022" t="s">
        <v>663</v>
      </c>
    </row>
    <row r="663" spans="1:8">
      <c r="A663" s="1023">
        <v>662</v>
      </c>
      <c r="B663" s="1024" t="s">
        <v>58</v>
      </c>
      <c r="C663" s="1025" t="s">
        <v>660</v>
      </c>
      <c r="D663" s="1025" t="s">
        <v>1187</v>
      </c>
      <c r="E663" s="1025" t="s">
        <v>1311</v>
      </c>
      <c r="F663" s="1026">
        <v>45576</v>
      </c>
      <c r="G663" s="1026">
        <v>45451</v>
      </c>
      <c r="H663" s="1027" t="s">
        <v>663</v>
      </c>
    </row>
    <row r="664" spans="1:8">
      <c r="A664" s="1018">
        <v>663</v>
      </c>
      <c r="B664" s="1019" t="s">
        <v>58</v>
      </c>
      <c r="C664" s="1020" t="s">
        <v>660</v>
      </c>
      <c r="D664" s="1020" t="s">
        <v>1187</v>
      </c>
      <c r="E664" s="1020" t="s">
        <v>1312</v>
      </c>
      <c r="F664" s="1021">
        <v>45576</v>
      </c>
      <c r="G664" s="1021">
        <v>45451</v>
      </c>
      <c r="H664" s="1022" t="s">
        <v>663</v>
      </c>
    </row>
    <row r="665" spans="1:8">
      <c r="A665" s="1023">
        <v>664</v>
      </c>
      <c r="B665" s="1024" t="s">
        <v>58</v>
      </c>
      <c r="C665" s="1025" t="s">
        <v>660</v>
      </c>
      <c r="D665" s="1025" t="s">
        <v>1187</v>
      </c>
      <c r="E665" s="1025" t="s">
        <v>1313</v>
      </c>
      <c r="F665" s="1026">
        <v>45576</v>
      </c>
      <c r="G665" s="1026">
        <v>45451</v>
      </c>
      <c r="H665" s="1027" t="s">
        <v>663</v>
      </c>
    </row>
    <row r="666" spans="1:8">
      <c r="A666" s="1018">
        <v>665</v>
      </c>
      <c r="B666" s="1019" t="s">
        <v>58</v>
      </c>
      <c r="C666" s="1020" t="s">
        <v>660</v>
      </c>
      <c r="D666" s="1020" t="s">
        <v>1187</v>
      </c>
      <c r="E666" s="1020" t="s">
        <v>1314</v>
      </c>
      <c r="F666" s="1021">
        <v>45576</v>
      </c>
      <c r="G666" s="1021">
        <v>45451</v>
      </c>
      <c r="H666" s="1022" t="s">
        <v>663</v>
      </c>
    </row>
    <row r="667" spans="1:8">
      <c r="A667" s="1023">
        <v>666</v>
      </c>
      <c r="B667" s="1024" t="s">
        <v>58</v>
      </c>
      <c r="C667" s="1025" t="s">
        <v>660</v>
      </c>
      <c r="D667" s="1025" t="s">
        <v>1187</v>
      </c>
      <c r="E667" s="1025" t="s">
        <v>1315</v>
      </c>
      <c r="F667" s="1026">
        <v>45576</v>
      </c>
      <c r="G667" s="1026">
        <v>45451</v>
      </c>
      <c r="H667" s="1027" t="s">
        <v>663</v>
      </c>
    </row>
    <row r="668" spans="1:8">
      <c r="A668" s="1018">
        <v>667</v>
      </c>
      <c r="B668" s="1019" t="s">
        <v>58</v>
      </c>
      <c r="C668" s="1020" t="s">
        <v>660</v>
      </c>
      <c r="D668" s="1020" t="s">
        <v>1187</v>
      </c>
      <c r="E668" s="1020" t="s">
        <v>1316</v>
      </c>
      <c r="F668" s="1021">
        <v>45576</v>
      </c>
      <c r="G668" s="1021">
        <v>45451</v>
      </c>
      <c r="H668" s="1022" t="s">
        <v>663</v>
      </c>
    </row>
    <row r="669" spans="1:8">
      <c r="A669" s="1023">
        <v>668</v>
      </c>
      <c r="B669" s="1024" t="s">
        <v>58</v>
      </c>
      <c r="C669" s="1025" t="s">
        <v>660</v>
      </c>
      <c r="D669" s="1025" t="s">
        <v>1187</v>
      </c>
      <c r="E669" s="1025" t="s">
        <v>1317</v>
      </c>
      <c r="F669" s="1026">
        <v>45576</v>
      </c>
      <c r="G669" s="1026">
        <v>45451</v>
      </c>
      <c r="H669" s="1027" t="s">
        <v>663</v>
      </c>
    </row>
    <row r="670" spans="1:8">
      <c r="A670" s="1018">
        <v>669</v>
      </c>
      <c r="B670" s="1019" t="s">
        <v>58</v>
      </c>
      <c r="C670" s="1020" t="s">
        <v>660</v>
      </c>
      <c r="D670" s="1020" t="s">
        <v>1187</v>
      </c>
      <c r="E670" s="1020" t="s">
        <v>1318</v>
      </c>
      <c r="F670" s="1021">
        <v>45576</v>
      </c>
      <c r="G670" s="1021">
        <v>45451</v>
      </c>
      <c r="H670" s="1022" t="s">
        <v>663</v>
      </c>
    </row>
    <row r="671" spans="1:8">
      <c r="A671" s="1023">
        <v>670</v>
      </c>
      <c r="B671" s="1024" t="s">
        <v>58</v>
      </c>
      <c r="C671" s="1025" t="s">
        <v>660</v>
      </c>
      <c r="D671" s="1025" t="s">
        <v>1187</v>
      </c>
      <c r="E671" s="1025" t="s">
        <v>1319</v>
      </c>
      <c r="F671" s="1026">
        <v>45576</v>
      </c>
      <c r="G671" s="1026">
        <v>45451</v>
      </c>
      <c r="H671" s="1027" t="s">
        <v>663</v>
      </c>
    </row>
    <row r="672" spans="1:8">
      <c r="A672" s="1018">
        <v>671</v>
      </c>
      <c r="B672" s="1019" t="s">
        <v>58</v>
      </c>
      <c r="C672" s="1020" t="s">
        <v>660</v>
      </c>
      <c r="D672" s="1020" t="s">
        <v>1187</v>
      </c>
      <c r="E672" s="1020" t="s">
        <v>1320</v>
      </c>
      <c r="F672" s="1021">
        <v>45576</v>
      </c>
      <c r="G672" s="1021">
        <v>45451</v>
      </c>
      <c r="H672" s="1022" t="s">
        <v>663</v>
      </c>
    </row>
    <row r="673" spans="1:8">
      <c r="A673" s="1023">
        <v>672</v>
      </c>
      <c r="B673" s="1024" t="s">
        <v>58</v>
      </c>
      <c r="C673" s="1025" t="s">
        <v>660</v>
      </c>
      <c r="D673" s="1025" t="s">
        <v>1187</v>
      </c>
      <c r="E673" s="1025" t="s">
        <v>1321</v>
      </c>
      <c r="F673" s="1026">
        <v>45576</v>
      </c>
      <c r="G673" s="1026">
        <v>45451</v>
      </c>
      <c r="H673" s="1027" t="s">
        <v>663</v>
      </c>
    </row>
    <row r="674" spans="1:8">
      <c r="A674" s="1018">
        <v>673</v>
      </c>
      <c r="B674" s="1019" t="s">
        <v>58</v>
      </c>
      <c r="C674" s="1020" t="s">
        <v>660</v>
      </c>
      <c r="D674" s="1020" t="s">
        <v>1187</v>
      </c>
      <c r="E674" s="1020" t="s">
        <v>1322</v>
      </c>
      <c r="F674" s="1021">
        <v>45576</v>
      </c>
      <c r="G674" s="1021">
        <v>45451</v>
      </c>
      <c r="H674" s="1022" t="s">
        <v>663</v>
      </c>
    </row>
    <row r="675" spans="1:8">
      <c r="A675" s="1023">
        <v>674</v>
      </c>
      <c r="B675" s="1024" t="s">
        <v>58</v>
      </c>
      <c r="C675" s="1025" t="s">
        <v>660</v>
      </c>
      <c r="D675" s="1025" t="s">
        <v>1323</v>
      </c>
      <c r="E675" s="1025" t="s">
        <v>1324</v>
      </c>
      <c r="F675" s="1026">
        <v>45368</v>
      </c>
      <c r="G675" s="1026">
        <v>45331</v>
      </c>
      <c r="H675" s="1027" t="s">
        <v>663</v>
      </c>
    </row>
    <row r="676" spans="1:8">
      <c r="A676" s="1018">
        <v>675</v>
      </c>
      <c r="B676" s="1019" t="s">
        <v>58</v>
      </c>
      <c r="C676" s="1020" t="s">
        <v>660</v>
      </c>
      <c r="D676" s="1020" t="s">
        <v>1323</v>
      </c>
      <c r="E676" s="1020" t="s">
        <v>1325</v>
      </c>
      <c r="F676" s="1021">
        <v>45368</v>
      </c>
      <c r="G676" s="1021">
        <v>45331</v>
      </c>
      <c r="H676" s="1022" t="s">
        <v>663</v>
      </c>
    </row>
    <row r="677" spans="1:8">
      <c r="A677" s="1023">
        <v>676</v>
      </c>
      <c r="B677" s="1024" t="s">
        <v>58</v>
      </c>
      <c r="C677" s="1025" t="s">
        <v>660</v>
      </c>
      <c r="D677" s="1025" t="s">
        <v>1323</v>
      </c>
      <c r="E677" s="1025" t="s">
        <v>1326</v>
      </c>
      <c r="F677" s="1026">
        <v>45368</v>
      </c>
      <c r="G677" s="1026">
        <v>45376</v>
      </c>
      <c r="H677" s="1027" t="s">
        <v>663</v>
      </c>
    </row>
    <row r="678" spans="1:8">
      <c r="A678" s="1018">
        <v>677</v>
      </c>
      <c r="B678" s="1019" t="s">
        <v>58</v>
      </c>
      <c r="C678" s="1020" t="s">
        <v>660</v>
      </c>
      <c r="D678" s="1020" t="s">
        <v>1323</v>
      </c>
      <c r="E678" s="1020" t="s">
        <v>1327</v>
      </c>
      <c r="F678" s="1021">
        <v>45419</v>
      </c>
      <c r="G678" s="1021">
        <v>45419</v>
      </c>
      <c r="H678" s="1022" t="s">
        <v>663</v>
      </c>
    </row>
    <row r="679" spans="1:8">
      <c r="A679" s="1023">
        <v>678</v>
      </c>
      <c r="B679" s="1024" t="s">
        <v>58</v>
      </c>
      <c r="C679" s="1025" t="s">
        <v>660</v>
      </c>
      <c r="D679" s="1025" t="s">
        <v>1323</v>
      </c>
      <c r="E679" s="1025" t="s">
        <v>1328</v>
      </c>
      <c r="F679" s="1026">
        <v>45419</v>
      </c>
      <c r="G679" s="1026">
        <v>45419</v>
      </c>
      <c r="H679" s="1027" t="s">
        <v>663</v>
      </c>
    </row>
    <row r="680" spans="1:8">
      <c r="A680" s="1018">
        <v>679</v>
      </c>
      <c r="B680" s="1019" t="s">
        <v>58</v>
      </c>
      <c r="C680" s="1020" t="s">
        <v>660</v>
      </c>
      <c r="D680" s="1020" t="s">
        <v>1323</v>
      </c>
      <c r="E680" s="1020" t="s">
        <v>1329</v>
      </c>
      <c r="F680" s="1021">
        <v>45419</v>
      </c>
      <c r="G680" s="1021">
        <v>45419</v>
      </c>
      <c r="H680" s="1022" t="s">
        <v>663</v>
      </c>
    </row>
    <row r="681" spans="1:8">
      <c r="A681" s="1023">
        <v>680</v>
      </c>
      <c r="B681" s="1024" t="s">
        <v>58</v>
      </c>
      <c r="C681" s="1025" t="s">
        <v>660</v>
      </c>
      <c r="D681" s="1025" t="s">
        <v>1323</v>
      </c>
      <c r="E681" s="1025" t="s">
        <v>1330</v>
      </c>
      <c r="F681" s="1026">
        <v>45419</v>
      </c>
      <c r="G681" s="1026">
        <v>45419</v>
      </c>
      <c r="H681" s="1027" t="s">
        <v>663</v>
      </c>
    </row>
    <row r="682" spans="1:8">
      <c r="A682" s="1018">
        <v>681</v>
      </c>
      <c r="B682" s="1019" t="s">
        <v>58</v>
      </c>
      <c r="C682" s="1020" t="s">
        <v>660</v>
      </c>
      <c r="D682" s="1020" t="s">
        <v>1323</v>
      </c>
      <c r="E682" s="1020" t="s">
        <v>1331</v>
      </c>
      <c r="F682" s="1021">
        <v>45401</v>
      </c>
      <c r="G682" s="1021">
        <v>45419</v>
      </c>
      <c r="H682" s="1022" t="s">
        <v>663</v>
      </c>
    </row>
    <row r="683" spans="1:8">
      <c r="A683" s="1023">
        <v>682</v>
      </c>
      <c r="B683" s="1024" t="s">
        <v>58</v>
      </c>
      <c r="C683" s="1025" t="s">
        <v>660</v>
      </c>
      <c r="D683" s="1025" t="s">
        <v>1323</v>
      </c>
      <c r="E683" s="1025" t="s">
        <v>1332</v>
      </c>
      <c r="F683" s="1026">
        <v>45401</v>
      </c>
      <c r="G683" s="1026">
        <v>45419</v>
      </c>
      <c r="H683" s="1027" t="s">
        <v>663</v>
      </c>
    </row>
    <row r="684" spans="1:8">
      <c r="A684" s="1018">
        <v>683</v>
      </c>
      <c r="B684" s="1019" t="s">
        <v>58</v>
      </c>
      <c r="C684" s="1020" t="s">
        <v>660</v>
      </c>
      <c r="D684" s="1020" t="s">
        <v>1323</v>
      </c>
      <c r="E684" s="1020" t="s">
        <v>1333</v>
      </c>
      <c r="F684" s="1021">
        <v>45401</v>
      </c>
      <c r="G684" s="1021">
        <v>45419</v>
      </c>
      <c r="H684" s="1022" t="s">
        <v>663</v>
      </c>
    </row>
    <row r="685" spans="1:8">
      <c r="A685" s="1023">
        <v>684</v>
      </c>
      <c r="B685" s="1024" t="s">
        <v>58</v>
      </c>
      <c r="C685" s="1025" t="s">
        <v>660</v>
      </c>
      <c r="D685" s="1025" t="s">
        <v>1323</v>
      </c>
      <c r="E685" s="1025" t="s">
        <v>1334</v>
      </c>
      <c r="F685" s="1026">
        <v>45401</v>
      </c>
      <c r="G685" s="1026">
        <v>45419</v>
      </c>
      <c r="H685" s="1027" t="s">
        <v>663</v>
      </c>
    </row>
    <row r="686" spans="1:8">
      <c r="A686" s="1018">
        <v>685</v>
      </c>
      <c r="B686" s="1019" t="s">
        <v>58</v>
      </c>
      <c r="C686" s="1020" t="s">
        <v>660</v>
      </c>
      <c r="D686" s="1020" t="s">
        <v>1323</v>
      </c>
      <c r="E686" s="1020" t="s">
        <v>1335</v>
      </c>
      <c r="F686" s="1021">
        <v>45368</v>
      </c>
      <c r="G686" s="1021">
        <v>45376</v>
      </c>
      <c r="H686" s="1022" t="s">
        <v>663</v>
      </c>
    </row>
    <row r="687" spans="1:8">
      <c r="A687" s="1023">
        <v>686</v>
      </c>
      <c r="B687" s="1024" t="s">
        <v>58</v>
      </c>
      <c r="C687" s="1025" t="s">
        <v>660</v>
      </c>
      <c r="D687" s="1025" t="s">
        <v>1323</v>
      </c>
      <c r="E687" s="1025" t="s">
        <v>1336</v>
      </c>
      <c r="F687" s="1026">
        <v>45368</v>
      </c>
      <c r="G687" s="1026">
        <v>45376</v>
      </c>
      <c r="H687" s="1027" t="s">
        <v>663</v>
      </c>
    </row>
    <row r="688" spans="1:8">
      <c r="A688" s="1018">
        <v>687</v>
      </c>
      <c r="B688" s="1019" t="s">
        <v>58</v>
      </c>
      <c r="C688" s="1020" t="s">
        <v>660</v>
      </c>
      <c r="D688" s="1020" t="s">
        <v>1323</v>
      </c>
      <c r="E688" s="1020" t="s">
        <v>1337</v>
      </c>
      <c r="F688" s="1021">
        <v>45368</v>
      </c>
      <c r="G688" s="1021">
        <v>45376</v>
      </c>
      <c r="H688" s="1022" t="s">
        <v>663</v>
      </c>
    </row>
    <row r="689" spans="1:8">
      <c r="A689" s="1023">
        <v>688</v>
      </c>
      <c r="B689" s="1024" t="s">
        <v>58</v>
      </c>
      <c r="C689" s="1025" t="s">
        <v>660</v>
      </c>
      <c r="D689" s="1025" t="s">
        <v>1323</v>
      </c>
      <c r="E689" s="1025" t="s">
        <v>1338</v>
      </c>
      <c r="F689" s="1026">
        <v>45543</v>
      </c>
      <c r="G689" s="1026"/>
      <c r="H689" s="1027" t="s">
        <v>701</v>
      </c>
    </row>
    <row r="690" spans="1:8">
      <c r="A690" s="1018">
        <v>689</v>
      </c>
      <c r="B690" s="1019" t="s">
        <v>58</v>
      </c>
      <c r="C690" s="1020" t="s">
        <v>660</v>
      </c>
      <c r="D690" s="1020" t="s">
        <v>1323</v>
      </c>
      <c r="E690" s="1020" t="s">
        <v>1339</v>
      </c>
      <c r="F690" s="1021">
        <v>45543</v>
      </c>
      <c r="G690" s="1021"/>
      <c r="H690" s="1022" t="s">
        <v>701</v>
      </c>
    </row>
    <row r="691" spans="1:8">
      <c r="A691" s="1023">
        <v>690</v>
      </c>
      <c r="B691" s="1024" t="s">
        <v>58</v>
      </c>
      <c r="C691" s="1025" t="s">
        <v>660</v>
      </c>
      <c r="D691" s="1025" t="s">
        <v>1323</v>
      </c>
      <c r="E691" s="1025" t="s">
        <v>1340</v>
      </c>
      <c r="F691" s="1026">
        <v>45419</v>
      </c>
      <c r="G691" s="1026">
        <v>45401</v>
      </c>
      <c r="H691" s="1027" t="s">
        <v>663</v>
      </c>
    </row>
    <row r="692" spans="1:8">
      <c r="A692" s="1018">
        <v>691</v>
      </c>
      <c r="B692" s="1019" t="s">
        <v>58</v>
      </c>
      <c r="C692" s="1020" t="s">
        <v>660</v>
      </c>
      <c r="D692" s="1020" t="s">
        <v>1323</v>
      </c>
      <c r="E692" s="1020" t="s">
        <v>1341</v>
      </c>
      <c r="F692" s="1021">
        <v>45419</v>
      </c>
      <c r="G692" s="1021">
        <v>45401</v>
      </c>
      <c r="H692" s="1022" t="s">
        <v>663</v>
      </c>
    </row>
    <row r="693" spans="1:8">
      <c r="A693" s="1023">
        <v>692</v>
      </c>
      <c r="B693" s="1024" t="s">
        <v>58</v>
      </c>
      <c r="C693" s="1025" t="s">
        <v>660</v>
      </c>
      <c r="D693" s="1025" t="s">
        <v>1323</v>
      </c>
      <c r="E693" s="1025" t="s">
        <v>1342</v>
      </c>
      <c r="F693" s="1026">
        <v>45419</v>
      </c>
      <c r="G693" s="1026">
        <v>45401</v>
      </c>
      <c r="H693" s="1027" t="s">
        <v>663</v>
      </c>
    </row>
    <row r="694" spans="1:8">
      <c r="A694" s="1018">
        <v>693</v>
      </c>
      <c r="B694" s="1019" t="s">
        <v>58</v>
      </c>
      <c r="C694" s="1020" t="s">
        <v>660</v>
      </c>
      <c r="D694" s="1020" t="s">
        <v>1323</v>
      </c>
      <c r="E694" s="1020" t="s">
        <v>1343</v>
      </c>
      <c r="F694" s="1021">
        <v>45419</v>
      </c>
      <c r="G694" s="1021">
        <v>45401</v>
      </c>
      <c r="H694" s="1022" t="s">
        <v>663</v>
      </c>
    </row>
    <row r="695" spans="1:8">
      <c r="A695" s="1023">
        <v>694</v>
      </c>
      <c r="B695" s="1024" t="s">
        <v>58</v>
      </c>
      <c r="C695" s="1025" t="s">
        <v>660</v>
      </c>
      <c r="D695" s="1025" t="s">
        <v>1323</v>
      </c>
      <c r="E695" s="1025" t="s">
        <v>1344</v>
      </c>
      <c r="F695" s="1026">
        <v>45419</v>
      </c>
      <c r="G695" s="1026">
        <v>45356</v>
      </c>
      <c r="H695" s="1027" t="s">
        <v>663</v>
      </c>
    </row>
    <row r="696" spans="1:8">
      <c r="A696" s="1018">
        <v>695</v>
      </c>
      <c r="B696" s="1019" t="s">
        <v>58</v>
      </c>
      <c r="C696" s="1020" t="s">
        <v>660</v>
      </c>
      <c r="D696" s="1020" t="s">
        <v>1323</v>
      </c>
      <c r="E696" s="1020" t="s">
        <v>1345</v>
      </c>
      <c r="F696" s="1021">
        <v>45419</v>
      </c>
      <c r="G696" s="1021">
        <v>45356</v>
      </c>
      <c r="H696" s="1022" t="s">
        <v>663</v>
      </c>
    </row>
    <row r="697" spans="1:8">
      <c r="A697" s="1023">
        <v>696</v>
      </c>
      <c r="B697" s="1024" t="s">
        <v>58</v>
      </c>
      <c r="C697" s="1025" t="s">
        <v>660</v>
      </c>
      <c r="D697" s="1025" t="s">
        <v>1323</v>
      </c>
      <c r="E697" s="1025" t="s">
        <v>1346</v>
      </c>
      <c r="F697" s="1026">
        <v>45419</v>
      </c>
      <c r="G697" s="1026">
        <v>45356</v>
      </c>
      <c r="H697" s="1027" t="s">
        <v>663</v>
      </c>
    </row>
    <row r="698" spans="1:8" ht="26">
      <c r="A698" s="1018">
        <v>697</v>
      </c>
      <c r="B698" s="1019" t="s">
        <v>58</v>
      </c>
      <c r="C698" s="1020" t="s">
        <v>660</v>
      </c>
      <c r="D698" s="1020" t="s">
        <v>1323</v>
      </c>
      <c r="E698" s="1020" t="s">
        <v>1347</v>
      </c>
      <c r="F698" s="1021">
        <v>45419</v>
      </c>
      <c r="G698" s="1021">
        <v>45356</v>
      </c>
      <c r="H698" s="1022" t="s">
        <v>663</v>
      </c>
    </row>
    <row r="699" spans="1:8">
      <c r="A699" s="1023">
        <v>698</v>
      </c>
      <c r="B699" s="1024" t="s">
        <v>58</v>
      </c>
      <c r="C699" s="1025" t="s">
        <v>660</v>
      </c>
      <c r="D699" s="1025" t="s">
        <v>1348</v>
      </c>
      <c r="E699" s="1025" t="s">
        <v>1349</v>
      </c>
      <c r="F699" s="1026">
        <v>45368</v>
      </c>
      <c r="G699" s="1026">
        <v>45319</v>
      </c>
      <c r="H699" s="1027" t="s">
        <v>663</v>
      </c>
    </row>
    <row r="700" spans="1:8">
      <c r="A700" s="1018">
        <v>699</v>
      </c>
      <c r="B700" s="1019" t="s">
        <v>58</v>
      </c>
      <c r="C700" s="1020" t="s">
        <v>660</v>
      </c>
      <c r="D700" s="1020" t="s">
        <v>1348</v>
      </c>
      <c r="E700" s="1020" t="s">
        <v>1350</v>
      </c>
      <c r="F700" s="1021">
        <v>45368</v>
      </c>
      <c r="G700" s="1021">
        <v>45319</v>
      </c>
      <c r="H700" s="1022" t="s">
        <v>663</v>
      </c>
    </row>
    <row r="701" spans="1:8">
      <c r="A701" s="1023">
        <v>700</v>
      </c>
      <c r="B701" s="1024" t="s">
        <v>58</v>
      </c>
      <c r="C701" s="1025" t="s">
        <v>660</v>
      </c>
      <c r="D701" s="1025" t="s">
        <v>1348</v>
      </c>
      <c r="E701" s="1025" t="s">
        <v>1351</v>
      </c>
      <c r="F701" s="1026">
        <v>45368</v>
      </c>
      <c r="G701" s="1026">
        <v>45319</v>
      </c>
      <c r="H701" s="1027" t="s">
        <v>663</v>
      </c>
    </row>
    <row r="702" spans="1:8">
      <c r="A702" s="1018">
        <v>701</v>
      </c>
      <c r="B702" s="1019" t="s">
        <v>58</v>
      </c>
      <c r="C702" s="1020" t="s">
        <v>660</v>
      </c>
      <c r="D702" s="1020" t="s">
        <v>1348</v>
      </c>
      <c r="E702" s="1020" t="s">
        <v>1352</v>
      </c>
      <c r="F702" s="1021">
        <v>45368</v>
      </c>
      <c r="G702" s="1021">
        <v>45319</v>
      </c>
      <c r="H702" s="1022" t="s">
        <v>663</v>
      </c>
    </row>
    <row r="703" spans="1:8">
      <c r="A703" s="1023">
        <v>702</v>
      </c>
      <c r="B703" s="1024" t="s">
        <v>58</v>
      </c>
      <c r="C703" s="1025" t="s">
        <v>660</v>
      </c>
      <c r="D703" s="1025" t="s">
        <v>1348</v>
      </c>
      <c r="E703" s="1025" t="s">
        <v>1353</v>
      </c>
      <c r="F703" s="1026">
        <v>45368</v>
      </c>
      <c r="G703" s="1026">
        <v>45319</v>
      </c>
      <c r="H703" s="1027" t="s">
        <v>663</v>
      </c>
    </row>
    <row r="704" spans="1:8">
      <c r="A704" s="1018">
        <v>703</v>
      </c>
      <c r="B704" s="1019" t="s">
        <v>58</v>
      </c>
      <c r="C704" s="1020" t="s">
        <v>660</v>
      </c>
      <c r="D704" s="1020" t="s">
        <v>1348</v>
      </c>
      <c r="E704" s="1020" t="s">
        <v>1354</v>
      </c>
      <c r="F704" s="1021">
        <v>45368</v>
      </c>
      <c r="G704" s="1021">
        <v>45319</v>
      </c>
      <c r="H704" s="1022" t="s">
        <v>663</v>
      </c>
    </row>
    <row r="705" spans="1:8">
      <c r="A705" s="1023">
        <v>704</v>
      </c>
      <c r="B705" s="1024" t="s">
        <v>58</v>
      </c>
      <c r="C705" s="1025" t="s">
        <v>660</v>
      </c>
      <c r="D705" s="1025" t="s">
        <v>1348</v>
      </c>
      <c r="E705" s="1025" t="s">
        <v>1355</v>
      </c>
      <c r="F705" s="1026">
        <v>45368</v>
      </c>
      <c r="G705" s="1026"/>
      <c r="H705" s="1027" t="s">
        <v>701</v>
      </c>
    </row>
    <row r="706" spans="1:8">
      <c r="A706" s="1018">
        <v>705</v>
      </c>
      <c r="B706" s="1019" t="s">
        <v>58</v>
      </c>
      <c r="C706" s="1020" t="s">
        <v>660</v>
      </c>
      <c r="D706" s="1020" t="s">
        <v>1348</v>
      </c>
      <c r="E706" s="1020" t="s">
        <v>1356</v>
      </c>
      <c r="F706" s="1021">
        <v>45529</v>
      </c>
      <c r="G706" s="1021"/>
      <c r="H706" s="1022" t="s">
        <v>701</v>
      </c>
    </row>
    <row r="707" spans="1:8">
      <c r="A707" s="1023">
        <v>706</v>
      </c>
      <c r="B707" s="1024" t="s">
        <v>58</v>
      </c>
      <c r="C707" s="1025" t="s">
        <v>660</v>
      </c>
      <c r="D707" s="1025" t="s">
        <v>1348</v>
      </c>
      <c r="E707" s="1025" t="s">
        <v>1357</v>
      </c>
      <c r="F707" s="1026">
        <v>45529</v>
      </c>
      <c r="G707" s="1026"/>
      <c r="H707" s="1027" t="s">
        <v>701</v>
      </c>
    </row>
    <row r="708" spans="1:8">
      <c r="A708" s="1018">
        <v>707</v>
      </c>
      <c r="B708" s="1019" t="s">
        <v>58</v>
      </c>
      <c r="C708" s="1020" t="s">
        <v>660</v>
      </c>
      <c r="D708" s="1020" t="s">
        <v>1348</v>
      </c>
      <c r="E708" s="1020" t="s">
        <v>1358</v>
      </c>
      <c r="F708" s="1021">
        <v>45419</v>
      </c>
      <c r="G708" s="1021">
        <v>45401</v>
      </c>
      <c r="H708" s="1022" t="s">
        <v>663</v>
      </c>
    </row>
    <row r="709" spans="1:8">
      <c r="A709" s="1023">
        <v>708</v>
      </c>
      <c r="B709" s="1024" t="s">
        <v>58</v>
      </c>
      <c r="C709" s="1025" t="s">
        <v>660</v>
      </c>
      <c r="D709" s="1025" t="s">
        <v>1348</v>
      </c>
      <c r="E709" s="1025" t="s">
        <v>1359</v>
      </c>
      <c r="F709" s="1026">
        <v>45419</v>
      </c>
      <c r="G709" s="1026">
        <v>45401</v>
      </c>
      <c r="H709" s="1027" t="s">
        <v>663</v>
      </c>
    </row>
    <row r="710" spans="1:8">
      <c r="A710" s="1018">
        <v>709</v>
      </c>
      <c r="B710" s="1019" t="s">
        <v>58</v>
      </c>
      <c r="C710" s="1020" t="s">
        <v>660</v>
      </c>
      <c r="D710" s="1020" t="s">
        <v>1348</v>
      </c>
      <c r="E710" s="1020" t="s">
        <v>1360</v>
      </c>
      <c r="F710" s="1021">
        <v>45419</v>
      </c>
      <c r="G710" s="1021">
        <v>45401</v>
      </c>
      <c r="H710" s="1022" t="s">
        <v>663</v>
      </c>
    </row>
    <row r="711" spans="1:8">
      <c r="A711" s="1023">
        <v>710</v>
      </c>
      <c r="B711" s="1024" t="s">
        <v>58</v>
      </c>
      <c r="C711" s="1025" t="s">
        <v>660</v>
      </c>
      <c r="D711" s="1025" t="s">
        <v>1348</v>
      </c>
      <c r="E711" s="1025" t="s">
        <v>1361</v>
      </c>
      <c r="F711" s="1026">
        <v>45419</v>
      </c>
      <c r="G711" s="1026">
        <v>45401</v>
      </c>
      <c r="H711" s="1027" t="s">
        <v>663</v>
      </c>
    </row>
    <row r="712" spans="1:8">
      <c r="A712" s="1018">
        <v>711</v>
      </c>
      <c r="B712" s="1019" t="s">
        <v>58</v>
      </c>
      <c r="C712" s="1020" t="s">
        <v>660</v>
      </c>
      <c r="D712" s="1020" t="s">
        <v>1362</v>
      </c>
      <c r="E712" s="1020" t="s">
        <v>1349</v>
      </c>
      <c r="F712" s="1021">
        <v>45358</v>
      </c>
      <c r="G712" s="1021">
        <v>45321</v>
      </c>
      <c r="H712" s="1022" t="s">
        <v>663</v>
      </c>
    </row>
    <row r="713" spans="1:8">
      <c r="A713" s="1023">
        <v>712</v>
      </c>
      <c r="B713" s="1024" t="s">
        <v>58</v>
      </c>
      <c r="C713" s="1025" t="s">
        <v>660</v>
      </c>
      <c r="D713" s="1025" t="s">
        <v>1362</v>
      </c>
      <c r="E713" s="1025" t="s">
        <v>1363</v>
      </c>
      <c r="F713" s="1026">
        <v>45358</v>
      </c>
      <c r="G713" s="1026">
        <v>45321</v>
      </c>
      <c r="H713" s="1027" t="s">
        <v>663</v>
      </c>
    </row>
    <row r="714" spans="1:8">
      <c r="A714" s="1018">
        <v>713</v>
      </c>
      <c r="B714" s="1019" t="s">
        <v>58</v>
      </c>
      <c r="C714" s="1020" t="s">
        <v>660</v>
      </c>
      <c r="D714" s="1020" t="s">
        <v>1362</v>
      </c>
      <c r="E714" s="1020" t="s">
        <v>1351</v>
      </c>
      <c r="F714" s="1021">
        <v>45358</v>
      </c>
      <c r="G714" s="1021">
        <v>45321</v>
      </c>
      <c r="H714" s="1022" t="s">
        <v>663</v>
      </c>
    </row>
    <row r="715" spans="1:8">
      <c r="A715" s="1023">
        <v>714</v>
      </c>
      <c r="B715" s="1024" t="s">
        <v>58</v>
      </c>
      <c r="C715" s="1025" t="s">
        <v>660</v>
      </c>
      <c r="D715" s="1025" t="s">
        <v>1362</v>
      </c>
      <c r="E715" s="1025" t="s">
        <v>1352</v>
      </c>
      <c r="F715" s="1026">
        <v>45358</v>
      </c>
      <c r="G715" s="1026">
        <v>45321</v>
      </c>
      <c r="H715" s="1027" t="s">
        <v>663</v>
      </c>
    </row>
    <row r="716" spans="1:8">
      <c r="A716" s="1018">
        <v>715</v>
      </c>
      <c r="B716" s="1019" t="s">
        <v>58</v>
      </c>
      <c r="C716" s="1020" t="s">
        <v>660</v>
      </c>
      <c r="D716" s="1020" t="s">
        <v>1362</v>
      </c>
      <c r="E716" s="1020" t="s">
        <v>1364</v>
      </c>
      <c r="F716" s="1021">
        <v>45358</v>
      </c>
      <c r="G716" s="1021">
        <v>45321</v>
      </c>
      <c r="H716" s="1022" t="s">
        <v>663</v>
      </c>
    </row>
    <row r="717" spans="1:8">
      <c r="A717" s="1023">
        <v>716</v>
      </c>
      <c r="B717" s="1024" t="s">
        <v>58</v>
      </c>
      <c r="C717" s="1025" t="s">
        <v>660</v>
      </c>
      <c r="D717" s="1025" t="s">
        <v>1362</v>
      </c>
      <c r="E717" s="1025" t="s">
        <v>1365</v>
      </c>
      <c r="F717" s="1026">
        <v>45358</v>
      </c>
      <c r="G717" s="1026">
        <v>45321</v>
      </c>
      <c r="H717" s="1027" t="s">
        <v>663</v>
      </c>
    </row>
    <row r="718" spans="1:8">
      <c r="A718" s="1018">
        <v>717</v>
      </c>
      <c r="B718" s="1019" t="s">
        <v>58</v>
      </c>
      <c r="C718" s="1020" t="s">
        <v>660</v>
      </c>
      <c r="D718" s="1020" t="s">
        <v>1362</v>
      </c>
      <c r="E718" s="1020" t="s">
        <v>1366</v>
      </c>
      <c r="F718" s="1021">
        <v>45358</v>
      </c>
      <c r="G718" s="1021"/>
      <c r="H718" s="1022" t="s">
        <v>701</v>
      </c>
    </row>
    <row r="719" spans="1:8">
      <c r="A719" s="1023">
        <v>718</v>
      </c>
      <c r="B719" s="1024" t="s">
        <v>58</v>
      </c>
      <c r="C719" s="1025" t="s">
        <v>660</v>
      </c>
      <c r="D719" s="1025" t="s">
        <v>1362</v>
      </c>
      <c r="E719" s="1025" t="s">
        <v>1367</v>
      </c>
      <c r="F719" s="1026">
        <v>45419</v>
      </c>
      <c r="G719" s="1026">
        <v>45386</v>
      </c>
      <c r="H719" s="1027" t="s">
        <v>663</v>
      </c>
    </row>
    <row r="720" spans="1:8">
      <c r="A720" s="1018">
        <v>719</v>
      </c>
      <c r="B720" s="1019" t="s">
        <v>58</v>
      </c>
      <c r="C720" s="1020" t="s">
        <v>660</v>
      </c>
      <c r="D720" s="1020" t="s">
        <v>1362</v>
      </c>
      <c r="E720" s="1020" t="s">
        <v>1368</v>
      </c>
      <c r="F720" s="1021">
        <v>45419</v>
      </c>
      <c r="G720" s="1021">
        <v>45386</v>
      </c>
      <c r="H720" s="1022" t="s">
        <v>663</v>
      </c>
    </row>
    <row r="721" spans="1:8">
      <c r="A721" s="1023">
        <v>720</v>
      </c>
      <c r="B721" s="1024" t="s">
        <v>58</v>
      </c>
      <c r="C721" s="1025" t="s">
        <v>660</v>
      </c>
      <c r="D721" s="1025" t="s">
        <v>1369</v>
      </c>
      <c r="E721" s="1025" t="s">
        <v>1370</v>
      </c>
      <c r="F721" s="1026">
        <v>45433</v>
      </c>
      <c r="G721" s="1026"/>
      <c r="H721" s="1027" t="s">
        <v>701</v>
      </c>
    </row>
    <row r="722" spans="1:8">
      <c r="A722" s="1018">
        <v>721</v>
      </c>
      <c r="B722" s="1019" t="s">
        <v>58</v>
      </c>
      <c r="C722" s="1020" t="s">
        <v>660</v>
      </c>
      <c r="D722" s="1020" t="s">
        <v>1369</v>
      </c>
      <c r="E722" s="1020" t="s">
        <v>1371</v>
      </c>
      <c r="F722" s="1021">
        <v>45433</v>
      </c>
      <c r="G722" s="1021"/>
      <c r="H722" s="1022" t="s">
        <v>701</v>
      </c>
    </row>
    <row r="723" spans="1:8">
      <c r="A723" s="1023">
        <v>722</v>
      </c>
      <c r="B723" s="1024" t="s">
        <v>58</v>
      </c>
      <c r="C723" s="1025" t="s">
        <v>660</v>
      </c>
      <c r="D723" s="1025" t="s">
        <v>1369</v>
      </c>
      <c r="E723" s="1025" t="s">
        <v>1372</v>
      </c>
      <c r="F723" s="1026">
        <v>45433</v>
      </c>
      <c r="G723" s="1026"/>
      <c r="H723" s="1027" t="s">
        <v>701</v>
      </c>
    </row>
    <row r="724" spans="1:8">
      <c r="A724" s="1018">
        <v>723</v>
      </c>
      <c r="B724" s="1019" t="s">
        <v>58</v>
      </c>
      <c r="C724" s="1020" t="s">
        <v>660</v>
      </c>
      <c r="D724" s="1020" t="s">
        <v>1369</v>
      </c>
      <c r="E724" s="1020" t="s">
        <v>1373</v>
      </c>
      <c r="F724" s="1021">
        <v>45433</v>
      </c>
      <c r="G724" s="1021"/>
      <c r="H724" s="1022" t="s">
        <v>701</v>
      </c>
    </row>
    <row r="725" spans="1:8">
      <c r="A725" s="1023">
        <v>724</v>
      </c>
      <c r="B725" s="1024" t="s">
        <v>58</v>
      </c>
      <c r="C725" s="1025" t="s">
        <v>660</v>
      </c>
      <c r="D725" s="1025" t="s">
        <v>1369</v>
      </c>
      <c r="E725" s="1025" t="s">
        <v>1374</v>
      </c>
      <c r="F725" s="1026">
        <v>45433</v>
      </c>
      <c r="G725" s="1026"/>
      <c r="H725" s="1027" t="s">
        <v>701</v>
      </c>
    </row>
    <row r="726" spans="1:8">
      <c r="A726" s="1018">
        <v>725</v>
      </c>
      <c r="B726" s="1019" t="s">
        <v>58</v>
      </c>
      <c r="C726" s="1020" t="s">
        <v>660</v>
      </c>
      <c r="D726" s="1020" t="s">
        <v>1369</v>
      </c>
      <c r="E726" s="1020" t="s">
        <v>1375</v>
      </c>
      <c r="F726" s="1021">
        <v>45433</v>
      </c>
      <c r="G726" s="1021"/>
      <c r="H726" s="1022" t="s">
        <v>701</v>
      </c>
    </row>
    <row r="727" spans="1:8">
      <c r="A727" s="1023">
        <v>726</v>
      </c>
      <c r="B727" s="1024" t="s">
        <v>58</v>
      </c>
      <c r="C727" s="1025" t="s">
        <v>660</v>
      </c>
      <c r="D727" s="1025" t="s">
        <v>1369</v>
      </c>
      <c r="E727" s="1025" t="s">
        <v>1376</v>
      </c>
      <c r="F727" s="1026">
        <v>45466</v>
      </c>
      <c r="G727" s="1026">
        <v>45466</v>
      </c>
      <c r="H727" s="1027" t="s">
        <v>663</v>
      </c>
    </row>
    <row r="728" spans="1:8">
      <c r="A728" s="1018">
        <v>727</v>
      </c>
      <c r="B728" s="1019" t="s">
        <v>58</v>
      </c>
      <c r="C728" s="1020" t="s">
        <v>660</v>
      </c>
      <c r="D728" s="1020" t="s">
        <v>1369</v>
      </c>
      <c r="E728" s="1020" t="s">
        <v>1377</v>
      </c>
      <c r="F728" s="1021">
        <v>45466</v>
      </c>
      <c r="G728" s="1021">
        <v>45466</v>
      </c>
      <c r="H728" s="1022" t="s">
        <v>663</v>
      </c>
    </row>
    <row r="729" spans="1:8" ht="26">
      <c r="A729" s="1023">
        <v>728</v>
      </c>
      <c r="B729" s="1024" t="s">
        <v>58</v>
      </c>
      <c r="C729" s="1025" t="s">
        <v>660</v>
      </c>
      <c r="D729" s="1025" t="s">
        <v>1369</v>
      </c>
      <c r="E729" s="1025" t="s">
        <v>1378</v>
      </c>
      <c r="F729" s="1026">
        <v>45466</v>
      </c>
      <c r="G729" s="1026">
        <v>45466</v>
      </c>
      <c r="H729" s="1027" t="s">
        <v>663</v>
      </c>
    </row>
    <row r="730" spans="1:8" ht="26">
      <c r="A730" s="1018">
        <v>729</v>
      </c>
      <c r="B730" s="1019" t="s">
        <v>58</v>
      </c>
      <c r="C730" s="1020" t="s">
        <v>660</v>
      </c>
      <c r="D730" s="1020" t="s">
        <v>1369</v>
      </c>
      <c r="E730" s="1020" t="s">
        <v>1379</v>
      </c>
      <c r="F730" s="1021">
        <v>45466</v>
      </c>
      <c r="G730" s="1021">
        <v>45466</v>
      </c>
      <c r="H730" s="1022" t="s">
        <v>663</v>
      </c>
    </row>
    <row r="731" spans="1:8" ht="26">
      <c r="A731" s="1023">
        <v>730</v>
      </c>
      <c r="B731" s="1024" t="s">
        <v>58</v>
      </c>
      <c r="C731" s="1025" t="s">
        <v>660</v>
      </c>
      <c r="D731" s="1025" t="s">
        <v>1369</v>
      </c>
      <c r="E731" s="1025" t="s">
        <v>1380</v>
      </c>
      <c r="F731" s="1026">
        <v>45466</v>
      </c>
      <c r="G731" s="1026">
        <v>45466</v>
      </c>
      <c r="H731" s="1027" t="s">
        <v>663</v>
      </c>
    </row>
    <row r="732" spans="1:8">
      <c r="A732" s="1018">
        <v>731</v>
      </c>
      <c r="B732" s="1019" t="s">
        <v>58</v>
      </c>
      <c r="C732" s="1020" t="s">
        <v>660</v>
      </c>
      <c r="D732" s="1020" t="s">
        <v>1369</v>
      </c>
      <c r="E732" s="1020" t="s">
        <v>1381</v>
      </c>
      <c r="F732" s="1021">
        <v>45466</v>
      </c>
      <c r="G732" s="1021">
        <v>45466</v>
      </c>
      <c r="H732" s="1022" t="s">
        <v>663</v>
      </c>
    </row>
    <row r="733" spans="1:8">
      <c r="A733" s="1023">
        <v>732</v>
      </c>
      <c r="B733" s="1024" t="s">
        <v>58</v>
      </c>
      <c r="C733" s="1025" t="s">
        <v>660</v>
      </c>
      <c r="D733" s="1025" t="s">
        <v>1369</v>
      </c>
      <c r="E733" s="1025" t="s">
        <v>1382</v>
      </c>
      <c r="F733" s="1026">
        <v>45466</v>
      </c>
      <c r="G733" s="1026">
        <v>45466</v>
      </c>
      <c r="H733" s="1027" t="s">
        <v>663</v>
      </c>
    </row>
    <row r="734" spans="1:8">
      <c r="A734" s="1018">
        <v>733</v>
      </c>
      <c r="B734" s="1019" t="s">
        <v>58</v>
      </c>
      <c r="C734" s="1020" t="s">
        <v>660</v>
      </c>
      <c r="D734" s="1020" t="s">
        <v>1369</v>
      </c>
      <c r="E734" s="1020" t="s">
        <v>1383</v>
      </c>
      <c r="F734" s="1021">
        <v>45466</v>
      </c>
      <c r="G734" s="1021">
        <v>45466</v>
      </c>
      <c r="H734" s="1022" t="s">
        <v>663</v>
      </c>
    </row>
    <row r="735" spans="1:8">
      <c r="A735" s="1023">
        <v>734</v>
      </c>
      <c r="B735" s="1024" t="s">
        <v>58</v>
      </c>
      <c r="C735" s="1025" t="s">
        <v>660</v>
      </c>
      <c r="D735" s="1025" t="s">
        <v>1369</v>
      </c>
      <c r="E735" s="1025" t="s">
        <v>1384</v>
      </c>
      <c r="F735" s="1026">
        <v>45466</v>
      </c>
      <c r="G735" s="1026">
        <v>45466</v>
      </c>
      <c r="H735" s="1027" t="s">
        <v>663</v>
      </c>
    </row>
    <row r="736" spans="1:8">
      <c r="A736" s="1018">
        <v>735</v>
      </c>
      <c r="B736" s="1019" t="s">
        <v>58</v>
      </c>
      <c r="C736" s="1020" t="s">
        <v>660</v>
      </c>
      <c r="D736" s="1020" t="s">
        <v>1369</v>
      </c>
      <c r="E736" s="1020" t="s">
        <v>1385</v>
      </c>
      <c r="F736" s="1021">
        <v>45466</v>
      </c>
      <c r="G736" s="1021">
        <v>45466</v>
      </c>
      <c r="H736" s="1022" t="s">
        <v>663</v>
      </c>
    </row>
    <row r="737" spans="1:8">
      <c r="A737" s="1023">
        <v>736</v>
      </c>
      <c r="B737" s="1024" t="s">
        <v>58</v>
      </c>
      <c r="C737" s="1025" t="s">
        <v>660</v>
      </c>
      <c r="D737" s="1025" t="s">
        <v>1369</v>
      </c>
      <c r="E737" s="1025" t="s">
        <v>1386</v>
      </c>
      <c r="F737" s="1026">
        <v>45466</v>
      </c>
      <c r="G737" s="1026">
        <v>45466</v>
      </c>
      <c r="H737" s="1027" t="s">
        <v>663</v>
      </c>
    </row>
    <row r="738" spans="1:8">
      <c r="A738" s="1018">
        <v>737</v>
      </c>
      <c r="B738" s="1019" t="s">
        <v>58</v>
      </c>
      <c r="C738" s="1020" t="s">
        <v>660</v>
      </c>
      <c r="D738" s="1020" t="s">
        <v>1369</v>
      </c>
      <c r="E738" s="1020" t="s">
        <v>1387</v>
      </c>
      <c r="F738" s="1021">
        <v>45466</v>
      </c>
      <c r="G738" s="1021">
        <v>45466</v>
      </c>
      <c r="H738" s="1022" t="s">
        <v>663</v>
      </c>
    </row>
    <row r="739" spans="1:8">
      <c r="A739" s="1023">
        <v>738</v>
      </c>
      <c r="B739" s="1024" t="s">
        <v>58</v>
      </c>
      <c r="C739" s="1025" t="s">
        <v>660</v>
      </c>
      <c r="D739" s="1025" t="s">
        <v>1388</v>
      </c>
      <c r="E739" s="1025" t="s">
        <v>1389</v>
      </c>
      <c r="F739" s="1026">
        <v>45433</v>
      </c>
      <c r="G739" s="1026"/>
      <c r="H739" s="1027" t="s">
        <v>701</v>
      </c>
    </row>
    <row r="740" spans="1:8">
      <c r="A740" s="1018">
        <v>739</v>
      </c>
      <c r="B740" s="1019" t="s">
        <v>58</v>
      </c>
      <c r="C740" s="1020" t="s">
        <v>660</v>
      </c>
      <c r="D740" s="1020" t="s">
        <v>1388</v>
      </c>
      <c r="E740" s="1020" t="s">
        <v>1390</v>
      </c>
      <c r="F740" s="1021">
        <v>45433</v>
      </c>
      <c r="G740" s="1021"/>
      <c r="H740" s="1022" t="s">
        <v>701</v>
      </c>
    </row>
    <row r="741" spans="1:8">
      <c r="A741" s="1023">
        <v>740</v>
      </c>
      <c r="B741" s="1024" t="s">
        <v>58</v>
      </c>
      <c r="C741" s="1025" t="s">
        <v>660</v>
      </c>
      <c r="D741" s="1025" t="s">
        <v>1388</v>
      </c>
      <c r="E741" s="1025" t="s">
        <v>1391</v>
      </c>
      <c r="F741" s="1026">
        <v>45433</v>
      </c>
      <c r="G741" s="1026"/>
      <c r="H741" s="1027" t="s">
        <v>701</v>
      </c>
    </row>
    <row r="742" spans="1:8">
      <c r="A742" s="1018">
        <v>741</v>
      </c>
      <c r="B742" s="1019" t="s">
        <v>58</v>
      </c>
      <c r="C742" s="1020" t="s">
        <v>660</v>
      </c>
      <c r="D742" s="1020" t="s">
        <v>1388</v>
      </c>
      <c r="E742" s="1020" t="s">
        <v>1392</v>
      </c>
      <c r="F742" s="1021">
        <v>45433</v>
      </c>
      <c r="G742" s="1021"/>
      <c r="H742" s="1022" t="s">
        <v>701</v>
      </c>
    </row>
    <row r="743" spans="1:8">
      <c r="A743" s="1023">
        <v>742</v>
      </c>
      <c r="B743" s="1024" t="s">
        <v>58</v>
      </c>
      <c r="C743" s="1025" t="s">
        <v>660</v>
      </c>
      <c r="D743" s="1025" t="s">
        <v>1388</v>
      </c>
      <c r="E743" s="1025" t="s">
        <v>1393</v>
      </c>
      <c r="F743" s="1026">
        <v>45433</v>
      </c>
      <c r="G743" s="1026">
        <v>45574</v>
      </c>
      <c r="H743" s="1027" t="s">
        <v>663</v>
      </c>
    </row>
    <row r="744" spans="1:8">
      <c r="A744" s="1018">
        <v>743</v>
      </c>
      <c r="B744" s="1019" t="s">
        <v>58</v>
      </c>
      <c r="C744" s="1020" t="s">
        <v>660</v>
      </c>
      <c r="D744" s="1020" t="s">
        <v>1388</v>
      </c>
      <c r="E744" s="1020" t="s">
        <v>1394</v>
      </c>
      <c r="F744" s="1021">
        <v>45433</v>
      </c>
      <c r="G744" s="1021">
        <v>45574</v>
      </c>
      <c r="H744" s="1022" t="s">
        <v>701</v>
      </c>
    </row>
    <row r="745" spans="1:8">
      <c r="A745" s="1023">
        <v>744</v>
      </c>
      <c r="B745" s="1024" t="s">
        <v>58</v>
      </c>
      <c r="C745" s="1025" t="s">
        <v>660</v>
      </c>
      <c r="D745" s="1025" t="s">
        <v>1388</v>
      </c>
      <c r="E745" s="1025" t="s">
        <v>1395</v>
      </c>
      <c r="F745" s="1026">
        <v>45433</v>
      </c>
      <c r="G745" s="1026"/>
      <c r="H745" s="1027" t="s">
        <v>701</v>
      </c>
    </row>
    <row r="746" spans="1:8">
      <c r="A746" s="1018">
        <v>745</v>
      </c>
      <c r="B746" s="1019" t="s">
        <v>58</v>
      </c>
      <c r="C746" s="1020" t="s">
        <v>660</v>
      </c>
      <c r="D746" s="1020" t="s">
        <v>1388</v>
      </c>
      <c r="E746" s="1020" t="s">
        <v>1396</v>
      </c>
      <c r="F746" s="1021">
        <v>45641</v>
      </c>
      <c r="G746" s="1021"/>
      <c r="H746" s="1022" t="s">
        <v>701</v>
      </c>
    </row>
    <row r="747" spans="1:8">
      <c r="A747" s="1023">
        <v>746</v>
      </c>
      <c r="B747" s="1024" t="s">
        <v>58</v>
      </c>
      <c r="C747" s="1025" t="s">
        <v>660</v>
      </c>
      <c r="D747" s="1025" t="s">
        <v>1388</v>
      </c>
      <c r="E747" s="1025" t="s">
        <v>1397</v>
      </c>
      <c r="F747" s="1026">
        <v>45641</v>
      </c>
      <c r="G747" s="1026"/>
      <c r="H747" s="1027" t="s">
        <v>701</v>
      </c>
    </row>
    <row r="748" spans="1:8">
      <c r="A748" s="1018">
        <v>747</v>
      </c>
      <c r="B748" s="1019" t="s">
        <v>58</v>
      </c>
      <c r="C748" s="1020" t="s">
        <v>660</v>
      </c>
      <c r="D748" s="1020" t="s">
        <v>1388</v>
      </c>
      <c r="E748" s="1020" t="s">
        <v>1398</v>
      </c>
      <c r="F748" s="1021">
        <v>45433</v>
      </c>
      <c r="G748" s="1021">
        <v>45466</v>
      </c>
      <c r="H748" s="1022" t="s">
        <v>663</v>
      </c>
    </row>
    <row r="749" spans="1:8" ht="26">
      <c r="A749" s="1023">
        <v>748</v>
      </c>
      <c r="B749" s="1024" t="s">
        <v>58</v>
      </c>
      <c r="C749" s="1025" t="s">
        <v>660</v>
      </c>
      <c r="D749" s="1025" t="s">
        <v>1388</v>
      </c>
      <c r="E749" s="1025" t="s">
        <v>1399</v>
      </c>
      <c r="F749" s="1026">
        <v>45433</v>
      </c>
      <c r="G749" s="1026">
        <v>45466</v>
      </c>
      <c r="H749" s="1027" t="s">
        <v>663</v>
      </c>
    </row>
    <row r="750" spans="1:8" ht="26">
      <c r="A750" s="1018">
        <v>749</v>
      </c>
      <c r="B750" s="1019" t="s">
        <v>58</v>
      </c>
      <c r="C750" s="1020" t="s">
        <v>660</v>
      </c>
      <c r="D750" s="1020" t="s">
        <v>1388</v>
      </c>
      <c r="E750" s="1020" t="s">
        <v>1400</v>
      </c>
      <c r="F750" s="1021">
        <v>45433</v>
      </c>
      <c r="G750" s="1021">
        <v>45466</v>
      </c>
      <c r="H750" s="1022" t="s">
        <v>663</v>
      </c>
    </row>
    <row r="751" spans="1:8" ht="26">
      <c r="A751" s="1023">
        <v>750</v>
      </c>
      <c r="B751" s="1024" t="s">
        <v>58</v>
      </c>
      <c r="C751" s="1025" t="s">
        <v>660</v>
      </c>
      <c r="D751" s="1025" t="s">
        <v>1388</v>
      </c>
      <c r="E751" s="1025" t="s">
        <v>1401</v>
      </c>
      <c r="F751" s="1026">
        <v>45433</v>
      </c>
      <c r="G751" s="1026">
        <v>45466</v>
      </c>
      <c r="H751" s="1027" t="s">
        <v>663</v>
      </c>
    </row>
    <row r="752" spans="1:8">
      <c r="A752" s="1018">
        <v>751</v>
      </c>
      <c r="B752" s="1019" t="s">
        <v>58</v>
      </c>
      <c r="C752" s="1020" t="s">
        <v>660</v>
      </c>
      <c r="D752" s="1020" t="s">
        <v>1388</v>
      </c>
      <c r="E752" s="1020" t="s">
        <v>1402</v>
      </c>
      <c r="F752" s="1021">
        <v>45433</v>
      </c>
      <c r="G752" s="1021">
        <v>45466</v>
      </c>
      <c r="H752" s="1022" t="s">
        <v>663</v>
      </c>
    </row>
    <row r="753" spans="1:8">
      <c r="A753" s="1023">
        <v>752</v>
      </c>
      <c r="B753" s="1024" t="s">
        <v>58</v>
      </c>
      <c r="C753" s="1025" t="s">
        <v>660</v>
      </c>
      <c r="D753" s="1025" t="s">
        <v>1388</v>
      </c>
      <c r="E753" s="1025" t="s">
        <v>1403</v>
      </c>
      <c r="F753" s="1026">
        <v>45433</v>
      </c>
      <c r="G753" s="1026"/>
      <c r="H753" s="1027" t="s">
        <v>701</v>
      </c>
    </row>
    <row r="754" spans="1:8">
      <c r="A754" s="1018">
        <v>753</v>
      </c>
      <c r="B754" s="1019" t="s">
        <v>58</v>
      </c>
      <c r="C754" s="1020" t="s">
        <v>660</v>
      </c>
      <c r="D754" s="1020" t="s">
        <v>1404</v>
      </c>
      <c r="E754" s="1020" t="s">
        <v>1405</v>
      </c>
      <c r="F754" s="1021">
        <v>45433</v>
      </c>
      <c r="G754" s="1021"/>
      <c r="H754" s="1022" t="s">
        <v>701</v>
      </c>
    </row>
    <row r="755" spans="1:8">
      <c r="A755" s="1023">
        <v>754</v>
      </c>
      <c r="B755" s="1024" t="s">
        <v>58</v>
      </c>
      <c r="C755" s="1025" t="s">
        <v>660</v>
      </c>
      <c r="D755" s="1025" t="s">
        <v>1404</v>
      </c>
      <c r="E755" s="1025" t="s">
        <v>1406</v>
      </c>
      <c r="F755" s="1026">
        <v>45433</v>
      </c>
      <c r="G755" s="1026"/>
      <c r="H755" s="1027" t="s">
        <v>701</v>
      </c>
    </row>
    <row r="756" spans="1:8">
      <c r="A756" s="1018">
        <v>755</v>
      </c>
      <c r="B756" s="1019" t="s">
        <v>58</v>
      </c>
      <c r="C756" s="1020" t="s">
        <v>660</v>
      </c>
      <c r="D756" s="1020" t="s">
        <v>1404</v>
      </c>
      <c r="E756" s="1020" t="s">
        <v>1407</v>
      </c>
      <c r="F756" s="1021">
        <v>45433</v>
      </c>
      <c r="G756" s="1021"/>
      <c r="H756" s="1022" t="s">
        <v>701</v>
      </c>
    </row>
    <row r="757" spans="1:8">
      <c r="A757" s="1023">
        <v>756</v>
      </c>
      <c r="B757" s="1024" t="s">
        <v>58</v>
      </c>
      <c r="C757" s="1025" t="s">
        <v>660</v>
      </c>
      <c r="D757" s="1025" t="s">
        <v>1404</v>
      </c>
      <c r="E757" s="1025" t="s">
        <v>1408</v>
      </c>
      <c r="F757" s="1026">
        <v>45433</v>
      </c>
      <c r="G757" s="1026"/>
      <c r="H757" s="1027" t="s">
        <v>701</v>
      </c>
    </row>
    <row r="758" spans="1:8">
      <c r="A758" s="1018">
        <v>757</v>
      </c>
      <c r="B758" s="1019" t="s">
        <v>58</v>
      </c>
      <c r="C758" s="1020" t="s">
        <v>660</v>
      </c>
      <c r="D758" s="1020" t="s">
        <v>1404</v>
      </c>
      <c r="E758" s="1020" t="s">
        <v>1409</v>
      </c>
      <c r="F758" s="1021">
        <v>45433</v>
      </c>
      <c r="G758" s="1021">
        <v>45501</v>
      </c>
      <c r="H758" s="1022" t="s">
        <v>663</v>
      </c>
    </row>
    <row r="759" spans="1:8">
      <c r="A759" s="1023">
        <v>758</v>
      </c>
      <c r="B759" s="1024" t="s">
        <v>58</v>
      </c>
      <c r="C759" s="1025" t="s">
        <v>660</v>
      </c>
      <c r="D759" s="1025" t="s">
        <v>1404</v>
      </c>
      <c r="E759" s="1025" t="s">
        <v>1410</v>
      </c>
      <c r="F759" s="1026">
        <v>45433</v>
      </c>
      <c r="G759" s="1026">
        <v>45504</v>
      </c>
      <c r="H759" s="1027" t="s">
        <v>663</v>
      </c>
    </row>
    <row r="760" spans="1:8">
      <c r="A760" s="1018">
        <v>759</v>
      </c>
      <c r="B760" s="1019" t="s">
        <v>58</v>
      </c>
      <c r="C760" s="1020" t="s">
        <v>660</v>
      </c>
      <c r="D760" s="1020" t="s">
        <v>1411</v>
      </c>
      <c r="E760" s="1020" t="s">
        <v>1412</v>
      </c>
      <c r="F760" s="1021">
        <v>45423</v>
      </c>
      <c r="G760" s="1021">
        <v>45497</v>
      </c>
      <c r="H760" s="1022" t="s">
        <v>663</v>
      </c>
    </row>
    <row r="761" spans="1:8">
      <c r="A761" s="1023">
        <v>760</v>
      </c>
      <c r="B761" s="1024" t="s">
        <v>58</v>
      </c>
      <c r="C761" s="1025" t="s">
        <v>660</v>
      </c>
      <c r="D761" s="1025" t="s">
        <v>1411</v>
      </c>
      <c r="E761" s="1025" t="s">
        <v>1413</v>
      </c>
      <c r="F761" s="1026">
        <v>45423</v>
      </c>
      <c r="G761" s="1026">
        <v>45497</v>
      </c>
      <c r="H761" s="1027" t="s">
        <v>663</v>
      </c>
    </row>
    <row r="762" spans="1:8">
      <c r="A762" s="1018">
        <v>761</v>
      </c>
      <c r="B762" s="1019" t="s">
        <v>58</v>
      </c>
      <c r="C762" s="1020" t="s">
        <v>660</v>
      </c>
      <c r="D762" s="1020" t="s">
        <v>1411</v>
      </c>
      <c r="E762" s="1020" t="s">
        <v>1414</v>
      </c>
      <c r="F762" s="1021">
        <v>45423</v>
      </c>
      <c r="G762" s="1021">
        <v>45497</v>
      </c>
      <c r="H762" s="1022" t="s">
        <v>663</v>
      </c>
    </row>
    <row r="763" spans="1:8">
      <c r="A763" s="1023">
        <v>762</v>
      </c>
      <c r="B763" s="1024" t="s">
        <v>58</v>
      </c>
      <c r="C763" s="1025" t="s">
        <v>660</v>
      </c>
      <c r="D763" s="1025" t="s">
        <v>1411</v>
      </c>
      <c r="E763" s="1025" t="s">
        <v>1415</v>
      </c>
      <c r="F763" s="1026">
        <v>45423</v>
      </c>
      <c r="G763" s="1026">
        <v>45497</v>
      </c>
      <c r="H763" s="1027" t="s">
        <v>663</v>
      </c>
    </row>
    <row r="764" spans="1:8">
      <c r="A764" s="1018">
        <v>763</v>
      </c>
      <c r="B764" s="1019" t="s">
        <v>58</v>
      </c>
      <c r="C764" s="1020" t="s">
        <v>660</v>
      </c>
      <c r="D764" s="1020" t="s">
        <v>1411</v>
      </c>
      <c r="E764" s="1020" t="s">
        <v>1416</v>
      </c>
      <c r="F764" s="1021">
        <v>45423</v>
      </c>
      <c r="G764" s="1021">
        <v>45497</v>
      </c>
      <c r="H764" s="1022" t="s">
        <v>663</v>
      </c>
    </row>
    <row r="765" spans="1:8">
      <c r="A765" s="1023">
        <v>764</v>
      </c>
      <c r="B765" s="1024" t="s">
        <v>58</v>
      </c>
      <c r="C765" s="1025" t="s">
        <v>660</v>
      </c>
      <c r="D765" s="1025" t="s">
        <v>1411</v>
      </c>
      <c r="E765" s="1025" t="s">
        <v>1417</v>
      </c>
      <c r="F765" s="1026">
        <v>45456</v>
      </c>
      <c r="G765" s="1026">
        <v>45497</v>
      </c>
      <c r="H765" s="1027" t="s">
        <v>663</v>
      </c>
    </row>
    <row r="766" spans="1:8">
      <c r="A766" s="1018">
        <v>765</v>
      </c>
      <c r="B766" s="1019" t="s">
        <v>58</v>
      </c>
      <c r="C766" s="1020" t="s">
        <v>660</v>
      </c>
      <c r="D766" s="1020" t="s">
        <v>1411</v>
      </c>
      <c r="E766" s="1020" t="s">
        <v>1418</v>
      </c>
      <c r="F766" s="1021">
        <v>45456</v>
      </c>
      <c r="G766" s="1021"/>
      <c r="H766" s="1022" t="s">
        <v>701</v>
      </c>
    </row>
    <row r="767" spans="1:8">
      <c r="A767" s="1023">
        <v>766</v>
      </c>
      <c r="B767" s="1024" t="s">
        <v>58</v>
      </c>
      <c r="C767" s="1025" t="s">
        <v>660</v>
      </c>
      <c r="D767" s="1025" t="s">
        <v>1411</v>
      </c>
      <c r="E767" s="1025" t="s">
        <v>1419</v>
      </c>
      <c r="F767" s="1026">
        <v>45423</v>
      </c>
      <c r="G767" s="1026">
        <v>45497</v>
      </c>
      <c r="H767" s="1027" t="s">
        <v>663</v>
      </c>
    </row>
    <row r="768" spans="1:8">
      <c r="A768" s="1018">
        <v>767</v>
      </c>
      <c r="B768" s="1019" t="s">
        <v>58</v>
      </c>
      <c r="C768" s="1020" t="s">
        <v>660</v>
      </c>
      <c r="D768" s="1020" t="s">
        <v>1411</v>
      </c>
      <c r="E768" s="1020" t="s">
        <v>1420</v>
      </c>
      <c r="F768" s="1021">
        <v>45423</v>
      </c>
      <c r="G768" s="1021">
        <v>45497</v>
      </c>
      <c r="H768" s="1022" t="s">
        <v>663</v>
      </c>
    </row>
    <row r="769" spans="1:8">
      <c r="A769" s="1023">
        <v>768</v>
      </c>
      <c r="B769" s="1024" t="s">
        <v>58</v>
      </c>
      <c r="C769" s="1025" t="s">
        <v>660</v>
      </c>
      <c r="D769" s="1025" t="s">
        <v>1411</v>
      </c>
      <c r="E769" s="1025" t="s">
        <v>1421</v>
      </c>
      <c r="F769" s="1026">
        <v>45436</v>
      </c>
      <c r="G769" s="1026">
        <v>45497</v>
      </c>
      <c r="H769" s="1027" t="s">
        <v>663</v>
      </c>
    </row>
    <row r="770" spans="1:8">
      <c r="A770" s="1018">
        <v>769</v>
      </c>
      <c r="B770" s="1019" t="s">
        <v>58</v>
      </c>
      <c r="C770" s="1020" t="s">
        <v>660</v>
      </c>
      <c r="D770" s="1020" t="s">
        <v>1411</v>
      </c>
      <c r="E770" s="1020" t="s">
        <v>1422</v>
      </c>
      <c r="F770" s="1021">
        <v>45609</v>
      </c>
      <c r="G770" s="1021"/>
      <c r="H770" s="1022" t="s">
        <v>701</v>
      </c>
    </row>
    <row r="771" spans="1:8">
      <c r="A771" s="1023">
        <v>770</v>
      </c>
      <c r="B771" s="1024" t="s">
        <v>58</v>
      </c>
      <c r="C771" s="1025" t="s">
        <v>660</v>
      </c>
      <c r="D771" s="1025" t="s">
        <v>1411</v>
      </c>
      <c r="E771" s="1025" t="s">
        <v>1423</v>
      </c>
      <c r="F771" s="1026">
        <v>45609</v>
      </c>
      <c r="G771" s="1026"/>
      <c r="H771" s="1027" t="s">
        <v>701</v>
      </c>
    </row>
    <row r="772" spans="1:8">
      <c r="A772" s="1018">
        <v>771</v>
      </c>
      <c r="B772" s="1019" t="s">
        <v>58</v>
      </c>
      <c r="C772" s="1020" t="s">
        <v>660</v>
      </c>
      <c r="D772" s="1020" t="s">
        <v>1411</v>
      </c>
      <c r="E772" s="1020" t="s">
        <v>1424</v>
      </c>
      <c r="F772" s="1021">
        <v>45456</v>
      </c>
      <c r="G772" s="1021">
        <v>45466</v>
      </c>
      <c r="H772" s="1022" t="s">
        <v>663</v>
      </c>
    </row>
    <row r="773" spans="1:8">
      <c r="A773" s="1023">
        <v>772</v>
      </c>
      <c r="B773" s="1024" t="s">
        <v>58</v>
      </c>
      <c r="C773" s="1025" t="s">
        <v>660</v>
      </c>
      <c r="D773" s="1025" t="s">
        <v>1411</v>
      </c>
      <c r="E773" s="1025" t="s">
        <v>1425</v>
      </c>
      <c r="F773" s="1026">
        <v>45456</v>
      </c>
      <c r="G773" s="1026">
        <v>45466</v>
      </c>
      <c r="H773" s="1027" t="s">
        <v>663</v>
      </c>
    </row>
    <row r="774" spans="1:8" ht="39">
      <c r="A774" s="1018">
        <v>773</v>
      </c>
      <c r="B774" s="1019" t="s">
        <v>58</v>
      </c>
      <c r="C774" s="1020" t="s">
        <v>660</v>
      </c>
      <c r="D774" s="1020" t="s">
        <v>1411</v>
      </c>
      <c r="E774" s="1020" t="s">
        <v>1426</v>
      </c>
      <c r="F774" s="1021">
        <v>45456</v>
      </c>
      <c r="G774" s="1021">
        <v>45466</v>
      </c>
      <c r="H774" s="1022" t="s">
        <v>663</v>
      </c>
    </row>
    <row r="775" spans="1:8" ht="39">
      <c r="A775" s="1023">
        <v>774</v>
      </c>
      <c r="B775" s="1024" t="s">
        <v>58</v>
      </c>
      <c r="C775" s="1025" t="s">
        <v>660</v>
      </c>
      <c r="D775" s="1025" t="s">
        <v>1411</v>
      </c>
      <c r="E775" s="1025" t="s">
        <v>1427</v>
      </c>
      <c r="F775" s="1026">
        <v>45456</v>
      </c>
      <c r="G775" s="1026">
        <v>45475</v>
      </c>
      <c r="H775" s="1027" t="s">
        <v>663</v>
      </c>
    </row>
    <row r="776" spans="1:8" ht="26">
      <c r="A776" s="1018">
        <v>775</v>
      </c>
      <c r="B776" s="1019" t="s">
        <v>58</v>
      </c>
      <c r="C776" s="1020" t="s">
        <v>660</v>
      </c>
      <c r="D776" s="1020" t="s">
        <v>1411</v>
      </c>
      <c r="E776" s="1020" t="s">
        <v>1428</v>
      </c>
      <c r="F776" s="1021">
        <v>45456</v>
      </c>
      <c r="G776" s="1021">
        <v>45466</v>
      </c>
      <c r="H776" s="1022" t="s">
        <v>663</v>
      </c>
    </row>
    <row r="777" spans="1:8">
      <c r="A777" s="1023">
        <v>776</v>
      </c>
      <c r="B777" s="1024" t="s">
        <v>58</v>
      </c>
      <c r="C777" s="1025" t="s">
        <v>660</v>
      </c>
      <c r="D777" s="1025" t="s">
        <v>1411</v>
      </c>
      <c r="E777" s="1025" t="s">
        <v>1429</v>
      </c>
      <c r="F777" s="1026">
        <v>45456</v>
      </c>
      <c r="G777" s="1026">
        <v>45466</v>
      </c>
      <c r="H777" s="1027" t="s">
        <v>663</v>
      </c>
    </row>
    <row r="778" spans="1:8">
      <c r="A778" s="1018">
        <v>777</v>
      </c>
      <c r="B778" s="1019" t="s">
        <v>58</v>
      </c>
      <c r="C778" s="1020" t="s">
        <v>660</v>
      </c>
      <c r="D778" s="1020" t="s">
        <v>1411</v>
      </c>
      <c r="E778" s="1020" t="s">
        <v>1430</v>
      </c>
      <c r="F778" s="1021">
        <v>45456</v>
      </c>
      <c r="G778" s="1021">
        <v>45466</v>
      </c>
      <c r="H778" s="1022" t="s">
        <v>663</v>
      </c>
    </row>
    <row r="779" spans="1:8" ht="39">
      <c r="A779" s="1023">
        <v>778</v>
      </c>
      <c r="B779" s="1024" t="s">
        <v>58</v>
      </c>
      <c r="C779" s="1025" t="s">
        <v>660</v>
      </c>
      <c r="D779" s="1025" t="s">
        <v>1411</v>
      </c>
      <c r="E779" s="1025" t="s">
        <v>1431</v>
      </c>
      <c r="F779" s="1026">
        <v>45456</v>
      </c>
      <c r="G779" s="1026">
        <v>45475</v>
      </c>
      <c r="H779" s="1027" t="s">
        <v>663</v>
      </c>
    </row>
    <row r="780" spans="1:8" ht="39">
      <c r="A780" s="1018">
        <v>779</v>
      </c>
      <c r="B780" s="1019" t="s">
        <v>58</v>
      </c>
      <c r="C780" s="1020" t="s">
        <v>660</v>
      </c>
      <c r="D780" s="1020" t="s">
        <v>1411</v>
      </c>
      <c r="E780" s="1020" t="s">
        <v>1432</v>
      </c>
      <c r="F780" s="1021">
        <v>45456</v>
      </c>
      <c r="G780" s="1021">
        <v>45475</v>
      </c>
      <c r="H780" s="1022" t="s">
        <v>663</v>
      </c>
    </row>
    <row r="781" spans="1:8" ht="26">
      <c r="A781" s="1023">
        <v>780</v>
      </c>
      <c r="B781" s="1024" t="s">
        <v>58</v>
      </c>
      <c r="C781" s="1025" t="s">
        <v>660</v>
      </c>
      <c r="D781" s="1025" t="s">
        <v>1411</v>
      </c>
      <c r="E781" s="1025" t="s">
        <v>1433</v>
      </c>
      <c r="F781" s="1026">
        <v>45456</v>
      </c>
      <c r="G781" s="1026">
        <v>45475</v>
      </c>
      <c r="H781" s="1027" t="s">
        <v>663</v>
      </c>
    </row>
    <row r="782" spans="1:8" ht="26">
      <c r="A782" s="1018">
        <v>781</v>
      </c>
      <c r="B782" s="1019" t="s">
        <v>58</v>
      </c>
      <c r="C782" s="1020" t="s">
        <v>660</v>
      </c>
      <c r="D782" s="1020" t="s">
        <v>1411</v>
      </c>
      <c r="E782" s="1020" t="s">
        <v>1434</v>
      </c>
      <c r="F782" s="1021">
        <v>45456</v>
      </c>
      <c r="G782" s="1021">
        <v>45475</v>
      </c>
      <c r="H782" s="1022" t="s">
        <v>663</v>
      </c>
    </row>
    <row r="783" spans="1:8" ht="39">
      <c r="A783" s="1023">
        <v>782</v>
      </c>
      <c r="B783" s="1024" t="s">
        <v>58</v>
      </c>
      <c r="C783" s="1025" t="s">
        <v>660</v>
      </c>
      <c r="D783" s="1025" t="s">
        <v>1411</v>
      </c>
      <c r="E783" s="1025" t="s">
        <v>1435</v>
      </c>
      <c r="F783" s="1026">
        <v>45456</v>
      </c>
      <c r="G783" s="1026">
        <v>45475</v>
      </c>
      <c r="H783" s="1027" t="s">
        <v>663</v>
      </c>
    </row>
    <row r="784" spans="1:8" ht="39">
      <c r="A784" s="1018">
        <v>783</v>
      </c>
      <c r="B784" s="1019" t="s">
        <v>58</v>
      </c>
      <c r="C784" s="1020" t="s">
        <v>660</v>
      </c>
      <c r="D784" s="1020" t="s">
        <v>1411</v>
      </c>
      <c r="E784" s="1020" t="s">
        <v>1436</v>
      </c>
      <c r="F784" s="1021">
        <v>45456</v>
      </c>
      <c r="G784" s="1021"/>
      <c r="H784" s="1022" t="s">
        <v>701</v>
      </c>
    </row>
    <row r="785" spans="1:8" ht="26">
      <c r="A785" s="1023">
        <v>784</v>
      </c>
      <c r="B785" s="1024" t="s">
        <v>58</v>
      </c>
      <c r="C785" s="1025" t="s">
        <v>660</v>
      </c>
      <c r="D785" s="1025" t="s">
        <v>1411</v>
      </c>
      <c r="E785" s="1025" t="s">
        <v>1437</v>
      </c>
      <c r="F785" s="1026">
        <v>45456</v>
      </c>
      <c r="G785" s="1026"/>
      <c r="H785" s="1027" t="s">
        <v>701</v>
      </c>
    </row>
    <row r="786" spans="1:8" ht="26">
      <c r="A786" s="1018">
        <v>785</v>
      </c>
      <c r="B786" s="1019" t="s">
        <v>58</v>
      </c>
      <c r="C786" s="1020" t="s">
        <v>660</v>
      </c>
      <c r="D786" s="1020" t="s">
        <v>1411</v>
      </c>
      <c r="E786" s="1020" t="s">
        <v>1438</v>
      </c>
      <c r="F786" s="1021">
        <v>45456</v>
      </c>
      <c r="G786" s="1021"/>
      <c r="H786" s="1022" t="s">
        <v>701</v>
      </c>
    </row>
    <row r="787" spans="1:8">
      <c r="A787" s="1023">
        <v>786</v>
      </c>
      <c r="B787" s="1024" t="s">
        <v>58</v>
      </c>
      <c r="C787" s="1025" t="s">
        <v>660</v>
      </c>
      <c r="D787" s="1025" t="s">
        <v>1411</v>
      </c>
      <c r="E787" s="1025" t="s">
        <v>1439</v>
      </c>
      <c r="F787" s="1026">
        <v>45607</v>
      </c>
      <c r="G787" s="1026">
        <v>45522</v>
      </c>
      <c r="H787" s="1027" t="s">
        <v>663</v>
      </c>
    </row>
    <row r="788" spans="1:8">
      <c r="A788" s="1018">
        <v>787</v>
      </c>
      <c r="B788" s="1019" t="s">
        <v>58</v>
      </c>
      <c r="C788" s="1020" t="s">
        <v>660</v>
      </c>
      <c r="D788" s="1020" t="s">
        <v>1411</v>
      </c>
      <c r="E788" s="1020" t="s">
        <v>1440</v>
      </c>
      <c r="F788" s="1021">
        <v>45607</v>
      </c>
      <c r="G788" s="1021">
        <v>45522</v>
      </c>
      <c r="H788" s="1022" t="s">
        <v>663</v>
      </c>
    </row>
    <row r="789" spans="1:8">
      <c r="A789" s="1023">
        <v>788</v>
      </c>
      <c r="B789" s="1024" t="s">
        <v>58</v>
      </c>
      <c r="C789" s="1025" t="s">
        <v>660</v>
      </c>
      <c r="D789" s="1025" t="s">
        <v>1411</v>
      </c>
      <c r="E789" s="1025" t="s">
        <v>1441</v>
      </c>
      <c r="F789" s="1026">
        <v>45423</v>
      </c>
      <c r="G789" s="1026">
        <v>45519</v>
      </c>
      <c r="H789" s="1027" t="s">
        <v>663</v>
      </c>
    </row>
    <row r="790" spans="1:8">
      <c r="A790" s="1018">
        <v>789</v>
      </c>
      <c r="B790" s="1019" t="s">
        <v>58</v>
      </c>
      <c r="C790" s="1020" t="s">
        <v>660</v>
      </c>
      <c r="D790" s="1020" t="s">
        <v>1411</v>
      </c>
      <c r="E790" s="1020" t="s">
        <v>1442</v>
      </c>
      <c r="F790" s="1021">
        <v>45423</v>
      </c>
      <c r="G790" s="1021">
        <v>45519</v>
      </c>
      <c r="H790" s="1022" t="s">
        <v>663</v>
      </c>
    </row>
    <row r="791" spans="1:8">
      <c r="A791" s="1023">
        <v>790</v>
      </c>
      <c r="B791" s="1024" t="s">
        <v>58</v>
      </c>
      <c r="C791" s="1025" t="s">
        <v>660</v>
      </c>
      <c r="D791" s="1025" t="s">
        <v>1411</v>
      </c>
      <c r="E791" s="1025" t="s">
        <v>1443</v>
      </c>
      <c r="F791" s="1026">
        <v>45423</v>
      </c>
      <c r="G791" s="1026">
        <v>45519</v>
      </c>
      <c r="H791" s="1027" t="s">
        <v>663</v>
      </c>
    </row>
    <row r="792" spans="1:8">
      <c r="A792" s="1018">
        <v>791</v>
      </c>
      <c r="B792" s="1019" t="s">
        <v>58</v>
      </c>
      <c r="C792" s="1020" t="s">
        <v>660</v>
      </c>
      <c r="D792" s="1020" t="s">
        <v>1411</v>
      </c>
      <c r="E792" s="1020" t="s">
        <v>1444</v>
      </c>
      <c r="F792" s="1021">
        <v>45423</v>
      </c>
      <c r="G792" s="1021">
        <v>45510</v>
      </c>
      <c r="H792" s="1022" t="s">
        <v>663</v>
      </c>
    </row>
    <row r="793" spans="1:8">
      <c r="A793" s="1023">
        <v>792</v>
      </c>
      <c r="B793" s="1024" t="s">
        <v>58</v>
      </c>
      <c r="C793" s="1025" t="s">
        <v>660</v>
      </c>
      <c r="D793" s="1025" t="s">
        <v>1411</v>
      </c>
      <c r="E793" s="1025" t="s">
        <v>1445</v>
      </c>
      <c r="F793" s="1026">
        <v>45456</v>
      </c>
      <c r="G793" s="1026">
        <v>45456</v>
      </c>
      <c r="H793" s="1027" t="s">
        <v>663</v>
      </c>
    </row>
    <row r="794" spans="1:8">
      <c r="A794" s="1018">
        <v>793</v>
      </c>
      <c r="B794" s="1019" t="s">
        <v>58</v>
      </c>
      <c r="C794" s="1020" t="s">
        <v>660</v>
      </c>
      <c r="D794" s="1020" t="s">
        <v>1411</v>
      </c>
      <c r="E794" s="1020" t="s">
        <v>1446</v>
      </c>
      <c r="F794" s="1021">
        <v>45456</v>
      </c>
      <c r="G794" s="1021">
        <v>45456</v>
      </c>
      <c r="H794" s="1022" t="s">
        <v>663</v>
      </c>
    </row>
    <row r="795" spans="1:8">
      <c r="A795" s="1023">
        <v>794</v>
      </c>
      <c r="B795" s="1024" t="s">
        <v>58</v>
      </c>
      <c r="C795" s="1025" t="s">
        <v>660</v>
      </c>
      <c r="D795" s="1025" t="s">
        <v>1411</v>
      </c>
      <c r="E795" s="1025" t="s">
        <v>1447</v>
      </c>
      <c r="F795" s="1026">
        <v>45456</v>
      </c>
      <c r="G795" s="1026">
        <v>45565</v>
      </c>
      <c r="H795" s="1027" t="s">
        <v>663</v>
      </c>
    </row>
    <row r="796" spans="1:8">
      <c r="A796" s="1018">
        <v>795</v>
      </c>
      <c r="B796" s="1019" t="s">
        <v>58</v>
      </c>
      <c r="C796" s="1020" t="s">
        <v>660</v>
      </c>
      <c r="D796" s="1020" t="s">
        <v>1411</v>
      </c>
      <c r="E796" s="1020" t="s">
        <v>1448</v>
      </c>
      <c r="F796" s="1021">
        <v>45456</v>
      </c>
      <c r="G796" s="1021">
        <v>45565</v>
      </c>
      <c r="H796" s="1022" t="s">
        <v>663</v>
      </c>
    </row>
    <row r="797" spans="1:8">
      <c r="A797" s="1023">
        <v>796</v>
      </c>
      <c r="B797" s="1024" t="s">
        <v>58</v>
      </c>
      <c r="C797" s="1025" t="s">
        <v>660</v>
      </c>
      <c r="D797" s="1025" t="s">
        <v>1411</v>
      </c>
      <c r="E797" s="1025" t="s">
        <v>1449</v>
      </c>
      <c r="F797" s="1026">
        <v>45456</v>
      </c>
      <c r="G797" s="1026"/>
      <c r="H797" s="1027" t="s">
        <v>701</v>
      </c>
    </row>
    <row r="798" spans="1:8">
      <c r="A798" s="1018">
        <v>797</v>
      </c>
      <c r="B798" s="1019" t="s">
        <v>58</v>
      </c>
      <c r="C798" s="1020" t="s">
        <v>660</v>
      </c>
      <c r="D798" s="1020" t="s">
        <v>1450</v>
      </c>
      <c r="E798" s="1020" t="s">
        <v>1451</v>
      </c>
      <c r="F798" s="1021">
        <v>45423</v>
      </c>
      <c r="G798" s="1021"/>
      <c r="H798" s="1022" t="s">
        <v>701</v>
      </c>
    </row>
    <row r="799" spans="1:8">
      <c r="A799" s="1023">
        <v>798</v>
      </c>
      <c r="B799" s="1024" t="s">
        <v>58</v>
      </c>
      <c r="C799" s="1025" t="s">
        <v>660</v>
      </c>
      <c r="D799" s="1025" t="s">
        <v>1450</v>
      </c>
      <c r="E799" s="1025" t="s">
        <v>1452</v>
      </c>
      <c r="F799" s="1026">
        <v>45423</v>
      </c>
      <c r="G799" s="1026"/>
      <c r="H799" s="1027" t="s">
        <v>701</v>
      </c>
    </row>
    <row r="800" spans="1:8">
      <c r="A800" s="1018">
        <v>799</v>
      </c>
      <c r="B800" s="1019" t="s">
        <v>58</v>
      </c>
      <c r="C800" s="1020" t="s">
        <v>660</v>
      </c>
      <c r="D800" s="1020" t="s">
        <v>1450</v>
      </c>
      <c r="E800" s="1020" t="s">
        <v>1453</v>
      </c>
      <c r="F800" s="1021">
        <v>45423</v>
      </c>
      <c r="G800" s="1021"/>
      <c r="H800" s="1022" t="s">
        <v>701</v>
      </c>
    </row>
    <row r="801" spans="1:8">
      <c r="A801" s="1023">
        <v>800</v>
      </c>
      <c r="B801" s="1024" t="s">
        <v>58</v>
      </c>
      <c r="C801" s="1025" t="s">
        <v>660</v>
      </c>
      <c r="D801" s="1025" t="s">
        <v>1450</v>
      </c>
      <c r="E801" s="1025" t="s">
        <v>1454</v>
      </c>
      <c r="F801" s="1026">
        <v>45423</v>
      </c>
      <c r="G801" s="1026"/>
      <c r="H801" s="1027" t="s">
        <v>701</v>
      </c>
    </row>
    <row r="802" spans="1:8">
      <c r="A802" s="1018">
        <v>801</v>
      </c>
      <c r="B802" s="1019" t="s">
        <v>58</v>
      </c>
      <c r="C802" s="1020" t="s">
        <v>660</v>
      </c>
      <c r="D802" s="1020" t="s">
        <v>1450</v>
      </c>
      <c r="E802" s="1020" t="s">
        <v>1455</v>
      </c>
      <c r="F802" s="1021">
        <v>45423</v>
      </c>
      <c r="G802" s="1021"/>
      <c r="H802" s="1022" t="s">
        <v>701</v>
      </c>
    </row>
    <row r="803" spans="1:8">
      <c r="A803" s="1023">
        <v>802</v>
      </c>
      <c r="B803" s="1024" t="s">
        <v>58</v>
      </c>
      <c r="C803" s="1025" t="s">
        <v>660</v>
      </c>
      <c r="D803" s="1025" t="s">
        <v>1450</v>
      </c>
      <c r="E803" s="1025" t="s">
        <v>1456</v>
      </c>
      <c r="F803" s="1026">
        <v>45456</v>
      </c>
      <c r="G803" s="1026"/>
      <c r="H803" s="1027" t="s">
        <v>701</v>
      </c>
    </row>
    <row r="804" spans="1:8">
      <c r="A804" s="1018">
        <v>803</v>
      </c>
      <c r="B804" s="1019" t="s">
        <v>58</v>
      </c>
      <c r="C804" s="1020" t="s">
        <v>660</v>
      </c>
      <c r="D804" s="1020" t="s">
        <v>1450</v>
      </c>
      <c r="E804" s="1020" t="s">
        <v>1457</v>
      </c>
      <c r="F804" s="1021">
        <v>45456</v>
      </c>
      <c r="G804" s="1021"/>
      <c r="H804" s="1022" t="s">
        <v>701</v>
      </c>
    </row>
    <row r="805" spans="1:8">
      <c r="A805" s="1023">
        <v>804</v>
      </c>
      <c r="B805" s="1024" t="s">
        <v>58</v>
      </c>
      <c r="C805" s="1025" t="s">
        <v>660</v>
      </c>
      <c r="D805" s="1025" t="s">
        <v>1458</v>
      </c>
      <c r="E805" s="1025" t="s">
        <v>1459</v>
      </c>
      <c r="F805" s="1026">
        <v>45423</v>
      </c>
      <c r="G805" s="1026"/>
      <c r="H805" s="1027" t="s">
        <v>701</v>
      </c>
    </row>
    <row r="806" spans="1:8">
      <c r="A806" s="1018">
        <v>805</v>
      </c>
      <c r="B806" s="1019" t="s">
        <v>58</v>
      </c>
      <c r="C806" s="1020" t="s">
        <v>660</v>
      </c>
      <c r="D806" s="1020" t="s">
        <v>1458</v>
      </c>
      <c r="E806" s="1020" t="s">
        <v>1460</v>
      </c>
      <c r="F806" s="1021">
        <v>45423</v>
      </c>
      <c r="G806" s="1021"/>
      <c r="H806" s="1022" t="s">
        <v>701</v>
      </c>
    </row>
    <row r="807" spans="1:8">
      <c r="A807" s="1023">
        <v>806</v>
      </c>
      <c r="B807" s="1024" t="s">
        <v>58</v>
      </c>
      <c r="C807" s="1025" t="s">
        <v>660</v>
      </c>
      <c r="D807" s="1025" t="s">
        <v>1458</v>
      </c>
      <c r="E807" s="1025" t="s">
        <v>1461</v>
      </c>
      <c r="F807" s="1026">
        <v>45423</v>
      </c>
      <c r="G807" s="1026"/>
      <c r="H807" s="1027" t="s">
        <v>701</v>
      </c>
    </row>
    <row r="808" spans="1:8">
      <c r="A808" s="1018">
        <v>807</v>
      </c>
      <c r="B808" s="1019" t="s">
        <v>58</v>
      </c>
      <c r="C808" s="1020" t="s">
        <v>660</v>
      </c>
      <c r="D808" s="1020" t="s">
        <v>1458</v>
      </c>
      <c r="E808" s="1020" t="s">
        <v>1462</v>
      </c>
      <c r="F808" s="1021">
        <v>45423</v>
      </c>
      <c r="G808" s="1021"/>
      <c r="H808" s="1022" t="s">
        <v>701</v>
      </c>
    </row>
    <row r="809" spans="1:8">
      <c r="A809" s="1023">
        <v>808</v>
      </c>
      <c r="B809" s="1024" t="s">
        <v>58</v>
      </c>
      <c r="C809" s="1025" t="s">
        <v>660</v>
      </c>
      <c r="D809" s="1025" t="s">
        <v>1458</v>
      </c>
      <c r="E809" s="1025" t="s">
        <v>1463</v>
      </c>
      <c r="F809" s="1026">
        <v>45423</v>
      </c>
      <c r="G809" s="1026"/>
      <c r="H809" s="1027" t="s">
        <v>701</v>
      </c>
    </row>
    <row r="810" spans="1:8">
      <c r="A810" s="1018">
        <v>809</v>
      </c>
      <c r="B810" s="1019" t="s">
        <v>58</v>
      </c>
      <c r="C810" s="1020" t="s">
        <v>660</v>
      </c>
      <c r="D810" s="1020" t="s">
        <v>1458</v>
      </c>
      <c r="E810" s="1020" t="s">
        <v>1464</v>
      </c>
      <c r="F810" s="1021">
        <v>45456</v>
      </c>
      <c r="G810" s="1021"/>
      <c r="H810" s="1022" t="s">
        <v>701</v>
      </c>
    </row>
    <row r="811" spans="1:8">
      <c r="A811" s="1023">
        <v>810</v>
      </c>
      <c r="B811" s="1024" t="s">
        <v>58</v>
      </c>
      <c r="C811" s="1025" t="s">
        <v>660</v>
      </c>
      <c r="D811" s="1025" t="s">
        <v>1458</v>
      </c>
      <c r="E811" s="1025" t="s">
        <v>1465</v>
      </c>
      <c r="F811" s="1026">
        <v>45456</v>
      </c>
      <c r="G811" s="1026"/>
      <c r="H811" s="1027" t="s">
        <v>701</v>
      </c>
    </row>
    <row r="812" spans="1:8">
      <c r="A812" s="1018">
        <v>811</v>
      </c>
      <c r="B812" s="1019" t="s">
        <v>58</v>
      </c>
      <c r="C812" s="1020" t="s">
        <v>660</v>
      </c>
      <c r="D812" s="1020" t="s">
        <v>1466</v>
      </c>
      <c r="E812" s="1020" t="s">
        <v>1467</v>
      </c>
      <c r="F812" s="1021">
        <v>45423</v>
      </c>
      <c r="G812" s="1021"/>
      <c r="H812" s="1022" t="s">
        <v>701</v>
      </c>
    </row>
    <row r="813" spans="1:8">
      <c r="A813" s="1023">
        <v>812</v>
      </c>
      <c r="B813" s="1024" t="s">
        <v>58</v>
      </c>
      <c r="C813" s="1025" t="s">
        <v>660</v>
      </c>
      <c r="D813" s="1025" t="s">
        <v>1466</v>
      </c>
      <c r="E813" s="1025" t="s">
        <v>1468</v>
      </c>
      <c r="F813" s="1026">
        <v>45423</v>
      </c>
      <c r="G813" s="1026"/>
      <c r="H813" s="1027" t="s">
        <v>701</v>
      </c>
    </row>
    <row r="814" spans="1:8">
      <c r="A814" s="1018">
        <v>813</v>
      </c>
      <c r="B814" s="1019" t="s">
        <v>58</v>
      </c>
      <c r="C814" s="1020" t="s">
        <v>660</v>
      </c>
      <c r="D814" s="1020" t="s">
        <v>1466</v>
      </c>
      <c r="E814" s="1020" t="s">
        <v>1469</v>
      </c>
      <c r="F814" s="1021">
        <v>45423</v>
      </c>
      <c r="G814" s="1021"/>
      <c r="H814" s="1022" t="s">
        <v>701</v>
      </c>
    </row>
    <row r="815" spans="1:8">
      <c r="A815" s="1023">
        <v>814</v>
      </c>
      <c r="B815" s="1024" t="s">
        <v>58</v>
      </c>
      <c r="C815" s="1025" t="s">
        <v>660</v>
      </c>
      <c r="D815" s="1025" t="s">
        <v>1466</v>
      </c>
      <c r="E815" s="1025" t="s">
        <v>1470</v>
      </c>
      <c r="F815" s="1026">
        <v>45423</v>
      </c>
      <c r="G815" s="1026"/>
      <c r="H815" s="1027" t="s">
        <v>701</v>
      </c>
    </row>
    <row r="816" spans="1:8">
      <c r="A816" s="1018">
        <v>815</v>
      </c>
      <c r="B816" s="1019" t="s">
        <v>58</v>
      </c>
      <c r="C816" s="1020" t="s">
        <v>660</v>
      </c>
      <c r="D816" s="1020" t="s">
        <v>1466</v>
      </c>
      <c r="E816" s="1020" t="s">
        <v>1471</v>
      </c>
      <c r="F816" s="1021">
        <v>45423</v>
      </c>
      <c r="G816" s="1021"/>
      <c r="H816" s="1022" t="s">
        <v>701</v>
      </c>
    </row>
    <row r="817" spans="1:8">
      <c r="A817" s="1023">
        <v>816</v>
      </c>
      <c r="B817" s="1024" t="s">
        <v>58</v>
      </c>
      <c r="C817" s="1025" t="s">
        <v>660</v>
      </c>
      <c r="D817" s="1025" t="s">
        <v>1466</v>
      </c>
      <c r="E817" s="1025" t="s">
        <v>1472</v>
      </c>
      <c r="F817" s="1026">
        <v>45456</v>
      </c>
      <c r="G817" s="1026"/>
      <c r="H817" s="1027" t="s">
        <v>701</v>
      </c>
    </row>
    <row r="818" spans="1:8">
      <c r="A818" s="1018">
        <v>817</v>
      </c>
      <c r="B818" s="1019" t="s">
        <v>58</v>
      </c>
      <c r="C818" s="1020" t="s">
        <v>660</v>
      </c>
      <c r="D818" s="1020" t="s">
        <v>1466</v>
      </c>
      <c r="E818" s="1020" t="s">
        <v>1473</v>
      </c>
      <c r="F818" s="1021">
        <v>45456</v>
      </c>
      <c r="G818" s="1021"/>
      <c r="H818" s="1022" t="s">
        <v>701</v>
      </c>
    </row>
    <row r="819" spans="1:8">
      <c r="A819" s="1023">
        <v>818</v>
      </c>
      <c r="B819" s="1024" t="s">
        <v>58</v>
      </c>
      <c r="C819" s="1025" t="s">
        <v>660</v>
      </c>
      <c r="D819" s="1025" t="s">
        <v>1466</v>
      </c>
      <c r="E819" s="1025" t="s">
        <v>1474</v>
      </c>
      <c r="F819" s="1026">
        <v>45423</v>
      </c>
      <c r="G819" s="1026"/>
      <c r="H819" s="1027" t="s">
        <v>701</v>
      </c>
    </row>
    <row r="820" spans="1:8">
      <c r="A820" s="1018">
        <v>819</v>
      </c>
      <c r="B820" s="1019" t="s">
        <v>58</v>
      </c>
      <c r="C820" s="1020" t="s">
        <v>660</v>
      </c>
      <c r="D820" s="1020" t="s">
        <v>1475</v>
      </c>
      <c r="E820" s="1020" t="s">
        <v>1476</v>
      </c>
      <c r="F820" s="1021">
        <v>45362</v>
      </c>
      <c r="G820" s="1021"/>
      <c r="H820" s="1022" t="s">
        <v>701</v>
      </c>
    </row>
    <row r="821" spans="1:8">
      <c r="A821" s="1023">
        <v>820</v>
      </c>
      <c r="B821" s="1024" t="s">
        <v>58</v>
      </c>
      <c r="C821" s="1025" t="s">
        <v>660</v>
      </c>
      <c r="D821" s="1025" t="s">
        <v>1475</v>
      </c>
      <c r="E821" s="1025" t="s">
        <v>1477</v>
      </c>
      <c r="F821" s="1026">
        <v>45362</v>
      </c>
      <c r="G821" s="1026"/>
      <c r="H821" s="1027" t="s">
        <v>701</v>
      </c>
    </row>
    <row r="822" spans="1:8">
      <c r="A822" s="1018">
        <v>821</v>
      </c>
      <c r="B822" s="1019" t="s">
        <v>58</v>
      </c>
      <c r="C822" s="1020" t="s">
        <v>660</v>
      </c>
      <c r="D822" s="1020" t="s">
        <v>1478</v>
      </c>
      <c r="E822" s="1020" t="s">
        <v>1479</v>
      </c>
      <c r="F822" s="1021">
        <v>45466</v>
      </c>
      <c r="G822" s="1021">
        <v>45466</v>
      </c>
      <c r="H822" s="1022" t="s">
        <v>663</v>
      </c>
    </row>
    <row r="823" spans="1:8" ht="26">
      <c r="A823" s="1023">
        <v>822</v>
      </c>
      <c r="B823" s="1024" t="s">
        <v>58</v>
      </c>
      <c r="C823" s="1025" t="s">
        <v>660</v>
      </c>
      <c r="D823" s="1025" t="s">
        <v>1478</v>
      </c>
      <c r="E823" s="1025" t="s">
        <v>1480</v>
      </c>
      <c r="F823" s="1026">
        <v>45466</v>
      </c>
      <c r="G823" s="1026">
        <v>45466</v>
      </c>
      <c r="H823" s="1027" t="s">
        <v>663</v>
      </c>
    </row>
    <row r="824" spans="1:8" ht="26">
      <c r="A824" s="1018">
        <v>823</v>
      </c>
      <c r="B824" s="1019" t="s">
        <v>58</v>
      </c>
      <c r="C824" s="1020" t="s">
        <v>660</v>
      </c>
      <c r="D824" s="1020" t="s">
        <v>1478</v>
      </c>
      <c r="E824" s="1020" t="s">
        <v>1481</v>
      </c>
      <c r="F824" s="1021">
        <v>45466</v>
      </c>
      <c r="G824" s="1021">
        <v>45466</v>
      </c>
      <c r="H824" s="1022" t="s">
        <v>663</v>
      </c>
    </row>
    <row r="825" spans="1:8" ht="26">
      <c r="A825" s="1023">
        <v>824</v>
      </c>
      <c r="B825" s="1024" t="s">
        <v>58</v>
      </c>
      <c r="C825" s="1025" t="s">
        <v>660</v>
      </c>
      <c r="D825" s="1025" t="s">
        <v>1478</v>
      </c>
      <c r="E825" s="1025" t="s">
        <v>1482</v>
      </c>
      <c r="F825" s="1026">
        <v>45466</v>
      </c>
      <c r="G825" s="1026">
        <v>45466</v>
      </c>
      <c r="H825" s="1027" t="s">
        <v>663</v>
      </c>
    </row>
    <row r="826" spans="1:8">
      <c r="A826" s="1018">
        <v>825</v>
      </c>
      <c r="B826" s="1019" t="s">
        <v>58</v>
      </c>
      <c r="C826" s="1020" t="s">
        <v>660</v>
      </c>
      <c r="D826" s="1020" t="s">
        <v>1483</v>
      </c>
      <c r="E826" s="1020" t="s">
        <v>1484</v>
      </c>
      <c r="F826" s="1021">
        <v>45423</v>
      </c>
      <c r="G826" s="1021"/>
      <c r="H826" s="1022" t="s">
        <v>701</v>
      </c>
    </row>
    <row r="827" spans="1:8">
      <c r="A827" s="1023">
        <v>826</v>
      </c>
      <c r="B827" s="1024" t="s">
        <v>58</v>
      </c>
      <c r="C827" s="1025" t="s">
        <v>660</v>
      </c>
      <c r="D827" s="1025" t="s">
        <v>1483</v>
      </c>
      <c r="E827" s="1025" t="s">
        <v>1485</v>
      </c>
      <c r="F827" s="1026">
        <v>45423</v>
      </c>
      <c r="G827" s="1026"/>
      <c r="H827" s="1027" t="s">
        <v>701</v>
      </c>
    </row>
    <row r="828" spans="1:8">
      <c r="A828" s="1018">
        <v>827</v>
      </c>
      <c r="B828" s="1019" t="s">
        <v>58</v>
      </c>
      <c r="C828" s="1020" t="s">
        <v>660</v>
      </c>
      <c r="D828" s="1020" t="s">
        <v>1483</v>
      </c>
      <c r="E828" s="1020" t="s">
        <v>1486</v>
      </c>
      <c r="F828" s="1021">
        <v>45423</v>
      </c>
      <c r="G828" s="1021"/>
      <c r="H828" s="1022" t="s">
        <v>701</v>
      </c>
    </row>
    <row r="829" spans="1:8">
      <c r="A829" s="1023">
        <v>828</v>
      </c>
      <c r="B829" s="1024" t="s">
        <v>58</v>
      </c>
      <c r="C829" s="1025" t="s">
        <v>660</v>
      </c>
      <c r="D829" s="1025" t="s">
        <v>1483</v>
      </c>
      <c r="E829" s="1025" t="s">
        <v>1487</v>
      </c>
      <c r="F829" s="1026">
        <v>45423</v>
      </c>
      <c r="G829" s="1026"/>
      <c r="H829" s="1027" t="s">
        <v>701</v>
      </c>
    </row>
    <row r="830" spans="1:8">
      <c r="A830" s="1018">
        <v>829</v>
      </c>
      <c r="B830" s="1019" t="s">
        <v>58</v>
      </c>
      <c r="C830" s="1020" t="s">
        <v>660</v>
      </c>
      <c r="D830" s="1020" t="s">
        <v>1483</v>
      </c>
      <c r="E830" s="1020" t="s">
        <v>1488</v>
      </c>
      <c r="F830" s="1021">
        <v>45423</v>
      </c>
      <c r="G830" s="1021"/>
      <c r="H830" s="1022" t="s">
        <v>701</v>
      </c>
    </row>
    <row r="831" spans="1:8">
      <c r="A831" s="1023">
        <v>830</v>
      </c>
      <c r="B831" s="1024" t="s">
        <v>58</v>
      </c>
      <c r="C831" s="1025" t="s">
        <v>660</v>
      </c>
      <c r="D831" s="1025" t="s">
        <v>1483</v>
      </c>
      <c r="E831" s="1025" t="s">
        <v>1489</v>
      </c>
      <c r="F831" s="1026">
        <v>45456</v>
      </c>
      <c r="G831" s="1026"/>
      <c r="H831" s="1027" t="s">
        <v>701</v>
      </c>
    </row>
    <row r="832" spans="1:8">
      <c r="A832" s="1018">
        <v>831</v>
      </c>
      <c r="B832" s="1019" t="s">
        <v>58</v>
      </c>
      <c r="C832" s="1020" t="s">
        <v>660</v>
      </c>
      <c r="D832" s="1020" t="s">
        <v>1483</v>
      </c>
      <c r="E832" s="1020" t="s">
        <v>1490</v>
      </c>
      <c r="F832" s="1021">
        <v>45456</v>
      </c>
      <c r="G832" s="1021"/>
      <c r="H832" s="1022" t="s">
        <v>701</v>
      </c>
    </row>
    <row r="833" spans="1:8">
      <c r="A833" s="1023">
        <v>832</v>
      </c>
      <c r="B833" s="1024" t="s">
        <v>58</v>
      </c>
      <c r="C833" s="1025" t="s">
        <v>660</v>
      </c>
      <c r="D833" s="1025" t="s">
        <v>1491</v>
      </c>
      <c r="E833" s="1025" t="s">
        <v>1492</v>
      </c>
      <c r="F833" s="1026">
        <v>45358</v>
      </c>
      <c r="G833" s="1026">
        <v>45331</v>
      </c>
      <c r="H833" s="1027" t="s">
        <v>663</v>
      </c>
    </row>
    <row r="834" spans="1:8">
      <c r="A834" s="1018">
        <v>833</v>
      </c>
      <c r="B834" s="1019" t="s">
        <v>58</v>
      </c>
      <c r="C834" s="1020" t="s">
        <v>660</v>
      </c>
      <c r="D834" s="1020" t="s">
        <v>1491</v>
      </c>
      <c r="E834" s="1020" t="s">
        <v>1493</v>
      </c>
      <c r="F834" s="1021">
        <v>45358</v>
      </c>
      <c r="G834" s="1021">
        <v>45331</v>
      </c>
      <c r="H834" s="1022" t="s">
        <v>663</v>
      </c>
    </row>
    <row r="835" spans="1:8">
      <c r="A835" s="1023">
        <v>834</v>
      </c>
      <c r="B835" s="1024" t="s">
        <v>58</v>
      </c>
      <c r="C835" s="1025" t="s">
        <v>660</v>
      </c>
      <c r="D835" s="1025" t="s">
        <v>1491</v>
      </c>
      <c r="E835" s="1025" t="s">
        <v>1494</v>
      </c>
      <c r="F835" s="1026">
        <v>45358</v>
      </c>
      <c r="G835" s="1026">
        <v>45331</v>
      </c>
      <c r="H835" s="1027" t="s">
        <v>663</v>
      </c>
    </row>
    <row r="836" spans="1:8">
      <c r="A836" s="1018">
        <v>835</v>
      </c>
      <c r="B836" s="1019" t="s">
        <v>58</v>
      </c>
      <c r="C836" s="1020" t="s">
        <v>660</v>
      </c>
      <c r="D836" s="1020" t="s">
        <v>1491</v>
      </c>
      <c r="E836" s="1020" t="s">
        <v>1495</v>
      </c>
      <c r="F836" s="1021">
        <v>45358</v>
      </c>
      <c r="G836" s="1021">
        <v>45331</v>
      </c>
      <c r="H836" s="1022" t="s">
        <v>663</v>
      </c>
    </row>
    <row r="837" spans="1:8">
      <c r="A837" s="1023">
        <v>836</v>
      </c>
      <c r="B837" s="1024" t="s">
        <v>58</v>
      </c>
      <c r="C837" s="1025" t="s">
        <v>660</v>
      </c>
      <c r="D837" s="1025" t="s">
        <v>1491</v>
      </c>
      <c r="E837" s="1025" t="s">
        <v>1496</v>
      </c>
      <c r="F837" s="1026">
        <v>45358</v>
      </c>
      <c r="G837" s="1026">
        <v>45331</v>
      </c>
      <c r="H837" s="1027" t="s">
        <v>663</v>
      </c>
    </row>
    <row r="838" spans="1:8">
      <c r="A838" s="1018">
        <v>837</v>
      </c>
      <c r="B838" s="1019" t="s">
        <v>58</v>
      </c>
      <c r="C838" s="1020" t="s">
        <v>660</v>
      </c>
      <c r="D838" s="1020" t="s">
        <v>1491</v>
      </c>
      <c r="E838" s="1020" t="s">
        <v>1497</v>
      </c>
      <c r="F838" s="1021">
        <v>45358</v>
      </c>
      <c r="G838" s="1021">
        <v>45331</v>
      </c>
      <c r="H838" s="1022" t="s">
        <v>663</v>
      </c>
    </row>
    <row r="839" spans="1:8">
      <c r="A839" s="1023">
        <v>838</v>
      </c>
      <c r="B839" s="1024" t="s">
        <v>58</v>
      </c>
      <c r="C839" s="1025" t="s">
        <v>660</v>
      </c>
      <c r="D839" s="1025" t="s">
        <v>1491</v>
      </c>
      <c r="E839" s="1025" t="s">
        <v>1498</v>
      </c>
      <c r="F839" s="1026">
        <v>45358</v>
      </c>
      <c r="G839" s="1026">
        <v>45331</v>
      </c>
      <c r="H839" s="1027" t="s">
        <v>663</v>
      </c>
    </row>
    <row r="840" spans="1:8" ht="26">
      <c r="A840" s="1018">
        <v>839</v>
      </c>
      <c r="B840" s="1019" t="s">
        <v>58</v>
      </c>
      <c r="C840" s="1020" t="s">
        <v>660</v>
      </c>
      <c r="D840" s="1020" t="s">
        <v>1491</v>
      </c>
      <c r="E840" s="1020" t="s">
        <v>1499</v>
      </c>
      <c r="F840" s="1021">
        <v>45358</v>
      </c>
      <c r="G840" s="1021">
        <v>45331</v>
      </c>
      <c r="H840" s="1022" t="s">
        <v>663</v>
      </c>
    </row>
    <row r="841" spans="1:8">
      <c r="A841" s="1023">
        <v>840</v>
      </c>
      <c r="B841" s="1024" t="s">
        <v>58</v>
      </c>
      <c r="C841" s="1025" t="s">
        <v>660</v>
      </c>
      <c r="D841" s="1025" t="s">
        <v>1491</v>
      </c>
      <c r="E841" s="1025" t="s">
        <v>1500</v>
      </c>
      <c r="F841" s="1026">
        <v>45358</v>
      </c>
      <c r="G841" s="1026">
        <v>45331</v>
      </c>
      <c r="H841" s="1027" t="s">
        <v>663</v>
      </c>
    </row>
    <row r="842" spans="1:8" ht="26">
      <c r="A842" s="1018">
        <v>841</v>
      </c>
      <c r="B842" s="1019" t="s">
        <v>58</v>
      </c>
      <c r="C842" s="1020" t="s">
        <v>660</v>
      </c>
      <c r="D842" s="1020" t="s">
        <v>1491</v>
      </c>
      <c r="E842" s="1020" t="s">
        <v>1501</v>
      </c>
      <c r="F842" s="1021">
        <v>45358</v>
      </c>
      <c r="G842" s="1021">
        <v>45331</v>
      </c>
      <c r="H842" s="1022" t="s">
        <v>663</v>
      </c>
    </row>
    <row r="843" spans="1:8">
      <c r="A843" s="1023">
        <v>842</v>
      </c>
      <c r="B843" s="1024" t="s">
        <v>58</v>
      </c>
      <c r="C843" s="1025" t="s">
        <v>660</v>
      </c>
      <c r="D843" s="1025" t="s">
        <v>1491</v>
      </c>
      <c r="E843" s="1025" t="s">
        <v>1502</v>
      </c>
      <c r="F843" s="1026">
        <v>45358</v>
      </c>
      <c r="G843" s="1026">
        <v>45331</v>
      </c>
      <c r="H843" s="1027" t="s">
        <v>663</v>
      </c>
    </row>
    <row r="844" spans="1:8">
      <c r="A844" s="1018">
        <v>843</v>
      </c>
      <c r="B844" s="1019" t="s">
        <v>58</v>
      </c>
      <c r="C844" s="1020" t="s">
        <v>660</v>
      </c>
      <c r="D844" s="1020" t="s">
        <v>1491</v>
      </c>
      <c r="E844" s="1020" t="s">
        <v>1503</v>
      </c>
      <c r="F844" s="1021">
        <v>45441</v>
      </c>
      <c r="G844" s="1021">
        <v>45331</v>
      </c>
      <c r="H844" s="1022" t="s">
        <v>663</v>
      </c>
    </row>
    <row r="845" spans="1:8" ht="26">
      <c r="A845" s="1023">
        <v>844</v>
      </c>
      <c r="B845" s="1024" t="s">
        <v>58</v>
      </c>
      <c r="C845" s="1025" t="s">
        <v>660</v>
      </c>
      <c r="D845" s="1025" t="s">
        <v>1491</v>
      </c>
      <c r="E845" s="1025" t="s">
        <v>1504</v>
      </c>
      <c r="F845" s="1026">
        <v>45441</v>
      </c>
      <c r="G845" s="1026">
        <v>45331</v>
      </c>
      <c r="H845" s="1027" t="s">
        <v>663</v>
      </c>
    </row>
    <row r="846" spans="1:8" ht="26">
      <c r="A846" s="1018">
        <v>845</v>
      </c>
      <c r="B846" s="1019" t="s">
        <v>58</v>
      </c>
      <c r="C846" s="1020" t="s">
        <v>660</v>
      </c>
      <c r="D846" s="1020" t="s">
        <v>1491</v>
      </c>
      <c r="E846" s="1020" t="s">
        <v>1505</v>
      </c>
      <c r="F846" s="1021">
        <v>45441</v>
      </c>
      <c r="G846" s="1021">
        <v>45331</v>
      </c>
      <c r="H846" s="1022" t="s">
        <v>663</v>
      </c>
    </row>
    <row r="847" spans="1:8" ht="26">
      <c r="A847" s="1023">
        <v>846</v>
      </c>
      <c r="B847" s="1024" t="s">
        <v>58</v>
      </c>
      <c r="C847" s="1025" t="s">
        <v>660</v>
      </c>
      <c r="D847" s="1025" t="s">
        <v>1491</v>
      </c>
      <c r="E847" s="1025" t="s">
        <v>1506</v>
      </c>
      <c r="F847" s="1026">
        <v>45441</v>
      </c>
      <c r="G847" s="1026">
        <v>45331</v>
      </c>
      <c r="H847" s="1027" t="s">
        <v>663</v>
      </c>
    </row>
    <row r="848" spans="1:8">
      <c r="A848" s="1018">
        <v>847</v>
      </c>
      <c r="B848" s="1019" t="s">
        <v>58</v>
      </c>
      <c r="C848" s="1020" t="s">
        <v>660</v>
      </c>
      <c r="D848" s="1020" t="s">
        <v>1491</v>
      </c>
      <c r="E848" s="1020" t="s">
        <v>1507</v>
      </c>
      <c r="F848" s="1021">
        <v>45358</v>
      </c>
      <c r="G848" s="1021">
        <v>45331</v>
      </c>
      <c r="H848" s="1022" t="s">
        <v>663</v>
      </c>
    </row>
    <row r="849" spans="1:8">
      <c r="A849" s="1023">
        <v>848</v>
      </c>
      <c r="B849" s="1024" t="s">
        <v>58</v>
      </c>
      <c r="C849" s="1025" t="s">
        <v>660</v>
      </c>
      <c r="D849" s="1025" t="s">
        <v>1491</v>
      </c>
      <c r="E849" s="1025" t="s">
        <v>1508</v>
      </c>
      <c r="F849" s="1026">
        <v>45358</v>
      </c>
      <c r="G849" s="1026">
        <v>45331</v>
      </c>
      <c r="H849" s="1027" t="s">
        <v>663</v>
      </c>
    </row>
    <row r="850" spans="1:8">
      <c r="A850" s="1018">
        <v>849</v>
      </c>
      <c r="B850" s="1019" t="s">
        <v>58</v>
      </c>
      <c r="C850" s="1020" t="s">
        <v>660</v>
      </c>
      <c r="D850" s="1020" t="s">
        <v>1491</v>
      </c>
      <c r="E850" s="1020" t="s">
        <v>1509</v>
      </c>
      <c r="F850" s="1021">
        <v>45358</v>
      </c>
      <c r="G850" s="1021">
        <v>45331</v>
      </c>
      <c r="H850" s="1022" t="s">
        <v>663</v>
      </c>
    </row>
    <row r="851" spans="1:8">
      <c r="A851" s="1023">
        <v>850</v>
      </c>
      <c r="B851" s="1024" t="s">
        <v>58</v>
      </c>
      <c r="C851" s="1025" t="s">
        <v>660</v>
      </c>
      <c r="D851" s="1025" t="s">
        <v>1491</v>
      </c>
      <c r="E851" s="1025" t="s">
        <v>1510</v>
      </c>
      <c r="F851" s="1026">
        <v>45358</v>
      </c>
      <c r="G851" s="1026">
        <v>45331</v>
      </c>
      <c r="H851" s="1027" t="s">
        <v>663</v>
      </c>
    </row>
    <row r="852" spans="1:8">
      <c r="A852" s="1018">
        <v>851</v>
      </c>
      <c r="B852" s="1019" t="s">
        <v>58</v>
      </c>
      <c r="C852" s="1020" t="s">
        <v>660</v>
      </c>
      <c r="D852" s="1020" t="s">
        <v>1491</v>
      </c>
      <c r="E852" s="1020" t="s">
        <v>1511</v>
      </c>
      <c r="F852" s="1021">
        <v>45358</v>
      </c>
      <c r="G852" s="1021">
        <v>45331</v>
      </c>
      <c r="H852" s="1022" t="s">
        <v>663</v>
      </c>
    </row>
    <row r="853" spans="1:8">
      <c r="A853" s="1023">
        <v>852</v>
      </c>
      <c r="B853" s="1024" t="s">
        <v>58</v>
      </c>
      <c r="C853" s="1025" t="s">
        <v>660</v>
      </c>
      <c r="D853" s="1025" t="s">
        <v>1491</v>
      </c>
      <c r="E853" s="1025" t="s">
        <v>1512</v>
      </c>
      <c r="F853" s="1026">
        <v>45358</v>
      </c>
      <c r="G853" s="1026">
        <v>45331</v>
      </c>
      <c r="H853" s="1027" t="s">
        <v>663</v>
      </c>
    </row>
    <row r="854" spans="1:8">
      <c r="A854" s="1018">
        <v>853</v>
      </c>
      <c r="B854" s="1019" t="s">
        <v>58</v>
      </c>
      <c r="C854" s="1020" t="s">
        <v>660</v>
      </c>
      <c r="D854" s="1020" t="s">
        <v>1491</v>
      </c>
      <c r="E854" s="1020" t="s">
        <v>1513</v>
      </c>
      <c r="F854" s="1021">
        <v>45358</v>
      </c>
      <c r="G854" s="1021">
        <v>45331</v>
      </c>
      <c r="H854" s="1022" t="s">
        <v>663</v>
      </c>
    </row>
    <row r="855" spans="1:8">
      <c r="A855" s="1023">
        <v>854</v>
      </c>
      <c r="B855" s="1024" t="s">
        <v>58</v>
      </c>
      <c r="C855" s="1025" t="s">
        <v>660</v>
      </c>
      <c r="D855" s="1025" t="s">
        <v>1491</v>
      </c>
      <c r="E855" s="1025" t="s">
        <v>1514</v>
      </c>
      <c r="F855" s="1026">
        <v>45358</v>
      </c>
      <c r="G855" s="1026">
        <v>45331</v>
      </c>
      <c r="H855" s="1027" t="s">
        <v>663</v>
      </c>
    </row>
    <row r="856" spans="1:8">
      <c r="A856" s="1018">
        <v>855</v>
      </c>
      <c r="B856" s="1019" t="s">
        <v>58</v>
      </c>
      <c r="C856" s="1020" t="s">
        <v>660</v>
      </c>
      <c r="D856" s="1020" t="s">
        <v>1491</v>
      </c>
      <c r="E856" s="1020" t="s">
        <v>1515</v>
      </c>
      <c r="F856" s="1021">
        <v>45358</v>
      </c>
      <c r="G856" s="1021">
        <v>45377</v>
      </c>
      <c r="H856" s="1022" t="s">
        <v>663</v>
      </c>
    </row>
    <row r="857" spans="1:8">
      <c r="A857" s="1023">
        <v>856</v>
      </c>
      <c r="B857" s="1024" t="s">
        <v>58</v>
      </c>
      <c r="C857" s="1025" t="s">
        <v>660</v>
      </c>
      <c r="D857" s="1025" t="s">
        <v>1491</v>
      </c>
      <c r="E857" s="1025" t="s">
        <v>1516</v>
      </c>
      <c r="F857" s="1026">
        <v>45358</v>
      </c>
      <c r="G857" s="1026">
        <v>45440</v>
      </c>
      <c r="H857" s="1027" t="s">
        <v>663</v>
      </c>
    </row>
    <row r="858" spans="1:8">
      <c r="A858" s="1018">
        <v>857</v>
      </c>
      <c r="B858" s="1019" t="s">
        <v>58</v>
      </c>
      <c r="C858" s="1020" t="s">
        <v>660</v>
      </c>
      <c r="D858" s="1020" t="s">
        <v>1491</v>
      </c>
      <c r="E858" s="1020" t="s">
        <v>1517</v>
      </c>
      <c r="F858" s="1021">
        <v>45576</v>
      </c>
      <c r="G858" s="1021"/>
      <c r="H858" s="1022" t="s">
        <v>701</v>
      </c>
    </row>
    <row r="859" spans="1:8">
      <c r="A859" s="1023">
        <v>858</v>
      </c>
      <c r="B859" s="1024" t="s">
        <v>58</v>
      </c>
      <c r="C859" s="1025" t="s">
        <v>660</v>
      </c>
      <c r="D859" s="1025" t="s">
        <v>1491</v>
      </c>
      <c r="E859" s="1025" t="s">
        <v>1518</v>
      </c>
      <c r="F859" s="1026">
        <v>45576</v>
      </c>
      <c r="G859" s="1026"/>
      <c r="H859" s="1027" t="s">
        <v>701</v>
      </c>
    </row>
    <row r="860" spans="1:8">
      <c r="A860" s="1018">
        <v>859</v>
      </c>
      <c r="B860" s="1019" t="s">
        <v>58</v>
      </c>
      <c r="C860" s="1020" t="s">
        <v>660</v>
      </c>
      <c r="D860" s="1020" t="s">
        <v>1491</v>
      </c>
      <c r="E860" s="1020" t="s">
        <v>1519</v>
      </c>
      <c r="F860" s="1021">
        <v>45358</v>
      </c>
      <c r="G860" s="1021">
        <v>45362</v>
      </c>
      <c r="H860" s="1022" t="s">
        <v>663</v>
      </c>
    </row>
    <row r="861" spans="1:8">
      <c r="A861" s="1023">
        <v>860</v>
      </c>
      <c r="B861" s="1024" t="s">
        <v>58</v>
      </c>
      <c r="C861" s="1025" t="s">
        <v>660</v>
      </c>
      <c r="D861" s="1025" t="s">
        <v>1491</v>
      </c>
      <c r="E861" s="1025" t="s">
        <v>1520</v>
      </c>
      <c r="F861" s="1026">
        <v>45358</v>
      </c>
      <c r="G861" s="1026">
        <v>45362</v>
      </c>
      <c r="H861" s="1027" t="s">
        <v>663</v>
      </c>
    </row>
    <row r="862" spans="1:8">
      <c r="A862" s="1018">
        <v>861</v>
      </c>
      <c r="B862" s="1019" t="s">
        <v>58</v>
      </c>
      <c r="C862" s="1020" t="s">
        <v>660</v>
      </c>
      <c r="D862" s="1020" t="s">
        <v>1491</v>
      </c>
      <c r="E862" s="1020" t="s">
        <v>1521</v>
      </c>
      <c r="F862" s="1021">
        <v>45358</v>
      </c>
      <c r="G862" s="1021">
        <v>45362</v>
      </c>
      <c r="H862" s="1022" t="s">
        <v>663</v>
      </c>
    </row>
    <row r="863" spans="1:8">
      <c r="A863" s="1023">
        <v>862</v>
      </c>
      <c r="B863" s="1024" t="s">
        <v>58</v>
      </c>
      <c r="C863" s="1025" t="s">
        <v>660</v>
      </c>
      <c r="D863" s="1025" t="s">
        <v>1491</v>
      </c>
      <c r="E863" s="1025" t="s">
        <v>1522</v>
      </c>
      <c r="F863" s="1026">
        <v>45419</v>
      </c>
      <c r="G863" s="1026"/>
      <c r="H863" s="1027" t="s">
        <v>701</v>
      </c>
    </row>
    <row r="864" spans="1:8">
      <c r="A864" s="1018">
        <v>863</v>
      </c>
      <c r="B864" s="1019" t="s">
        <v>58</v>
      </c>
      <c r="C864" s="1020" t="s">
        <v>660</v>
      </c>
      <c r="D864" s="1020" t="s">
        <v>1491</v>
      </c>
      <c r="E864" s="1020" t="s">
        <v>1523</v>
      </c>
      <c r="F864" s="1021">
        <v>45419</v>
      </c>
      <c r="G864" s="1021">
        <v>45409</v>
      </c>
      <c r="H864" s="1022" t="s">
        <v>663</v>
      </c>
    </row>
    <row r="865" spans="1:8">
      <c r="A865" s="1023">
        <v>864</v>
      </c>
      <c r="B865" s="1024" t="s">
        <v>58</v>
      </c>
      <c r="C865" s="1025" t="s">
        <v>660</v>
      </c>
      <c r="D865" s="1025" t="s">
        <v>1491</v>
      </c>
      <c r="E865" s="1025" t="s">
        <v>1524</v>
      </c>
      <c r="F865" s="1026">
        <v>45419</v>
      </c>
      <c r="G865" s="1026">
        <v>45409</v>
      </c>
      <c r="H865" s="1027" t="s">
        <v>663</v>
      </c>
    </row>
    <row r="866" spans="1:8">
      <c r="A866" s="1018">
        <v>865</v>
      </c>
      <c r="B866" s="1019" t="s">
        <v>58</v>
      </c>
      <c r="C866" s="1020" t="s">
        <v>660</v>
      </c>
      <c r="D866" s="1020" t="s">
        <v>1491</v>
      </c>
      <c r="E866" s="1020" t="s">
        <v>1525</v>
      </c>
      <c r="F866" s="1021">
        <v>45419</v>
      </c>
      <c r="G866" s="1021">
        <v>45409</v>
      </c>
      <c r="H866" s="1022" t="s">
        <v>663</v>
      </c>
    </row>
    <row r="867" spans="1:8">
      <c r="A867" s="1023">
        <v>866</v>
      </c>
      <c r="B867" s="1024" t="s">
        <v>58</v>
      </c>
      <c r="C867" s="1025" t="s">
        <v>660</v>
      </c>
      <c r="D867" s="1025" t="s">
        <v>1491</v>
      </c>
      <c r="E867" s="1025" t="s">
        <v>1526</v>
      </c>
      <c r="F867" s="1026">
        <v>45419</v>
      </c>
      <c r="G867" s="1026">
        <v>45409</v>
      </c>
      <c r="H867" s="1027" t="s">
        <v>663</v>
      </c>
    </row>
    <row r="868" spans="1:8">
      <c r="A868" s="1018">
        <v>867</v>
      </c>
      <c r="B868" s="1019" t="s">
        <v>58</v>
      </c>
      <c r="C868" s="1020" t="s">
        <v>660</v>
      </c>
      <c r="D868" s="1020" t="s">
        <v>1491</v>
      </c>
      <c r="E868" s="1020" t="s">
        <v>1527</v>
      </c>
      <c r="F868" s="1021">
        <v>45419</v>
      </c>
      <c r="G868" s="1021">
        <v>45436</v>
      </c>
      <c r="H868" s="1022" t="s">
        <v>663</v>
      </c>
    </row>
    <row r="869" spans="1:8">
      <c r="A869" s="1023">
        <v>868</v>
      </c>
      <c r="B869" s="1024" t="s">
        <v>58</v>
      </c>
      <c r="C869" s="1025" t="s">
        <v>660</v>
      </c>
      <c r="D869" s="1025" t="s">
        <v>1491</v>
      </c>
      <c r="E869" s="1025" t="s">
        <v>1528</v>
      </c>
      <c r="F869" s="1026">
        <v>45576</v>
      </c>
      <c r="G869" s="1026">
        <v>45532</v>
      </c>
      <c r="H869" s="1027" t="s">
        <v>663</v>
      </c>
    </row>
    <row r="870" spans="1:8">
      <c r="A870" s="1018">
        <v>869</v>
      </c>
      <c r="B870" s="1019" t="s">
        <v>58</v>
      </c>
      <c r="C870" s="1020" t="s">
        <v>660</v>
      </c>
      <c r="D870" s="1020" t="s">
        <v>1491</v>
      </c>
      <c r="E870" s="1020" t="s">
        <v>1529</v>
      </c>
      <c r="F870" s="1021">
        <v>45576</v>
      </c>
      <c r="G870" s="1021">
        <v>45532</v>
      </c>
      <c r="H870" s="1022" t="s">
        <v>663</v>
      </c>
    </row>
    <row r="871" spans="1:8">
      <c r="A871" s="1023">
        <v>870</v>
      </c>
      <c r="B871" s="1024" t="s">
        <v>58</v>
      </c>
      <c r="C871" s="1025" t="s">
        <v>660</v>
      </c>
      <c r="D871" s="1025" t="s">
        <v>1491</v>
      </c>
      <c r="E871" s="1025" t="s">
        <v>1530</v>
      </c>
      <c r="F871" s="1026">
        <v>45576</v>
      </c>
      <c r="G871" s="1026">
        <v>45532</v>
      </c>
      <c r="H871" s="1027" t="s">
        <v>663</v>
      </c>
    </row>
    <row r="872" spans="1:8">
      <c r="A872" s="1018">
        <v>871</v>
      </c>
      <c r="B872" s="1019" t="s">
        <v>58</v>
      </c>
      <c r="C872" s="1020" t="s">
        <v>660</v>
      </c>
      <c r="D872" s="1020" t="s">
        <v>1491</v>
      </c>
      <c r="E872" s="1020" t="s">
        <v>1531</v>
      </c>
      <c r="F872" s="1021">
        <v>45576</v>
      </c>
      <c r="G872" s="1021">
        <v>45532</v>
      </c>
      <c r="H872" s="1022" t="s">
        <v>663</v>
      </c>
    </row>
    <row r="873" spans="1:8">
      <c r="A873" s="1023">
        <v>872</v>
      </c>
      <c r="B873" s="1024" t="s">
        <v>58</v>
      </c>
      <c r="C873" s="1025" t="s">
        <v>660</v>
      </c>
      <c r="D873" s="1025" t="s">
        <v>1491</v>
      </c>
      <c r="E873" s="1025" t="s">
        <v>1532</v>
      </c>
      <c r="F873" s="1026">
        <v>45576</v>
      </c>
      <c r="G873" s="1026">
        <v>45565</v>
      </c>
      <c r="H873" s="1027" t="s">
        <v>663</v>
      </c>
    </row>
    <row r="874" spans="1:8">
      <c r="A874" s="1018">
        <v>873</v>
      </c>
      <c r="B874" s="1019" t="s">
        <v>58</v>
      </c>
      <c r="C874" s="1020" t="s">
        <v>660</v>
      </c>
      <c r="D874" s="1020" t="s">
        <v>1491</v>
      </c>
      <c r="E874" s="1020" t="s">
        <v>1533</v>
      </c>
      <c r="F874" s="1021">
        <v>45576</v>
      </c>
      <c r="G874" s="1021">
        <v>45565</v>
      </c>
      <c r="H874" s="1022" t="s">
        <v>663</v>
      </c>
    </row>
    <row r="875" spans="1:8">
      <c r="A875" s="1023">
        <v>874</v>
      </c>
      <c r="B875" s="1024" t="s">
        <v>58</v>
      </c>
      <c r="C875" s="1025" t="s">
        <v>660</v>
      </c>
      <c r="D875" s="1025" t="s">
        <v>1491</v>
      </c>
      <c r="E875" s="1025" t="s">
        <v>1534</v>
      </c>
      <c r="F875" s="1026">
        <v>45576</v>
      </c>
      <c r="G875" s="1026">
        <v>45565</v>
      </c>
      <c r="H875" s="1027" t="s">
        <v>663</v>
      </c>
    </row>
    <row r="876" spans="1:8">
      <c r="A876" s="1018">
        <v>875</v>
      </c>
      <c r="B876" s="1019" t="s">
        <v>58</v>
      </c>
      <c r="C876" s="1020" t="s">
        <v>660</v>
      </c>
      <c r="D876" s="1020" t="s">
        <v>1491</v>
      </c>
      <c r="E876" s="1020" t="s">
        <v>1535</v>
      </c>
      <c r="F876" s="1021">
        <v>45576</v>
      </c>
      <c r="G876" s="1021">
        <v>45565</v>
      </c>
      <c r="H876" s="1022" t="s">
        <v>663</v>
      </c>
    </row>
    <row r="877" spans="1:8">
      <c r="A877" s="1023">
        <v>876</v>
      </c>
      <c r="B877" s="1024" t="s">
        <v>58</v>
      </c>
      <c r="C877" s="1025" t="s">
        <v>660</v>
      </c>
      <c r="D877" s="1025" t="s">
        <v>1491</v>
      </c>
      <c r="E877" s="1025" t="s">
        <v>1536</v>
      </c>
      <c r="F877" s="1026">
        <v>45576</v>
      </c>
      <c r="G877" s="1026">
        <v>45513</v>
      </c>
      <c r="H877" s="1027" t="s">
        <v>663</v>
      </c>
    </row>
    <row r="878" spans="1:8">
      <c r="A878" s="1018">
        <v>877</v>
      </c>
      <c r="B878" s="1019" t="s">
        <v>58</v>
      </c>
      <c r="C878" s="1020" t="s">
        <v>660</v>
      </c>
      <c r="D878" s="1020" t="s">
        <v>1491</v>
      </c>
      <c r="E878" s="1020" t="s">
        <v>1537</v>
      </c>
      <c r="F878" s="1021">
        <v>45576</v>
      </c>
      <c r="G878" s="1021">
        <v>45513</v>
      </c>
      <c r="H878" s="1022" t="s">
        <v>663</v>
      </c>
    </row>
    <row r="879" spans="1:8">
      <c r="A879" s="1023">
        <v>878</v>
      </c>
      <c r="B879" s="1024" t="s">
        <v>58</v>
      </c>
      <c r="C879" s="1025" t="s">
        <v>660</v>
      </c>
      <c r="D879" s="1025" t="s">
        <v>1491</v>
      </c>
      <c r="E879" s="1025" t="s">
        <v>1538</v>
      </c>
      <c r="F879" s="1026">
        <v>45576</v>
      </c>
      <c r="G879" s="1026">
        <v>45399</v>
      </c>
      <c r="H879" s="1027" t="s">
        <v>663</v>
      </c>
    </row>
    <row r="880" spans="1:8">
      <c r="A880" s="1018">
        <v>879</v>
      </c>
      <c r="B880" s="1019" t="s">
        <v>58</v>
      </c>
      <c r="C880" s="1020" t="s">
        <v>660</v>
      </c>
      <c r="D880" s="1020" t="s">
        <v>1491</v>
      </c>
      <c r="E880" s="1020" t="s">
        <v>1539</v>
      </c>
      <c r="F880" s="1021">
        <v>45576</v>
      </c>
      <c r="G880" s="1021">
        <v>45399</v>
      </c>
      <c r="H880" s="1022" t="s">
        <v>663</v>
      </c>
    </row>
    <row r="881" spans="1:8">
      <c r="A881" s="1023">
        <v>880</v>
      </c>
      <c r="B881" s="1024" t="s">
        <v>58</v>
      </c>
      <c r="C881" s="1025" t="s">
        <v>660</v>
      </c>
      <c r="D881" s="1025" t="s">
        <v>1491</v>
      </c>
      <c r="E881" s="1025" t="s">
        <v>1540</v>
      </c>
      <c r="F881" s="1026">
        <v>45423</v>
      </c>
      <c r="G881" s="1026">
        <v>45531</v>
      </c>
      <c r="H881" s="1027" t="s">
        <v>663</v>
      </c>
    </row>
    <row r="882" spans="1:8">
      <c r="A882" s="1018">
        <v>881</v>
      </c>
      <c r="B882" s="1019" t="s">
        <v>58</v>
      </c>
      <c r="C882" s="1020" t="s">
        <v>660</v>
      </c>
      <c r="D882" s="1020" t="s">
        <v>1491</v>
      </c>
      <c r="E882" s="1020" t="s">
        <v>1541</v>
      </c>
      <c r="F882" s="1021">
        <v>45423</v>
      </c>
      <c r="G882" s="1021">
        <v>45531</v>
      </c>
      <c r="H882" s="1022" t="s">
        <v>663</v>
      </c>
    </row>
    <row r="883" spans="1:8">
      <c r="A883" s="1023">
        <v>882</v>
      </c>
      <c r="B883" s="1024" t="s">
        <v>58</v>
      </c>
      <c r="C883" s="1025" t="s">
        <v>660</v>
      </c>
      <c r="D883" s="1025" t="s">
        <v>1491</v>
      </c>
      <c r="E883" s="1025" t="s">
        <v>1542</v>
      </c>
      <c r="F883" s="1026">
        <v>45423</v>
      </c>
      <c r="G883" s="1026">
        <v>45399</v>
      </c>
      <c r="H883" s="1027" t="s">
        <v>663</v>
      </c>
    </row>
    <row r="884" spans="1:8">
      <c r="A884" s="1018">
        <v>883</v>
      </c>
      <c r="B884" s="1019" t="s">
        <v>58</v>
      </c>
      <c r="C884" s="1020" t="s">
        <v>660</v>
      </c>
      <c r="D884" s="1020" t="s">
        <v>1491</v>
      </c>
      <c r="E884" s="1020" t="s">
        <v>1543</v>
      </c>
      <c r="F884" s="1021">
        <v>45423</v>
      </c>
      <c r="G884" s="1021">
        <v>45399</v>
      </c>
      <c r="H884" s="1022" t="s">
        <v>663</v>
      </c>
    </row>
    <row r="885" spans="1:8">
      <c r="A885" s="1023">
        <v>884</v>
      </c>
      <c r="B885" s="1024" t="s">
        <v>58</v>
      </c>
      <c r="C885" s="1025" t="s">
        <v>660</v>
      </c>
      <c r="D885" s="1025" t="s">
        <v>1491</v>
      </c>
      <c r="E885" s="1025" t="s">
        <v>1544</v>
      </c>
      <c r="F885" s="1026">
        <v>45423</v>
      </c>
      <c r="G885" s="1026">
        <v>45399</v>
      </c>
      <c r="H885" s="1027" t="s">
        <v>663</v>
      </c>
    </row>
    <row r="886" spans="1:8">
      <c r="A886" s="1018">
        <v>885</v>
      </c>
      <c r="B886" s="1019" t="s">
        <v>58</v>
      </c>
      <c r="C886" s="1020" t="s">
        <v>660</v>
      </c>
      <c r="D886" s="1020" t="s">
        <v>1491</v>
      </c>
      <c r="E886" s="1020" t="s">
        <v>1545</v>
      </c>
      <c r="F886" s="1021">
        <v>45423</v>
      </c>
      <c r="G886" s="1021">
        <v>45399</v>
      </c>
      <c r="H886" s="1022" t="s">
        <v>663</v>
      </c>
    </row>
    <row r="887" spans="1:8">
      <c r="A887" s="1023">
        <v>886</v>
      </c>
      <c r="B887" s="1024" t="s">
        <v>58</v>
      </c>
      <c r="C887" s="1025" t="s">
        <v>660</v>
      </c>
      <c r="D887" s="1025" t="s">
        <v>1491</v>
      </c>
      <c r="E887" s="1025" t="s">
        <v>1546</v>
      </c>
      <c r="F887" s="1026">
        <v>45423</v>
      </c>
      <c r="G887" s="1026">
        <v>45399</v>
      </c>
      <c r="H887" s="1027" t="s">
        <v>663</v>
      </c>
    </row>
    <row r="888" spans="1:8">
      <c r="A888" s="1018">
        <v>887</v>
      </c>
      <c r="B888" s="1019" t="s">
        <v>58</v>
      </c>
      <c r="C888" s="1020" t="s">
        <v>660</v>
      </c>
      <c r="D888" s="1020" t="s">
        <v>1491</v>
      </c>
      <c r="E888" s="1020" t="s">
        <v>1547</v>
      </c>
      <c r="F888" s="1021">
        <v>45423</v>
      </c>
      <c r="G888" s="1021">
        <v>45399</v>
      </c>
      <c r="H888" s="1022" t="s">
        <v>663</v>
      </c>
    </row>
    <row r="889" spans="1:8">
      <c r="A889" s="1023">
        <v>888</v>
      </c>
      <c r="B889" s="1024" t="s">
        <v>58</v>
      </c>
      <c r="C889" s="1025" t="s">
        <v>660</v>
      </c>
      <c r="D889" s="1025" t="s">
        <v>1491</v>
      </c>
      <c r="E889" s="1025" t="s">
        <v>1548</v>
      </c>
      <c r="F889" s="1026">
        <v>45423</v>
      </c>
      <c r="G889" s="1026">
        <v>45399</v>
      </c>
      <c r="H889" s="1027" t="s">
        <v>663</v>
      </c>
    </row>
    <row r="890" spans="1:8">
      <c r="A890" s="1018">
        <v>889</v>
      </c>
      <c r="B890" s="1019" t="s">
        <v>58</v>
      </c>
      <c r="C890" s="1020" t="s">
        <v>660</v>
      </c>
      <c r="D890" s="1020" t="s">
        <v>1491</v>
      </c>
      <c r="E890" s="1020" t="s">
        <v>1549</v>
      </c>
      <c r="F890" s="1021">
        <v>45423</v>
      </c>
      <c r="G890" s="1021">
        <v>45399</v>
      </c>
      <c r="H890" s="1022" t="s">
        <v>663</v>
      </c>
    </row>
    <row r="891" spans="1:8">
      <c r="A891" s="1023">
        <v>890</v>
      </c>
      <c r="B891" s="1024" t="s">
        <v>58</v>
      </c>
      <c r="C891" s="1025" t="s">
        <v>660</v>
      </c>
      <c r="D891" s="1025" t="s">
        <v>1491</v>
      </c>
      <c r="E891" s="1025" t="s">
        <v>1550</v>
      </c>
      <c r="F891" s="1026">
        <v>45515</v>
      </c>
      <c r="G891" s="1026">
        <v>45519</v>
      </c>
      <c r="H891" s="1027" t="s">
        <v>663</v>
      </c>
    </row>
    <row r="892" spans="1:8">
      <c r="A892" s="1018">
        <v>891</v>
      </c>
      <c r="B892" s="1019" t="s">
        <v>58</v>
      </c>
      <c r="C892" s="1020" t="s">
        <v>660</v>
      </c>
      <c r="D892" s="1020" t="s">
        <v>1491</v>
      </c>
      <c r="E892" s="1020" t="s">
        <v>1551</v>
      </c>
      <c r="F892" s="1021">
        <v>45576</v>
      </c>
      <c r="G892" s="1021">
        <v>45522</v>
      </c>
      <c r="H892" s="1022" t="s">
        <v>663</v>
      </c>
    </row>
    <row r="893" spans="1:8">
      <c r="A893" s="1023">
        <v>892</v>
      </c>
      <c r="B893" s="1024" t="s">
        <v>58</v>
      </c>
      <c r="C893" s="1025" t="s">
        <v>660</v>
      </c>
      <c r="D893" s="1025" t="s">
        <v>1491</v>
      </c>
      <c r="E893" s="1025" t="s">
        <v>1552</v>
      </c>
      <c r="F893" s="1026">
        <v>45576</v>
      </c>
      <c r="G893" s="1026">
        <v>45522</v>
      </c>
      <c r="H893" s="1027" t="s">
        <v>663</v>
      </c>
    </row>
    <row r="894" spans="1:8">
      <c r="A894" s="1018">
        <v>893</v>
      </c>
      <c r="B894" s="1019" t="s">
        <v>58</v>
      </c>
      <c r="C894" s="1020" t="s">
        <v>660</v>
      </c>
      <c r="D894" s="1020" t="s">
        <v>1491</v>
      </c>
      <c r="E894" s="1020" t="s">
        <v>1553</v>
      </c>
      <c r="F894" s="1021">
        <v>45576</v>
      </c>
      <c r="G894" s="1021">
        <v>45522</v>
      </c>
      <c r="H894" s="1022" t="s">
        <v>663</v>
      </c>
    </row>
    <row r="895" spans="1:8">
      <c r="A895" s="1023">
        <v>894</v>
      </c>
      <c r="B895" s="1024" t="s">
        <v>58</v>
      </c>
      <c r="C895" s="1025" t="s">
        <v>660</v>
      </c>
      <c r="D895" s="1025" t="s">
        <v>1491</v>
      </c>
      <c r="E895" s="1025" t="s">
        <v>1554</v>
      </c>
      <c r="F895" s="1026">
        <v>45576</v>
      </c>
      <c r="G895" s="1026">
        <v>45522</v>
      </c>
      <c r="H895" s="1027" t="s">
        <v>663</v>
      </c>
    </row>
    <row r="896" spans="1:8">
      <c r="A896" s="1018">
        <v>895</v>
      </c>
      <c r="B896" s="1019" t="s">
        <v>58</v>
      </c>
      <c r="C896" s="1020" t="s">
        <v>660</v>
      </c>
      <c r="D896" s="1020" t="s">
        <v>1491</v>
      </c>
      <c r="E896" s="1020" t="s">
        <v>1555</v>
      </c>
      <c r="F896" s="1021">
        <v>45576</v>
      </c>
      <c r="G896" s="1021">
        <v>45522</v>
      </c>
      <c r="H896" s="1022" t="s">
        <v>663</v>
      </c>
    </row>
    <row r="897" spans="1:8">
      <c r="A897" s="1023">
        <v>896</v>
      </c>
      <c r="B897" s="1024" t="s">
        <v>58</v>
      </c>
      <c r="C897" s="1025" t="s">
        <v>660</v>
      </c>
      <c r="D897" s="1025" t="s">
        <v>1491</v>
      </c>
      <c r="E897" s="1025" t="s">
        <v>1556</v>
      </c>
      <c r="F897" s="1026">
        <v>45576</v>
      </c>
      <c r="G897" s="1026">
        <v>45522</v>
      </c>
      <c r="H897" s="1027" t="s">
        <v>663</v>
      </c>
    </row>
    <row r="898" spans="1:8">
      <c r="A898" s="1018">
        <v>897</v>
      </c>
      <c r="B898" s="1019" t="s">
        <v>58</v>
      </c>
      <c r="C898" s="1020" t="s">
        <v>660</v>
      </c>
      <c r="D898" s="1020" t="s">
        <v>1491</v>
      </c>
      <c r="E898" s="1020" t="s">
        <v>1557</v>
      </c>
      <c r="F898" s="1021">
        <v>45576</v>
      </c>
      <c r="G898" s="1021">
        <v>45522</v>
      </c>
      <c r="H898" s="1022" t="s">
        <v>663</v>
      </c>
    </row>
    <row r="899" spans="1:8">
      <c r="A899" s="1023">
        <v>898</v>
      </c>
      <c r="B899" s="1024" t="s">
        <v>58</v>
      </c>
      <c r="C899" s="1025" t="s">
        <v>660</v>
      </c>
      <c r="D899" s="1025" t="s">
        <v>1491</v>
      </c>
      <c r="E899" s="1025" t="s">
        <v>1558</v>
      </c>
      <c r="F899" s="1026">
        <v>45576</v>
      </c>
      <c r="G899" s="1026">
        <v>45522</v>
      </c>
      <c r="H899" s="1027" t="s">
        <v>663</v>
      </c>
    </row>
    <row r="900" spans="1:8">
      <c r="A900" s="1018">
        <v>899</v>
      </c>
      <c r="B900" s="1019" t="s">
        <v>58</v>
      </c>
      <c r="C900" s="1020" t="s">
        <v>660</v>
      </c>
      <c r="D900" s="1020" t="s">
        <v>1491</v>
      </c>
      <c r="E900" s="1020" t="s">
        <v>1559</v>
      </c>
      <c r="F900" s="1021">
        <v>45576</v>
      </c>
      <c r="G900" s="1021">
        <v>45522</v>
      </c>
      <c r="H900" s="1022" t="s">
        <v>663</v>
      </c>
    </row>
    <row r="901" spans="1:8">
      <c r="A901" s="1023">
        <v>900</v>
      </c>
      <c r="B901" s="1024" t="s">
        <v>58</v>
      </c>
      <c r="C901" s="1025" t="s">
        <v>660</v>
      </c>
      <c r="D901" s="1025" t="s">
        <v>1491</v>
      </c>
      <c r="E901" s="1025" t="s">
        <v>1560</v>
      </c>
      <c r="F901" s="1026">
        <v>45576</v>
      </c>
      <c r="G901" s="1026">
        <v>45522</v>
      </c>
      <c r="H901" s="1027" t="s">
        <v>663</v>
      </c>
    </row>
    <row r="902" spans="1:8">
      <c r="A902" s="1018">
        <v>901</v>
      </c>
      <c r="B902" s="1019" t="s">
        <v>58</v>
      </c>
      <c r="C902" s="1020" t="s">
        <v>660</v>
      </c>
      <c r="D902" s="1020" t="s">
        <v>1491</v>
      </c>
      <c r="E902" s="1020" t="s">
        <v>1561</v>
      </c>
      <c r="F902" s="1021">
        <v>45576</v>
      </c>
      <c r="G902" s="1021">
        <v>45522</v>
      </c>
      <c r="H902" s="1022" t="s">
        <v>663</v>
      </c>
    </row>
    <row r="903" spans="1:8">
      <c r="A903" s="1023">
        <v>902</v>
      </c>
      <c r="B903" s="1024" t="s">
        <v>58</v>
      </c>
      <c r="C903" s="1025" t="s">
        <v>660</v>
      </c>
      <c r="D903" s="1025" t="s">
        <v>1491</v>
      </c>
      <c r="E903" s="1025" t="s">
        <v>1562</v>
      </c>
      <c r="F903" s="1026">
        <v>45576</v>
      </c>
      <c r="G903" s="1026">
        <v>45522</v>
      </c>
      <c r="H903" s="1027" t="s">
        <v>663</v>
      </c>
    </row>
    <row r="904" spans="1:8">
      <c r="A904" s="1018">
        <v>903</v>
      </c>
      <c r="B904" s="1019" t="s">
        <v>58</v>
      </c>
      <c r="C904" s="1020" t="s">
        <v>660</v>
      </c>
      <c r="D904" s="1020" t="s">
        <v>1491</v>
      </c>
      <c r="E904" s="1020" t="s">
        <v>1563</v>
      </c>
      <c r="F904" s="1021">
        <v>45576</v>
      </c>
      <c r="G904" s="1021">
        <v>45522</v>
      </c>
      <c r="H904" s="1022" t="s">
        <v>663</v>
      </c>
    </row>
    <row r="905" spans="1:8">
      <c r="A905" s="1023">
        <v>904</v>
      </c>
      <c r="B905" s="1024" t="s">
        <v>58</v>
      </c>
      <c r="C905" s="1025" t="s">
        <v>660</v>
      </c>
      <c r="D905" s="1025" t="s">
        <v>1491</v>
      </c>
      <c r="E905" s="1025" t="s">
        <v>1564</v>
      </c>
      <c r="F905" s="1026">
        <v>45576</v>
      </c>
      <c r="G905" s="1026">
        <v>45522</v>
      </c>
      <c r="H905" s="1027" t="s">
        <v>663</v>
      </c>
    </row>
    <row r="906" spans="1:8">
      <c r="A906" s="1018">
        <v>905</v>
      </c>
      <c r="B906" s="1019" t="s">
        <v>58</v>
      </c>
      <c r="C906" s="1020" t="s">
        <v>660</v>
      </c>
      <c r="D906" s="1020" t="s">
        <v>1491</v>
      </c>
      <c r="E906" s="1020" t="s">
        <v>1565</v>
      </c>
      <c r="F906" s="1021">
        <v>45576</v>
      </c>
      <c r="G906" s="1021">
        <v>45522</v>
      </c>
      <c r="H906" s="1022" t="s">
        <v>663</v>
      </c>
    </row>
    <row r="907" spans="1:8">
      <c r="A907" s="1023">
        <v>906</v>
      </c>
      <c r="B907" s="1024" t="s">
        <v>58</v>
      </c>
      <c r="C907" s="1025" t="s">
        <v>660</v>
      </c>
      <c r="D907" s="1025" t="s">
        <v>1491</v>
      </c>
      <c r="E907" s="1025" t="s">
        <v>1566</v>
      </c>
      <c r="F907" s="1026">
        <v>45576</v>
      </c>
      <c r="G907" s="1026">
        <v>45522</v>
      </c>
      <c r="H907" s="1027" t="s">
        <v>663</v>
      </c>
    </row>
    <row r="908" spans="1:8">
      <c r="A908" s="1018">
        <v>907</v>
      </c>
      <c r="B908" s="1019" t="s">
        <v>58</v>
      </c>
      <c r="C908" s="1020" t="s">
        <v>660</v>
      </c>
      <c r="D908" s="1020" t="s">
        <v>1491</v>
      </c>
      <c r="E908" s="1020" t="s">
        <v>1567</v>
      </c>
      <c r="F908" s="1021">
        <v>45576</v>
      </c>
      <c r="G908" s="1021">
        <v>45522</v>
      </c>
      <c r="H908" s="1022" t="s">
        <v>663</v>
      </c>
    </row>
    <row r="909" spans="1:8">
      <c r="A909" s="1023">
        <v>908</v>
      </c>
      <c r="B909" s="1024" t="s">
        <v>58</v>
      </c>
      <c r="C909" s="1025" t="s">
        <v>660</v>
      </c>
      <c r="D909" s="1025" t="s">
        <v>1491</v>
      </c>
      <c r="E909" s="1025" t="s">
        <v>1568</v>
      </c>
      <c r="F909" s="1026">
        <v>45576</v>
      </c>
      <c r="G909" s="1026">
        <v>45522</v>
      </c>
      <c r="H909" s="1027" t="s">
        <v>663</v>
      </c>
    </row>
    <row r="910" spans="1:8">
      <c r="A910" s="1018">
        <v>909</v>
      </c>
      <c r="B910" s="1019" t="s">
        <v>58</v>
      </c>
      <c r="C910" s="1020" t="s">
        <v>660</v>
      </c>
      <c r="D910" s="1020" t="s">
        <v>1491</v>
      </c>
      <c r="E910" s="1020" t="s">
        <v>1569</v>
      </c>
      <c r="F910" s="1021">
        <v>45576</v>
      </c>
      <c r="G910" s="1021">
        <v>45522</v>
      </c>
      <c r="H910" s="1022" t="s">
        <v>663</v>
      </c>
    </row>
    <row r="911" spans="1:8">
      <c r="A911" s="1023">
        <v>910</v>
      </c>
      <c r="B911" s="1024" t="s">
        <v>58</v>
      </c>
      <c r="C911" s="1025" t="s">
        <v>660</v>
      </c>
      <c r="D911" s="1025" t="s">
        <v>1491</v>
      </c>
      <c r="E911" s="1025" t="s">
        <v>1570</v>
      </c>
      <c r="F911" s="1026">
        <v>45576</v>
      </c>
      <c r="G911" s="1026">
        <v>45522</v>
      </c>
      <c r="H911" s="1027" t="s">
        <v>663</v>
      </c>
    </row>
    <row r="912" spans="1:8">
      <c r="A912" s="1018">
        <v>911</v>
      </c>
      <c r="B912" s="1019" t="s">
        <v>58</v>
      </c>
      <c r="C912" s="1020" t="s">
        <v>660</v>
      </c>
      <c r="D912" s="1020" t="s">
        <v>1491</v>
      </c>
      <c r="E912" s="1020" t="s">
        <v>1571</v>
      </c>
      <c r="F912" s="1021">
        <v>45576</v>
      </c>
      <c r="G912" s="1021">
        <v>45522</v>
      </c>
      <c r="H912" s="1022" t="s">
        <v>663</v>
      </c>
    </row>
    <row r="913" spans="1:8">
      <c r="A913" s="1023">
        <v>912</v>
      </c>
      <c r="B913" s="1024" t="s">
        <v>58</v>
      </c>
      <c r="C913" s="1025" t="s">
        <v>660</v>
      </c>
      <c r="D913" s="1025" t="s">
        <v>1491</v>
      </c>
      <c r="E913" s="1025" t="s">
        <v>1572</v>
      </c>
      <c r="F913" s="1026">
        <v>45576</v>
      </c>
      <c r="G913" s="1026">
        <v>45522</v>
      </c>
      <c r="H913" s="1027" t="s">
        <v>663</v>
      </c>
    </row>
    <row r="914" spans="1:8">
      <c r="A914" s="1018">
        <v>913</v>
      </c>
      <c r="B914" s="1019" t="s">
        <v>58</v>
      </c>
      <c r="C914" s="1020" t="s">
        <v>660</v>
      </c>
      <c r="D914" s="1020" t="s">
        <v>1491</v>
      </c>
      <c r="E914" s="1020" t="s">
        <v>1573</v>
      </c>
      <c r="F914" s="1021">
        <v>45576</v>
      </c>
      <c r="G914" s="1021">
        <v>45522</v>
      </c>
      <c r="H914" s="1022" t="s">
        <v>663</v>
      </c>
    </row>
    <row r="915" spans="1:8">
      <c r="A915" s="1023">
        <v>914</v>
      </c>
      <c r="B915" s="1024" t="s">
        <v>58</v>
      </c>
      <c r="C915" s="1025" t="s">
        <v>660</v>
      </c>
      <c r="D915" s="1025" t="s">
        <v>1491</v>
      </c>
      <c r="E915" s="1025" t="s">
        <v>1574</v>
      </c>
      <c r="F915" s="1026">
        <v>45576</v>
      </c>
      <c r="G915" s="1026">
        <v>45522</v>
      </c>
      <c r="H915" s="1027" t="s">
        <v>663</v>
      </c>
    </row>
    <row r="916" spans="1:8">
      <c r="A916" s="1018">
        <v>915</v>
      </c>
      <c r="B916" s="1019" t="s">
        <v>58</v>
      </c>
      <c r="C916" s="1020" t="s">
        <v>660</v>
      </c>
      <c r="D916" s="1020" t="s">
        <v>1491</v>
      </c>
      <c r="E916" s="1020" t="s">
        <v>1575</v>
      </c>
      <c r="F916" s="1021">
        <v>45576</v>
      </c>
      <c r="G916" s="1021">
        <v>45522</v>
      </c>
      <c r="H916" s="1022" t="s">
        <v>663</v>
      </c>
    </row>
    <row r="917" spans="1:8">
      <c r="A917" s="1023">
        <v>916</v>
      </c>
      <c r="B917" s="1024" t="s">
        <v>58</v>
      </c>
      <c r="C917" s="1025" t="s">
        <v>660</v>
      </c>
      <c r="D917" s="1025" t="s">
        <v>1491</v>
      </c>
      <c r="E917" s="1025" t="s">
        <v>1576</v>
      </c>
      <c r="F917" s="1026">
        <v>45576</v>
      </c>
      <c r="G917" s="1026">
        <v>45522</v>
      </c>
      <c r="H917" s="1027" t="s">
        <v>663</v>
      </c>
    </row>
    <row r="918" spans="1:8">
      <c r="A918" s="1018">
        <v>917</v>
      </c>
      <c r="B918" s="1019" t="s">
        <v>58</v>
      </c>
      <c r="C918" s="1020" t="s">
        <v>660</v>
      </c>
      <c r="D918" s="1020" t="s">
        <v>1491</v>
      </c>
      <c r="E918" s="1020" t="s">
        <v>1577</v>
      </c>
      <c r="F918" s="1021">
        <v>45576</v>
      </c>
      <c r="G918" s="1021">
        <v>45522</v>
      </c>
      <c r="H918" s="1022" t="s">
        <v>663</v>
      </c>
    </row>
    <row r="919" spans="1:8">
      <c r="A919" s="1023">
        <v>918</v>
      </c>
      <c r="B919" s="1024" t="s">
        <v>58</v>
      </c>
      <c r="C919" s="1025" t="s">
        <v>660</v>
      </c>
      <c r="D919" s="1025" t="s">
        <v>1491</v>
      </c>
      <c r="E919" s="1025" t="s">
        <v>1578</v>
      </c>
      <c r="F919" s="1026">
        <v>45576</v>
      </c>
      <c r="G919" s="1026"/>
      <c r="H919" s="1027" t="s">
        <v>701</v>
      </c>
    </row>
    <row r="920" spans="1:8">
      <c r="A920" s="1018">
        <v>919</v>
      </c>
      <c r="B920" s="1019" t="s">
        <v>58</v>
      </c>
      <c r="C920" s="1020" t="s">
        <v>660</v>
      </c>
      <c r="D920" s="1020" t="s">
        <v>1491</v>
      </c>
      <c r="E920" s="1020" t="s">
        <v>1579</v>
      </c>
      <c r="F920" s="1021">
        <v>45576</v>
      </c>
      <c r="G920" s="1021"/>
      <c r="H920" s="1022" t="s">
        <v>701</v>
      </c>
    </row>
    <row r="921" spans="1:8">
      <c r="A921" s="1023">
        <v>920</v>
      </c>
      <c r="B921" s="1024" t="s">
        <v>58</v>
      </c>
      <c r="C921" s="1025" t="s">
        <v>660</v>
      </c>
      <c r="D921" s="1025" t="s">
        <v>1491</v>
      </c>
      <c r="E921" s="1025" t="s">
        <v>1580</v>
      </c>
      <c r="F921" s="1026">
        <v>45576</v>
      </c>
      <c r="G921" s="1026">
        <v>45401</v>
      </c>
      <c r="H921" s="1027" t="s">
        <v>663</v>
      </c>
    </row>
    <row r="922" spans="1:8">
      <c r="A922" s="1018">
        <v>921</v>
      </c>
      <c r="B922" s="1019" t="s">
        <v>58</v>
      </c>
      <c r="C922" s="1020" t="s">
        <v>660</v>
      </c>
      <c r="D922" s="1020" t="s">
        <v>1491</v>
      </c>
      <c r="E922" s="1020" t="s">
        <v>1581</v>
      </c>
      <c r="F922" s="1021">
        <v>45576</v>
      </c>
      <c r="G922" s="1021">
        <v>45401</v>
      </c>
      <c r="H922" s="1022" t="s">
        <v>663</v>
      </c>
    </row>
    <row r="923" spans="1:8">
      <c r="A923" s="1023">
        <v>922</v>
      </c>
      <c r="B923" s="1024" t="s">
        <v>58</v>
      </c>
      <c r="C923" s="1025" t="s">
        <v>660</v>
      </c>
      <c r="D923" s="1025" t="s">
        <v>1491</v>
      </c>
      <c r="E923" s="1025" t="s">
        <v>1582</v>
      </c>
      <c r="F923" s="1026">
        <v>45576</v>
      </c>
      <c r="G923" s="1026">
        <v>45401</v>
      </c>
      <c r="H923" s="1027" t="s">
        <v>663</v>
      </c>
    </row>
    <row r="924" spans="1:8">
      <c r="A924" s="1018">
        <v>923</v>
      </c>
      <c r="B924" s="1019" t="s">
        <v>58</v>
      </c>
      <c r="C924" s="1020" t="s">
        <v>660</v>
      </c>
      <c r="D924" s="1020" t="s">
        <v>1491</v>
      </c>
      <c r="E924" s="1020" t="s">
        <v>1583</v>
      </c>
      <c r="F924" s="1021">
        <v>45576</v>
      </c>
      <c r="G924" s="1021">
        <v>45522</v>
      </c>
      <c r="H924" s="1022" t="s">
        <v>663</v>
      </c>
    </row>
    <row r="925" spans="1:8">
      <c r="A925" s="1023">
        <v>924</v>
      </c>
      <c r="B925" s="1024" t="s">
        <v>58</v>
      </c>
      <c r="C925" s="1025" t="s">
        <v>660</v>
      </c>
      <c r="D925" s="1025" t="s">
        <v>1491</v>
      </c>
      <c r="E925" s="1025" t="s">
        <v>1584</v>
      </c>
      <c r="F925" s="1026">
        <v>45576</v>
      </c>
      <c r="G925" s="1026">
        <v>45427</v>
      </c>
      <c r="H925" s="1027" t="s">
        <v>663</v>
      </c>
    </row>
    <row r="926" spans="1:8">
      <c r="A926" s="1018">
        <v>925</v>
      </c>
      <c r="B926" s="1019" t="s">
        <v>58</v>
      </c>
      <c r="C926" s="1020" t="s">
        <v>660</v>
      </c>
      <c r="D926" s="1020" t="s">
        <v>1491</v>
      </c>
      <c r="E926" s="1020" t="s">
        <v>1585</v>
      </c>
      <c r="F926" s="1021">
        <v>45423</v>
      </c>
      <c r="G926" s="1021">
        <v>45439</v>
      </c>
      <c r="H926" s="1022" t="s">
        <v>663</v>
      </c>
    </row>
    <row r="927" spans="1:8">
      <c r="A927" s="1023">
        <v>926</v>
      </c>
      <c r="B927" s="1024" t="s">
        <v>58</v>
      </c>
      <c r="C927" s="1025" t="s">
        <v>660</v>
      </c>
      <c r="D927" s="1025" t="s">
        <v>1491</v>
      </c>
      <c r="E927" s="1025" t="s">
        <v>1586</v>
      </c>
      <c r="F927" s="1026">
        <v>45423</v>
      </c>
      <c r="G927" s="1026">
        <v>45439</v>
      </c>
      <c r="H927" s="1027" t="s">
        <v>663</v>
      </c>
    </row>
    <row r="928" spans="1:8">
      <c r="A928" s="1018">
        <v>927</v>
      </c>
      <c r="B928" s="1019" t="s">
        <v>58</v>
      </c>
      <c r="C928" s="1020" t="s">
        <v>660</v>
      </c>
      <c r="D928" s="1020" t="s">
        <v>1491</v>
      </c>
      <c r="E928" s="1020" t="s">
        <v>1587</v>
      </c>
      <c r="F928" s="1021">
        <v>45423</v>
      </c>
      <c r="G928" s="1021">
        <v>45439</v>
      </c>
      <c r="H928" s="1022" t="s">
        <v>663</v>
      </c>
    </row>
    <row r="929" spans="1:8">
      <c r="A929" s="1023">
        <v>928</v>
      </c>
      <c r="B929" s="1024" t="s">
        <v>58</v>
      </c>
      <c r="C929" s="1025" t="s">
        <v>660</v>
      </c>
      <c r="D929" s="1025" t="s">
        <v>1491</v>
      </c>
      <c r="E929" s="1025" t="s">
        <v>1588</v>
      </c>
      <c r="F929" s="1026">
        <v>45423</v>
      </c>
      <c r="G929" s="1026">
        <v>45439</v>
      </c>
      <c r="H929" s="1027" t="s">
        <v>663</v>
      </c>
    </row>
    <row r="930" spans="1:8">
      <c r="A930" s="1018">
        <v>929</v>
      </c>
      <c r="B930" s="1019" t="s">
        <v>58</v>
      </c>
      <c r="C930" s="1020" t="s">
        <v>660</v>
      </c>
      <c r="D930" s="1020" t="s">
        <v>1491</v>
      </c>
      <c r="E930" s="1020" t="s">
        <v>1589</v>
      </c>
      <c r="F930" s="1021">
        <v>45423</v>
      </c>
      <c r="G930" s="1021">
        <v>45439</v>
      </c>
      <c r="H930" s="1022" t="s">
        <v>663</v>
      </c>
    </row>
    <row r="931" spans="1:8">
      <c r="A931" s="1023">
        <v>930</v>
      </c>
      <c r="B931" s="1024" t="s">
        <v>58</v>
      </c>
      <c r="C931" s="1025" t="s">
        <v>660</v>
      </c>
      <c r="D931" s="1025" t="s">
        <v>1491</v>
      </c>
      <c r="E931" s="1025" t="s">
        <v>1590</v>
      </c>
      <c r="F931" s="1026">
        <v>45423</v>
      </c>
      <c r="G931" s="1026">
        <v>45439</v>
      </c>
      <c r="H931" s="1027" t="s">
        <v>663</v>
      </c>
    </row>
    <row r="932" spans="1:8">
      <c r="A932" s="1018">
        <v>931</v>
      </c>
      <c r="B932" s="1019" t="s">
        <v>58</v>
      </c>
      <c r="C932" s="1020" t="s">
        <v>660</v>
      </c>
      <c r="D932" s="1020" t="s">
        <v>1491</v>
      </c>
      <c r="E932" s="1020" t="s">
        <v>1591</v>
      </c>
      <c r="F932" s="1021">
        <v>45423</v>
      </c>
      <c r="G932" s="1021">
        <v>45439</v>
      </c>
      <c r="H932" s="1022" t="s">
        <v>663</v>
      </c>
    </row>
    <row r="933" spans="1:8">
      <c r="A933" s="1023">
        <v>932</v>
      </c>
      <c r="B933" s="1024" t="s">
        <v>58</v>
      </c>
      <c r="C933" s="1025" t="s">
        <v>660</v>
      </c>
      <c r="D933" s="1025" t="s">
        <v>1491</v>
      </c>
      <c r="E933" s="1025" t="s">
        <v>1592</v>
      </c>
      <c r="F933" s="1026">
        <v>45423</v>
      </c>
      <c r="G933" s="1026">
        <v>45439</v>
      </c>
      <c r="H933" s="1027" t="s">
        <v>663</v>
      </c>
    </row>
    <row r="934" spans="1:8">
      <c r="A934" s="1018">
        <v>933</v>
      </c>
      <c r="B934" s="1019" t="s">
        <v>58</v>
      </c>
      <c r="C934" s="1020" t="s">
        <v>660</v>
      </c>
      <c r="D934" s="1020" t="s">
        <v>1491</v>
      </c>
      <c r="E934" s="1020" t="s">
        <v>1593</v>
      </c>
      <c r="F934" s="1021">
        <v>45393</v>
      </c>
      <c r="G934" s="1021">
        <v>45401</v>
      </c>
      <c r="H934" s="1022" t="s">
        <v>663</v>
      </c>
    </row>
    <row r="935" spans="1:8">
      <c r="A935" s="1023">
        <v>934</v>
      </c>
      <c r="B935" s="1024" t="s">
        <v>58</v>
      </c>
      <c r="C935" s="1025" t="s">
        <v>660</v>
      </c>
      <c r="D935" s="1025" t="s">
        <v>1491</v>
      </c>
      <c r="E935" s="1025" t="s">
        <v>1594</v>
      </c>
      <c r="F935" s="1026">
        <v>45393</v>
      </c>
      <c r="G935" s="1026">
        <v>45401</v>
      </c>
      <c r="H935" s="1027" t="s">
        <v>663</v>
      </c>
    </row>
    <row r="936" spans="1:8">
      <c r="A936" s="1018">
        <v>935</v>
      </c>
      <c r="B936" s="1019" t="s">
        <v>58</v>
      </c>
      <c r="C936" s="1020" t="s">
        <v>660</v>
      </c>
      <c r="D936" s="1020" t="s">
        <v>1491</v>
      </c>
      <c r="E936" s="1020" t="s">
        <v>1595</v>
      </c>
      <c r="F936" s="1021">
        <v>45393</v>
      </c>
      <c r="G936" s="1021"/>
      <c r="H936" s="1022" t="s">
        <v>701</v>
      </c>
    </row>
    <row r="937" spans="1:8">
      <c r="A937" s="1023">
        <v>936</v>
      </c>
      <c r="B937" s="1024" t="s">
        <v>58</v>
      </c>
      <c r="C937" s="1025" t="s">
        <v>660</v>
      </c>
      <c r="D937" s="1025" t="s">
        <v>1491</v>
      </c>
      <c r="E937" s="1025" t="s">
        <v>1596</v>
      </c>
      <c r="F937" s="1026">
        <v>45393</v>
      </c>
      <c r="G937" s="1026">
        <v>45471</v>
      </c>
      <c r="H937" s="1027" t="s">
        <v>663</v>
      </c>
    </row>
    <row r="938" spans="1:8">
      <c r="A938" s="1018">
        <v>937</v>
      </c>
      <c r="B938" s="1019" t="s">
        <v>58</v>
      </c>
      <c r="C938" s="1020" t="s">
        <v>660</v>
      </c>
      <c r="D938" s="1020" t="s">
        <v>1491</v>
      </c>
      <c r="E938" s="1020" t="s">
        <v>1597</v>
      </c>
      <c r="F938" s="1021">
        <v>45393</v>
      </c>
      <c r="G938" s="1021">
        <v>45516</v>
      </c>
      <c r="H938" s="1022" t="s">
        <v>663</v>
      </c>
    </row>
    <row r="939" spans="1:8">
      <c r="A939" s="1023">
        <v>938</v>
      </c>
      <c r="B939" s="1024" t="s">
        <v>58</v>
      </c>
      <c r="C939" s="1025" t="s">
        <v>660</v>
      </c>
      <c r="D939" s="1025" t="s">
        <v>1491</v>
      </c>
      <c r="E939" s="1025" t="s">
        <v>1598</v>
      </c>
      <c r="F939" s="1026">
        <v>45393</v>
      </c>
      <c r="G939" s="1026">
        <v>45516</v>
      </c>
      <c r="H939" s="1027" t="s">
        <v>663</v>
      </c>
    </row>
    <row r="940" spans="1:8">
      <c r="A940" s="1018">
        <v>939</v>
      </c>
      <c r="B940" s="1019" t="s">
        <v>58</v>
      </c>
      <c r="C940" s="1020" t="s">
        <v>660</v>
      </c>
      <c r="D940" s="1020" t="s">
        <v>1491</v>
      </c>
      <c r="E940" s="1020" t="s">
        <v>1599</v>
      </c>
      <c r="F940" s="1021">
        <v>45393</v>
      </c>
      <c r="G940" s="1021">
        <v>45516</v>
      </c>
      <c r="H940" s="1022" t="s">
        <v>663</v>
      </c>
    </row>
    <row r="941" spans="1:8">
      <c r="A941" s="1023">
        <v>940</v>
      </c>
      <c r="B941" s="1024" t="s">
        <v>58</v>
      </c>
      <c r="C941" s="1025" t="s">
        <v>660</v>
      </c>
      <c r="D941" s="1025" t="s">
        <v>1491</v>
      </c>
      <c r="E941" s="1025" t="s">
        <v>1600</v>
      </c>
      <c r="F941" s="1026">
        <v>45393</v>
      </c>
      <c r="G941" s="1026">
        <v>45516</v>
      </c>
      <c r="H941" s="1027" t="s">
        <v>663</v>
      </c>
    </row>
    <row r="942" spans="1:8">
      <c r="A942" s="1018">
        <v>941</v>
      </c>
      <c r="B942" s="1019" t="s">
        <v>58</v>
      </c>
      <c r="C942" s="1020" t="s">
        <v>660</v>
      </c>
      <c r="D942" s="1020" t="s">
        <v>1491</v>
      </c>
      <c r="E942" s="1020" t="s">
        <v>1601</v>
      </c>
      <c r="F942" s="1021">
        <v>45393</v>
      </c>
      <c r="G942" s="1021">
        <v>45516</v>
      </c>
      <c r="H942" s="1022" t="s">
        <v>663</v>
      </c>
    </row>
    <row r="943" spans="1:8">
      <c r="A943" s="1023">
        <v>942</v>
      </c>
      <c r="B943" s="1024" t="s">
        <v>58</v>
      </c>
      <c r="C943" s="1025" t="s">
        <v>660</v>
      </c>
      <c r="D943" s="1025" t="s">
        <v>1491</v>
      </c>
      <c r="E943" s="1025" t="s">
        <v>1602</v>
      </c>
      <c r="F943" s="1026">
        <v>45393</v>
      </c>
      <c r="G943" s="1026">
        <v>45516</v>
      </c>
      <c r="H943" s="1027" t="s">
        <v>663</v>
      </c>
    </row>
    <row r="944" spans="1:8">
      <c r="A944" s="1018">
        <v>943</v>
      </c>
      <c r="B944" s="1019" t="s">
        <v>58</v>
      </c>
      <c r="C944" s="1020" t="s">
        <v>660</v>
      </c>
      <c r="D944" s="1020" t="s">
        <v>1491</v>
      </c>
      <c r="E944" s="1020" t="s">
        <v>1603</v>
      </c>
      <c r="F944" s="1021">
        <v>45393</v>
      </c>
      <c r="G944" s="1021">
        <v>45516</v>
      </c>
      <c r="H944" s="1022" t="s">
        <v>663</v>
      </c>
    </row>
    <row r="945" spans="1:8">
      <c r="A945" s="1023">
        <v>944</v>
      </c>
      <c r="B945" s="1024" t="s">
        <v>58</v>
      </c>
      <c r="C945" s="1025" t="s">
        <v>660</v>
      </c>
      <c r="D945" s="1025" t="s">
        <v>1491</v>
      </c>
      <c r="E945" s="1025" t="s">
        <v>1595</v>
      </c>
      <c r="F945" s="1026">
        <v>45393</v>
      </c>
      <c r="G945" s="1026"/>
      <c r="H945" s="1027" t="s">
        <v>701</v>
      </c>
    </row>
    <row r="946" spans="1:8">
      <c r="A946" s="1018">
        <v>945</v>
      </c>
      <c r="B946" s="1019" t="s">
        <v>58</v>
      </c>
      <c r="C946" s="1020" t="s">
        <v>660</v>
      </c>
      <c r="D946" s="1020" t="s">
        <v>1491</v>
      </c>
      <c r="E946" s="1020" t="s">
        <v>1604</v>
      </c>
      <c r="F946" s="1021">
        <v>45576</v>
      </c>
      <c r="G946" s="1021"/>
      <c r="H946" s="1022" t="s">
        <v>701</v>
      </c>
    </row>
    <row r="947" spans="1:8">
      <c r="A947" s="1023">
        <v>946</v>
      </c>
      <c r="B947" s="1024" t="s">
        <v>58</v>
      </c>
      <c r="C947" s="1025" t="s">
        <v>660</v>
      </c>
      <c r="D947" s="1025" t="s">
        <v>1491</v>
      </c>
      <c r="E947" s="1025" t="s">
        <v>1605</v>
      </c>
      <c r="F947" s="1026">
        <v>45576</v>
      </c>
      <c r="G947" s="1026"/>
      <c r="H947" s="1027" t="s">
        <v>701</v>
      </c>
    </row>
    <row r="948" spans="1:8">
      <c r="A948" s="1018">
        <v>947</v>
      </c>
      <c r="B948" s="1019" t="s">
        <v>58</v>
      </c>
      <c r="C948" s="1020" t="s">
        <v>660</v>
      </c>
      <c r="D948" s="1020" t="s">
        <v>1491</v>
      </c>
      <c r="E948" s="1020" t="s">
        <v>1606</v>
      </c>
      <c r="F948" s="1021">
        <v>45576</v>
      </c>
      <c r="G948" s="1021"/>
      <c r="H948" s="1022" t="s">
        <v>701</v>
      </c>
    </row>
    <row r="949" spans="1:8">
      <c r="A949" s="1023">
        <v>948</v>
      </c>
      <c r="B949" s="1024" t="s">
        <v>58</v>
      </c>
      <c r="C949" s="1025" t="s">
        <v>660</v>
      </c>
      <c r="D949" s="1025" t="s">
        <v>1491</v>
      </c>
      <c r="E949" s="1025" t="s">
        <v>1607</v>
      </c>
      <c r="F949" s="1026">
        <v>45576</v>
      </c>
      <c r="G949" s="1026">
        <v>45451</v>
      </c>
      <c r="H949" s="1027" t="s">
        <v>663</v>
      </c>
    </row>
    <row r="950" spans="1:8">
      <c r="A950" s="1018">
        <v>949</v>
      </c>
      <c r="B950" s="1019" t="s">
        <v>58</v>
      </c>
      <c r="C950" s="1020" t="s">
        <v>660</v>
      </c>
      <c r="D950" s="1020" t="s">
        <v>1491</v>
      </c>
      <c r="E950" s="1020" t="s">
        <v>1608</v>
      </c>
      <c r="F950" s="1021">
        <v>45576</v>
      </c>
      <c r="G950" s="1021">
        <v>45451</v>
      </c>
      <c r="H950" s="1022" t="s">
        <v>663</v>
      </c>
    </row>
    <row r="951" spans="1:8">
      <c r="A951" s="1023">
        <v>950</v>
      </c>
      <c r="B951" s="1024" t="s">
        <v>58</v>
      </c>
      <c r="C951" s="1025" t="s">
        <v>660</v>
      </c>
      <c r="D951" s="1025" t="s">
        <v>1491</v>
      </c>
      <c r="E951" s="1025" t="s">
        <v>1609</v>
      </c>
      <c r="F951" s="1026">
        <v>45576</v>
      </c>
      <c r="G951" s="1026">
        <v>45451</v>
      </c>
      <c r="H951" s="1027" t="s">
        <v>663</v>
      </c>
    </row>
    <row r="952" spans="1:8">
      <c r="A952" s="1018">
        <v>951</v>
      </c>
      <c r="B952" s="1019" t="s">
        <v>58</v>
      </c>
      <c r="C952" s="1020" t="s">
        <v>660</v>
      </c>
      <c r="D952" s="1020" t="s">
        <v>1491</v>
      </c>
      <c r="E952" s="1020" t="s">
        <v>1610</v>
      </c>
      <c r="F952" s="1021">
        <v>45576</v>
      </c>
      <c r="G952" s="1021">
        <v>45451</v>
      </c>
      <c r="H952" s="1022" t="s">
        <v>663</v>
      </c>
    </row>
    <row r="953" spans="1:8">
      <c r="A953" s="1023">
        <v>952</v>
      </c>
      <c r="B953" s="1024" t="s">
        <v>58</v>
      </c>
      <c r="C953" s="1025" t="s">
        <v>660</v>
      </c>
      <c r="D953" s="1025" t="s">
        <v>1491</v>
      </c>
      <c r="E953" s="1025" t="s">
        <v>1611</v>
      </c>
      <c r="F953" s="1026">
        <v>45576</v>
      </c>
      <c r="G953" s="1026">
        <v>45451</v>
      </c>
      <c r="H953" s="1027" t="s">
        <v>663</v>
      </c>
    </row>
    <row r="954" spans="1:8">
      <c r="A954" s="1018">
        <v>953</v>
      </c>
      <c r="B954" s="1019" t="s">
        <v>58</v>
      </c>
      <c r="C954" s="1020" t="s">
        <v>660</v>
      </c>
      <c r="D954" s="1020" t="s">
        <v>1491</v>
      </c>
      <c r="E954" s="1020" t="s">
        <v>1612</v>
      </c>
      <c r="F954" s="1021">
        <v>45576</v>
      </c>
      <c r="G954" s="1021">
        <v>45451</v>
      </c>
      <c r="H954" s="1022" t="s">
        <v>663</v>
      </c>
    </row>
    <row r="955" spans="1:8">
      <c r="A955" s="1023">
        <v>954</v>
      </c>
      <c r="B955" s="1024" t="s">
        <v>58</v>
      </c>
      <c r="C955" s="1025" t="s">
        <v>660</v>
      </c>
      <c r="D955" s="1025" t="s">
        <v>1491</v>
      </c>
      <c r="E955" s="1025" t="s">
        <v>1613</v>
      </c>
      <c r="F955" s="1026">
        <v>45576</v>
      </c>
      <c r="G955" s="1026">
        <v>45451</v>
      </c>
      <c r="H955" s="1027" t="s">
        <v>663</v>
      </c>
    </row>
    <row r="956" spans="1:8">
      <c r="A956" s="1018">
        <v>955</v>
      </c>
      <c r="B956" s="1019" t="s">
        <v>58</v>
      </c>
      <c r="C956" s="1020" t="s">
        <v>660</v>
      </c>
      <c r="D956" s="1020" t="s">
        <v>1491</v>
      </c>
      <c r="E956" s="1020" t="s">
        <v>1614</v>
      </c>
      <c r="F956" s="1021">
        <v>45576</v>
      </c>
      <c r="G956" s="1021">
        <v>45451</v>
      </c>
      <c r="H956" s="1022" t="s">
        <v>663</v>
      </c>
    </row>
    <row r="957" spans="1:8">
      <c r="A957" s="1023">
        <v>956</v>
      </c>
      <c r="B957" s="1024" t="s">
        <v>58</v>
      </c>
      <c r="C957" s="1025" t="s">
        <v>660</v>
      </c>
      <c r="D957" s="1025" t="s">
        <v>1615</v>
      </c>
      <c r="E957" s="1025" t="s">
        <v>1616</v>
      </c>
      <c r="F957" s="1026">
        <v>45423</v>
      </c>
      <c r="G957" s="1026"/>
      <c r="H957" s="1027" t="s">
        <v>701</v>
      </c>
    </row>
    <row r="958" spans="1:8">
      <c r="A958" s="1018">
        <v>957</v>
      </c>
      <c r="B958" s="1019" t="s">
        <v>58</v>
      </c>
      <c r="C958" s="1020" t="s">
        <v>660</v>
      </c>
      <c r="D958" s="1020" t="s">
        <v>1615</v>
      </c>
      <c r="E958" s="1020" t="s">
        <v>1617</v>
      </c>
      <c r="F958" s="1021">
        <v>45423</v>
      </c>
      <c r="G958" s="1021"/>
      <c r="H958" s="1022" t="s">
        <v>701</v>
      </c>
    </row>
    <row r="959" spans="1:8">
      <c r="A959" s="1023">
        <v>958</v>
      </c>
      <c r="B959" s="1024" t="s">
        <v>58</v>
      </c>
      <c r="C959" s="1025" t="s">
        <v>660</v>
      </c>
      <c r="D959" s="1025" t="s">
        <v>1615</v>
      </c>
      <c r="E959" s="1025" t="s">
        <v>1618</v>
      </c>
      <c r="F959" s="1026">
        <v>45423</v>
      </c>
      <c r="G959" s="1026"/>
      <c r="H959" s="1027" t="s">
        <v>701</v>
      </c>
    </row>
    <row r="960" spans="1:8">
      <c r="A960" s="1018">
        <v>959</v>
      </c>
      <c r="B960" s="1019" t="s">
        <v>58</v>
      </c>
      <c r="C960" s="1020" t="s">
        <v>660</v>
      </c>
      <c r="D960" s="1020" t="s">
        <v>1615</v>
      </c>
      <c r="E960" s="1020" t="s">
        <v>1619</v>
      </c>
      <c r="F960" s="1021">
        <v>45423</v>
      </c>
      <c r="G960" s="1021">
        <v>45497</v>
      </c>
      <c r="H960" s="1022" t="s">
        <v>663</v>
      </c>
    </row>
    <row r="961" spans="1:8">
      <c r="A961" s="1023">
        <v>960</v>
      </c>
      <c r="B961" s="1024" t="s">
        <v>58</v>
      </c>
      <c r="C961" s="1025" t="s">
        <v>660</v>
      </c>
      <c r="D961" s="1025" t="s">
        <v>1615</v>
      </c>
      <c r="E961" s="1025" t="s">
        <v>1620</v>
      </c>
      <c r="F961" s="1026">
        <v>45423</v>
      </c>
      <c r="G961" s="1026">
        <v>45497</v>
      </c>
      <c r="H961" s="1027" t="s">
        <v>663</v>
      </c>
    </row>
    <row r="962" spans="1:8">
      <c r="A962" s="1018">
        <v>961</v>
      </c>
      <c r="B962" s="1019" t="s">
        <v>58</v>
      </c>
      <c r="C962" s="1020" t="s">
        <v>660</v>
      </c>
      <c r="D962" s="1020" t="s">
        <v>1615</v>
      </c>
      <c r="E962" s="1020" t="s">
        <v>1621</v>
      </c>
      <c r="F962" s="1021">
        <v>45423</v>
      </c>
      <c r="G962" s="1021"/>
      <c r="H962" s="1022" t="s">
        <v>701</v>
      </c>
    </row>
    <row r="963" spans="1:8">
      <c r="A963" s="1023">
        <v>962</v>
      </c>
      <c r="B963" s="1024" t="s">
        <v>58</v>
      </c>
      <c r="C963" s="1025" t="s">
        <v>660</v>
      </c>
      <c r="D963" s="1025" t="s">
        <v>1615</v>
      </c>
      <c r="E963" s="1025" t="s">
        <v>1622</v>
      </c>
      <c r="F963" s="1026">
        <v>45609</v>
      </c>
      <c r="G963" s="1026"/>
      <c r="H963" s="1027" t="s">
        <v>701</v>
      </c>
    </row>
    <row r="964" spans="1:8">
      <c r="A964" s="1018">
        <v>963</v>
      </c>
      <c r="B964" s="1019" t="s">
        <v>58</v>
      </c>
      <c r="C964" s="1020" t="s">
        <v>660</v>
      </c>
      <c r="D964" s="1020" t="s">
        <v>1615</v>
      </c>
      <c r="E964" s="1020" t="s">
        <v>1623</v>
      </c>
      <c r="F964" s="1021">
        <v>45609</v>
      </c>
      <c r="G964" s="1021"/>
      <c r="H964" s="1022" t="s">
        <v>701</v>
      </c>
    </row>
    <row r="965" spans="1:8">
      <c r="A965" s="1023">
        <v>964</v>
      </c>
      <c r="B965" s="1024" t="s">
        <v>58</v>
      </c>
      <c r="C965" s="1025" t="s">
        <v>660</v>
      </c>
      <c r="D965" s="1025" t="s">
        <v>1615</v>
      </c>
      <c r="E965" s="1025" t="s">
        <v>1624</v>
      </c>
      <c r="F965" s="1026">
        <v>45456</v>
      </c>
      <c r="G965" s="1026"/>
      <c r="H965" s="1027" t="s">
        <v>701</v>
      </c>
    </row>
    <row r="966" spans="1:8" ht="26">
      <c r="A966" s="1018">
        <v>965</v>
      </c>
      <c r="B966" s="1019" t="s">
        <v>58</v>
      </c>
      <c r="C966" s="1020" t="s">
        <v>660</v>
      </c>
      <c r="D966" s="1020" t="s">
        <v>1615</v>
      </c>
      <c r="E966" s="1020" t="s">
        <v>1625</v>
      </c>
      <c r="F966" s="1021">
        <v>45456</v>
      </c>
      <c r="G966" s="1021">
        <v>45466</v>
      </c>
      <c r="H966" s="1022" t="s">
        <v>663</v>
      </c>
    </row>
    <row r="967" spans="1:8" ht="26">
      <c r="A967" s="1023">
        <v>966</v>
      </c>
      <c r="B967" s="1024" t="s">
        <v>58</v>
      </c>
      <c r="C967" s="1025" t="s">
        <v>660</v>
      </c>
      <c r="D967" s="1025" t="s">
        <v>1615</v>
      </c>
      <c r="E967" s="1025" t="s">
        <v>1626</v>
      </c>
      <c r="F967" s="1026">
        <v>45456</v>
      </c>
      <c r="G967" s="1026">
        <v>45466</v>
      </c>
      <c r="H967" s="1027" t="s">
        <v>663</v>
      </c>
    </row>
    <row r="968" spans="1:8" ht="26">
      <c r="A968" s="1018">
        <v>967</v>
      </c>
      <c r="B968" s="1019" t="s">
        <v>58</v>
      </c>
      <c r="C968" s="1020" t="s">
        <v>660</v>
      </c>
      <c r="D968" s="1020" t="s">
        <v>1615</v>
      </c>
      <c r="E968" s="1020" t="s">
        <v>1627</v>
      </c>
      <c r="F968" s="1021">
        <v>45456</v>
      </c>
      <c r="G968" s="1021">
        <v>45466</v>
      </c>
      <c r="H968" s="1022" t="s">
        <v>663</v>
      </c>
    </row>
    <row r="969" spans="1:8">
      <c r="A969" s="1023">
        <v>968</v>
      </c>
      <c r="B969" s="1024" t="s">
        <v>58</v>
      </c>
      <c r="C969" s="1025" t="s">
        <v>660</v>
      </c>
      <c r="D969" s="1025" t="s">
        <v>1615</v>
      </c>
      <c r="E969" s="1025" t="s">
        <v>1628</v>
      </c>
      <c r="F969" s="1026">
        <v>45456</v>
      </c>
      <c r="G969" s="1026">
        <v>45466</v>
      </c>
      <c r="H969" s="1027" t="s">
        <v>663</v>
      </c>
    </row>
    <row r="970" spans="1:8">
      <c r="A970" s="1018">
        <v>969</v>
      </c>
      <c r="B970" s="1019" t="s">
        <v>58</v>
      </c>
      <c r="C970" s="1020" t="s">
        <v>660</v>
      </c>
      <c r="D970" s="1020" t="s">
        <v>1615</v>
      </c>
      <c r="E970" s="1020" t="s">
        <v>1629</v>
      </c>
      <c r="F970" s="1021">
        <v>45456</v>
      </c>
      <c r="G970" s="1021">
        <v>45466</v>
      </c>
      <c r="H970" s="1022" t="s">
        <v>663</v>
      </c>
    </row>
    <row r="971" spans="1:8">
      <c r="A971" s="1023">
        <v>970</v>
      </c>
      <c r="B971" s="1024" t="s">
        <v>58</v>
      </c>
      <c r="C971" s="1025" t="s">
        <v>660</v>
      </c>
      <c r="D971" s="1025" t="s">
        <v>1615</v>
      </c>
      <c r="E971" s="1025" t="s">
        <v>1630</v>
      </c>
      <c r="F971" s="1026">
        <v>45456</v>
      </c>
      <c r="G971" s="1026"/>
      <c r="H971" s="1027" t="s">
        <v>701</v>
      </c>
    </row>
    <row r="972" spans="1:8" ht="26">
      <c r="A972" s="1018">
        <v>971</v>
      </c>
      <c r="B972" s="1019" t="s">
        <v>58</v>
      </c>
      <c r="C972" s="1020" t="s">
        <v>660</v>
      </c>
      <c r="D972" s="1020" t="s">
        <v>1615</v>
      </c>
      <c r="E972" s="1020" t="s">
        <v>1631</v>
      </c>
      <c r="F972" s="1021">
        <v>45456</v>
      </c>
      <c r="G972" s="1021"/>
      <c r="H972" s="1022" t="s">
        <v>701</v>
      </c>
    </row>
    <row r="973" spans="1:8" ht="26">
      <c r="A973" s="1023">
        <v>972</v>
      </c>
      <c r="B973" s="1024" t="s">
        <v>58</v>
      </c>
      <c r="C973" s="1025" t="s">
        <v>660</v>
      </c>
      <c r="D973" s="1025" t="s">
        <v>1615</v>
      </c>
      <c r="E973" s="1025" t="s">
        <v>1632</v>
      </c>
      <c r="F973" s="1026">
        <v>45456</v>
      </c>
      <c r="G973" s="1026"/>
      <c r="H973" s="1027" t="s">
        <v>701</v>
      </c>
    </row>
    <row r="974" spans="1:8" ht="26">
      <c r="A974" s="1018">
        <v>973</v>
      </c>
      <c r="B974" s="1019" t="s">
        <v>58</v>
      </c>
      <c r="C974" s="1020" t="s">
        <v>660</v>
      </c>
      <c r="D974" s="1020" t="s">
        <v>1615</v>
      </c>
      <c r="E974" s="1020" t="s">
        <v>1633</v>
      </c>
      <c r="F974" s="1021">
        <v>45456</v>
      </c>
      <c r="G974" s="1021"/>
      <c r="H974" s="1022" t="s">
        <v>701</v>
      </c>
    </row>
    <row r="975" spans="1:8" ht="26">
      <c r="A975" s="1023">
        <v>974</v>
      </c>
      <c r="B975" s="1024" t="s">
        <v>58</v>
      </c>
      <c r="C975" s="1025" t="s">
        <v>660</v>
      </c>
      <c r="D975" s="1025" t="s">
        <v>1615</v>
      </c>
      <c r="E975" s="1025" t="s">
        <v>1634</v>
      </c>
      <c r="F975" s="1026">
        <v>45456</v>
      </c>
      <c r="G975" s="1026"/>
      <c r="H975" s="1027" t="s">
        <v>701</v>
      </c>
    </row>
    <row r="976" spans="1:8" ht="26">
      <c r="A976" s="1018">
        <v>975</v>
      </c>
      <c r="B976" s="1019" t="s">
        <v>58</v>
      </c>
      <c r="C976" s="1020" t="s">
        <v>660</v>
      </c>
      <c r="D976" s="1020" t="s">
        <v>1615</v>
      </c>
      <c r="E976" s="1020" t="s">
        <v>1635</v>
      </c>
      <c r="F976" s="1021">
        <v>45456</v>
      </c>
      <c r="G976" s="1021"/>
      <c r="H976" s="1022" t="s">
        <v>701</v>
      </c>
    </row>
    <row r="977" spans="1:8" ht="26">
      <c r="A977" s="1023">
        <v>976</v>
      </c>
      <c r="B977" s="1024" t="s">
        <v>58</v>
      </c>
      <c r="C977" s="1025" t="s">
        <v>660</v>
      </c>
      <c r="D977" s="1025" t="s">
        <v>1615</v>
      </c>
      <c r="E977" s="1025" t="s">
        <v>1636</v>
      </c>
      <c r="F977" s="1026">
        <v>45456</v>
      </c>
      <c r="G977" s="1026"/>
      <c r="H977" s="1027" t="s">
        <v>701</v>
      </c>
    </row>
    <row r="978" spans="1:8" ht="39">
      <c r="A978" s="1018">
        <v>977</v>
      </c>
      <c r="B978" s="1019" t="s">
        <v>58</v>
      </c>
      <c r="C978" s="1020" t="s">
        <v>660</v>
      </c>
      <c r="D978" s="1020" t="s">
        <v>1615</v>
      </c>
      <c r="E978" s="1020" t="s">
        <v>1637</v>
      </c>
      <c r="F978" s="1021">
        <v>45456</v>
      </c>
      <c r="G978" s="1021"/>
      <c r="H978" s="1022" t="s">
        <v>701</v>
      </c>
    </row>
    <row r="979" spans="1:8">
      <c r="A979" s="1023">
        <v>978</v>
      </c>
      <c r="B979" s="1024" t="s">
        <v>58</v>
      </c>
      <c r="C979" s="1025" t="s">
        <v>660</v>
      </c>
      <c r="D979" s="1025" t="s">
        <v>1615</v>
      </c>
      <c r="E979" s="1025" t="s">
        <v>1638</v>
      </c>
      <c r="F979" s="1026">
        <v>45456</v>
      </c>
      <c r="G979" s="1026"/>
      <c r="H979" s="1027" t="s">
        <v>701</v>
      </c>
    </row>
    <row r="980" spans="1:8">
      <c r="A980" s="1018">
        <v>979</v>
      </c>
      <c r="B980" s="1019" t="s">
        <v>58</v>
      </c>
      <c r="C980" s="1020" t="s">
        <v>660</v>
      </c>
      <c r="D980" s="1020" t="s">
        <v>1639</v>
      </c>
      <c r="E980" s="1020" t="s">
        <v>1640</v>
      </c>
      <c r="F980" s="1021">
        <v>45423</v>
      </c>
      <c r="G980" s="1021">
        <v>45523</v>
      </c>
      <c r="H980" s="1022" t="s">
        <v>663</v>
      </c>
    </row>
    <row r="981" spans="1:8">
      <c r="A981" s="1023">
        <v>980</v>
      </c>
      <c r="B981" s="1024" t="s">
        <v>58</v>
      </c>
      <c r="C981" s="1025" t="s">
        <v>660</v>
      </c>
      <c r="D981" s="1025" t="s">
        <v>1639</v>
      </c>
      <c r="E981" s="1025" t="s">
        <v>1641</v>
      </c>
      <c r="F981" s="1026">
        <v>45423</v>
      </c>
      <c r="G981" s="1026">
        <v>45523</v>
      </c>
      <c r="H981" s="1027" t="s">
        <v>663</v>
      </c>
    </row>
    <row r="982" spans="1:8">
      <c r="A982" s="1018">
        <v>981</v>
      </c>
      <c r="B982" s="1019" t="s">
        <v>58</v>
      </c>
      <c r="C982" s="1020" t="s">
        <v>660</v>
      </c>
      <c r="D982" s="1020" t="s">
        <v>1639</v>
      </c>
      <c r="E982" s="1020" t="s">
        <v>1642</v>
      </c>
      <c r="F982" s="1021">
        <v>45423</v>
      </c>
      <c r="G982" s="1021">
        <v>45523</v>
      </c>
      <c r="H982" s="1022" t="s">
        <v>663</v>
      </c>
    </row>
    <row r="983" spans="1:8">
      <c r="A983" s="1023">
        <v>982</v>
      </c>
      <c r="B983" s="1024" t="s">
        <v>58</v>
      </c>
      <c r="C983" s="1025" t="s">
        <v>660</v>
      </c>
      <c r="D983" s="1025" t="s">
        <v>1639</v>
      </c>
      <c r="E983" s="1025" t="s">
        <v>1643</v>
      </c>
      <c r="F983" s="1026">
        <v>45423</v>
      </c>
      <c r="G983" s="1026">
        <v>45523</v>
      </c>
      <c r="H983" s="1027" t="s">
        <v>663</v>
      </c>
    </row>
    <row r="984" spans="1:8">
      <c r="A984" s="1018">
        <v>983</v>
      </c>
      <c r="B984" s="1019" t="s">
        <v>58</v>
      </c>
      <c r="C984" s="1020" t="s">
        <v>660</v>
      </c>
      <c r="D984" s="1020" t="s">
        <v>1639</v>
      </c>
      <c r="E984" s="1020" t="s">
        <v>1644</v>
      </c>
      <c r="F984" s="1021">
        <v>45471</v>
      </c>
      <c r="G984" s="1021">
        <v>45523</v>
      </c>
      <c r="H984" s="1022" t="s">
        <v>663</v>
      </c>
    </row>
    <row r="985" spans="1:8">
      <c r="A985" s="1023">
        <v>984</v>
      </c>
      <c r="B985" s="1024" t="s">
        <v>58</v>
      </c>
      <c r="C985" s="1025" t="s">
        <v>660</v>
      </c>
      <c r="D985" s="1025" t="s">
        <v>1639</v>
      </c>
      <c r="E985" s="1025" t="s">
        <v>1645</v>
      </c>
      <c r="F985" s="1026">
        <v>45471</v>
      </c>
      <c r="G985" s="1026">
        <v>45523</v>
      </c>
      <c r="H985" s="1027" t="s">
        <v>663</v>
      </c>
    </row>
    <row r="986" spans="1:8">
      <c r="A986" s="1018">
        <v>985</v>
      </c>
      <c r="B986" s="1019" t="s">
        <v>58</v>
      </c>
      <c r="C986" s="1020" t="s">
        <v>660</v>
      </c>
      <c r="D986" s="1020" t="s">
        <v>1639</v>
      </c>
      <c r="E986" s="1020" t="s">
        <v>1646</v>
      </c>
      <c r="F986" s="1021">
        <v>45423</v>
      </c>
      <c r="G986" s="1021">
        <v>45497</v>
      </c>
      <c r="H986" s="1022" t="s">
        <v>663</v>
      </c>
    </row>
    <row r="987" spans="1:8">
      <c r="A987" s="1023">
        <v>986</v>
      </c>
      <c r="B987" s="1024" t="s">
        <v>58</v>
      </c>
      <c r="C987" s="1025" t="s">
        <v>660</v>
      </c>
      <c r="D987" s="1025" t="s">
        <v>1639</v>
      </c>
      <c r="E987" s="1025" t="s">
        <v>1647</v>
      </c>
      <c r="F987" s="1026">
        <v>45423</v>
      </c>
      <c r="G987" s="1026">
        <v>45497</v>
      </c>
      <c r="H987" s="1027" t="s">
        <v>663</v>
      </c>
    </row>
    <row r="988" spans="1:8">
      <c r="A988" s="1018">
        <v>987</v>
      </c>
      <c r="B988" s="1019" t="s">
        <v>58</v>
      </c>
      <c r="C988" s="1020" t="s">
        <v>660</v>
      </c>
      <c r="D988" s="1020" t="s">
        <v>1639</v>
      </c>
      <c r="E988" s="1020" t="s">
        <v>1648</v>
      </c>
      <c r="F988" s="1021">
        <v>45423</v>
      </c>
      <c r="G988" s="1021">
        <v>45563</v>
      </c>
      <c r="H988" s="1022" t="s">
        <v>663</v>
      </c>
    </row>
    <row r="989" spans="1:8">
      <c r="A989" s="1023">
        <v>988</v>
      </c>
      <c r="B989" s="1024" t="s">
        <v>58</v>
      </c>
      <c r="C989" s="1025" t="s">
        <v>660</v>
      </c>
      <c r="D989" s="1025" t="s">
        <v>1639</v>
      </c>
      <c r="E989" s="1025" t="s">
        <v>1649</v>
      </c>
      <c r="F989" s="1026">
        <v>45641</v>
      </c>
      <c r="G989" s="1026"/>
      <c r="H989" s="1027" t="s">
        <v>701</v>
      </c>
    </row>
    <row r="990" spans="1:8">
      <c r="A990" s="1018">
        <v>989</v>
      </c>
      <c r="B990" s="1019" t="s">
        <v>58</v>
      </c>
      <c r="C990" s="1020" t="s">
        <v>660</v>
      </c>
      <c r="D990" s="1020" t="s">
        <v>1639</v>
      </c>
      <c r="E990" s="1020" t="s">
        <v>1650</v>
      </c>
      <c r="F990" s="1021">
        <v>45641</v>
      </c>
      <c r="G990" s="1021"/>
      <c r="H990" s="1022" t="s">
        <v>701</v>
      </c>
    </row>
    <row r="991" spans="1:8">
      <c r="A991" s="1023">
        <v>990</v>
      </c>
      <c r="B991" s="1024" t="s">
        <v>58</v>
      </c>
      <c r="C991" s="1025" t="s">
        <v>660</v>
      </c>
      <c r="D991" s="1025" t="s">
        <v>1639</v>
      </c>
      <c r="E991" s="1025" t="s">
        <v>1651</v>
      </c>
      <c r="F991" s="1026">
        <v>45423</v>
      </c>
      <c r="G991" s="1026">
        <v>45516</v>
      </c>
      <c r="H991" s="1027" t="s">
        <v>663</v>
      </c>
    </row>
    <row r="992" spans="1:8">
      <c r="A992" s="1018">
        <v>991</v>
      </c>
      <c r="B992" s="1019" t="s">
        <v>58</v>
      </c>
      <c r="C992" s="1020" t="s">
        <v>660</v>
      </c>
      <c r="D992" s="1020" t="s">
        <v>1639</v>
      </c>
      <c r="E992" s="1020" t="s">
        <v>1652</v>
      </c>
      <c r="F992" s="1021">
        <v>45423</v>
      </c>
      <c r="G992" s="1021"/>
      <c r="H992" s="1022" t="s">
        <v>701</v>
      </c>
    </row>
    <row r="993" spans="1:8">
      <c r="A993" s="1023">
        <v>992</v>
      </c>
      <c r="B993" s="1024" t="s">
        <v>58</v>
      </c>
      <c r="C993" s="1025" t="s">
        <v>660</v>
      </c>
      <c r="D993" s="1025" t="s">
        <v>1639</v>
      </c>
      <c r="E993" s="1025" t="s">
        <v>1653</v>
      </c>
      <c r="F993" s="1026">
        <v>45433</v>
      </c>
      <c r="G993" s="1026">
        <v>45501</v>
      </c>
      <c r="H993" s="1027" t="s">
        <v>663</v>
      </c>
    </row>
    <row r="994" spans="1:8">
      <c r="A994" s="1018">
        <v>993</v>
      </c>
      <c r="B994" s="1019" t="s">
        <v>58</v>
      </c>
      <c r="C994" s="1020" t="s">
        <v>660</v>
      </c>
      <c r="D994" s="1020" t="s">
        <v>1639</v>
      </c>
      <c r="E994" s="1020" t="s">
        <v>1654</v>
      </c>
      <c r="F994" s="1021">
        <v>45433</v>
      </c>
      <c r="G994" s="1021">
        <v>45504</v>
      </c>
      <c r="H994" s="1022" t="s">
        <v>663</v>
      </c>
    </row>
    <row r="995" spans="1:8">
      <c r="A995" s="1023">
        <v>994</v>
      </c>
      <c r="B995" s="1024" t="s">
        <v>58</v>
      </c>
      <c r="C995" s="1025" t="s">
        <v>660</v>
      </c>
      <c r="D995" s="1025" t="s">
        <v>1639</v>
      </c>
      <c r="E995" s="1025" t="s">
        <v>1655</v>
      </c>
      <c r="F995" s="1026">
        <v>45515</v>
      </c>
      <c r="G995" s="1026">
        <v>45537</v>
      </c>
      <c r="H995" s="1027" t="s">
        <v>663</v>
      </c>
    </row>
    <row r="996" spans="1:8">
      <c r="A996" s="1018">
        <v>995</v>
      </c>
      <c r="B996" s="1019" t="s">
        <v>58</v>
      </c>
      <c r="C996" s="1020" t="s">
        <v>660</v>
      </c>
      <c r="D996" s="1020" t="s">
        <v>1639</v>
      </c>
      <c r="E996" s="1020" t="s">
        <v>1656</v>
      </c>
      <c r="F996" s="1021">
        <v>45515</v>
      </c>
      <c r="G996" s="1021">
        <v>45537</v>
      </c>
      <c r="H996" s="1022" t="s">
        <v>663</v>
      </c>
    </row>
    <row r="997" spans="1:8">
      <c r="A997" s="1023">
        <v>996</v>
      </c>
      <c r="B997" s="1024" t="s">
        <v>58</v>
      </c>
      <c r="C997" s="1025" t="s">
        <v>660</v>
      </c>
      <c r="D997" s="1025" t="s">
        <v>1639</v>
      </c>
      <c r="E997" s="1025" t="s">
        <v>1657</v>
      </c>
      <c r="F997" s="1026">
        <v>45515</v>
      </c>
      <c r="G997" s="1026">
        <v>45537</v>
      </c>
      <c r="H997" s="1027" t="s">
        <v>663</v>
      </c>
    </row>
    <row r="998" spans="1:8">
      <c r="A998" s="1018">
        <v>997</v>
      </c>
      <c r="B998" s="1019" t="s">
        <v>58</v>
      </c>
      <c r="C998" s="1020" t="s">
        <v>660</v>
      </c>
      <c r="D998" s="1020" t="s">
        <v>1639</v>
      </c>
      <c r="E998" s="1020" t="s">
        <v>1658</v>
      </c>
      <c r="F998" s="1021">
        <v>45515</v>
      </c>
      <c r="G998" s="1021">
        <v>45565</v>
      </c>
      <c r="H998" s="1022" t="s">
        <v>1659</v>
      </c>
    </row>
    <row r="999" spans="1:8">
      <c r="A999" s="1023">
        <v>998</v>
      </c>
      <c r="B999" s="1024" t="s">
        <v>58</v>
      </c>
      <c r="C999" s="1025" t="s">
        <v>660</v>
      </c>
      <c r="D999" s="1025" t="s">
        <v>1639</v>
      </c>
      <c r="E999" s="1025" t="s">
        <v>1660</v>
      </c>
      <c r="F999" s="1026">
        <v>45515</v>
      </c>
      <c r="G999" s="1026">
        <v>45565</v>
      </c>
      <c r="H999" s="1027" t="s">
        <v>663</v>
      </c>
    </row>
    <row r="1000" spans="1:8">
      <c r="A1000" s="1018">
        <v>999</v>
      </c>
      <c r="B1000" s="1019" t="s">
        <v>58</v>
      </c>
      <c r="C1000" s="1020" t="s">
        <v>660</v>
      </c>
      <c r="D1000" s="1020" t="s">
        <v>1639</v>
      </c>
      <c r="E1000" s="1020" t="s">
        <v>1661</v>
      </c>
      <c r="F1000" s="1021">
        <v>45515</v>
      </c>
      <c r="G1000" s="1021">
        <v>45565</v>
      </c>
      <c r="H1000" s="1022" t="s">
        <v>663</v>
      </c>
    </row>
    <row r="1001" spans="1:8">
      <c r="A1001" s="1023">
        <v>1000</v>
      </c>
      <c r="B1001" s="1024" t="s">
        <v>58</v>
      </c>
      <c r="C1001" s="1025" t="s">
        <v>660</v>
      </c>
      <c r="D1001" s="1025" t="s">
        <v>1639</v>
      </c>
      <c r="E1001" s="1025" t="s">
        <v>1662</v>
      </c>
      <c r="F1001" s="1026">
        <v>45515</v>
      </c>
      <c r="G1001" s="1026">
        <v>45519</v>
      </c>
      <c r="H1001" s="1027" t="s">
        <v>663</v>
      </c>
    </row>
    <row r="1002" spans="1:8">
      <c r="A1002" s="1018">
        <v>1001</v>
      </c>
      <c r="B1002" s="1019" t="s">
        <v>58</v>
      </c>
      <c r="C1002" s="1020" t="s">
        <v>660</v>
      </c>
      <c r="D1002" s="1020" t="s">
        <v>1639</v>
      </c>
      <c r="E1002" s="1020" t="s">
        <v>1663</v>
      </c>
      <c r="F1002" s="1021">
        <v>45515</v>
      </c>
      <c r="G1002" s="1021">
        <v>45519</v>
      </c>
      <c r="H1002" s="1022" t="s">
        <v>663</v>
      </c>
    </row>
    <row r="1003" spans="1:8">
      <c r="A1003" s="1023">
        <v>1002</v>
      </c>
      <c r="B1003" s="1024" t="s">
        <v>58</v>
      </c>
      <c r="C1003" s="1025" t="s">
        <v>660</v>
      </c>
      <c r="D1003" s="1025" t="s">
        <v>1639</v>
      </c>
      <c r="E1003" s="1025" t="s">
        <v>1664</v>
      </c>
      <c r="F1003" s="1026">
        <v>45515</v>
      </c>
      <c r="G1003" s="1026">
        <v>45510</v>
      </c>
      <c r="H1003" s="1027" t="s">
        <v>663</v>
      </c>
    </row>
    <row r="1004" spans="1:8">
      <c r="A1004" s="1018">
        <v>1003</v>
      </c>
      <c r="B1004" s="1019" t="s">
        <v>58</v>
      </c>
      <c r="C1004" s="1020" t="s">
        <v>660</v>
      </c>
      <c r="D1004" s="1020" t="s">
        <v>1639</v>
      </c>
      <c r="E1004" s="1020" t="s">
        <v>1665</v>
      </c>
      <c r="F1004" s="1021">
        <v>45515</v>
      </c>
      <c r="G1004" s="1021">
        <v>45466</v>
      </c>
      <c r="H1004" s="1022" t="s">
        <v>663</v>
      </c>
    </row>
    <row r="1005" spans="1:8">
      <c r="A1005" s="1023">
        <v>1004</v>
      </c>
      <c r="B1005" s="1024" t="s">
        <v>58</v>
      </c>
      <c r="C1005" s="1025" t="s">
        <v>660</v>
      </c>
      <c r="D1005" s="1025" t="s">
        <v>1639</v>
      </c>
      <c r="E1005" s="1025" t="s">
        <v>1666</v>
      </c>
      <c r="F1005" s="1026">
        <v>45515</v>
      </c>
      <c r="G1005" s="1026">
        <v>45451</v>
      </c>
      <c r="H1005" s="1027" t="s">
        <v>663</v>
      </c>
    </row>
    <row r="1006" spans="1:8">
      <c r="A1006" s="1018">
        <v>1005</v>
      </c>
      <c r="B1006" s="1019" t="s">
        <v>58</v>
      </c>
      <c r="C1006" s="1020" t="s">
        <v>660</v>
      </c>
      <c r="D1006" s="1020" t="s">
        <v>1639</v>
      </c>
      <c r="E1006" s="1020" t="s">
        <v>1667</v>
      </c>
      <c r="F1006" s="1021">
        <v>45515</v>
      </c>
      <c r="G1006" s="1021">
        <v>45451</v>
      </c>
      <c r="H1006" s="1022" t="s">
        <v>663</v>
      </c>
    </row>
    <row r="1007" spans="1:8" ht="26">
      <c r="A1007" s="1023">
        <v>1006</v>
      </c>
      <c r="B1007" s="1024" t="s">
        <v>58</v>
      </c>
      <c r="C1007" s="1025" t="s">
        <v>660</v>
      </c>
      <c r="D1007" s="1025" t="s">
        <v>1639</v>
      </c>
      <c r="E1007" s="1025" t="s">
        <v>1668</v>
      </c>
      <c r="F1007" s="1026">
        <v>45515</v>
      </c>
      <c r="G1007" s="1026">
        <v>45466</v>
      </c>
      <c r="H1007" s="1027" t="s">
        <v>663</v>
      </c>
    </row>
    <row r="1008" spans="1:8" ht="26">
      <c r="A1008" s="1018">
        <v>1007</v>
      </c>
      <c r="B1008" s="1019" t="s">
        <v>58</v>
      </c>
      <c r="C1008" s="1020" t="s">
        <v>660</v>
      </c>
      <c r="D1008" s="1020" t="s">
        <v>1639</v>
      </c>
      <c r="E1008" s="1020" t="s">
        <v>1669</v>
      </c>
      <c r="F1008" s="1021">
        <v>45515</v>
      </c>
      <c r="G1008" s="1021">
        <v>45466</v>
      </c>
      <c r="H1008" s="1022" t="s">
        <v>663</v>
      </c>
    </row>
    <row r="1009" spans="1:8" ht="26">
      <c r="A1009" s="1023">
        <v>1008</v>
      </c>
      <c r="B1009" s="1024" t="s">
        <v>58</v>
      </c>
      <c r="C1009" s="1025" t="s">
        <v>660</v>
      </c>
      <c r="D1009" s="1025" t="s">
        <v>1639</v>
      </c>
      <c r="E1009" s="1025" t="s">
        <v>1670</v>
      </c>
      <c r="F1009" s="1026">
        <v>45515</v>
      </c>
      <c r="G1009" s="1026">
        <v>45466</v>
      </c>
      <c r="H1009" s="1027" t="s">
        <v>663</v>
      </c>
    </row>
    <row r="1010" spans="1:8" ht="26">
      <c r="A1010" s="1018">
        <v>1009</v>
      </c>
      <c r="B1010" s="1019" t="s">
        <v>58</v>
      </c>
      <c r="C1010" s="1020" t="s">
        <v>660</v>
      </c>
      <c r="D1010" s="1020" t="s">
        <v>1639</v>
      </c>
      <c r="E1010" s="1020" t="s">
        <v>1671</v>
      </c>
      <c r="F1010" s="1021">
        <v>45515</v>
      </c>
      <c r="G1010" s="1021">
        <v>45466</v>
      </c>
      <c r="H1010" s="1022" t="s">
        <v>663</v>
      </c>
    </row>
    <row r="1011" spans="1:8" ht="26">
      <c r="A1011" s="1023">
        <v>1010</v>
      </c>
      <c r="B1011" s="1024" t="s">
        <v>58</v>
      </c>
      <c r="C1011" s="1025" t="s">
        <v>660</v>
      </c>
      <c r="D1011" s="1025" t="s">
        <v>1639</v>
      </c>
      <c r="E1011" s="1025" t="s">
        <v>1672</v>
      </c>
      <c r="F1011" s="1026">
        <v>45515</v>
      </c>
      <c r="G1011" s="1026">
        <v>45466</v>
      </c>
      <c r="H1011" s="1027" t="s">
        <v>663</v>
      </c>
    </row>
    <row r="1012" spans="1:8" ht="26">
      <c r="A1012" s="1018">
        <v>1011</v>
      </c>
      <c r="B1012" s="1019" t="s">
        <v>58</v>
      </c>
      <c r="C1012" s="1020" t="s">
        <v>660</v>
      </c>
      <c r="D1012" s="1020" t="s">
        <v>1673</v>
      </c>
      <c r="E1012" s="1020" t="s">
        <v>1674</v>
      </c>
      <c r="F1012" s="1021">
        <v>45423</v>
      </c>
      <c r="G1012" s="1021">
        <v>45497</v>
      </c>
      <c r="H1012" s="1022" t="s">
        <v>663</v>
      </c>
    </row>
    <row r="1013" spans="1:8" ht="26">
      <c r="A1013" s="1023">
        <v>1012</v>
      </c>
      <c r="B1013" s="1024" t="s">
        <v>58</v>
      </c>
      <c r="C1013" s="1025" t="s">
        <v>660</v>
      </c>
      <c r="D1013" s="1025" t="s">
        <v>1673</v>
      </c>
      <c r="E1013" s="1025" t="s">
        <v>1675</v>
      </c>
      <c r="F1013" s="1026">
        <v>45423</v>
      </c>
      <c r="G1013" s="1026">
        <v>45497</v>
      </c>
      <c r="H1013" s="1027" t="s">
        <v>663</v>
      </c>
    </row>
    <row r="1014" spans="1:8" ht="26">
      <c r="A1014" s="1018">
        <v>1013</v>
      </c>
      <c r="B1014" s="1019" t="s">
        <v>58</v>
      </c>
      <c r="C1014" s="1020" t="s">
        <v>660</v>
      </c>
      <c r="D1014" s="1020" t="s">
        <v>1673</v>
      </c>
      <c r="E1014" s="1020" t="s">
        <v>1676</v>
      </c>
      <c r="F1014" s="1021">
        <v>45423</v>
      </c>
      <c r="G1014" s="1021">
        <v>45497</v>
      </c>
      <c r="H1014" s="1022" t="s">
        <v>663</v>
      </c>
    </row>
    <row r="1015" spans="1:8" ht="26">
      <c r="A1015" s="1023">
        <v>1014</v>
      </c>
      <c r="B1015" s="1024" t="s">
        <v>58</v>
      </c>
      <c r="C1015" s="1025" t="s">
        <v>660</v>
      </c>
      <c r="D1015" s="1025" t="s">
        <v>1673</v>
      </c>
      <c r="E1015" s="1025" t="s">
        <v>1677</v>
      </c>
      <c r="F1015" s="1026">
        <v>45423</v>
      </c>
      <c r="G1015" s="1026">
        <v>45497</v>
      </c>
      <c r="H1015" s="1027" t="s">
        <v>663</v>
      </c>
    </row>
    <row r="1016" spans="1:8" ht="26">
      <c r="A1016" s="1018">
        <v>1015</v>
      </c>
      <c r="B1016" s="1019" t="s">
        <v>58</v>
      </c>
      <c r="C1016" s="1020" t="s">
        <v>660</v>
      </c>
      <c r="D1016" s="1020" t="s">
        <v>1673</v>
      </c>
      <c r="E1016" s="1020" t="s">
        <v>1678</v>
      </c>
      <c r="F1016" s="1021">
        <v>45423</v>
      </c>
      <c r="G1016" s="1021">
        <v>45497</v>
      </c>
      <c r="H1016" s="1022" t="s">
        <v>663</v>
      </c>
    </row>
    <row r="1017" spans="1:8" ht="26">
      <c r="A1017" s="1023">
        <v>1016</v>
      </c>
      <c r="B1017" s="1024" t="s">
        <v>58</v>
      </c>
      <c r="C1017" s="1025" t="s">
        <v>660</v>
      </c>
      <c r="D1017" s="1025" t="s">
        <v>1673</v>
      </c>
      <c r="E1017" s="1025" t="s">
        <v>1679</v>
      </c>
      <c r="F1017" s="1026">
        <v>45423</v>
      </c>
      <c r="G1017" s="1026">
        <v>45497</v>
      </c>
      <c r="H1017" s="1027" t="s">
        <v>663</v>
      </c>
    </row>
    <row r="1018" spans="1:8" ht="26">
      <c r="A1018" s="1018">
        <v>1017</v>
      </c>
      <c r="B1018" s="1019" t="s">
        <v>58</v>
      </c>
      <c r="C1018" s="1020" t="s">
        <v>660</v>
      </c>
      <c r="D1018" s="1020" t="s">
        <v>1673</v>
      </c>
      <c r="E1018" s="1020" t="s">
        <v>1680</v>
      </c>
      <c r="F1018" s="1021">
        <v>45423</v>
      </c>
      <c r="G1018" s="1021">
        <v>45497</v>
      </c>
      <c r="H1018" s="1022" t="s">
        <v>663</v>
      </c>
    </row>
    <row r="1019" spans="1:8" ht="26">
      <c r="A1019" s="1023">
        <v>1018</v>
      </c>
      <c r="B1019" s="1024" t="s">
        <v>58</v>
      </c>
      <c r="C1019" s="1025" t="s">
        <v>660</v>
      </c>
      <c r="D1019" s="1025" t="s">
        <v>1673</v>
      </c>
      <c r="E1019" s="1025" t="s">
        <v>1681</v>
      </c>
      <c r="F1019" s="1026">
        <v>45423</v>
      </c>
      <c r="G1019" s="1026"/>
      <c r="H1019" s="1027" t="s">
        <v>701</v>
      </c>
    </row>
    <row r="1020" spans="1:8" ht="26">
      <c r="A1020" s="1018">
        <v>1019</v>
      </c>
      <c r="B1020" s="1019" t="s">
        <v>58</v>
      </c>
      <c r="C1020" s="1020" t="s">
        <v>660</v>
      </c>
      <c r="D1020" s="1020" t="s">
        <v>1673</v>
      </c>
      <c r="E1020" s="1020" t="s">
        <v>1682</v>
      </c>
      <c r="F1020" s="1021">
        <v>45423</v>
      </c>
      <c r="G1020" s="1021"/>
      <c r="H1020" s="1022" t="s">
        <v>701</v>
      </c>
    </row>
    <row r="1021" spans="1:8" ht="26">
      <c r="A1021" s="1023">
        <v>1020</v>
      </c>
      <c r="B1021" s="1024" t="s">
        <v>58</v>
      </c>
      <c r="C1021" s="1025" t="s">
        <v>660</v>
      </c>
      <c r="D1021" s="1025" t="s">
        <v>1673</v>
      </c>
      <c r="E1021" s="1025" t="s">
        <v>1683</v>
      </c>
      <c r="F1021" s="1026">
        <v>45456</v>
      </c>
      <c r="G1021" s="1026">
        <v>45497</v>
      </c>
      <c r="H1021" s="1027" t="s">
        <v>663</v>
      </c>
    </row>
    <row r="1022" spans="1:8" ht="26">
      <c r="A1022" s="1018">
        <v>1021</v>
      </c>
      <c r="B1022" s="1019" t="s">
        <v>58</v>
      </c>
      <c r="C1022" s="1020" t="s">
        <v>660</v>
      </c>
      <c r="D1022" s="1020" t="s">
        <v>1673</v>
      </c>
      <c r="E1022" s="1020" t="s">
        <v>1684</v>
      </c>
      <c r="F1022" s="1021">
        <v>45456</v>
      </c>
      <c r="G1022" s="1021"/>
      <c r="H1022" s="1022" t="s">
        <v>701</v>
      </c>
    </row>
    <row r="1023" spans="1:8" ht="26">
      <c r="A1023" s="1023">
        <v>1022</v>
      </c>
      <c r="B1023" s="1024" t="s">
        <v>58</v>
      </c>
      <c r="C1023" s="1025" t="s">
        <v>660</v>
      </c>
      <c r="D1023" s="1025" t="s">
        <v>1673</v>
      </c>
      <c r="E1023" s="1025" t="s">
        <v>1685</v>
      </c>
      <c r="F1023" s="1026">
        <v>45456</v>
      </c>
      <c r="G1023" s="1026"/>
      <c r="H1023" s="1027" t="s">
        <v>701</v>
      </c>
    </row>
    <row r="1024" spans="1:8" ht="26">
      <c r="A1024" s="1018">
        <v>1023</v>
      </c>
      <c r="B1024" s="1019" t="s">
        <v>58</v>
      </c>
      <c r="C1024" s="1020" t="s">
        <v>660</v>
      </c>
      <c r="D1024" s="1020" t="s">
        <v>1673</v>
      </c>
      <c r="E1024" s="1020" t="s">
        <v>1686</v>
      </c>
      <c r="F1024" s="1021">
        <v>45456</v>
      </c>
      <c r="G1024" s="1021"/>
      <c r="H1024" s="1022" t="s">
        <v>701</v>
      </c>
    </row>
    <row r="1025" spans="1:8" ht="26">
      <c r="A1025" s="1023">
        <v>1024</v>
      </c>
      <c r="B1025" s="1024" t="s">
        <v>58</v>
      </c>
      <c r="C1025" s="1025" t="s">
        <v>660</v>
      </c>
      <c r="D1025" s="1025" t="s">
        <v>1673</v>
      </c>
      <c r="E1025" s="1025" t="s">
        <v>1687</v>
      </c>
      <c r="F1025" s="1026">
        <v>45423</v>
      </c>
      <c r="G1025" s="1026">
        <v>45497</v>
      </c>
      <c r="H1025" s="1027" t="s">
        <v>663</v>
      </c>
    </row>
    <row r="1026" spans="1:8" ht="26">
      <c r="A1026" s="1018">
        <v>1025</v>
      </c>
      <c r="B1026" s="1019" t="s">
        <v>58</v>
      </c>
      <c r="C1026" s="1020" t="s">
        <v>660</v>
      </c>
      <c r="D1026" s="1020" t="s">
        <v>1673</v>
      </c>
      <c r="E1026" s="1020" t="s">
        <v>1688</v>
      </c>
      <c r="F1026" s="1021">
        <v>45423</v>
      </c>
      <c r="G1026" s="1021">
        <v>45497</v>
      </c>
      <c r="H1026" s="1022" t="s">
        <v>663</v>
      </c>
    </row>
    <row r="1027" spans="1:8" ht="26">
      <c r="A1027" s="1023">
        <v>1026</v>
      </c>
      <c r="B1027" s="1024" t="s">
        <v>58</v>
      </c>
      <c r="C1027" s="1025" t="s">
        <v>660</v>
      </c>
      <c r="D1027" s="1025" t="s">
        <v>1673</v>
      </c>
      <c r="E1027" s="1025" t="s">
        <v>1689</v>
      </c>
      <c r="F1027" s="1026">
        <v>45608</v>
      </c>
      <c r="G1027" s="1026"/>
      <c r="H1027" s="1027" t="s">
        <v>701</v>
      </c>
    </row>
    <row r="1028" spans="1:8" ht="26">
      <c r="A1028" s="1018">
        <v>1027</v>
      </c>
      <c r="B1028" s="1019" t="s">
        <v>58</v>
      </c>
      <c r="C1028" s="1020" t="s">
        <v>660</v>
      </c>
      <c r="D1028" s="1020" t="s">
        <v>1673</v>
      </c>
      <c r="E1028" s="1020" t="s">
        <v>1690</v>
      </c>
      <c r="F1028" s="1021">
        <v>45423</v>
      </c>
      <c r="G1028" s="1021"/>
      <c r="H1028" s="1022" t="s">
        <v>701</v>
      </c>
    </row>
    <row r="1029" spans="1:8" ht="26">
      <c r="A1029" s="1023">
        <v>1028</v>
      </c>
      <c r="B1029" s="1024" t="s">
        <v>58</v>
      </c>
      <c r="C1029" s="1025" t="s">
        <v>660</v>
      </c>
      <c r="D1029" s="1025" t="s">
        <v>1691</v>
      </c>
      <c r="E1029" s="1025" t="s">
        <v>1692</v>
      </c>
      <c r="F1029" s="1026">
        <v>45423</v>
      </c>
      <c r="G1029" s="1026"/>
      <c r="H1029" s="1027" t="s">
        <v>701</v>
      </c>
    </row>
    <row r="1030" spans="1:8" ht="26">
      <c r="A1030" s="1018">
        <v>1029</v>
      </c>
      <c r="B1030" s="1019" t="s">
        <v>58</v>
      </c>
      <c r="C1030" s="1020" t="s">
        <v>660</v>
      </c>
      <c r="D1030" s="1020" t="s">
        <v>1691</v>
      </c>
      <c r="E1030" s="1020" t="s">
        <v>1693</v>
      </c>
      <c r="F1030" s="1021">
        <v>45423</v>
      </c>
      <c r="G1030" s="1021"/>
      <c r="H1030" s="1022" t="s">
        <v>701</v>
      </c>
    </row>
    <row r="1031" spans="1:8" ht="26">
      <c r="A1031" s="1023">
        <v>1030</v>
      </c>
      <c r="B1031" s="1024" t="s">
        <v>58</v>
      </c>
      <c r="C1031" s="1025" t="s">
        <v>660</v>
      </c>
      <c r="D1031" s="1025" t="s">
        <v>1691</v>
      </c>
      <c r="E1031" s="1025" t="s">
        <v>1694</v>
      </c>
      <c r="F1031" s="1026">
        <v>45423</v>
      </c>
      <c r="G1031" s="1026"/>
      <c r="H1031" s="1027" t="s">
        <v>701</v>
      </c>
    </row>
    <row r="1032" spans="1:8" ht="26">
      <c r="A1032" s="1018">
        <v>1031</v>
      </c>
      <c r="B1032" s="1019" t="s">
        <v>58</v>
      </c>
      <c r="C1032" s="1020" t="s">
        <v>660</v>
      </c>
      <c r="D1032" s="1020" t="s">
        <v>1691</v>
      </c>
      <c r="E1032" s="1020" t="s">
        <v>1695</v>
      </c>
      <c r="F1032" s="1021">
        <v>45423</v>
      </c>
      <c r="G1032" s="1021"/>
      <c r="H1032" s="1022" t="s">
        <v>701</v>
      </c>
    </row>
    <row r="1033" spans="1:8" ht="26">
      <c r="A1033" s="1023">
        <v>1032</v>
      </c>
      <c r="B1033" s="1024" t="s">
        <v>58</v>
      </c>
      <c r="C1033" s="1025" t="s">
        <v>660</v>
      </c>
      <c r="D1033" s="1025" t="s">
        <v>1691</v>
      </c>
      <c r="E1033" s="1025" t="s">
        <v>1696</v>
      </c>
      <c r="F1033" s="1026">
        <v>45423</v>
      </c>
      <c r="G1033" s="1026"/>
      <c r="H1033" s="1027" t="s">
        <v>701</v>
      </c>
    </row>
    <row r="1034" spans="1:8" ht="26">
      <c r="A1034" s="1018">
        <v>1033</v>
      </c>
      <c r="B1034" s="1019" t="s">
        <v>58</v>
      </c>
      <c r="C1034" s="1020" t="s">
        <v>660</v>
      </c>
      <c r="D1034" s="1020" t="s">
        <v>1691</v>
      </c>
      <c r="E1034" s="1020" t="s">
        <v>1697</v>
      </c>
      <c r="F1034" s="1021">
        <v>45456</v>
      </c>
      <c r="G1034" s="1021"/>
      <c r="H1034" s="1022" t="s">
        <v>701</v>
      </c>
    </row>
    <row r="1035" spans="1:8" ht="26">
      <c r="A1035" s="1023">
        <v>1034</v>
      </c>
      <c r="B1035" s="1024" t="s">
        <v>58</v>
      </c>
      <c r="C1035" s="1025" t="s">
        <v>660</v>
      </c>
      <c r="D1035" s="1025" t="s">
        <v>1691</v>
      </c>
      <c r="E1035" s="1025" t="s">
        <v>1698</v>
      </c>
      <c r="F1035" s="1026">
        <v>45456</v>
      </c>
      <c r="G1035" s="1026"/>
      <c r="H1035" s="1027" t="s">
        <v>701</v>
      </c>
    </row>
    <row r="1036" spans="1:8">
      <c r="A1036" s="1018">
        <v>1035</v>
      </c>
      <c r="B1036" s="1019" t="s">
        <v>58</v>
      </c>
      <c r="C1036" s="1020" t="s">
        <v>660</v>
      </c>
      <c r="D1036" s="1020" t="s">
        <v>1699</v>
      </c>
      <c r="E1036" s="1020" t="s">
        <v>1700</v>
      </c>
      <c r="F1036" s="1021">
        <v>45469</v>
      </c>
      <c r="G1036" s="1021">
        <v>45531</v>
      </c>
      <c r="H1036" s="1022" t="s">
        <v>663</v>
      </c>
    </row>
    <row r="1037" spans="1:8" ht="26">
      <c r="A1037" s="1023">
        <v>1036</v>
      </c>
      <c r="B1037" s="1024" t="s">
        <v>58</v>
      </c>
      <c r="C1037" s="1025" t="s">
        <v>660</v>
      </c>
      <c r="D1037" s="1025" t="s">
        <v>1699</v>
      </c>
      <c r="E1037" s="1025" t="s">
        <v>1701</v>
      </c>
      <c r="F1037" s="1026">
        <v>45469</v>
      </c>
      <c r="G1037" s="1026">
        <v>45531</v>
      </c>
      <c r="H1037" s="1027" t="s">
        <v>663</v>
      </c>
    </row>
    <row r="1038" spans="1:8">
      <c r="A1038" s="1018">
        <v>1037</v>
      </c>
      <c r="B1038" s="1019" t="s">
        <v>58</v>
      </c>
      <c r="C1038" s="1020" t="s">
        <v>660</v>
      </c>
      <c r="D1038" s="1020" t="s">
        <v>1699</v>
      </c>
      <c r="E1038" s="1020" t="s">
        <v>1702</v>
      </c>
      <c r="F1038" s="1021">
        <v>45469</v>
      </c>
      <c r="G1038" s="1021">
        <v>45531</v>
      </c>
      <c r="H1038" s="1022" t="s">
        <v>663</v>
      </c>
    </row>
    <row r="1039" spans="1:8">
      <c r="A1039" s="1023">
        <v>1038</v>
      </c>
      <c r="B1039" s="1024" t="s">
        <v>58</v>
      </c>
      <c r="C1039" s="1025" t="s">
        <v>660</v>
      </c>
      <c r="D1039" s="1025" t="s">
        <v>1699</v>
      </c>
      <c r="E1039" s="1025" t="s">
        <v>1703</v>
      </c>
      <c r="F1039" s="1026">
        <v>45469</v>
      </c>
      <c r="G1039" s="1026">
        <v>45531</v>
      </c>
      <c r="H1039" s="1027" t="s">
        <v>663</v>
      </c>
    </row>
    <row r="1040" spans="1:8">
      <c r="A1040" s="1018">
        <v>1039</v>
      </c>
      <c r="B1040" s="1019" t="s">
        <v>58</v>
      </c>
      <c r="C1040" s="1020" t="s">
        <v>660</v>
      </c>
      <c r="D1040" s="1020" t="s">
        <v>1699</v>
      </c>
      <c r="E1040" s="1020" t="s">
        <v>1704</v>
      </c>
      <c r="F1040" s="1021">
        <v>45469</v>
      </c>
      <c r="G1040" s="1021">
        <v>45531</v>
      </c>
      <c r="H1040" s="1022" t="s">
        <v>663</v>
      </c>
    </row>
    <row r="1041" spans="1:8">
      <c r="A1041" s="1023">
        <v>1040</v>
      </c>
      <c r="B1041" s="1024" t="s">
        <v>58</v>
      </c>
      <c r="C1041" s="1025" t="s">
        <v>660</v>
      </c>
      <c r="D1041" s="1025" t="s">
        <v>1699</v>
      </c>
      <c r="E1041" s="1025" t="s">
        <v>1705</v>
      </c>
      <c r="F1041" s="1026">
        <v>45469</v>
      </c>
      <c r="G1041" s="1026">
        <v>45531</v>
      </c>
      <c r="H1041" s="1027" t="s">
        <v>663</v>
      </c>
    </row>
    <row r="1042" spans="1:8">
      <c r="A1042" s="1018">
        <v>1041</v>
      </c>
      <c r="B1042" s="1019" t="s">
        <v>58</v>
      </c>
      <c r="C1042" s="1020" t="s">
        <v>660</v>
      </c>
      <c r="D1042" s="1020" t="s">
        <v>1699</v>
      </c>
      <c r="E1042" s="1020" t="s">
        <v>1706</v>
      </c>
      <c r="F1042" s="1021">
        <v>45623</v>
      </c>
      <c r="G1042" s="1021">
        <v>45531</v>
      </c>
      <c r="H1042" s="1022" t="s">
        <v>663</v>
      </c>
    </row>
    <row r="1043" spans="1:8">
      <c r="A1043" s="1023">
        <v>1042</v>
      </c>
      <c r="B1043" s="1024" t="s">
        <v>58</v>
      </c>
      <c r="C1043" s="1025" t="s">
        <v>660</v>
      </c>
      <c r="D1043" s="1025" t="s">
        <v>1699</v>
      </c>
      <c r="E1043" s="1025" t="s">
        <v>1707</v>
      </c>
      <c r="F1043" s="1026">
        <v>45623</v>
      </c>
      <c r="G1043" s="1026">
        <v>45531</v>
      </c>
      <c r="H1043" s="1027" t="s">
        <v>663</v>
      </c>
    </row>
    <row r="1044" spans="1:8">
      <c r="A1044" s="1018">
        <v>1043</v>
      </c>
      <c r="B1044" s="1019" t="s">
        <v>58</v>
      </c>
      <c r="C1044" s="1020" t="s">
        <v>660</v>
      </c>
      <c r="D1044" s="1020" t="s">
        <v>1699</v>
      </c>
      <c r="E1044" s="1020" t="s">
        <v>1708</v>
      </c>
      <c r="F1044" s="1021">
        <v>45469</v>
      </c>
      <c r="G1044" s="1021">
        <v>45498</v>
      </c>
      <c r="H1044" s="1022" t="s">
        <v>663</v>
      </c>
    </row>
    <row r="1045" spans="1:8">
      <c r="A1045" s="1023">
        <v>1044</v>
      </c>
      <c r="B1045" s="1024" t="s">
        <v>58</v>
      </c>
      <c r="C1045" s="1025" t="s">
        <v>660</v>
      </c>
      <c r="D1045" s="1025" t="s">
        <v>1699</v>
      </c>
      <c r="E1045" s="1025" t="s">
        <v>1709</v>
      </c>
      <c r="F1045" s="1026">
        <v>45469</v>
      </c>
      <c r="G1045" s="1026">
        <v>45520</v>
      </c>
      <c r="H1045" s="1027" t="s">
        <v>663</v>
      </c>
    </row>
    <row r="1046" spans="1:8">
      <c r="A1046" s="1018">
        <v>1045</v>
      </c>
      <c r="B1046" s="1019" t="s">
        <v>58</v>
      </c>
      <c r="C1046" s="1020" t="s">
        <v>660</v>
      </c>
      <c r="D1046" s="1020" t="s">
        <v>1699</v>
      </c>
      <c r="E1046" s="1020" t="s">
        <v>1710</v>
      </c>
      <c r="F1046" s="1021">
        <v>45469</v>
      </c>
      <c r="G1046" s="1021">
        <v>45498</v>
      </c>
      <c r="H1046" s="1022" t="s">
        <v>663</v>
      </c>
    </row>
    <row r="1047" spans="1:8">
      <c r="A1047" s="1023">
        <v>1046</v>
      </c>
      <c r="B1047" s="1024" t="s">
        <v>58</v>
      </c>
      <c r="C1047" s="1025" t="s">
        <v>660</v>
      </c>
      <c r="D1047" s="1025" t="s">
        <v>1699</v>
      </c>
      <c r="E1047" s="1025" t="s">
        <v>1711</v>
      </c>
      <c r="F1047" s="1026">
        <v>45469</v>
      </c>
      <c r="G1047" s="1026">
        <v>45520</v>
      </c>
      <c r="H1047" s="1027" t="s">
        <v>663</v>
      </c>
    </row>
    <row r="1048" spans="1:8">
      <c r="A1048" s="1018">
        <v>1047</v>
      </c>
      <c r="B1048" s="1019" t="s">
        <v>58</v>
      </c>
      <c r="C1048" s="1020" t="s">
        <v>660</v>
      </c>
      <c r="D1048" s="1020" t="s">
        <v>1699</v>
      </c>
      <c r="E1048" s="1020" t="s">
        <v>1712</v>
      </c>
      <c r="F1048" s="1021">
        <v>45469</v>
      </c>
      <c r="G1048" s="1021">
        <v>45498</v>
      </c>
      <c r="H1048" s="1022" t="s">
        <v>663</v>
      </c>
    </row>
    <row r="1049" spans="1:8">
      <c r="A1049" s="1023">
        <v>1048</v>
      </c>
      <c r="B1049" s="1024" t="s">
        <v>58</v>
      </c>
      <c r="C1049" s="1025" t="s">
        <v>660</v>
      </c>
      <c r="D1049" s="1025" t="s">
        <v>1699</v>
      </c>
      <c r="E1049" s="1025" t="s">
        <v>1713</v>
      </c>
      <c r="F1049" s="1026">
        <v>45469</v>
      </c>
      <c r="G1049" s="1026">
        <v>45498</v>
      </c>
      <c r="H1049" s="1027" t="s">
        <v>663</v>
      </c>
    </row>
    <row r="1050" spans="1:8">
      <c r="A1050" s="1018">
        <v>1049</v>
      </c>
      <c r="B1050" s="1019" t="s">
        <v>58</v>
      </c>
      <c r="C1050" s="1020" t="s">
        <v>660</v>
      </c>
      <c r="D1050" s="1020" t="s">
        <v>1699</v>
      </c>
      <c r="E1050" s="1020" t="s">
        <v>1714</v>
      </c>
      <c r="F1050" s="1021">
        <v>45469</v>
      </c>
      <c r="G1050" s="1021">
        <v>45498</v>
      </c>
      <c r="H1050" s="1022" t="s">
        <v>663</v>
      </c>
    </row>
    <row r="1051" spans="1:8">
      <c r="A1051" s="1023">
        <v>1050</v>
      </c>
      <c r="B1051" s="1024" t="s">
        <v>58</v>
      </c>
      <c r="C1051" s="1025" t="s">
        <v>660</v>
      </c>
      <c r="D1051" s="1025" t="s">
        <v>1699</v>
      </c>
      <c r="E1051" s="1025" t="s">
        <v>1715</v>
      </c>
      <c r="F1051" s="1026">
        <v>45469</v>
      </c>
      <c r="G1051" s="1026">
        <v>45498</v>
      </c>
      <c r="H1051" s="1027" t="s">
        <v>663</v>
      </c>
    </row>
    <row r="1052" spans="1:8">
      <c r="A1052" s="1018">
        <v>1051</v>
      </c>
      <c r="B1052" s="1019" t="s">
        <v>58</v>
      </c>
      <c r="C1052" s="1020" t="s">
        <v>660</v>
      </c>
      <c r="D1052" s="1020" t="s">
        <v>1699</v>
      </c>
      <c r="E1052" s="1020" t="s">
        <v>1716</v>
      </c>
      <c r="F1052" s="1021">
        <v>45469</v>
      </c>
      <c r="G1052" s="1021">
        <v>45498</v>
      </c>
      <c r="H1052" s="1022" t="s">
        <v>663</v>
      </c>
    </row>
    <row r="1053" spans="1:8">
      <c r="A1053" s="1023">
        <v>1052</v>
      </c>
      <c r="B1053" s="1024" t="s">
        <v>58</v>
      </c>
      <c r="C1053" s="1025" t="s">
        <v>660</v>
      </c>
      <c r="D1053" s="1025" t="s">
        <v>1699</v>
      </c>
      <c r="E1053" s="1025" t="s">
        <v>1717</v>
      </c>
      <c r="F1053" s="1026">
        <v>45469</v>
      </c>
      <c r="G1053" s="1026">
        <v>45498</v>
      </c>
      <c r="H1053" s="1027" t="s">
        <v>663</v>
      </c>
    </row>
    <row r="1054" spans="1:8">
      <c r="A1054" s="1018">
        <v>1053</v>
      </c>
      <c r="B1054" s="1019" t="s">
        <v>58</v>
      </c>
      <c r="C1054" s="1020" t="s">
        <v>660</v>
      </c>
      <c r="D1054" s="1020" t="s">
        <v>1699</v>
      </c>
      <c r="E1054" s="1020" t="s">
        <v>1718</v>
      </c>
      <c r="F1054" s="1021">
        <v>45469</v>
      </c>
      <c r="G1054" s="1021">
        <v>45471</v>
      </c>
      <c r="H1054" s="1022" t="s">
        <v>663</v>
      </c>
    </row>
    <row r="1055" spans="1:8">
      <c r="A1055" s="1023">
        <v>1054</v>
      </c>
      <c r="B1055" s="1024" t="s">
        <v>58</v>
      </c>
      <c r="C1055" s="1025" t="s">
        <v>660</v>
      </c>
      <c r="D1055" s="1025" t="s">
        <v>1699</v>
      </c>
      <c r="E1055" s="1025" t="s">
        <v>1719</v>
      </c>
      <c r="F1055" s="1026">
        <v>45469</v>
      </c>
      <c r="G1055" s="1026"/>
      <c r="H1055" s="1027" t="s">
        <v>701</v>
      </c>
    </row>
    <row r="1056" spans="1:8">
      <c r="A1056" s="1018">
        <v>1055</v>
      </c>
      <c r="B1056" s="1019" t="s">
        <v>58</v>
      </c>
      <c r="C1056" s="1020" t="s">
        <v>660</v>
      </c>
      <c r="D1056" s="1020" t="s">
        <v>1699</v>
      </c>
      <c r="E1056" s="1020" t="s">
        <v>1720</v>
      </c>
      <c r="F1056" s="1021">
        <v>45469</v>
      </c>
      <c r="G1056" s="1021"/>
      <c r="H1056" s="1022" t="s">
        <v>701</v>
      </c>
    </row>
    <row r="1057" spans="1:8">
      <c r="A1057" s="1023">
        <v>1056</v>
      </c>
      <c r="B1057" s="1024" t="s">
        <v>58</v>
      </c>
      <c r="C1057" s="1025" t="s">
        <v>660</v>
      </c>
      <c r="D1057" s="1025" t="s">
        <v>1699</v>
      </c>
      <c r="E1057" s="1025" t="s">
        <v>1721</v>
      </c>
      <c r="F1057" s="1026">
        <v>45469</v>
      </c>
      <c r="G1057" s="1026"/>
      <c r="H1057" s="1027" t="s">
        <v>701</v>
      </c>
    </row>
    <row r="1058" spans="1:8">
      <c r="A1058" s="1018">
        <v>1057</v>
      </c>
      <c r="B1058" s="1019" t="s">
        <v>58</v>
      </c>
      <c r="C1058" s="1020" t="s">
        <v>660</v>
      </c>
      <c r="D1058" s="1020" t="s">
        <v>1699</v>
      </c>
      <c r="E1058" s="1020" t="s">
        <v>1722</v>
      </c>
      <c r="F1058" s="1021">
        <v>45469</v>
      </c>
      <c r="G1058" s="1021"/>
      <c r="H1058" s="1022" t="s">
        <v>701</v>
      </c>
    </row>
    <row r="1059" spans="1:8">
      <c r="A1059" s="1023">
        <v>1058</v>
      </c>
      <c r="B1059" s="1024" t="s">
        <v>58</v>
      </c>
      <c r="C1059" s="1025" t="s">
        <v>660</v>
      </c>
      <c r="D1059" s="1025" t="s">
        <v>1699</v>
      </c>
      <c r="E1059" s="1025" t="s">
        <v>1723</v>
      </c>
      <c r="F1059" s="1026">
        <v>45469</v>
      </c>
      <c r="G1059" s="1026">
        <v>45471</v>
      </c>
      <c r="H1059" s="1027" t="s">
        <v>663</v>
      </c>
    </row>
    <row r="1060" spans="1:8">
      <c r="A1060" s="1018">
        <v>1059</v>
      </c>
      <c r="B1060" s="1019" t="s">
        <v>58</v>
      </c>
      <c r="C1060" s="1020" t="s">
        <v>660</v>
      </c>
      <c r="D1060" s="1020" t="s">
        <v>1699</v>
      </c>
      <c r="E1060" s="1020" t="s">
        <v>1724</v>
      </c>
      <c r="F1060" s="1021">
        <v>45469</v>
      </c>
      <c r="G1060" s="1021"/>
      <c r="H1060" s="1022" t="s">
        <v>701</v>
      </c>
    </row>
    <row r="1061" spans="1:8">
      <c r="A1061" s="1023">
        <v>1060</v>
      </c>
      <c r="B1061" s="1024" t="s">
        <v>58</v>
      </c>
      <c r="C1061" s="1025" t="s">
        <v>660</v>
      </c>
      <c r="D1061" s="1025" t="s">
        <v>1699</v>
      </c>
      <c r="E1061" s="1025" t="s">
        <v>1725</v>
      </c>
      <c r="F1061" s="1026">
        <v>45469</v>
      </c>
      <c r="G1061" s="1026"/>
      <c r="H1061" s="1027" t="s">
        <v>701</v>
      </c>
    </row>
    <row r="1062" spans="1:8">
      <c r="A1062" s="1018">
        <v>1061</v>
      </c>
      <c r="B1062" s="1019" t="s">
        <v>58</v>
      </c>
      <c r="C1062" s="1020" t="s">
        <v>660</v>
      </c>
      <c r="D1062" s="1020" t="s">
        <v>1699</v>
      </c>
      <c r="E1062" s="1020" t="s">
        <v>1726</v>
      </c>
      <c r="F1062" s="1021">
        <v>45469</v>
      </c>
      <c r="G1062" s="1021">
        <v>45471</v>
      </c>
      <c r="H1062" s="1022" t="s">
        <v>663</v>
      </c>
    </row>
    <row r="1063" spans="1:8">
      <c r="A1063" s="1023">
        <v>1062</v>
      </c>
      <c r="B1063" s="1024" t="s">
        <v>58</v>
      </c>
      <c r="C1063" s="1025" t="s">
        <v>660</v>
      </c>
      <c r="D1063" s="1025" t="s">
        <v>1699</v>
      </c>
      <c r="E1063" s="1025" t="s">
        <v>1727</v>
      </c>
      <c r="F1063" s="1026">
        <v>45469</v>
      </c>
      <c r="G1063" s="1026"/>
      <c r="H1063" s="1027" t="s">
        <v>701</v>
      </c>
    </row>
    <row r="1064" spans="1:8">
      <c r="A1064" s="1018">
        <v>1063</v>
      </c>
      <c r="B1064" s="1019" t="s">
        <v>58</v>
      </c>
      <c r="C1064" s="1020" t="s">
        <v>660</v>
      </c>
      <c r="D1064" s="1020" t="s">
        <v>1699</v>
      </c>
      <c r="E1064" s="1020" t="s">
        <v>1728</v>
      </c>
      <c r="F1064" s="1021">
        <v>45469</v>
      </c>
      <c r="G1064" s="1021"/>
      <c r="H1064" s="1022" t="s">
        <v>701</v>
      </c>
    </row>
    <row r="1065" spans="1:8">
      <c r="A1065" s="1023">
        <v>1064</v>
      </c>
      <c r="B1065" s="1024" t="s">
        <v>58</v>
      </c>
      <c r="C1065" s="1025" t="s">
        <v>660</v>
      </c>
      <c r="D1065" s="1025" t="s">
        <v>1699</v>
      </c>
      <c r="E1065" s="1025" t="s">
        <v>1729</v>
      </c>
      <c r="F1065" s="1026">
        <v>45469</v>
      </c>
      <c r="G1065" s="1026">
        <v>45471</v>
      </c>
      <c r="H1065" s="1027" t="s">
        <v>663</v>
      </c>
    </row>
    <row r="1066" spans="1:8">
      <c r="A1066" s="1018">
        <v>1065</v>
      </c>
      <c r="B1066" s="1019" t="s">
        <v>58</v>
      </c>
      <c r="C1066" s="1020" t="s">
        <v>660</v>
      </c>
      <c r="D1066" s="1020" t="s">
        <v>1699</v>
      </c>
      <c r="E1066" s="1020" t="s">
        <v>1730</v>
      </c>
      <c r="F1066" s="1021">
        <v>45469</v>
      </c>
      <c r="G1066" s="1021"/>
      <c r="H1066" s="1022" t="s">
        <v>701</v>
      </c>
    </row>
    <row r="1067" spans="1:8">
      <c r="A1067" s="1023">
        <v>1066</v>
      </c>
      <c r="B1067" s="1024" t="s">
        <v>58</v>
      </c>
      <c r="C1067" s="1025" t="s">
        <v>660</v>
      </c>
      <c r="D1067" s="1025" t="s">
        <v>1699</v>
      </c>
      <c r="E1067" s="1025" t="s">
        <v>1731</v>
      </c>
      <c r="F1067" s="1026">
        <v>45469</v>
      </c>
      <c r="G1067" s="1026"/>
      <c r="H1067" s="1027" t="s">
        <v>701</v>
      </c>
    </row>
    <row r="1068" spans="1:8">
      <c r="A1068" s="1018">
        <v>1067</v>
      </c>
      <c r="B1068" s="1019" t="s">
        <v>58</v>
      </c>
      <c r="C1068" s="1020" t="s">
        <v>660</v>
      </c>
      <c r="D1068" s="1020" t="s">
        <v>1699</v>
      </c>
      <c r="E1068" s="1020" t="s">
        <v>1732</v>
      </c>
      <c r="F1068" s="1021">
        <v>45469</v>
      </c>
      <c r="G1068" s="1021"/>
      <c r="H1068" s="1022" t="s">
        <v>701</v>
      </c>
    </row>
    <row r="1069" spans="1:8">
      <c r="A1069" s="1023">
        <v>1068</v>
      </c>
      <c r="B1069" s="1024" t="s">
        <v>58</v>
      </c>
      <c r="C1069" s="1025" t="s">
        <v>660</v>
      </c>
      <c r="D1069" s="1025" t="s">
        <v>1699</v>
      </c>
      <c r="E1069" s="1025" t="s">
        <v>1733</v>
      </c>
      <c r="F1069" s="1026">
        <v>45469</v>
      </c>
      <c r="G1069" s="1026"/>
      <c r="H1069" s="1027" t="s">
        <v>701</v>
      </c>
    </row>
    <row r="1070" spans="1:8">
      <c r="A1070" s="1018">
        <v>1069</v>
      </c>
      <c r="B1070" s="1019" t="s">
        <v>58</v>
      </c>
      <c r="C1070" s="1020" t="s">
        <v>660</v>
      </c>
      <c r="D1070" s="1020" t="s">
        <v>1699</v>
      </c>
      <c r="E1070" s="1020" t="s">
        <v>1734</v>
      </c>
      <c r="F1070" s="1021">
        <v>45469</v>
      </c>
      <c r="G1070" s="1021"/>
      <c r="H1070" s="1022" t="s">
        <v>701</v>
      </c>
    </row>
    <row r="1071" spans="1:8">
      <c r="A1071" s="1023">
        <v>1070</v>
      </c>
      <c r="B1071" s="1024" t="s">
        <v>58</v>
      </c>
      <c r="C1071" s="1025" t="s">
        <v>660</v>
      </c>
      <c r="D1071" s="1025" t="s">
        <v>1699</v>
      </c>
      <c r="E1071" s="1025" t="s">
        <v>1734</v>
      </c>
      <c r="F1071" s="1026">
        <v>45469</v>
      </c>
      <c r="G1071" s="1026"/>
      <c r="H1071" s="1027" t="s">
        <v>701</v>
      </c>
    </row>
    <row r="1072" spans="1:8" hidden="1">
      <c r="A1072" s="1018">
        <v>1071</v>
      </c>
      <c r="B1072" s="1019" t="s">
        <v>46</v>
      </c>
      <c r="C1072" s="1020" t="s">
        <v>16</v>
      </c>
      <c r="D1072" s="1020" t="s">
        <v>1735</v>
      </c>
      <c r="E1072" s="1020" t="s">
        <v>1736</v>
      </c>
      <c r="F1072" s="1021">
        <v>45503</v>
      </c>
      <c r="G1072" s="1021"/>
      <c r="H1072" s="1022" t="s">
        <v>701</v>
      </c>
    </row>
    <row r="1073" spans="1:8" hidden="1">
      <c r="A1073" s="1023">
        <v>1072</v>
      </c>
      <c r="B1073" s="1024" t="s">
        <v>46</v>
      </c>
      <c r="C1073" s="1025" t="s">
        <v>16</v>
      </c>
      <c r="D1073" s="1025" t="s">
        <v>1735</v>
      </c>
      <c r="E1073" s="1025" t="s">
        <v>1737</v>
      </c>
      <c r="F1073" s="1026">
        <v>45503</v>
      </c>
      <c r="G1073" s="1026"/>
      <c r="H1073" s="1027" t="s">
        <v>701</v>
      </c>
    </row>
    <row r="1074" spans="1:8" hidden="1">
      <c r="A1074" s="1018">
        <v>1073</v>
      </c>
      <c r="B1074" s="1019" t="s">
        <v>46</v>
      </c>
      <c r="C1074" s="1020" t="s">
        <v>16</v>
      </c>
      <c r="D1074" s="1020" t="s">
        <v>1735</v>
      </c>
      <c r="E1074" s="1020" t="s">
        <v>1738</v>
      </c>
      <c r="F1074" s="1021">
        <v>45505</v>
      </c>
      <c r="G1074" s="1021"/>
      <c r="H1074" s="1022" t="s">
        <v>701</v>
      </c>
    </row>
    <row r="1075" spans="1:8" hidden="1">
      <c r="A1075" s="1023">
        <v>1074</v>
      </c>
      <c r="B1075" s="1024" t="s">
        <v>46</v>
      </c>
      <c r="C1075" s="1025" t="s">
        <v>16</v>
      </c>
      <c r="D1075" s="1025" t="s">
        <v>1735</v>
      </c>
      <c r="E1075" s="1025" t="s">
        <v>1739</v>
      </c>
      <c r="F1075" s="1026">
        <v>45537</v>
      </c>
      <c r="G1075" s="1026"/>
      <c r="H1075" s="1027" t="s">
        <v>701</v>
      </c>
    </row>
    <row r="1076" spans="1:8" hidden="1">
      <c r="A1076" s="1018">
        <v>1075</v>
      </c>
      <c r="B1076" s="1019" t="s">
        <v>46</v>
      </c>
      <c r="C1076" s="1020" t="s">
        <v>16</v>
      </c>
      <c r="D1076" s="1020" t="s">
        <v>1735</v>
      </c>
      <c r="E1076" s="1020" t="s">
        <v>1740</v>
      </c>
      <c r="F1076" s="1021">
        <v>45476</v>
      </c>
      <c r="G1076" s="1021"/>
      <c r="H1076" s="1022" t="s">
        <v>701</v>
      </c>
    </row>
    <row r="1077" spans="1:8" hidden="1">
      <c r="A1077" s="1023">
        <v>1076</v>
      </c>
      <c r="B1077" s="1024" t="s">
        <v>46</v>
      </c>
      <c r="C1077" s="1025" t="s">
        <v>16</v>
      </c>
      <c r="D1077" s="1025" t="s">
        <v>1735</v>
      </c>
      <c r="E1077" s="1025" t="s">
        <v>1741</v>
      </c>
      <c r="F1077" s="1026">
        <v>45503</v>
      </c>
      <c r="G1077" s="1026"/>
      <c r="H1077" s="1027" t="s">
        <v>701</v>
      </c>
    </row>
    <row r="1078" spans="1:8" hidden="1">
      <c r="A1078" s="1018">
        <v>1077</v>
      </c>
      <c r="B1078" s="1019" t="s">
        <v>46</v>
      </c>
      <c r="C1078" s="1020" t="s">
        <v>16</v>
      </c>
      <c r="D1078" s="1020" t="s">
        <v>1735</v>
      </c>
      <c r="E1078" s="1020" t="s">
        <v>1742</v>
      </c>
      <c r="F1078" s="1021">
        <v>45503</v>
      </c>
      <c r="G1078" s="1021"/>
      <c r="H1078" s="1022" t="s">
        <v>701</v>
      </c>
    </row>
    <row r="1079" spans="1:8" hidden="1">
      <c r="A1079" s="1023">
        <v>1078</v>
      </c>
      <c r="B1079" s="1024" t="s">
        <v>46</v>
      </c>
      <c r="C1079" s="1025" t="s">
        <v>16</v>
      </c>
      <c r="D1079" s="1025" t="s">
        <v>1735</v>
      </c>
      <c r="E1079" s="1025" t="s">
        <v>1743</v>
      </c>
      <c r="F1079" s="1026">
        <v>45537</v>
      </c>
      <c r="G1079" s="1026"/>
      <c r="H1079" s="1027" t="s">
        <v>701</v>
      </c>
    </row>
    <row r="1080" spans="1:8" hidden="1">
      <c r="A1080" s="1018">
        <v>1079</v>
      </c>
      <c r="B1080" s="1019" t="s">
        <v>46</v>
      </c>
      <c r="C1080" s="1020" t="s">
        <v>16</v>
      </c>
      <c r="D1080" s="1020" t="s">
        <v>1735</v>
      </c>
      <c r="E1080" s="1020" t="s">
        <v>1744</v>
      </c>
      <c r="F1080" s="1021">
        <v>45537</v>
      </c>
      <c r="G1080" s="1021"/>
      <c r="H1080" s="1022" t="s">
        <v>701</v>
      </c>
    </row>
    <row r="1081" spans="1:8" hidden="1">
      <c r="A1081" s="1023">
        <v>1080</v>
      </c>
      <c r="B1081" s="1024" t="s">
        <v>46</v>
      </c>
      <c r="C1081" s="1025" t="s">
        <v>16</v>
      </c>
      <c r="D1081" s="1025" t="s">
        <v>1735</v>
      </c>
      <c r="E1081" s="1025" t="s">
        <v>1745</v>
      </c>
      <c r="F1081" s="1026">
        <v>45537</v>
      </c>
      <c r="G1081" s="1026"/>
      <c r="H1081" s="1027" t="s">
        <v>701</v>
      </c>
    </row>
    <row r="1082" spans="1:8" ht="26" hidden="1">
      <c r="A1082" s="1018">
        <v>1081</v>
      </c>
      <c r="B1082" s="1019" t="s">
        <v>46</v>
      </c>
      <c r="C1082" s="1020" t="s">
        <v>16</v>
      </c>
      <c r="D1082" s="1020" t="s">
        <v>1735</v>
      </c>
      <c r="E1082" s="1020" t="s">
        <v>1746</v>
      </c>
      <c r="F1082" s="1021">
        <v>45537</v>
      </c>
      <c r="G1082" s="1021"/>
      <c r="H1082" s="1022" t="s">
        <v>701</v>
      </c>
    </row>
    <row r="1083" spans="1:8" hidden="1">
      <c r="A1083" s="1023">
        <v>1082</v>
      </c>
      <c r="B1083" s="1024" t="s">
        <v>46</v>
      </c>
      <c r="C1083" s="1025" t="s">
        <v>16</v>
      </c>
      <c r="D1083" s="1025" t="s">
        <v>1735</v>
      </c>
      <c r="E1083" s="1025" t="s">
        <v>1747</v>
      </c>
      <c r="F1083" s="1026">
        <v>45505</v>
      </c>
      <c r="G1083" s="1026"/>
      <c r="H1083" s="1027" t="s">
        <v>701</v>
      </c>
    </row>
    <row r="1084" spans="1:8" hidden="1">
      <c r="A1084" s="1018">
        <v>1083</v>
      </c>
      <c r="B1084" s="1019" t="s">
        <v>46</v>
      </c>
      <c r="C1084" s="1020" t="s">
        <v>16</v>
      </c>
      <c r="D1084" s="1020" t="s">
        <v>1735</v>
      </c>
      <c r="E1084" s="1020" t="s">
        <v>1748</v>
      </c>
      <c r="F1084" s="1021">
        <v>45505</v>
      </c>
      <c r="G1084" s="1021"/>
      <c r="H1084" s="1022" t="s">
        <v>701</v>
      </c>
    </row>
    <row r="1085" spans="1:8" hidden="1">
      <c r="A1085" s="1023">
        <v>1084</v>
      </c>
      <c r="B1085" s="1024" t="s">
        <v>46</v>
      </c>
      <c r="C1085" s="1025" t="s">
        <v>16</v>
      </c>
      <c r="D1085" s="1025" t="s">
        <v>1735</v>
      </c>
      <c r="E1085" s="1025" t="s">
        <v>1749</v>
      </c>
      <c r="F1085" s="1026">
        <v>45505</v>
      </c>
      <c r="G1085" s="1026"/>
      <c r="H1085" s="1027" t="s">
        <v>701</v>
      </c>
    </row>
    <row r="1086" spans="1:8" hidden="1">
      <c r="A1086" s="1018">
        <v>1085</v>
      </c>
      <c r="B1086" s="1019" t="s">
        <v>46</v>
      </c>
      <c r="C1086" s="1020" t="s">
        <v>16</v>
      </c>
      <c r="D1086" s="1020" t="s">
        <v>1735</v>
      </c>
      <c r="E1086" s="1020" t="s">
        <v>1750</v>
      </c>
      <c r="F1086" s="1021">
        <v>45503</v>
      </c>
      <c r="G1086" s="1021"/>
      <c r="H1086" s="1022" t="s">
        <v>701</v>
      </c>
    </row>
    <row r="1087" spans="1:8" hidden="1">
      <c r="A1087" s="1023">
        <v>1086</v>
      </c>
      <c r="B1087" s="1024" t="s">
        <v>46</v>
      </c>
      <c r="C1087" s="1025" t="s">
        <v>16</v>
      </c>
      <c r="D1087" s="1025" t="s">
        <v>1735</v>
      </c>
      <c r="E1087" s="1025" t="s">
        <v>1751</v>
      </c>
      <c r="F1087" s="1026">
        <v>45537</v>
      </c>
      <c r="G1087" s="1026"/>
      <c r="H1087" s="1027" t="s">
        <v>701</v>
      </c>
    </row>
    <row r="1088" spans="1:8" hidden="1">
      <c r="A1088" s="1018">
        <v>1087</v>
      </c>
      <c r="B1088" s="1019" t="s">
        <v>46</v>
      </c>
      <c r="C1088" s="1020" t="s">
        <v>16</v>
      </c>
      <c r="D1088" s="1020" t="s">
        <v>1735</v>
      </c>
      <c r="E1088" s="1020" t="s">
        <v>1752</v>
      </c>
      <c r="F1088" s="1021">
        <v>45505</v>
      </c>
      <c r="G1088" s="1021"/>
      <c r="H1088" s="1022" t="s">
        <v>701</v>
      </c>
    </row>
    <row r="1089" spans="1:8" hidden="1">
      <c r="A1089" s="1023">
        <v>1088</v>
      </c>
      <c r="B1089" s="1024" t="s">
        <v>46</v>
      </c>
      <c r="C1089" s="1025" t="s">
        <v>16</v>
      </c>
      <c r="D1089" s="1025" t="s">
        <v>1735</v>
      </c>
      <c r="E1089" s="1025" t="s">
        <v>1753</v>
      </c>
      <c r="F1089" s="1026">
        <v>45537</v>
      </c>
      <c r="G1089" s="1026"/>
      <c r="H1089" s="1027" t="s">
        <v>701</v>
      </c>
    </row>
    <row r="1090" spans="1:8" hidden="1">
      <c r="A1090" s="1018">
        <v>1089</v>
      </c>
      <c r="B1090" s="1019" t="s">
        <v>46</v>
      </c>
      <c r="C1090" s="1020" t="s">
        <v>16</v>
      </c>
      <c r="D1090" s="1020" t="s">
        <v>1735</v>
      </c>
      <c r="E1090" s="1020" t="s">
        <v>1754</v>
      </c>
      <c r="F1090" s="1021">
        <v>45537</v>
      </c>
      <c r="G1090" s="1021"/>
      <c r="H1090" s="1022" t="s">
        <v>701</v>
      </c>
    </row>
    <row r="1091" spans="1:8" hidden="1">
      <c r="A1091" s="1023">
        <v>1090</v>
      </c>
      <c r="B1091" s="1024" t="s">
        <v>46</v>
      </c>
      <c r="C1091" s="1025" t="s">
        <v>16</v>
      </c>
      <c r="D1091" s="1025" t="s">
        <v>1735</v>
      </c>
      <c r="E1091" s="1025" t="s">
        <v>1755</v>
      </c>
      <c r="F1091" s="1026">
        <v>45537</v>
      </c>
      <c r="G1091" s="1026"/>
      <c r="H1091" s="1027" t="s">
        <v>701</v>
      </c>
    </row>
    <row r="1092" spans="1:8" hidden="1">
      <c r="A1092" s="1018">
        <v>1091</v>
      </c>
      <c r="B1092" s="1019" t="s">
        <v>46</v>
      </c>
      <c r="C1092" s="1020" t="s">
        <v>16</v>
      </c>
      <c r="D1092" s="1020" t="s">
        <v>1735</v>
      </c>
      <c r="E1092" s="1020" t="s">
        <v>1756</v>
      </c>
      <c r="F1092" s="1021">
        <v>45505</v>
      </c>
      <c r="G1092" s="1021"/>
      <c r="H1092" s="1022" t="s">
        <v>701</v>
      </c>
    </row>
    <row r="1093" spans="1:8" hidden="1">
      <c r="A1093" s="1023">
        <v>1092</v>
      </c>
      <c r="B1093" s="1024" t="s">
        <v>46</v>
      </c>
      <c r="C1093" s="1025" t="s">
        <v>16</v>
      </c>
      <c r="D1093" s="1025" t="s">
        <v>1735</v>
      </c>
      <c r="E1093" s="1025" t="s">
        <v>1757</v>
      </c>
      <c r="F1093" s="1026">
        <v>45537</v>
      </c>
      <c r="G1093" s="1026"/>
      <c r="H1093" s="1027" t="s">
        <v>701</v>
      </c>
    </row>
    <row r="1094" spans="1:8" hidden="1">
      <c r="A1094" s="1018">
        <v>1093</v>
      </c>
      <c r="B1094" s="1019" t="s">
        <v>46</v>
      </c>
      <c r="C1094" s="1020" t="s">
        <v>16</v>
      </c>
      <c r="D1094" s="1020" t="s">
        <v>1735</v>
      </c>
      <c r="E1094" s="1020" t="s">
        <v>1758</v>
      </c>
      <c r="F1094" s="1021">
        <v>45505</v>
      </c>
      <c r="G1094" s="1021"/>
      <c r="H1094" s="1022" t="s">
        <v>701</v>
      </c>
    </row>
    <row r="1095" spans="1:8" hidden="1">
      <c r="A1095" s="1023">
        <v>1094</v>
      </c>
      <c r="B1095" s="1024" t="s">
        <v>46</v>
      </c>
      <c r="C1095" s="1025" t="s">
        <v>16</v>
      </c>
      <c r="D1095" s="1025" t="s">
        <v>1735</v>
      </c>
      <c r="E1095" s="1025" t="s">
        <v>1759</v>
      </c>
      <c r="F1095" s="1026">
        <v>45503</v>
      </c>
      <c r="G1095" s="1026"/>
      <c r="H1095" s="1027" t="s">
        <v>701</v>
      </c>
    </row>
    <row r="1096" spans="1:8" hidden="1">
      <c r="A1096" s="1018">
        <v>1095</v>
      </c>
      <c r="B1096" s="1019" t="s">
        <v>46</v>
      </c>
      <c r="C1096" s="1020" t="s">
        <v>16</v>
      </c>
      <c r="D1096" s="1020" t="s">
        <v>1735</v>
      </c>
      <c r="E1096" s="1020" t="s">
        <v>1760</v>
      </c>
      <c r="F1096" s="1021">
        <v>45505</v>
      </c>
      <c r="G1096" s="1021"/>
      <c r="H1096" s="1022" t="s">
        <v>701</v>
      </c>
    </row>
    <row r="1097" spans="1:8" hidden="1">
      <c r="A1097" s="1023">
        <v>1096</v>
      </c>
      <c r="B1097" s="1024" t="s">
        <v>46</v>
      </c>
      <c r="C1097" s="1025" t="s">
        <v>16</v>
      </c>
      <c r="D1097" s="1025" t="s">
        <v>1735</v>
      </c>
      <c r="E1097" s="1025" t="s">
        <v>1761</v>
      </c>
      <c r="F1097" s="1026">
        <v>45505</v>
      </c>
      <c r="G1097" s="1026"/>
      <c r="H1097" s="1027" t="s">
        <v>701</v>
      </c>
    </row>
    <row r="1098" spans="1:8" hidden="1">
      <c r="A1098" s="1018">
        <v>1097</v>
      </c>
      <c r="B1098" s="1019" t="s">
        <v>46</v>
      </c>
      <c r="C1098" s="1020" t="s">
        <v>16</v>
      </c>
      <c r="D1098" s="1020" t="s">
        <v>1735</v>
      </c>
      <c r="E1098" s="1020" t="s">
        <v>1762</v>
      </c>
      <c r="F1098" s="1021">
        <v>45503</v>
      </c>
      <c r="G1098" s="1021"/>
      <c r="H1098" s="1022" t="s">
        <v>701</v>
      </c>
    </row>
    <row r="1099" spans="1:8" hidden="1">
      <c r="A1099" s="1023">
        <v>1098</v>
      </c>
      <c r="B1099" s="1024" t="s">
        <v>46</v>
      </c>
      <c r="C1099" s="1025" t="s">
        <v>16</v>
      </c>
      <c r="D1099" s="1025" t="s">
        <v>1735</v>
      </c>
      <c r="E1099" s="1025" t="s">
        <v>1763</v>
      </c>
      <c r="F1099" s="1026">
        <v>45503</v>
      </c>
      <c r="G1099" s="1026"/>
      <c r="H1099" s="1027" t="s">
        <v>701</v>
      </c>
    </row>
    <row r="1100" spans="1:8" hidden="1">
      <c r="A1100" s="1018">
        <v>1099</v>
      </c>
      <c r="B1100" s="1019" t="s">
        <v>46</v>
      </c>
      <c r="C1100" s="1020" t="s">
        <v>16</v>
      </c>
      <c r="D1100" s="1020" t="s">
        <v>1735</v>
      </c>
      <c r="E1100" s="1020" t="s">
        <v>1764</v>
      </c>
      <c r="F1100" s="1021">
        <v>45503</v>
      </c>
      <c r="G1100" s="1021"/>
      <c r="H1100" s="1022" t="s">
        <v>701</v>
      </c>
    </row>
    <row r="1101" spans="1:8" hidden="1">
      <c r="A1101" s="1023">
        <v>1100</v>
      </c>
      <c r="B1101" s="1024" t="s">
        <v>46</v>
      </c>
      <c r="C1101" s="1025" t="s">
        <v>16</v>
      </c>
      <c r="D1101" s="1025" t="s">
        <v>1735</v>
      </c>
      <c r="E1101" s="1025" t="s">
        <v>1765</v>
      </c>
      <c r="F1101" s="1026">
        <v>45503</v>
      </c>
      <c r="G1101" s="1026"/>
      <c r="H1101" s="1027" t="s">
        <v>701</v>
      </c>
    </row>
    <row r="1102" spans="1:8" hidden="1">
      <c r="A1102" s="1018">
        <v>1101</v>
      </c>
      <c r="B1102" s="1019" t="s">
        <v>46</v>
      </c>
      <c r="C1102" s="1020" t="s">
        <v>16</v>
      </c>
      <c r="D1102" s="1020" t="s">
        <v>1735</v>
      </c>
      <c r="E1102" s="1020" t="s">
        <v>1766</v>
      </c>
      <c r="F1102" s="1021">
        <v>45476</v>
      </c>
      <c r="G1102" s="1021"/>
      <c r="H1102" s="1022" t="s">
        <v>701</v>
      </c>
    </row>
    <row r="1103" spans="1:8" hidden="1">
      <c r="A1103" s="1023">
        <v>1102</v>
      </c>
      <c r="B1103" s="1024" t="s">
        <v>46</v>
      </c>
      <c r="C1103" s="1025" t="s">
        <v>16</v>
      </c>
      <c r="D1103" s="1025" t="s">
        <v>1735</v>
      </c>
      <c r="E1103" s="1025" t="s">
        <v>1767</v>
      </c>
      <c r="F1103" s="1026">
        <v>45471</v>
      </c>
      <c r="G1103" s="1026"/>
      <c r="H1103" s="1027" t="s">
        <v>701</v>
      </c>
    </row>
    <row r="1104" spans="1:8" hidden="1">
      <c r="A1104" s="1018">
        <v>1103</v>
      </c>
      <c r="B1104" s="1019" t="s">
        <v>46</v>
      </c>
      <c r="C1104" s="1020" t="s">
        <v>16</v>
      </c>
      <c r="D1104" s="1020" t="s">
        <v>1735</v>
      </c>
      <c r="E1104" s="1020" t="s">
        <v>1768</v>
      </c>
      <c r="F1104" s="1021">
        <v>45471</v>
      </c>
      <c r="G1104" s="1021"/>
      <c r="H1104" s="1022" t="s">
        <v>701</v>
      </c>
    </row>
    <row r="1105" spans="1:8" hidden="1">
      <c r="A1105" s="1023">
        <v>1104</v>
      </c>
      <c r="B1105" s="1024" t="s">
        <v>46</v>
      </c>
      <c r="C1105" s="1025" t="s">
        <v>16</v>
      </c>
      <c r="D1105" s="1025" t="s">
        <v>1735</v>
      </c>
      <c r="E1105" s="1025" t="s">
        <v>1769</v>
      </c>
      <c r="F1105" s="1026">
        <v>45470</v>
      </c>
      <c r="G1105" s="1026"/>
      <c r="H1105" s="1027" t="s">
        <v>701</v>
      </c>
    </row>
    <row r="1106" spans="1:8" hidden="1">
      <c r="A1106" s="1018">
        <v>1105</v>
      </c>
      <c r="B1106" s="1019" t="s">
        <v>46</v>
      </c>
      <c r="C1106" s="1020" t="s">
        <v>16</v>
      </c>
      <c r="D1106" s="1020" t="s">
        <v>1735</v>
      </c>
      <c r="E1106" s="1020" t="s">
        <v>1770</v>
      </c>
      <c r="F1106" s="1021">
        <v>45470</v>
      </c>
      <c r="G1106" s="1021"/>
      <c r="H1106" s="1022" t="s">
        <v>701</v>
      </c>
    </row>
    <row r="1107" spans="1:8" hidden="1">
      <c r="A1107" s="1023">
        <v>1106</v>
      </c>
      <c r="B1107" s="1024" t="s">
        <v>46</v>
      </c>
      <c r="C1107" s="1025" t="s">
        <v>16</v>
      </c>
      <c r="D1107" s="1025" t="s">
        <v>1735</v>
      </c>
      <c r="E1107" s="1025" t="s">
        <v>1771</v>
      </c>
      <c r="F1107" s="1026">
        <v>45470</v>
      </c>
      <c r="G1107" s="1026"/>
      <c r="H1107" s="1027" t="s">
        <v>701</v>
      </c>
    </row>
    <row r="1108" spans="1:8" hidden="1">
      <c r="A1108" s="1018">
        <v>1107</v>
      </c>
      <c r="B1108" s="1019" t="s">
        <v>46</v>
      </c>
      <c r="C1108" s="1020" t="s">
        <v>16</v>
      </c>
      <c r="D1108" s="1020" t="s">
        <v>1735</v>
      </c>
      <c r="E1108" s="1020" t="s">
        <v>1772</v>
      </c>
      <c r="F1108" s="1021">
        <v>45465</v>
      </c>
      <c r="G1108" s="1021"/>
      <c r="H1108" s="1022" t="s">
        <v>701</v>
      </c>
    </row>
    <row r="1109" spans="1:8" hidden="1">
      <c r="A1109" s="1023">
        <v>1108</v>
      </c>
      <c r="B1109" s="1024" t="s">
        <v>46</v>
      </c>
      <c r="C1109" s="1025" t="s">
        <v>16</v>
      </c>
      <c r="D1109" s="1025" t="s">
        <v>1735</v>
      </c>
      <c r="E1109" s="1025" t="s">
        <v>1773</v>
      </c>
      <c r="F1109" s="1026">
        <v>45505</v>
      </c>
      <c r="G1109" s="1026"/>
      <c r="H1109" s="1027" t="s">
        <v>701</v>
      </c>
    </row>
    <row r="1110" spans="1:8" hidden="1">
      <c r="A1110" s="1018">
        <v>1109</v>
      </c>
      <c r="B1110" s="1019" t="s">
        <v>46</v>
      </c>
      <c r="C1110" s="1020" t="s">
        <v>16</v>
      </c>
      <c r="D1110" s="1020" t="s">
        <v>1735</v>
      </c>
      <c r="E1110" s="1020" t="s">
        <v>1774</v>
      </c>
      <c r="F1110" s="1021">
        <v>45505</v>
      </c>
      <c r="G1110" s="1021"/>
      <c r="H1110" s="1022" t="s">
        <v>701</v>
      </c>
    </row>
    <row r="1111" spans="1:8" hidden="1">
      <c r="A1111" s="1023">
        <v>1110</v>
      </c>
      <c r="B1111" s="1024" t="s">
        <v>46</v>
      </c>
      <c r="C1111" s="1025" t="s">
        <v>16</v>
      </c>
      <c r="D1111" s="1025" t="s">
        <v>1735</v>
      </c>
      <c r="E1111" s="1025" t="s">
        <v>1775</v>
      </c>
      <c r="F1111" s="1026">
        <v>45476</v>
      </c>
      <c r="G1111" s="1026"/>
      <c r="H1111" s="1027" t="s">
        <v>701</v>
      </c>
    </row>
    <row r="1112" spans="1:8" hidden="1">
      <c r="A1112" s="1018">
        <v>1111</v>
      </c>
      <c r="B1112" s="1019" t="s">
        <v>46</v>
      </c>
      <c r="C1112" s="1020" t="s">
        <v>16</v>
      </c>
      <c r="D1112" s="1020" t="s">
        <v>1735</v>
      </c>
      <c r="E1112" s="1020" t="s">
        <v>1776</v>
      </c>
      <c r="F1112" s="1021">
        <v>45476</v>
      </c>
      <c r="G1112" s="1021"/>
      <c r="H1112" s="1022" t="s">
        <v>701</v>
      </c>
    </row>
    <row r="1113" spans="1:8" hidden="1">
      <c r="A1113" s="1023">
        <v>1112</v>
      </c>
      <c r="B1113" s="1024" t="s">
        <v>46</v>
      </c>
      <c r="C1113" s="1025" t="s">
        <v>16</v>
      </c>
      <c r="D1113" s="1025" t="s">
        <v>1735</v>
      </c>
      <c r="E1113" s="1025" t="s">
        <v>1777</v>
      </c>
      <c r="F1113" s="1026">
        <v>45505</v>
      </c>
      <c r="G1113" s="1026"/>
      <c r="H1113" s="1027" t="s">
        <v>701</v>
      </c>
    </row>
    <row r="1114" spans="1:8" hidden="1">
      <c r="A1114" s="1018">
        <v>1113</v>
      </c>
      <c r="B1114" s="1019" t="s">
        <v>46</v>
      </c>
      <c r="C1114" s="1020" t="s">
        <v>16</v>
      </c>
      <c r="D1114" s="1020" t="s">
        <v>1735</v>
      </c>
      <c r="E1114" s="1020" t="s">
        <v>1778</v>
      </c>
      <c r="F1114" s="1021">
        <v>45503</v>
      </c>
      <c r="G1114" s="1021"/>
      <c r="H1114" s="1022" t="s">
        <v>701</v>
      </c>
    </row>
    <row r="1115" spans="1:8" hidden="1">
      <c r="A1115" s="1023">
        <v>1114</v>
      </c>
      <c r="B1115" s="1024" t="s">
        <v>46</v>
      </c>
      <c r="C1115" s="1025" t="s">
        <v>16</v>
      </c>
      <c r="D1115" s="1025" t="s">
        <v>1735</v>
      </c>
      <c r="E1115" s="1025" t="s">
        <v>1779</v>
      </c>
      <c r="F1115" s="1026">
        <v>45505</v>
      </c>
      <c r="G1115" s="1026"/>
      <c r="H1115" s="1027" t="s">
        <v>701</v>
      </c>
    </row>
    <row r="1116" spans="1:8" hidden="1">
      <c r="A1116" s="1018">
        <v>1115</v>
      </c>
      <c r="B1116" s="1019" t="s">
        <v>46</v>
      </c>
      <c r="C1116" s="1020" t="s">
        <v>16</v>
      </c>
      <c r="D1116" s="1020" t="s">
        <v>1735</v>
      </c>
      <c r="E1116" s="1020" t="s">
        <v>1780</v>
      </c>
      <c r="F1116" s="1021">
        <v>45505</v>
      </c>
      <c r="G1116" s="1021"/>
      <c r="H1116" s="1022" t="s">
        <v>701</v>
      </c>
    </row>
    <row r="1117" spans="1:8" hidden="1">
      <c r="A1117" s="1023">
        <v>1116</v>
      </c>
      <c r="B1117" s="1024" t="s">
        <v>46</v>
      </c>
      <c r="C1117" s="1025" t="s">
        <v>16</v>
      </c>
      <c r="D1117" s="1025" t="s">
        <v>1735</v>
      </c>
      <c r="E1117" s="1025" t="s">
        <v>1781</v>
      </c>
      <c r="F1117" s="1026">
        <v>45505</v>
      </c>
      <c r="G1117" s="1026"/>
      <c r="H1117" s="1027" t="s">
        <v>701</v>
      </c>
    </row>
    <row r="1118" spans="1:8" hidden="1">
      <c r="A1118" s="1018">
        <v>1117</v>
      </c>
      <c r="B1118" s="1019" t="s">
        <v>46</v>
      </c>
      <c r="C1118" s="1020" t="s">
        <v>16</v>
      </c>
      <c r="D1118" s="1020" t="s">
        <v>1735</v>
      </c>
      <c r="E1118" s="1020" t="s">
        <v>1782</v>
      </c>
      <c r="F1118" s="1021">
        <v>45505</v>
      </c>
      <c r="G1118" s="1021"/>
      <c r="H1118" s="1022" t="s">
        <v>701</v>
      </c>
    </row>
    <row r="1119" spans="1:8" hidden="1">
      <c r="A1119" s="1023">
        <v>1118</v>
      </c>
      <c r="B1119" s="1024" t="s">
        <v>46</v>
      </c>
      <c r="C1119" s="1025" t="s">
        <v>16</v>
      </c>
      <c r="D1119" s="1025" t="s">
        <v>1735</v>
      </c>
      <c r="E1119" s="1025" t="s">
        <v>1783</v>
      </c>
      <c r="F1119" s="1026">
        <v>45505</v>
      </c>
      <c r="G1119" s="1026"/>
      <c r="H1119" s="1027" t="s">
        <v>701</v>
      </c>
    </row>
    <row r="1120" spans="1:8" hidden="1">
      <c r="A1120" s="1018">
        <v>1119</v>
      </c>
      <c r="B1120" s="1019" t="s">
        <v>46</v>
      </c>
      <c r="C1120" s="1020" t="s">
        <v>16</v>
      </c>
      <c r="D1120" s="1020" t="s">
        <v>1735</v>
      </c>
      <c r="E1120" s="1020" t="s">
        <v>1784</v>
      </c>
      <c r="F1120" s="1021">
        <v>45505</v>
      </c>
      <c r="G1120" s="1021"/>
      <c r="H1120" s="1022" t="s">
        <v>701</v>
      </c>
    </row>
    <row r="1121" spans="1:8" ht="26" hidden="1">
      <c r="A1121" s="1023">
        <v>1120</v>
      </c>
      <c r="B1121" s="1024" t="s">
        <v>46</v>
      </c>
      <c r="C1121" s="1025" t="s">
        <v>16</v>
      </c>
      <c r="D1121" s="1025" t="s">
        <v>1735</v>
      </c>
      <c r="E1121" s="1025" t="s">
        <v>1785</v>
      </c>
      <c r="F1121" s="1026">
        <v>45505</v>
      </c>
      <c r="G1121" s="1026"/>
      <c r="H1121" s="1027" t="s">
        <v>701</v>
      </c>
    </row>
    <row r="1122" spans="1:8" ht="26" hidden="1">
      <c r="A1122" s="1018">
        <v>1121</v>
      </c>
      <c r="B1122" s="1019" t="s">
        <v>46</v>
      </c>
      <c r="C1122" s="1020" t="s">
        <v>16</v>
      </c>
      <c r="D1122" s="1020" t="s">
        <v>1735</v>
      </c>
      <c r="E1122" s="1020" t="s">
        <v>1786</v>
      </c>
      <c r="F1122" s="1021">
        <v>45537</v>
      </c>
      <c r="G1122" s="1021"/>
      <c r="H1122" s="1022" t="s">
        <v>701</v>
      </c>
    </row>
    <row r="1123" spans="1:8" hidden="1">
      <c r="A1123" s="1023">
        <v>1122</v>
      </c>
      <c r="B1123" s="1024" t="s">
        <v>46</v>
      </c>
      <c r="C1123" s="1025" t="s">
        <v>16</v>
      </c>
      <c r="D1123" s="1025" t="s">
        <v>1735</v>
      </c>
      <c r="E1123" s="1025" t="s">
        <v>1787</v>
      </c>
      <c r="F1123" s="1026">
        <v>45537</v>
      </c>
      <c r="G1123" s="1026"/>
      <c r="H1123" s="1027" t="s">
        <v>701</v>
      </c>
    </row>
    <row r="1124" spans="1:8" hidden="1">
      <c r="A1124" s="1018">
        <v>1123</v>
      </c>
      <c r="B1124" s="1019" t="s">
        <v>46</v>
      </c>
      <c r="C1124" s="1020" t="s">
        <v>16</v>
      </c>
      <c r="D1124" s="1020" t="s">
        <v>1735</v>
      </c>
      <c r="E1124" s="1020" t="s">
        <v>1788</v>
      </c>
      <c r="F1124" s="1021">
        <v>45537</v>
      </c>
      <c r="G1124" s="1021"/>
      <c r="H1124" s="1022" t="s">
        <v>701</v>
      </c>
    </row>
    <row r="1125" spans="1:8" hidden="1">
      <c r="A1125" s="1023">
        <v>1124</v>
      </c>
      <c r="B1125" s="1024" t="s">
        <v>46</v>
      </c>
      <c r="C1125" s="1025" t="s">
        <v>16</v>
      </c>
      <c r="D1125" s="1025" t="s">
        <v>1735</v>
      </c>
      <c r="E1125" s="1025" t="s">
        <v>1789</v>
      </c>
      <c r="F1125" s="1026">
        <v>45505</v>
      </c>
      <c r="G1125" s="1026"/>
      <c r="H1125" s="1027" t="s">
        <v>701</v>
      </c>
    </row>
    <row r="1126" spans="1:8" ht="26" hidden="1">
      <c r="A1126" s="1018">
        <v>1125</v>
      </c>
      <c r="B1126" s="1019" t="s">
        <v>46</v>
      </c>
      <c r="C1126" s="1020" t="s">
        <v>16</v>
      </c>
      <c r="D1126" s="1020" t="s">
        <v>1735</v>
      </c>
      <c r="E1126" s="1020" t="s">
        <v>1790</v>
      </c>
      <c r="F1126" s="1021">
        <v>45505</v>
      </c>
      <c r="G1126" s="1021">
        <v>45509</v>
      </c>
      <c r="H1126" s="1022" t="s">
        <v>663</v>
      </c>
    </row>
    <row r="1127" spans="1:8" hidden="1">
      <c r="A1127" s="1023">
        <v>1126</v>
      </c>
      <c r="B1127" s="1024" t="s">
        <v>46</v>
      </c>
      <c r="C1127" s="1025" t="s">
        <v>16</v>
      </c>
      <c r="D1127" s="1025" t="s">
        <v>1735</v>
      </c>
      <c r="E1127" s="1025" t="s">
        <v>1791</v>
      </c>
      <c r="F1127" s="1026">
        <v>45505</v>
      </c>
      <c r="G1127" s="1026">
        <v>45455</v>
      </c>
      <c r="H1127" s="1027" t="s">
        <v>663</v>
      </c>
    </row>
    <row r="1128" spans="1:8" hidden="1">
      <c r="A1128" s="1018">
        <v>1127</v>
      </c>
      <c r="B1128" s="1019" t="s">
        <v>46</v>
      </c>
      <c r="C1128" s="1020" t="s">
        <v>16</v>
      </c>
      <c r="D1128" s="1020" t="s">
        <v>1735</v>
      </c>
      <c r="E1128" s="1020" t="s">
        <v>1792</v>
      </c>
      <c r="F1128" s="1021">
        <v>45505</v>
      </c>
      <c r="G1128" s="1021">
        <v>45455</v>
      </c>
      <c r="H1128" s="1022" t="s">
        <v>663</v>
      </c>
    </row>
    <row r="1129" spans="1:8" hidden="1">
      <c r="A1129" s="1023">
        <v>1128</v>
      </c>
      <c r="B1129" s="1024" t="s">
        <v>46</v>
      </c>
      <c r="C1129" s="1025" t="s">
        <v>16</v>
      </c>
      <c r="D1129" s="1025" t="s">
        <v>1735</v>
      </c>
      <c r="E1129" s="1025" t="s">
        <v>1793</v>
      </c>
      <c r="F1129" s="1026">
        <v>45505</v>
      </c>
      <c r="G1129" s="1026">
        <v>45455</v>
      </c>
      <c r="H1129" s="1027" t="s">
        <v>663</v>
      </c>
    </row>
    <row r="1130" spans="1:8" hidden="1">
      <c r="A1130" s="1018">
        <v>1129</v>
      </c>
      <c r="B1130" s="1019" t="s">
        <v>46</v>
      </c>
      <c r="C1130" s="1020" t="s">
        <v>16</v>
      </c>
      <c r="D1130" s="1020" t="s">
        <v>1735</v>
      </c>
      <c r="E1130" s="1020" t="s">
        <v>1794</v>
      </c>
      <c r="F1130" s="1021">
        <v>45505</v>
      </c>
      <c r="G1130" s="1021">
        <v>45455</v>
      </c>
      <c r="H1130" s="1022" t="s">
        <v>663</v>
      </c>
    </row>
    <row r="1131" spans="1:8" hidden="1">
      <c r="A1131" s="1023">
        <v>1130</v>
      </c>
      <c r="B1131" s="1024" t="s">
        <v>46</v>
      </c>
      <c r="C1131" s="1025" t="s">
        <v>16</v>
      </c>
      <c r="D1131" s="1025" t="s">
        <v>1735</v>
      </c>
      <c r="E1131" s="1025" t="s">
        <v>1795</v>
      </c>
      <c r="F1131" s="1026">
        <v>45505</v>
      </c>
      <c r="G1131" s="1026">
        <v>45455</v>
      </c>
      <c r="H1131" s="1027" t="s">
        <v>663</v>
      </c>
    </row>
    <row r="1132" spans="1:8" hidden="1">
      <c r="A1132" s="1018">
        <v>1131</v>
      </c>
      <c r="B1132" s="1019" t="s">
        <v>46</v>
      </c>
      <c r="C1132" s="1020" t="s">
        <v>16</v>
      </c>
      <c r="D1132" s="1020" t="s">
        <v>1735</v>
      </c>
      <c r="E1132" s="1020" t="s">
        <v>1796</v>
      </c>
      <c r="F1132" s="1021">
        <v>45505</v>
      </c>
      <c r="G1132" s="1021">
        <v>45455</v>
      </c>
      <c r="H1132" s="1022" t="s">
        <v>663</v>
      </c>
    </row>
    <row r="1133" spans="1:8" hidden="1">
      <c r="A1133" s="1023">
        <v>1132</v>
      </c>
      <c r="B1133" s="1024" t="s">
        <v>46</v>
      </c>
      <c r="C1133" s="1025" t="s">
        <v>16</v>
      </c>
      <c r="D1133" s="1025" t="s">
        <v>1735</v>
      </c>
      <c r="E1133" s="1025" t="s">
        <v>1797</v>
      </c>
      <c r="F1133" s="1026">
        <v>45505</v>
      </c>
      <c r="G1133" s="1026">
        <v>45455</v>
      </c>
      <c r="H1133" s="1027" t="s">
        <v>663</v>
      </c>
    </row>
    <row r="1134" spans="1:8" hidden="1">
      <c r="A1134" s="1018">
        <v>1133</v>
      </c>
      <c r="B1134" s="1019" t="s">
        <v>46</v>
      </c>
      <c r="C1134" s="1020" t="s">
        <v>16</v>
      </c>
      <c r="D1134" s="1020" t="s">
        <v>1735</v>
      </c>
      <c r="E1134" s="1020" t="s">
        <v>1798</v>
      </c>
      <c r="F1134" s="1021">
        <v>45505</v>
      </c>
      <c r="G1134" s="1021">
        <v>45455</v>
      </c>
      <c r="H1134" s="1022" t="s">
        <v>663</v>
      </c>
    </row>
    <row r="1135" spans="1:8" hidden="1">
      <c r="A1135" s="1023">
        <v>1134</v>
      </c>
      <c r="B1135" s="1024" t="s">
        <v>46</v>
      </c>
      <c r="C1135" s="1025" t="s">
        <v>16</v>
      </c>
      <c r="D1135" s="1025" t="s">
        <v>1735</v>
      </c>
      <c r="E1135" s="1025" t="s">
        <v>1799</v>
      </c>
      <c r="F1135" s="1026">
        <v>45505</v>
      </c>
      <c r="G1135" s="1026">
        <v>45455</v>
      </c>
      <c r="H1135" s="1027" t="s">
        <v>663</v>
      </c>
    </row>
    <row r="1136" spans="1:8" hidden="1">
      <c r="A1136" s="1018">
        <v>1135</v>
      </c>
      <c r="B1136" s="1019" t="s">
        <v>46</v>
      </c>
      <c r="C1136" s="1020" t="s">
        <v>16</v>
      </c>
      <c r="D1136" s="1020" t="s">
        <v>1735</v>
      </c>
      <c r="E1136" s="1020" t="s">
        <v>1800</v>
      </c>
      <c r="F1136" s="1021">
        <v>45505</v>
      </c>
      <c r="G1136" s="1021">
        <v>45455</v>
      </c>
      <c r="H1136" s="1022" t="s">
        <v>663</v>
      </c>
    </row>
    <row r="1137" spans="1:8" hidden="1">
      <c r="A1137" s="1023">
        <v>1136</v>
      </c>
      <c r="B1137" s="1024" t="s">
        <v>46</v>
      </c>
      <c r="C1137" s="1025" t="s">
        <v>16</v>
      </c>
      <c r="D1137" s="1025" t="s">
        <v>1735</v>
      </c>
      <c r="E1137" s="1025" t="s">
        <v>1801</v>
      </c>
      <c r="F1137" s="1026">
        <v>45505</v>
      </c>
      <c r="G1137" s="1026">
        <v>45455</v>
      </c>
      <c r="H1137" s="1027" t="s">
        <v>663</v>
      </c>
    </row>
    <row r="1138" spans="1:8" hidden="1">
      <c r="A1138" s="1018">
        <v>1137</v>
      </c>
      <c r="B1138" s="1019" t="s">
        <v>46</v>
      </c>
      <c r="C1138" s="1020" t="s">
        <v>16</v>
      </c>
      <c r="D1138" s="1020" t="s">
        <v>1735</v>
      </c>
      <c r="E1138" s="1020" t="s">
        <v>1802</v>
      </c>
      <c r="F1138" s="1021">
        <v>45505</v>
      </c>
      <c r="G1138" s="1021">
        <v>45455</v>
      </c>
      <c r="H1138" s="1022" t="s">
        <v>663</v>
      </c>
    </row>
    <row r="1139" spans="1:8" hidden="1">
      <c r="A1139" s="1023">
        <v>1138</v>
      </c>
      <c r="B1139" s="1024" t="s">
        <v>46</v>
      </c>
      <c r="C1139" s="1025" t="s">
        <v>16</v>
      </c>
      <c r="D1139" s="1025" t="s">
        <v>1735</v>
      </c>
      <c r="E1139" s="1025" t="s">
        <v>1803</v>
      </c>
      <c r="F1139" s="1026">
        <v>45505</v>
      </c>
      <c r="G1139" s="1026">
        <v>45455</v>
      </c>
      <c r="H1139" s="1027" t="s">
        <v>663</v>
      </c>
    </row>
    <row r="1140" spans="1:8" hidden="1">
      <c r="A1140" s="1018">
        <v>1139</v>
      </c>
      <c r="B1140" s="1019" t="s">
        <v>46</v>
      </c>
      <c r="C1140" s="1020" t="s">
        <v>16</v>
      </c>
      <c r="D1140" s="1020" t="s">
        <v>1735</v>
      </c>
      <c r="E1140" s="1020" t="s">
        <v>1804</v>
      </c>
      <c r="F1140" s="1021">
        <v>45505</v>
      </c>
      <c r="G1140" s="1021">
        <v>45455</v>
      </c>
      <c r="H1140" s="1022" t="s">
        <v>663</v>
      </c>
    </row>
    <row r="1141" spans="1:8" hidden="1">
      <c r="A1141" s="1023">
        <v>1140</v>
      </c>
      <c r="B1141" s="1024" t="s">
        <v>46</v>
      </c>
      <c r="C1141" s="1025" t="s">
        <v>16</v>
      </c>
      <c r="D1141" s="1025" t="s">
        <v>1735</v>
      </c>
      <c r="E1141" s="1025" t="s">
        <v>1805</v>
      </c>
      <c r="F1141" s="1026">
        <v>45505</v>
      </c>
      <c r="G1141" s="1026">
        <v>45466</v>
      </c>
      <c r="H1141" s="1027" t="s">
        <v>663</v>
      </c>
    </row>
    <row r="1142" spans="1:8" hidden="1">
      <c r="A1142" s="1018">
        <v>1141</v>
      </c>
      <c r="B1142" s="1019" t="s">
        <v>46</v>
      </c>
      <c r="C1142" s="1020" t="s">
        <v>16</v>
      </c>
      <c r="D1142" s="1020" t="s">
        <v>1735</v>
      </c>
      <c r="E1142" s="1020" t="s">
        <v>1806</v>
      </c>
      <c r="F1142" s="1021">
        <v>45505</v>
      </c>
      <c r="G1142" s="1021">
        <v>45466</v>
      </c>
      <c r="H1142" s="1022" t="s">
        <v>663</v>
      </c>
    </row>
    <row r="1143" spans="1:8" hidden="1">
      <c r="A1143" s="1023">
        <v>1142</v>
      </c>
      <c r="B1143" s="1024" t="s">
        <v>46</v>
      </c>
      <c r="C1143" s="1025" t="s">
        <v>16</v>
      </c>
      <c r="D1143" s="1025" t="s">
        <v>1735</v>
      </c>
      <c r="E1143" s="1025" t="s">
        <v>1807</v>
      </c>
      <c r="F1143" s="1026">
        <v>45505</v>
      </c>
      <c r="G1143" s="1026">
        <v>45466</v>
      </c>
      <c r="H1143" s="1027" t="s">
        <v>663</v>
      </c>
    </row>
    <row r="1144" spans="1:8" hidden="1">
      <c r="A1144" s="1018">
        <v>1143</v>
      </c>
      <c r="B1144" s="1019" t="s">
        <v>46</v>
      </c>
      <c r="C1144" s="1020" t="s">
        <v>16</v>
      </c>
      <c r="D1144" s="1020" t="s">
        <v>1735</v>
      </c>
      <c r="E1144" s="1020" t="s">
        <v>1808</v>
      </c>
      <c r="F1144" s="1021">
        <v>45505</v>
      </c>
      <c r="G1144" s="1021">
        <v>45466</v>
      </c>
      <c r="H1144" s="1022" t="s">
        <v>663</v>
      </c>
    </row>
    <row r="1145" spans="1:8" hidden="1">
      <c r="A1145" s="1023">
        <v>1144</v>
      </c>
      <c r="B1145" s="1024" t="s">
        <v>46</v>
      </c>
      <c r="C1145" s="1025" t="s">
        <v>16</v>
      </c>
      <c r="D1145" s="1025" t="s">
        <v>1735</v>
      </c>
      <c r="E1145" s="1025" t="s">
        <v>1809</v>
      </c>
      <c r="F1145" s="1026">
        <v>45505</v>
      </c>
      <c r="G1145" s="1026">
        <v>45466</v>
      </c>
      <c r="H1145" s="1027" t="s">
        <v>663</v>
      </c>
    </row>
    <row r="1146" spans="1:8" hidden="1">
      <c r="A1146" s="1018">
        <v>1145</v>
      </c>
      <c r="B1146" s="1019" t="s">
        <v>46</v>
      </c>
      <c r="C1146" s="1020" t="s">
        <v>16</v>
      </c>
      <c r="D1146" s="1020" t="s">
        <v>1735</v>
      </c>
      <c r="E1146" s="1020" t="s">
        <v>1810</v>
      </c>
      <c r="F1146" s="1021">
        <v>45505</v>
      </c>
      <c r="G1146" s="1021">
        <v>45466</v>
      </c>
      <c r="H1146" s="1022" t="s">
        <v>663</v>
      </c>
    </row>
    <row r="1147" spans="1:8" hidden="1">
      <c r="A1147" s="1023">
        <v>1146</v>
      </c>
      <c r="B1147" s="1024" t="s">
        <v>46</v>
      </c>
      <c r="C1147" s="1025" t="s">
        <v>16</v>
      </c>
      <c r="D1147" s="1025" t="s">
        <v>1735</v>
      </c>
      <c r="E1147" s="1025" t="s">
        <v>1811</v>
      </c>
      <c r="F1147" s="1026">
        <v>45505</v>
      </c>
      <c r="G1147" s="1026">
        <v>45466</v>
      </c>
      <c r="H1147" s="1027" t="s">
        <v>663</v>
      </c>
    </row>
    <row r="1148" spans="1:8" hidden="1">
      <c r="A1148" s="1018">
        <v>1147</v>
      </c>
      <c r="B1148" s="1019" t="s">
        <v>46</v>
      </c>
      <c r="C1148" s="1020" t="s">
        <v>16</v>
      </c>
      <c r="D1148" s="1020" t="s">
        <v>1735</v>
      </c>
      <c r="E1148" s="1020" t="s">
        <v>1812</v>
      </c>
      <c r="F1148" s="1021">
        <v>45505</v>
      </c>
      <c r="G1148" s="1021">
        <v>45466</v>
      </c>
      <c r="H1148" s="1022" t="s">
        <v>663</v>
      </c>
    </row>
    <row r="1149" spans="1:8" hidden="1">
      <c r="A1149" s="1023">
        <v>1148</v>
      </c>
      <c r="B1149" s="1024" t="s">
        <v>46</v>
      </c>
      <c r="C1149" s="1025" t="s">
        <v>16</v>
      </c>
      <c r="D1149" s="1025" t="s">
        <v>1735</v>
      </c>
      <c r="E1149" s="1025" t="s">
        <v>1813</v>
      </c>
      <c r="F1149" s="1026">
        <v>45505</v>
      </c>
      <c r="G1149" s="1026">
        <v>45466</v>
      </c>
      <c r="H1149" s="1027" t="s">
        <v>663</v>
      </c>
    </row>
    <row r="1150" spans="1:8" hidden="1">
      <c r="A1150" s="1018">
        <v>1149</v>
      </c>
      <c r="B1150" s="1019" t="s">
        <v>46</v>
      </c>
      <c r="C1150" s="1020" t="s">
        <v>16</v>
      </c>
      <c r="D1150" s="1020" t="s">
        <v>1735</v>
      </c>
      <c r="E1150" s="1020" t="s">
        <v>1814</v>
      </c>
      <c r="F1150" s="1021">
        <v>45505</v>
      </c>
      <c r="G1150" s="1021">
        <v>45466</v>
      </c>
      <c r="H1150" s="1022" t="s">
        <v>663</v>
      </c>
    </row>
    <row r="1151" spans="1:8" hidden="1">
      <c r="A1151" s="1023">
        <v>1150</v>
      </c>
      <c r="B1151" s="1024" t="s">
        <v>46</v>
      </c>
      <c r="C1151" s="1025" t="s">
        <v>16</v>
      </c>
      <c r="D1151" s="1025" t="s">
        <v>1735</v>
      </c>
      <c r="E1151" s="1025" t="s">
        <v>1815</v>
      </c>
      <c r="F1151" s="1026">
        <v>45505</v>
      </c>
      <c r="G1151" s="1026">
        <v>45466</v>
      </c>
      <c r="H1151" s="1027" t="s">
        <v>663</v>
      </c>
    </row>
    <row r="1152" spans="1:8" hidden="1">
      <c r="A1152" s="1018">
        <v>1151</v>
      </c>
      <c r="B1152" s="1019" t="s">
        <v>46</v>
      </c>
      <c r="C1152" s="1020" t="s">
        <v>16</v>
      </c>
      <c r="D1152" s="1020" t="s">
        <v>1735</v>
      </c>
      <c r="E1152" s="1020" t="s">
        <v>1816</v>
      </c>
      <c r="F1152" s="1021">
        <v>45505</v>
      </c>
      <c r="G1152" s="1021">
        <v>45466</v>
      </c>
      <c r="H1152" s="1022" t="s">
        <v>663</v>
      </c>
    </row>
    <row r="1153" spans="1:8" hidden="1">
      <c r="A1153" s="1023">
        <v>1152</v>
      </c>
      <c r="B1153" s="1024" t="s">
        <v>46</v>
      </c>
      <c r="C1153" s="1025" t="s">
        <v>16</v>
      </c>
      <c r="D1153" s="1025" t="s">
        <v>1817</v>
      </c>
      <c r="E1153" s="1025" t="s">
        <v>1818</v>
      </c>
      <c r="F1153" s="1026">
        <v>45465</v>
      </c>
      <c r="G1153" s="1026"/>
      <c r="H1153" s="1027" t="s">
        <v>701</v>
      </c>
    </row>
    <row r="1154" spans="1:8" hidden="1">
      <c r="A1154" s="1018">
        <v>1153</v>
      </c>
      <c r="B1154" s="1019" t="s">
        <v>46</v>
      </c>
      <c r="C1154" s="1020" t="s">
        <v>16</v>
      </c>
      <c r="D1154" s="1020" t="s">
        <v>1817</v>
      </c>
      <c r="E1154" s="1020" t="s">
        <v>1819</v>
      </c>
      <c r="F1154" s="1021">
        <v>45465</v>
      </c>
      <c r="G1154" s="1021"/>
      <c r="H1154" s="1022" t="s">
        <v>701</v>
      </c>
    </row>
    <row r="1155" spans="1:8" hidden="1">
      <c r="A1155" s="1023">
        <v>1154</v>
      </c>
      <c r="B1155" s="1024" t="s">
        <v>46</v>
      </c>
      <c r="C1155" s="1025" t="s">
        <v>16</v>
      </c>
      <c r="D1155" s="1025" t="s">
        <v>1817</v>
      </c>
      <c r="E1155" s="1025" t="s">
        <v>1820</v>
      </c>
      <c r="F1155" s="1026">
        <v>45505</v>
      </c>
      <c r="G1155" s="1026"/>
      <c r="H1155" s="1027" t="s">
        <v>701</v>
      </c>
    </row>
    <row r="1156" spans="1:8" hidden="1">
      <c r="A1156" s="1018">
        <v>1155</v>
      </c>
      <c r="B1156" s="1019" t="s">
        <v>46</v>
      </c>
      <c r="C1156" s="1020" t="s">
        <v>16</v>
      </c>
      <c r="D1156" s="1020" t="s">
        <v>1817</v>
      </c>
      <c r="E1156" s="1020" t="s">
        <v>1821</v>
      </c>
      <c r="F1156" s="1021">
        <v>45463</v>
      </c>
      <c r="G1156" s="1021"/>
      <c r="H1156" s="1022" t="s">
        <v>701</v>
      </c>
    </row>
    <row r="1157" spans="1:8" hidden="1">
      <c r="A1157" s="1023">
        <v>1156</v>
      </c>
      <c r="B1157" s="1024" t="s">
        <v>46</v>
      </c>
      <c r="C1157" s="1025" t="s">
        <v>16</v>
      </c>
      <c r="D1157" s="1025" t="s">
        <v>1817</v>
      </c>
      <c r="E1157" s="1025" t="s">
        <v>1765</v>
      </c>
      <c r="F1157" s="1026">
        <v>45506</v>
      </c>
      <c r="G1157" s="1026"/>
      <c r="H1157" s="1027" t="s">
        <v>701</v>
      </c>
    </row>
    <row r="1158" spans="1:8" hidden="1">
      <c r="A1158" s="1018">
        <v>1157</v>
      </c>
      <c r="B1158" s="1019" t="s">
        <v>46</v>
      </c>
      <c r="C1158" s="1020" t="s">
        <v>16</v>
      </c>
      <c r="D1158" s="1020" t="s">
        <v>1817</v>
      </c>
      <c r="E1158" s="1020" t="s">
        <v>1822</v>
      </c>
      <c r="F1158" s="1021">
        <v>45488</v>
      </c>
      <c r="G1158" s="1021"/>
      <c r="H1158" s="1022" t="s">
        <v>701</v>
      </c>
    </row>
    <row r="1159" spans="1:8" hidden="1">
      <c r="A1159" s="1023">
        <v>1158</v>
      </c>
      <c r="B1159" s="1024" t="s">
        <v>46</v>
      </c>
      <c r="C1159" s="1025" t="s">
        <v>16</v>
      </c>
      <c r="D1159" s="1025" t="s">
        <v>1817</v>
      </c>
      <c r="E1159" s="1025" t="s">
        <v>1823</v>
      </c>
      <c r="F1159" s="1026">
        <v>45478</v>
      </c>
      <c r="G1159" s="1026"/>
      <c r="H1159" s="1027" t="s">
        <v>701</v>
      </c>
    </row>
    <row r="1160" spans="1:8" hidden="1">
      <c r="A1160" s="1018">
        <v>1159</v>
      </c>
      <c r="B1160" s="1019" t="s">
        <v>46</v>
      </c>
      <c r="C1160" s="1020" t="s">
        <v>16</v>
      </c>
      <c r="D1160" s="1020" t="s">
        <v>1817</v>
      </c>
      <c r="E1160" s="1020" t="s">
        <v>1824</v>
      </c>
      <c r="F1160" s="1021">
        <v>45505</v>
      </c>
      <c r="G1160" s="1021"/>
      <c r="H1160" s="1022" t="s">
        <v>701</v>
      </c>
    </row>
    <row r="1161" spans="1:8" hidden="1">
      <c r="A1161" s="1023">
        <v>1160</v>
      </c>
      <c r="B1161" s="1024" t="s">
        <v>46</v>
      </c>
      <c r="C1161" s="1025" t="s">
        <v>16</v>
      </c>
      <c r="D1161" s="1025" t="s">
        <v>1817</v>
      </c>
      <c r="E1161" s="1025" t="s">
        <v>1825</v>
      </c>
      <c r="F1161" s="1026">
        <v>45503</v>
      </c>
      <c r="G1161" s="1026"/>
      <c r="H1161" s="1027" t="s">
        <v>701</v>
      </c>
    </row>
    <row r="1162" spans="1:8" hidden="1">
      <c r="A1162" s="1018">
        <v>1161</v>
      </c>
      <c r="B1162" s="1019" t="s">
        <v>46</v>
      </c>
      <c r="C1162" s="1020" t="s">
        <v>16</v>
      </c>
      <c r="D1162" s="1020" t="s">
        <v>1817</v>
      </c>
      <c r="E1162" s="1020" t="s">
        <v>1826</v>
      </c>
      <c r="F1162" s="1021">
        <v>45476</v>
      </c>
      <c r="G1162" s="1021"/>
      <c r="H1162" s="1022" t="s">
        <v>701</v>
      </c>
    </row>
    <row r="1163" spans="1:8" hidden="1">
      <c r="A1163" s="1023">
        <v>1162</v>
      </c>
      <c r="B1163" s="1024" t="s">
        <v>46</v>
      </c>
      <c r="C1163" s="1025" t="s">
        <v>16</v>
      </c>
      <c r="D1163" s="1025" t="s">
        <v>1817</v>
      </c>
      <c r="E1163" s="1025" t="s">
        <v>1827</v>
      </c>
      <c r="F1163" s="1026">
        <v>45502</v>
      </c>
      <c r="G1163" s="1026"/>
      <c r="H1163" s="1027" t="s">
        <v>701</v>
      </c>
    </row>
    <row r="1164" spans="1:8" hidden="1">
      <c r="A1164" s="1018">
        <v>1163</v>
      </c>
      <c r="B1164" s="1019" t="s">
        <v>46</v>
      </c>
      <c r="C1164" s="1020" t="s">
        <v>16</v>
      </c>
      <c r="D1164" s="1020" t="s">
        <v>1817</v>
      </c>
      <c r="E1164" s="1020" t="s">
        <v>1828</v>
      </c>
      <c r="F1164" s="1021">
        <v>45503</v>
      </c>
      <c r="G1164" s="1021"/>
      <c r="H1164" s="1022" t="s">
        <v>701</v>
      </c>
    </row>
    <row r="1165" spans="1:8" hidden="1">
      <c r="A1165" s="1023">
        <v>1164</v>
      </c>
      <c r="B1165" s="1024" t="s">
        <v>46</v>
      </c>
      <c r="C1165" s="1025" t="s">
        <v>16</v>
      </c>
      <c r="D1165" s="1025" t="s">
        <v>1817</v>
      </c>
      <c r="E1165" s="1025" t="s">
        <v>1829</v>
      </c>
      <c r="F1165" s="1026">
        <v>45476</v>
      </c>
      <c r="G1165" s="1026"/>
      <c r="H1165" s="1027" t="s">
        <v>701</v>
      </c>
    </row>
    <row r="1166" spans="1:8" hidden="1">
      <c r="A1166" s="1018">
        <v>1165</v>
      </c>
      <c r="B1166" s="1019" t="s">
        <v>46</v>
      </c>
      <c r="C1166" s="1020" t="s">
        <v>16</v>
      </c>
      <c r="D1166" s="1020" t="s">
        <v>1817</v>
      </c>
      <c r="E1166" s="1020" t="s">
        <v>1830</v>
      </c>
      <c r="F1166" s="1021">
        <v>45512</v>
      </c>
      <c r="G1166" s="1021"/>
      <c r="H1166" s="1022" t="s">
        <v>701</v>
      </c>
    </row>
    <row r="1167" spans="1:8" hidden="1">
      <c r="A1167" s="1023">
        <v>1166</v>
      </c>
      <c r="B1167" s="1024" t="s">
        <v>46</v>
      </c>
      <c r="C1167" s="1025" t="s">
        <v>16</v>
      </c>
      <c r="D1167" s="1025" t="s">
        <v>1817</v>
      </c>
      <c r="E1167" s="1025" t="s">
        <v>1831</v>
      </c>
      <c r="F1167" s="1026">
        <v>45522</v>
      </c>
      <c r="G1167" s="1026"/>
      <c r="H1167" s="1027" t="s">
        <v>701</v>
      </c>
    </row>
    <row r="1168" spans="1:8" hidden="1">
      <c r="A1168" s="1018">
        <v>1167</v>
      </c>
      <c r="B1168" s="1019" t="s">
        <v>46</v>
      </c>
      <c r="C1168" s="1020" t="s">
        <v>16</v>
      </c>
      <c r="D1168" s="1020" t="s">
        <v>1817</v>
      </c>
      <c r="E1168" s="1020" t="s">
        <v>1832</v>
      </c>
      <c r="F1168" s="1021">
        <v>45526</v>
      </c>
      <c r="G1168" s="1021"/>
      <c r="H1168" s="1022" t="s">
        <v>701</v>
      </c>
    </row>
    <row r="1169" spans="1:8" hidden="1">
      <c r="A1169" s="1023">
        <v>1168</v>
      </c>
      <c r="B1169" s="1024" t="s">
        <v>46</v>
      </c>
      <c r="C1169" s="1025" t="s">
        <v>16</v>
      </c>
      <c r="D1169" s="1025" t="s">
        <v>1817</v>
      </c>
      <c r="E1169" s="1025" t="s">
        <v>1833</v>
      </c>
      <c r="F1169" s="1026">
        <v>45507</v>
      </c>
      <c r="G1169" s="1026"/>
      <c r="H1169" s="1027" t="s">
        <v>701</v>
      </c>
    </row>
    <row r="1170" spans="1:8" hidden="1">
      <c r="A1170" s="1018">
        <v>1169</v>
      </c>
      <c r="B1170" s="1019" t="s">
        <v>46</v>
      </c>
      <c r="C1170" s="1020" t="s">
        <v>16</v>
      </c>
      <c r="D1170" s="1020" t="s">
        <v>1817</v>
      </c>
      <c r="E1170" s="1020" t="s">
        <v>1834</v>
      </c>
      <c r="F1170" s="1021">
        <v>45484</v>
      </c>
      <c r="G1170" s="1021"/>
      <c r="H1170" s="1022" t="s">
        <v>701</v>
      </c>
    </row>
    <row r="1171" spans="1:8" hidden="1">
      <c r="A1171" s="1023">
        <v>1170</v>
      </c>
      <c r="B1171" s="1024" t="s">
        <v>46</v>
      </c>
      <c r="C1171" s="1025" t="s">
        <v>16</v>
      </c>
      <c r="D1171" s="1025" t="s">
        <v>1817</v>
      </c>
      <c r="E1171" s="1025" t="s">
        <v>1835</v>
      </c>
      <c r="F1171" s="1026">
        <v>45537</v>
      </c>
      <c r="G1171" s="1026"/>
      <c r="H1171" s="1027" t="s">
        <v>701</v>
      </c>
    </row>
    <row r="1172" spans="1:8" hidden="1">
      <c r="A1172" s="1018">
        <v>1171</v>
      </c>
      <c r="B1172" s="1019" t="s">
        <v>46</v>
      </c>
      <c r="C1172" s="1020" t="s">
        <v>16</v>
      </c>
      <c r="D1172" s="1020" t="s">
        <v>1817</v>
      </c>
      <c r="E1172" s="1020" t="s">
        <v>1836</v>
      </c>
      <c r="F1172" s="1021">
        <v>45512</v>
      </c>
      <c r="G1172" s="1021"/>
      <c r="H1172" s="1022" t="s">
        <v>701</v>
      </c>
    </row>
    <row r="1173" spans="1:8" hidden="1">
      <c r="A1173" s="1023">
        <v>1172</v>
      </c>
      <c r="B1173" s="1024" t="s">
        <v>46</v>
      </c>
      <c r="C1173" s="1025" t="s">
        <v>16</v>
      </c>
      <c r="D1173" s="1025" t="s">
        <v>1817</v>
      </c>
      <c r="E1173" s="1025" t="s">
        <v>1837</v>
      </c>
      <c r="F1173" s="1026">
        <v>45497</v>
      </c>
      <c r="G1173" s="1026"/>
      <c r="H1173" s="1027" t="s">
        <v>701</v>
      </c>
    </row>
    <row r="1174" spans="1:8" hidden="1">
      <c r="A1174" s="1018">
        <v>1173</v>
      </c>
      <c r="B1174" s="1019" t="s">
        <v>46</v>
      </c>
      <c r="C1174" s="1020" t="s">
        <v>16</v>
      </c>
      <c r="D1174" s="1020" t="s">
        <v>1817</v>
      </c>
      <c r="E1174" s="1020" t="s">
        <v>1838</v>
      </c>
      <c r="F1174" s="1021">
        <v>45505</v>
      </c>
      <c r="G1174" s="1021"/>
      <c r="H1174" s="1022" t="s">
        <v>701</v>
      </c>
    </row>
    <row r="1175" spans="1:8" ht="26" hidden="1">
      <c r="A1175" s="1023">
        <v>1174</v>
      </c>
      <c r="B1175" s="1024" t="s">
        <v>46</v>
      </c>
      <c r="C1175" s="1025" t="s">
        <v>16</v>
      </c>
      <c r="D1175" s="1025" t="s">
        <v>1817</v>
      </c>
      <c r="E1175" s="1025" t="s">
        <v>1839</v>
      </c>
      <c r="F1175" s="1026">
        <v>45520</v>
      </c>
      <c r="G1175" s="1026"/>
      <c r="H1175" s="1027" t="s">
        <v>701</v>
      </c>
    </row>
    <row r="1176" spans="1:8" hidden="1">
      <c r="A1176" s="1018">
        <v>1175</v>
      </c>
      <c r="B1176" s="1019" t="s">
        <v>46</v>
      </c>
      <c r="C1176" s="1020" t="s">
        <v>16</v>
      </c>
      <c r="D1176" s="1020" t="s">
        <v>1817</v>
      </c>
      <c r="E1176" s="1020" t="s">
        <v>1840</v>
      </c>
      <c r="F1176" s="1021">
        <v>45485</v>
      </c>
      <c r="G1176" s="1021"/>
      <c r="H1176" s="1022" t="s">
        <v>701</v>
      </c>
    </row>
    <row r="1177" spans="1:8" hidden="1">
      <c r="A1177" s="1023">
        <v>1176</v>
      </c>
      <c r="B1177" s="1024" t="s">
        <v>46</v>
      </c>
      <c r="C1177" s="1025" t="s">
        <v>16</v>
      </c>
      <c r="D1177" s="1025" t="s">
        <v>1817</v>
      </c>
      <c r="E1177" s="1025" t="s">
        <v>1841</v>
      </c>
      <c r="F1177" s="1026">
        <v>45499</v>
      </c>
      <c r="G1177" s="1026"/>
      <c r="H1177" s="1027" t="s">
        <v>701</v>
      </c>
    </row>
    <row r="1178" spans="1:8" hidden="1">
      <c r="A1178" s="1018">
        <v>1177</v>
      </c>
      <c r="B1178" s="1019" t="s">
        <v>46</v>
      </c>
      <c r="C1178" s="1020" t="s">
        <v>16</v>
      </c>
      <c r="D1178" s="1020" t="s">
        <v>1817</v>
      </c>
      <c r="E1178" s="1020" t="s">
        <v>1842</v>
      </c>
      <c r="F1178" s="1021">
        <v>45537</v>
      </c>
      <c r="G1178" s="1021"/>
      <c r="H1178" s="1022" t="s">
        <v>701</v>
      </c>
    </row>
    <row r="1179" spans="1:8" hidden="1">
      <c r="A1179" s="1023">
        <v>1178</v>
      </c>
      <c r="B1179" s="1024" t="s">
        <v>46</v>
      </c>
      <c r="C1179" s="1025" t="s">
        <v>16</v>
      </c>
      <c r="D1179" s="1025" t="s">
        <v>1817</v>
      </c>
      <c r="E1179" s="1025" t="s">
        <v>1843</v>
      </c>
      <c r="F1179" s="1026">
        <v>45501</v>
      </c>
      <c r="G1179" s="1026"/>
      <c r="H1179" s="1027" t="s">
        <v>701</v>
      </c>
    </row>
    <row r="1180" spans="1:8" hidden="1">
      <c r="A1180" s="1018">
        <v>1179</v>
      </c>
      <c r="B1180" s="1019" t="s">
        <v>46</v>
      </c>
      <c r="C1180" s="1020" t="s">
        <v>16</v>
      </c>
      <c r="D1180" s="1020" t="s">
        <v>1817</v>
      </c>
      <c r="E1180" s="1020" t="s">
        <v>1844</v>
      </c>
      <c r="F1180" s="1021">
        <v>45541</v>
      </c>
      <c r="G1180" s="1021"/>
      <c r="H1180" s="1022" t="s">
        <v>701</v>
      </c>
    </row>
    <row r="1181" spans="1:8" hidden="1">
      <c r="A1181" s="1023">
        <v>1180</v>
      </c>
      <c r="B1181" s="1024" t="s">
        <v>46</v>
      </c>
      <c r="C1181" s="1025" t="s">
        <v>16</v>
      </c>
      <c r="D1181" s="1025" t="s">
        <v>1817</v>
      </c>
      <c r="E1181" s="1025" t="s">
        <v>1845</v>
      </c>
      <c r="F1181" s="1026">
        <v>45501</v>
      </c>
      <c r="G1181" s="1026"/>
      <c r="H1181" s="1027" t="s">
        <v>701</v>
      </c>
    </row>
    <row r="1182" spans="1:8" hidden="1">
      <c r="A1182" s="1018">
        <v>1181</v>
      </c>
      <c r="B1182" s="1019" t="s">
        <v>46</v>
      </c>
      <c r="C1182" s="1020" t="s">
        <v>16</v>
      </c>
      <c r="D1182" s="1020" t="s">
        <v>1817</v>
      </c>
      <c r="E1182" s="1020" t="s">
        <v>1846</v>
      </c>
      <c r="F1182" s="1021">
        <v>45542</v>
      </c>
      <c r="G1182" s="1021"/>
      <c r="H1182" s="1022" t="s">
        <v>701</v>
      </c>
    </row>
    <row r="1183" spans="1:8" hidden="1">
      <c r="A1183" s="1023">
        <v>1182</v>
      </c>
      <c r="B1183" s="1024" t="s">
        <v>46</v>
      </c>
      <c r="C1183" s="1025" t="s">
        <v>16</v>
      </c>
      <c r="D1183" s="1025" t="s">
        <v>1817</v>
      </c>
      <c r="E1183" s="1025" t="s">
        <v>1847</v>
      </c>
      <c r="F1183" s="1026">
        <v>45476</v>
      </c>
      <c r="G1183" s="1026"/>
      <c r="H1183" s="1027" t="s">
        <v>701</v>
      </c>
    </row>
    <row r="1184" spans="1:8" hidden="1">
      <c r="A1184" s="1018">
        <v>1183</v>
      </c>
      <c r="B1184" s="1019" t="s">
        <v>46</v>
      </c>
      <c r="C1184" s="1020" t="s">
        <v>16</v>
      </c>
      <c r="D1184" s="1020" t="s">
        <v>1817</v>
      </c>
      <c r="E1184" s="1020" t="s">
        <v>1848</v>
      </c>
      <c r="F1184" s="1021">
        <v>45478</v>
      </c>
      <c r="G1184" s="1021"/>
      <c r="H1184" s="1022" t="s">
        <v>701</v>
      </c>
    </row>
    <row r="1185" spans="1:8" hidden="1">
      <c r="A1185" s="1023">
        <v>1184</v>
      </c>
      <c r="B1185" s="1024" t="s">
        <v>46</v>
      </c>
      <c r="C1185" s="1025" t="s">
        <v>16</v>
      </c>
      <c r="D1185" s="1025" t="s">
        <v>1817</v>
      </c>
      <c r="E1185" s="1025" t="s">
        <v>1849</v>
      </c>
      <c r="F1185" s="1026">
        <v>45476</v>
      </c>
      <c r="G1185" s="1026"/>
      <c r="H1185" s="1027" t="s">
        <v>701</v>
      </c>
    </row>
    <row r="1186" spans="1:8" hidden="1">
      <c r="A1186" s="1018">
        <v>1185</v>
      </c>
      <c r="B1186" s="1019" t="s">
        <v>46</v>
      </c>
      <c r="C1186" s="1020" t="s">
        <v>16</v>
      </c>
      <c r="D1186" s="1020" t="s">
        <v>1817</v>
      </c>
      <c r="E1186" s="1020" t="s">
        <v>1850</v>
      </c>
      <c r="F1186" s="1021">
        <v>45480</v>
      </c>
      <c r="G1186" s="1021"/>
      <c r="H1186" s="1022" t="s">
        <v>701</v>
      </c>
    </row>
    <row r="1187" spans="1:8" hidden="1">
      <c r="A1187" s="1023">
        <v>1186</v>
      </c>
      <c r="B1187" s="1024" t="s">
        <v>46</v>
      </c>
      <c r="C1187" s="1025" t="s">
        <v>16</v>
      </c>
      <c r="D1187" s="1025" t="s">
        <v>1817</v>
      </c>
      <c r="E1187" s="1025" t="s">
        <v>1851</v>
      </c>
      <c r="F1187" s="1026">
        <v>45467</v>
      </c>
      <c r="G1187" s="1026"/>
      <c r="H1187" s="1027" t="s">
        <v>701</v>
      </c>
    </row>
    <row r="1188" spans="1:8" hidden="1">
      <c r="A1188" s="1018">
        <v>1187</v>
      </c>
      <c r="B1188" s="1019" t="s">
        <v>46</v>
      </c>
      <c r="C1188" s="1020" t="s">
        <v>16</v>
      </c>
      <c r="D1188" s="1020" t="s">
        <v>1817</v>
      </c>
      <c r="E1188" s="1020" t="s">
        <v>1852</v>
      </c>
      <c r="F1188" s="1021">
        <v>45485</v>
      </c>
      <c r="G1188" s="1021"/>
      <c r="H1188" s="1022" t="s">
        <v>701</v>
      </c>
    </row>
    <row r="1189" spans="1:8" hidden="1">
      <c r="A1189" s="1023">
        <v>1188</v>
      </c>
      <c r="B1189" s="1024" t="s">
        <v>46</v>
      </c>
      <c r="C1189" s="1025" t="s">
        <v>16</v>
      </c>
      <c r="D1189" s="1025" t="s">
        <v>1817</v>
      </c>
      <c r="E1189" s="1025" t="s">
        <v>1853</v>
      </c>
      <c r="F1189" s="1026">
        <v>45476</v>
      </c>
      <c r="G1189" s="1026"/>
      <c r="H1189" s="1027" t="s">
        <v>701</v>
      </c>
    </row>
    <row r="1190" spans="1:8" hidden="1">
      <c r="A1190" s="1018">
        <v>1189</v>
      </c>
      <c r="B1190" s="1019" t="s">
        <v>46</v>
      </c>
      <c r="C1190" s="1020" t="s">
        <v>16</v>
      </c>
      <c r="D1190" s="1020" t="s">
        <v>1817</v>
      </c>
      <c r="E1190" s="1020" t="s">
        <v>1854</v>
      </c>
      <c r="F1190" s="1021">
        <v>45506</v>
      </c>
      <c r="G1190" s="1021"/>
      <c r="H1190" s="1022" t="s">
        <v>701</v>
      </c>
    </row>
    <row r="1191" spans="1:8" hidden="1">
      <c r="A1191" s="1023">
        <v>1190</v>
      </c>
      <c r="B1191" s="1024" t="s">
        <v>46</v>
      </c>
      <c r="C1191" s="1025" t="s">
        <v>16</v>
      </c>
      <c r="D1191" s="1025" t="s">
        <v>1817</v>
      </c>
      <c r="E1191" s="1025" t="s">
        <v>1855</v>
      </c>
      <c r="F1191" s="1026">
        <v>45470</v>
      </c>
      <c r="G1191" s="1026"/>
      <c r="H1191" s="1027" t="s">
        <v>701</v>
      </c>
    </row>
    <row r="1192" spans="1:8" hidden="1">
      <c r="A1192" s="1018">
        <v>1191</v>
      </c>
      <c r="B1192" s="1019" t="s">
        <v>46</v>
      </c>
      <c r="C1192" s="1020" t="s">
        <v>16</v>
      </c>
      <c r="D1192" s="1020" t="s">
        <v>1817</v>
      </c>
      <c r="E1192" s="1020" t="s">
        <v>1856</v>
      </c>
      <c r="F1192" s="1021">
        <v>45486</v>
      </c>
      <c r="G1192" s="1021"/>
      <c r="H1192" s="1022" t="s">
        <v>701</v>
      </c>
    </row>
    <row r="1193" spans="1:8" hidden="1">
      <c r="A1193" s="1023">
        <v>1192</v>
      </c>
      <c r="B1193" s="1024" t="s">
        <v>46</v>
      </c>
      <c r="C1193" s="1025" t="s">
        <v>16</v>
      </c>
      <c r="D1193" s="1025" t="s">
        <v>1817</v>
      </c>
      <c r="E1193" s="1025" t="s">
        <v>1857</v>
      </c>
      <c r="F1193" s="1026">
        <v>45482</v>
      </c>
      <c r="G1193" s="1026"/>
      <c r="H1193" s="1027" t="s">
        <v>701</v>
      </c>
    </row>
    <row r="1194" spans="1:8" hidden="1">
      <c r="A1194" s="1018">
        <v>1193</v>
      </c>
      <c r="B1194" s="1019" t="s">
        <v>46</v>
      </c>
      <c r="C1194" s="1020" t="s">
        <v>16</v>
      </c>
      <c r="D1194" s="1020" t="s">
        <v>1858</v>
      </c>
      <c r="E1194" s="1020" t="s">
        <v>1859</v>
      </c>
      <c r="F1194" s="1021">
        <v>45469</v>
      </c>
      <c r="G1194" s="1021"/>
      <c r="H1194" s="1022" t="s">
        <v>701</v>
      </c>
    </row>
    <row r="1195" spans="1:8" hidden="1">
      <c r="A1195" s="1023">
        <v>1194</v>
      </c>
      <c r="B1195" s="1024" t="s">
        <v>46</v>
      </c>
      <c r="C1195" s="1025" t="s">
        <v>16</v>
      </c>
      <c r="D1195" s="1025" t="s">
        <v>1858</v>
      </c>
      <c r="E1195" s="1025" t="s">
        <v>1860</v>
      </c>
      <c r="F1195" s="1026">
        <v>45469</v>
      </c>
      <c r="G1195" s="1026"/>
      <c r="H1195" s="1027" t="s">
        <v>701</v>
      </c>
    </row>
    <row r="1196" spans="1:8" hidden="1">
      <c r="A1196" s="1018">
        <v>1195</v>
      </c>
      <c r="B1196" s="1019" t="s">
        <v>46</v>
      </c>
      <c r="C1196" s="1020" t="s">
        <v>16</v>
      </c>
      <c r="D1196" s="1020" t="s">
        <v>1858</v>
      </c>
      <c r="E1196" s="1020" t="s">
        <v>1861</v>
      </c>
      <c r="F1196" s="1021">
        <v>45509</v>
      </c>
      <c r="G1196" s="1021"/>
      <c r="H1196" s="1022" t="s">
        <v>701</v>
      </c>
    </row>
    <row r="1197" spans="1:8" hidden="1">
      <c r="A1197" s="1023">
        <v>1196</v>
      </c>
      <c r="B1197" s="1024" t="s">
        <v>46</v>
      </c>
      <c r="C1197" s="1025" t="s">
        <v>16</v>
      </c>
      <c r="D1197" s="1025" t="s">
        <v>1858</v>
      </c>
      <c r="E1197" s="1025" t="s">
        <v>1862</v>
      </c>
      <c r="F1197" s="1026">
        <v>45467</v>
      </c>
      <c r="G1197" s="1026"/>
      <c r="H1197" s="1027" t="s">
        <v>701</v>
      </c>
    </row>
    <row r="1198" spans="1:8" hidden="1">
      <c r="A1198" s="1018">
        <v>1197</v>
      </c>
      <c r="B1198" s="1019" t="s">
        <v>46</v>
      </c>
      <c r="C1198" s="1020" t="s">
        <v>16</v>
      </c>
      <c r="D1198" s="1020" t="s">
        <v>1858</v>
      </c>
      <c r="E1198" s="1020" t="s">
        <v>1863</v>
      </c>
      <c r="F1198" s="1021">
        <v>45510</v>
      </c>
      <c r="G1198" s="1021"/>
      <c r="H1198" s="1022" t="s">
        <v>701</v>
      </c>
    </row>
    <row r="1199" spans="1:8" hidden="1">
      <c r="A1199" s="1023">
        <v>1198</v>
      </c>
      <c r="B1199" s="1024" t="s">
        <v>46</v>
      </c>
      <c r="C1199" s="1025" t="s">
        <v>16</v>
      </c>
      <c r="D1199" s="1025" t="s">
        <v>1858</v>
      </c>
      <c r="E1199" s="1025" t="s">
        <v>1864</v>
      </c>
      <c r="F1199" s="1026">
        <v>45492</v>
      </c>
      <c r="G1199" s="1026"/>
      <c r="H1199" s="1027" t="s">
        <v>701</v>
      </c>
    </row>
    <row r="1200" spans="1:8" hidden="1">
      <c r="A1200" s="1018">
        <v>1199</v>
      </c>
      <c r="B1200" s="1019" t="s">
        <v>46</v>
      </c>
      <c r="C1200" s="1020" t="s">
        <v>16</v>
      </c>
      <c r="D1200" s="1020" t="s">
        <v>1858</v>
      </c>
      <c r="E1200" s="1020" t="s">
        <v>1865</v>
      </c>
      <c r="F1200" s="1021">
        <v>45480</v>
      </c>
      <c r="G1200" s="1021"/>
      <c r="H1200" s="1022" t="s">
        <v>701</v>
      </c>
    </row>
    <row r="1201" spans="1:8" hidden="1">
      <c r="A1201" s="1023">
        <v>1200</v>
      </c>
      <c r="B1201" s="1024" t="s">
        <v>46</v>
      </c>
      <c r="C1201" s="1025" t="s">
        <v>16</v>
      </c>
      <c r="D1201" s="1025" t="s">
        <v>1858</v>
      </c>
      <c r="E1201" s="1025" t="s">
        <v>1866</v>
      </c>
      <c r="F1201" s="1026">
        <v>45509</v>
      </c>
      <c r="G1201" s="1026"/>
      <c r="H1201" s="1027" t="s">
        <v>701</v>
      </c>
    </row>
    <row r="1202" spans="1:8" hidden="1">
      <c r="A1202" s="1018">
        <v>1201</v>
      </c>
      <c r="B1202" s="1019" t="s">
        <v>46</v>
      </c>
      <c r="C1202" s="1020" t="s">
        <v>16</v>
      </c>
      <c r="D1202" s="1020" t="s">
        <v>1858</v>
      </c>
      <c r="E1202" s="1020" t="s">
        <v>1867</v>
      </c>
      <c r="F1202" s="1021">
        <v>45480</v>
      </c>
      <c r="G1202" s="1021"/>
      <c r="H1202" s="1022" t="s">
        <v>701</v>
      </c>
    </row>
    <row r="1203" spans="1:8" hidden="1">
      <c r="A1203" s="1023">
        <v>1202</v>
      </c>
      <c r="B1203" s="1024" t="s">
        <v>46</v>
      </c>
      <c r="C1203" s="1025" t="s">
        <v>16</v>
      </c>
      <c r="D1203" s="1025" t="s">
        <v>1858</v>
      </c>
      <c r="E1203" s="1025" t="s">
        <v>1868</v>
      </c>
      <c r="F1203" s="1026">
        <v>45517</v>
      </c>
      <c r="G1203" s="1026"/>
      <c r="H1203" s="1027" t="s">
        <v>701</v>
      </c>
    </row>
    <row r="1204" spans="1:8" hidden="1">
      <c r="A1204" s="1018">
        <v>1203</v>
      </c>
      <c r="B1204" s="1019" t="s">
        <v>46</v>
      </c>
      <c r="C1204" s="1020" t="s">
        <v>16</v>
      </c>
      <c r="D1204" s="1020" t="s">
        <v>1858</v>
      </c>
      <c r="E1204" s="1020" t="s">
        <v>1869</v>
      </c>
      <c r="F1204" s="1021">
        <v>45529</v>
      </c>
      <c r="G1204" s="1021"/>
      <c r="H1204" s="1022" t="s">
        <v>701</v>
      </c>
    </row>
    <row r="1205" spans="1:8" hidden="1">
      <c r="A1205" s="1023">
        <v>1204</v>
      </c>
      <c r="B1205" s="1024" t="s">
        <v>46</v>
      </c>
      <c r="C1205" s="1025" t="s">
        <v>16</v>
      </c>
      <c r="D1205" s="1025" t="s">
        <v>1858</v>
      </c>
      <c r="E1205" s="1025" t="s">
        <v>1870</v>
      </c>
      <c r="F1205" s="1026">
        <v>45511</v>
      </c>
      <c r="G1205" s="1026"/>
      <c r="H1205" s="1027" t="s">
        <v>701</v>
      </c>
    </row>
    <row r="1206" spans="1:8" hidden="1">
      <c r="A1206" s="1018">
        <v>1205</v>
      </c>
      <c r="B1206" s="1019" t="s">
        <v>46</v>
      </c>
      <c r="C1206" s="1020" t="s">
        <v>16</v>
      </c>
      <c r="D1206" s="1020" t="s">
        <v>1858</v>
      </c>
      <c r="E1206" s="1020" t="s">
        <v>1871</v>
      </c>
      <c r="F1206" s="1021">
        <v>45488</v>
      </c>
      <c r="G1206" s="1021"/>
      <c r="H1206" s="1022" t="s">
        <v>701</v>
      </c>
    </row>
    <row r="1207" spans="1:8" hidden="1">
      <c r="A1207" s="1023">
        <v>1206</v>
      </c>
      <c r="B1207" s="1024" t="s">
        <v>46</v>
      </c>
      <c r="C1207" s="1025" t="s">
        <v>16</v>
      </c>
      <c r="D1207" s="1025" t="s">
        <v>1858</v>
      </c>
      <c r="E1207" s="1025" t="s">
        <v>1872</v>
      </c>
      <c r="F1207" s="1026">
        <v>45542</v>
      </c>
      <c r="G1207" s="1026"/>
      <c r="H1207" s="1027" t="s">
        <v>701</v>
      </c>
    </row>
    <row r="1208" spans="1:8" hidden="1">
      <c r="A1208" s="1018">
        <v>1207</v>
      </c>
      <c r="B1208" s="1019" t="s">
        <v>46</v>
      </c>
      <c r="C1208" s="1020" t="s">
        <v>16</v>
      </c>
      <c r="D1208" s="1020" t="s">
        <v>1858</v>
      </c>
      <c r="E1208" s="1020" t="s">
        <v>1873</v>
      </c>
      <c r="F1208" s="1021">
        <v>45515</v>
      </c>
      <c r="G1208" s="1021"/>
      <c r="H1208" s="1022" t="s">
        <v>701</v>
      </c>
    </row>
    <row r="1209" spans="1:8" hidden="1">
      <c r="A1209" s="1023">
        <v>1208</v>
      </c>
      <c r="B1209" s="1024" t="s">
        <v>46</v>
      </c>
      <c r="C1209" s="1025" t="s">
        <v>16</v>
      </c>
      <c r="D1209" s="1025" t="s">
        <v>1858</v>
      </c>
      <c r="E1209" s="1025" t="s">
        <v>1874</v>
      </c>
      <c r="F1209" s="1026">
        <v>45503</v>
      </c>
      <c r="G1209" s="1026"/>
      <c r="H1209" s="1027" t="s">
        <v>701</v>
      </c>
    </row>
    <row r="1210" spans="1:8" hidden="1">
      <c r="A1210" s="1018">
        <v>1209</v>
      </c>
      <c r="B1210" s="1019" t="s">
        <v>46</v>
      </c>
      <c r="C1210" s="1020" t="s">
        <v>16</v>
      </c>
      <c r="D1210" s="1020" t="s">
        <v>1858</v>
      </c>
      <c r="E1210" s="1020" t="s">
        <v>1875</v>
      </c>
      <c r="F1210" s="1021">
        <v>45501</v>
      </c>
      <c r="G1210" s="1021"/>
      <c r="H1210" s="1022" t="s">
        <v>701</v>
      </c>
    </row>
    <row r="1211" spans="1:8" hidden="1">
      <c r="A1211" s="1023">
        <v>1210</v>
      </c>
      <c r="B1211" s="1024" t="s">
        <v>46</v>
      </c>
      <c r="C1211" s="1025" t="s">
        <v>16</v>
      </c>
      <c r="D1211" s="1025" t="s">
        <v>1858</v>
      </c>
      <c r="E1211" s="1025" t="s">
        <v>1876</v>
      </c>
      <c r="F1211" s="1026">
        <v>45509</v>
      </c>
      <c r="G1211" s="1026"/>
      <c r="H1211" s="1027" t="s">
        <v>701</v>
      </c>
    </row>
    <row r="1212" spans="1:8" ht="26" hidden="1">
      <c r="A1212" s="1018">
        <v>1211</v>
      </c>
      <c r="B1212" s="1019" t="s">
        <v>46</v>
      </c>
      <c r="C1212" s="1020" t="s">
        <v>16</v>
      </c>
      <c r="D1212" s="1020" t="s">
        <v>1858</v>
      </c>
      <c r="E1212" s="1020" t="s">
        <v>1877</v>
      </c>
      <c r="F1212" s="1021">
        <v>45523</v>
      </c>
      <c r="G1212" s="1021"/>
      <c r="H1212" s="1022" t="s">
        <v>701</v>
      </c>
    </row>
    <row r="1213" spans="1:8" hidden="1">
      <c r="A1213" s="1023">
        <v>1212</v>
      </c>
      <c r="B1213" s="1024" t="s">
        <v>46</v>
      </c>
      <c r="C1213" s="1025" t="s">
        <v>16</v>
      </c>
      <c r="D1213" s="1025" t="s">
        <v>1858</v>
      </c>
      <c r="E1213" s="1025" t="s">
        <v>1878</v>
      </c>
      <c r="F1213" s="1026">
        <v>45490</v>
      </c>
      <c r="G1213" s="1026"/>
      <c r="H1213" s="1027" t="s">
        <v>701</v>
      </c>
    </row>
    <row r="1214" spans="1:8" hidden="1">
      <c r="A1214" s="1018">
        <v>1213</v>
      </c>
      <c r="B1214" s="1019" t="s">
        <v>46</v>
      </c>
      <c r="C1214" s="1020" t="s">
        <v>16</v>
      </c>
      <c r="D1214" s="1020" t="s">
        <v>1858</v>
      </c>
      <c r="E1214" s="1020" t="s">
        <v>1879</v>
      </c>
      <c r="F1214" s="1021">
        <v>45541</v>
      </c>
      <c r="G1214" s="1021"/>
      <c r="H1214" s="1022" t="s">
        <v>701</v>
      </c>
    </row>
    <row r="1215" spans="1:8" hidden="1">
      <c r="A1215" s="1023">
        <v>1214</v>
      </c>
      <c r="B1215" s="1024" t="s">
        <v>46</v>
      </c>
      <c r="C1215" s="1025" t="s">
        <v>16</v>
      </c>
      <c r="D1215" s="1025" t="s">
        <v>1858</v>
      </c>
      <c r="E1215" s="1025" t="s">
        <v>1880</v>
      </c>
      <c r="F1215" s="1026">
        <v>45506</v>
      </c>
      <c r="G1215" s="1026"/>
      <c r="H1215" s="1027" t="s">
        <v>701</v>
      </c>
    </row>
    <row r="1216" spans="1:8" hidden="1">
      <c r="A1216" s="1018">
        <v>1215</v>
      </c>
      <c r="B1216" s="1019" t="s">
        <v>46</v>
      </c>
      <c r="C1216" s="1020" t="s">
        <v>16</v>
      </c>
      <c r="D1216" s="1020" t="s">
        <v>1858</v>
      </c>
      <c r="E1216" s="1020" t="s">
        <v>1881</v>
      </c>
      <c r="F1216" s="1021">
        <v>45546</v>
      </c>
      <c r="G1216" s="1021"/>
      <c r="H1216" s="1022" t="s">
        <v>701</v>
      </c>
    </row>
    <row r="1217" spans="1:8" hidden="1">
      <c r="A1217" s="1023">
        <v>1216</v>
      </c>
      <c r="B1217" s="1024" t="s">
        <v>46</v>
      </c>
      <c r="C1217" s="1025" t="s">
        <v>16</v>
      </c>
      <c r="D1217" s="1025" t="s">
        <v>1858</v>
      </c>
      <c r="E1217" s="1025" t="s">
        <v>1882</v>
      </c>
      <c r="F1217" s="1026">
        <v>45544</v>
      </c>
      <c r="G1217" s="1026"/>
      <c r="H1217" s="1027" t="s">
        <v>701</v>
      </c>
    </row>
    <row r="1218" spans="1:8" hidden="1">
      <c r="A1218" s="1018">
        <v>1217</v>
      </c>
      <c r="B1218" s="1019" t="s">
        <v>46</v>
      </c>
      <c r="C1218" s="1020" t="s">
        <v>16</v>
      </c>
      <c r="D1218" s="1020" t="s">
        <v>1858</v>
      </c>
      <c r="E1218" s="1020" t="s">
        <v>1883</v>
      </c>
      <c r="F1218" s="1021">
        <v>45509</v>
      </c>
      <c r="G1218" s="1021"/>
      <c r="H1218" s="1022" t="s">
        <v>701</v>
      </c>
    </row>
    <row r="1219" spans="1:8" hidden="1">
      <c r="A1219" s="1023">
        <v>1218</v>
      </c>
      <c r="B1219" s="1024" t="s">
        <v>46</v>
      </c>
      <c r="C1219" s="1025" t="s">
        <v>16</v>
      </c>
      <c r="D1219" s="1025" t="s">
        <v>1858</v>
      </c>
      <c r="E1219" s="1025" t="s">
        <v>1884</v>
      </c>
      <c r="F1219" s="1026">
        <v>45484</v>
      </c>
      <c r="G1219" s="1026"/>
      <c r="H1219" s="1027" t="s">
        <v>701</v>
      </c>
    </row>
    <row r="1220" spans="1:8" hidden="1">
      <c r="A1220" s="1018">
        <v>1219</v>
      </c>
      <c r="B1220" s="1019" t="s">
        <v>46</v>
      </c>
      <c r="C1220" s="1020" t="s">
        <v>16</v>
      </c>
      <c r="D1220" s="1020" t="s">
        <v>1858</v>
      </c>
      <c r="E1220" s="1020" t="s">
        <v>1885</v>
      </c>
      <c r="F1220" s="1021">
        <v>45473</v>
      </c>
      <c r="G1220" s="1021"/>
      <c r="H1220" s="1022" t="s">
        <v>701</v>
      </c>
    </row>
    <row r="1221" spans="1:8" hidden="1">
      <c r="A1221" s="1023">
        <v>1220</v>
      </c>
      <c r="B1221" s="1024" t="s">
        <v>46</v>
      </c>
      <c r="C1221" s="1025" t="s">
        <v>16</v>
      </c>
      <c r="D1221" s="1025" t="s">
        <v>1858</v>
      </c>
      <c r="E1221" s="1025" t="s">
        <v>1886</v>
      </c>
      <c r="F1221" s="1026">
        <v>45489</v>
      </c>
      <c r="G1221" s="1026"/>
      <c r="H1221" s="1027" t="s">
        <v>701</v>
      </c>
    </row>
    <row r="1222" spans="1:8" hidden="1">
      <c r="A1222" s="1018">
        <v>1221</v>
      </c>
      <c r="B1222" s="1019" t="s">
        <v>46</v>
      </c>
      <c r="C1222" s="1020" t="s">
        <v>16</v>
      </c>
      <c r="D1222" s="1020" t="s">
        <v>1858</v>
      </c>
      <c r="E1222" s="1020" t="s">
        <v>1887</v>
      </c>
      <c r="F1222" s="1021">
        <v>45478</v>
      </c>
      <c r="G1222" s="1021"/>
      <c r="H1222" s="1022" t="s">
        <v>701</v>
      </c>
    </row>
    <row r="1223" spans="1:8" hidden="1">
      <c r="A1223" s="1023">
        <v>1222</v>
      </c>
      <c r="B1223" s="1024" t="s">
        <v>46</v>
      </c>
      <c r="C1223" s="1025" t="s">
        <v>16</v>
      </c>
      <c r="D1223" s="1025" t="s">
        <v>1888</v>
      </c>
      <c r="E1223" s="1025" t="s">
        <v>1859</v>
      </c>
      <c r="F1223" s="1026">
        <v>45471</v>
      </c>
      <c r="G1223" s="1026"/>
      <c r="H1223" s="1027" t="s">
        <v>701</v>
      </c>
    </row>
    <row r="1224" spans="1:8" hidden="1">
      <c r="A1224" s="1018">
        <v>1223</v>
      </c>
      <c r="B1224" s="1019" t="s">
        <v>46</v>
      </c>
      <c r="C1224" s="1020" t="s">
        <v>16</v>
      </c>
      <c r="D1224" s="1020" t="s">
        <v>1888</v>
      </c>
      <c r="E1224" s="1020" t="s">
        <v>1860</v>
      </c>
      <c r="F1224" s="1021">
        <v>45471</v>
      </c>
      <c r="G1224" s="1021"/>
      <c r="H1224" s="1022" t="s">
        <v>701</v>
      </c>
    </row>
    <row r="1225" spans="1:8" hidden="1">
      <c r="A1225" s="1023">
        <v>1224</v>
      </c>
      <c r="B1225" s="1024" t="s">
        <v>46</v>
      </c>
      <c r="C1225" s="1025" t="s">
        <v>16</v>
      </c>
      <c r="D1225" s="1025" t="s">
        <v>1888</v>
      </c>
      <c r="E1225" s="1025" t="s">
        <v>1861</v>
      </c>
      <c r="F1225" s="1026">
        <v>45512</v>
      </c>
      <c r="G1225" s="1026"/>
      <c r="H1225" s="1027" t="s">
        <v>701</v>
      </c>
    </row>
    <row r="1226" spans="1:8" hidden="1">
      <c r="A1226" s="1018">
        <v>1225</v>
      </c>
      <c r="B1226" s="1019" t="s">
        <v>46</v>
      </c>
      <c r="C1226" s="1020" t="s">
        <v>16</v>
      </c>
      <c r="D1226" s="1020" t="s">
        <v>1888</v>
      </c>
      <c r="E1226" s="1020" t="s">
        <v>1862</v>
      </c>
      <c r="F1226" s="1021">
        <v>45469</v>
      </c>
      <c r="G1226" s="1021"/>
      <c r="H1226" s="1022" t="s">
        <v>701</v>
      </c>
    </row>
    <row r="1227" spans="1:8" hidden="1">
      <c r="A1227" s="1023">
        <v>1226</v>
      </c>
      <c r="B1227" s="1024" t="s">
        <v>46</v>
      </c>
      <c r="C1227" s="1025" t="s">
        <v>16</v>
      </c>
      <c r="D1227" s="1025" t="s">
        <v>1888</v>
      </c>
      <c r="E1227" s="1025" t="s">
        <v>1864</v>
      </c>
      <c r="F1227" s="1026">
        <v>45494</v>
      </c>
      <c r="G1227" s="1026"/>
      <c r="H1227" s="1027" t="s">
        <v>701</v>
      </c>
    </row>
    <row r="1228" spans="1:8" hidden="1">
      <c r="A1228" s="1018">
        <v>1227</v>
      </c>
      <c r="B1228" s="1019" t="s">
        <v>46</v>
      </c>
      <c r="C1228" s="1020" t="s">
        <v>16</v>
      </c>
      <c r="D1228" s="1020" t="s">
        <v>1888</v>
      </c>
      <c r="E1228" s="1020" t="s">
        <v>1865</v>
      </c>
      <c r="F1228" s="1021">
        <v>45481</v>
      </c>
      <c r="G1228" s="1021"/>
      <c r="H1228" s="1022" t="s">
        <v>701</v>
      </c>
    </row>
    <row r="1229" spans="1:8" hidden="1">
      <c r="A1229" s="1023">
        <v>1228</v>
      </c>
      <c r="B1229" s="1024" t="s">
        <v>46</v>
      </c>
      <c r="C1229" s="1025" t="s">
        <v>16</v>
      </c>
      <c r="D1229" s="1025" t="s">
        <v>1888</v>
      </c>
      <c r="E1229" s="1025" t="s">
        <v>1866</v>
      </c>
      <c r="F1229" s="1026">
        <v>45511</v>
      </c>
      <c r="G1229" s="1026"/>
      <c r="H1229" s="1027" t="s">
        <v>701</v>
      </c>
    </row>
    <row r="1230" spans="1:8" hidden="1">
      <c r="A1230" s="1018">
        <v>1229</v>
      </c>
      <c r="B1230" s="1019" t="s">
        <v>46</v>
      </c>
      <c r="C1230" s="1020" t="s">
        <v>16</v>
      </c>
      <c r="D1230" s="1020" t="s">
        <v>1888</v>
      </c>
      <c r="E1230" s="1020" t="s">
        <v>1889</v>
      </c>
      <c r="F1230" s="1021">
        <v>45506</v>
      </c>
      <c r="G1230" s="1021"/>
      <c r="H1230" s="1022" t="s">
        <v>701</v>
      </c>
    </row>
    <row r="1231" spans="1:8" hidden="1">
      <c r="A1231" s="1023">
        <v>1230</v>
      </c>
      <c r="B1231" s="1024" t="s">
        <v>46</v>
      </c>
      <c r="C1231" s="1025" t="s">
        <v>16</v>
      </c>
      <c r="D1231" s="1025" t="s">
        <v>1888</v>
      </c>
      <c r="E1231" s="1025" t="s">
        <v>1867</v>
      </c>
      <c r="F1231" s="1026">
        <v>45482</v>
      </c>
      <c r="G1231" s="1026"/>
      <c r="H1231" s="1027" t="s">
        <v>701</v>
      </c>
    </row>
    <row r="1232" spans="1:8" hidden="1">
      <c r="A1232" s="1018">
        <v>1231</v>
      </c>
      <c r="B1232" s="1019" t="s">
        <v>46</v>
      </c>
      <c r="C1232" s="1020" t="s">
        <v>16</v>
      </c>
      <c r="D1232" s="1020" t="s">
        <v>1888</v>
      </c>
      <c r="E1232" s="1020" t="s">
        <v>1868</v>
      </c>
      <c r="F1232" s="1021">
        <v>45519</v>
      </c>
      <c r="G1232" s="1021"/>
      <c r="H1232" s="1022" t="s">
        <v>701</v>
      </c>
    </row>
    <row r="1233" spans="1:8" hidden="1">
      <c r="A1233" s="1023">
        <v>1232</v>
      </c>
      <c r="B1233" s="1024" t="s">
        <v>46</v>
      </c>
      <c r="C1233" s="1025" t="s">
        <v>16</v>
      </c>
      <c r="D1233" s="1025" t="s">
        <v>1888</v>
      </c>
      <c r="E1233" s="1025" t="s">
        <v>1870</v>
      </c>
      <c r="F1233" s="1026">
        <v>45513</v>
      </c>
      <c r="G1233" s="1026"/>
      <c r="H1233" s="1027" t="s">
        <v>701</v>
      </c>
    </row>
    <row r="1234" spans="1:8" hidden="1">
      <c r="A1234" s="1018">
        <v>1233</v>
      </c>
      <c r="B1234" s="1019" t="s">
        <v>46</v>
      </c>
      <c r="C1234" s="1020" t="s">
        <v>16</v>
      </c>
      <c r="D1234" s="1020" t="s">
        <v>1888</v>
      </c>
      <c r="E1234" s="1020" t="s">
        <v>1871</v>
      </c>
      <c r="F1234" s="1021">
        <v>45490</v>
      </c>
      <c r="G1234" s="1021"/>
      <c r="H1234" s="1022" t="s">
        <v>701</v>
      </c>
    </row>
    <row r="1235" spans="1:8" hidden="1">
      <c r="A1235" s="1023">
        <v>1234</v>
      </c>
      <c r="B1235" s="1024" t="s">
        <v>46</v>
      </c>
      <c r="C1235" s="1025" t="s">
        <v>16</v>
      </c>
      <c r="D1235" s="1025" t="s">
        <v>1888</v>
      </c>
      <c r="E1235" s="1025" t="s">
        <v>1872</v>
      </c>
      <c r="F1235" s="1026">
        <v>45544</v>
      </c>
      <c r="G1235" s="1026"/>
      <c r="H1235" s="1027" t="s">
        <v>701</v>
      </c>
    </row>
    <row r="1236" spans="1:8" hidden="1">
      <c r="A1236" s="1018">
        <v>1235</v>
      </c>
      <c r="B1236" s="1019" t="s">
        <v>46</v>
      </c>
      <c r="C1236" s="1020" t="s">
        <v>16</v>
      </c>
      <c r="D1236" s="1020" t="s">
        <v>1888</v>
      </c>
      <c r="E1236" s="1020" t="s">
        <v>1873</v>
      </c>
      <c r="F1236" s="1021">
        <v>45517</v>
      </c>
      <c r="G1236" s="1021"/>
      <c r="H1236" s="1022" t="s">
        <v>701</v>
      </c>
    </row>
    <row r="1237" spans="1:8" hidden="1">
      <c r="A1237" s="1023">
        <v>1236</v>
      </c>
      <c r="B1237" s="1024" t="s">
        <v>46</v>
      </c>
      <c r="C1237" s="1025" t="s">
        <v>16</v>
      </c>
      <c r="D1237" s="1025" t="s">
        <v>1888</v>
      </c>
      <c r="E1237" s="1025" t="s">
        <v>1874</v>
      </c>
      <c r="F1237" s="1026">
        <v>45507</v>
      </c>
      <c r="G1237" s="1026"/>
      <c r="H1237" s="1027" t="s">
        <v>701</v>
      </c>
    </row>
    <row r="1238" spans="1:8" hidden="1">
      <c r="A1238" s="1018">
        <v>1237</v>
      </c>
      <c r="B1238" s="1019" t="s">
        <v>46</v>
      </c>
      <c r="C1238" s="1020" t="s">
        <v>16</v>
      </c>
      <c r="D1238" s="1020" t="s">
        <v>1888</v>
      </c>
      <c r="E1238" s="1020" t="s">
        <v>1875</v>
      </c>
      <c r="F1238" s="1021">
        <v>45503</v>
      </c>
      <c r="G1238" s="1021"/>
      <c r="H1238" s="1022" t="s">
        <v>701</v>
      </c>
    </row>
    <row r="1239" spans="1:8" hidden="1">
      <c r="A1239" s="1023">
        <v>1238</v>
      </c>
      <c r="B1239" s="1024" t="s">
        <v>46</v>
      </c>
      <c r="C1239" s="1025" t="s">
        <v>16</v>
      </c>
      <c r="D1239" s="1025" t="s">
        <v>1888</v>
      </c>
      <c r="E1239" s="1025" t="s">
        <v>1876</v>
      </c>
      <c r="F1239" s="1026">
        <v>45510</v>
      </c>
      <c r="G1239" s="1026"/>
      <c r="H1239" s="1027" t="s">
        <v>701</v>
      </c>
    </row>
    <row r="1240" spans="1:8" ht="26" hidden="1">
      <c r="A1240" s="1018">
        <v>1239</v>
      </c>
      <c r="B1240" s="1019" t="s">
        <v>46</v>
      </c>
      <c r="C1240" s="1020" t="s">
        <v>16</v>
      </c>
      <c r="D1240" s="1020" t="s">
        <v>1888</v>
      </c>
      <c r="E1240" s="1020" t="s">
        <v>1877</v>
      </c>
      <c r="F1240" s="1021">
        <v>45526</v>
      </c>
      <c r="G1240" s="1021"/>
      <c r="H1240" s="1022" t="s">
        <v>701</v>
      </c>
    </row>
    <row r="1241" spans="1:8" hidden="1">
      <c r="A1241" s="1023">
        <v>1240</v>
      </c>
      <c r="B1241" s="1024" t="s">
        <v>46</v>
      </c>
      <c r="C1241" s="1025" t="s">
        <v>16</v>
      </c>
      <c r="D1241" s="1025" t="s">
        <v>1888</v>
      </c>
      <c r="E1241" s="1025" t="s">
        <v>1890</v>
      </c>
      <c r="F1241" s="1026">
        <v>45508</v>
      </c>
      <c r="G1241" s="1026"/>
      <c r="H1241" s="1027" t="s">
        <v>701</v>
      </c>
    </row>
    <row r="1242" spans="1:8" hidden="1">
      <c r="A1242" s="1018">
        <v>1241</v>
      </c>
      <c r="B1242" s="1019" t="s">
        <v>46</v>
      </c>
      <c r="C1242" s="1020" t="s">
        <v>16</v>
      </c>
      <c r="D1242" s="1020" t="s">
        <v>1888</v>
      </c>
      <c r="E1242" s="1020" t="s">
        <v>1891</v>
      </c>
      <c r="F1242" s="1021">
        <v>45503</v>
      </c>
      <c r="G1242" s="1021"/>
      <c r="H1242" s="1022" t="s">
        <v>701</v>
      </c>
    </row>
    <row r="1243" spans="1:8" hidden="1">
      <c r="A1243" s="1023">
        <v>1242</v>
      </c>
      <c r="B1243" s="1024" t="s">
        <v>46</v>
      </c>
      <c r="C1243" s="1025" t="s">
        <v>16</v>
      </c>
      <c r="D1243" s="1025" t="s">
        <v>1888</v>
      </c>
      <c r="E1243" s="1025" t="s">
        <v>1892</v>
      </c>
      <c r="F1243" s="1026">
        <v>45505</v>
      </c>
      <c r="G1243" s="1026"/>
      <c r="H1243" s="1027" t="s">
        <v>701</v>
      </c>
    </row>
    <row r="1244" spans="1:8" hidden="1">
      <c r="A1244" s="1018">
        <v>1243</v>
      </c>
      <c r="B1244" s="1019" t="s">
        <v>46</v>
      </c>
      <c r="C1244" s="1020" t="s">
        <v>16</v>
      </c>
      <c r="D1244" s="1020" t="s">
        <v>1888</v>
      </c>
      <c r="E1244" s="1020" t="s">
        <v>1893</v>
      </c>
      <c r="F1244" s="1021">
        <v>45505</v>
      </c>
      <c r="G1244" s="1021"/>
      <c r="H1244" s="1022" t="s">
        <v>701</v>
      </c>
    </row>
    <row r="1245" spans="1:8" hidden="1">
      <c r="A1245" s="1023">
        <v>1244</v>
      </c>
      <c r="B1245" s="1024" t="s">
        <v>46</v>
      </c>
      <c r="C1245" s="1025" t="s">
        <v>16</v>
      </c>
      <c r="D1245" s="1025" t="s">
        <v>1888</v>
      </c>
      <c r="E1245" s="1025" t="s">
        <v>1878</v>
      </c>
      <c r="F1245" s="1026">
        <v>45491</v>
      </c>
      <c r="G1245" s="1026"/>
      <c r="H1245" s="1027" t="s">
        <v>701</v>
      </c>
    </row>
    <row r="1246" spans="1:8" hidden="1">
      <c r="A1246" s="1018">
        <v>1245</v>
      </c>
      <c r="B1246" s="1019" t="s">
        <v>46</v>
      </c>
      <c r="C1246" s="1020" t="s">
        <v>16</v>
      </c>
      <c r="D1246" s="1020" t="s">
        <v>1888</v>
      </c>
      <c r="E1246" s="1020" t="s">
        <v>1879</v>
      </c>
      <c r="F1246" s="1021">
        <v>45543</v>
      </c>
      <c r="G1246" s="1021"/>
      <c r="H1246" s="1022" t="s">
        <v>701</v>
      </c>
    </row>
    <row r="1247" spans="1:8" hidden="1">
      <c r="A1247" s="1023">
        <v>1246</v>
      </c>
      <c r="B1247" s="1024" t="s">
        <v>46</v>
      </c>
      <c r="C1247" s="1025" t="s">
        <v>16</v>
      </c>
      <c r="D1247" s="1025" t="s">
        <v>1888</v>
      </c>
      <c r="E1247" s="1025" t="s">
        <v>1880</v>
      </c>
      <c r="F1247" s="1026">
        <v>45508</v>
      </c>
      <c r="G1247" s="1026"/>
      <c r="H1247" s="1027" t="s">
        <v>701</v>
      </c>
    </row>
    <row r="1248" spans="1:8" hidden="1">
      <c r="A1248" s="1018">
        <v>1247</v>
      </c>
      <c r="B1248" s="1019" t="s">
        <v>46</v>
      </c>
      <c r="C1248" s="1020" t="s">
        <v>16</v>
      </c>
      <c r="D1248" s="1020" t="s">
        <v>1888</v>
      </c>
      <c r="E1248" s="1020" t="s">
        <v>1881</v>
      </c>
      <c r="F1248" s="1021">
        <v>45547</v>
      </c>
      <c r="G1248" s="1021"/>
      <c r="H1248" s="1022" t="s">
        <v>701</v>
      </c>
    </row>
    <row r="1249" spans="1:8" hidden="1">
      <c r="A1249" s="1023">
        <v>1248</v>
      </c>
      <c r="B1249" s="1024" t="s">
        <v>46</v>
      </c>
      <c r="C1249" s="1025" t="s">
        <v>16</v>
      </c>
      <c r="D1249" s="1025" t="s">
        <v>1888</v>
      </c>
      <c r="E1249" s="1025" t="s">
        <v>1882</v>
      </c>
      <c r="F1249" s="1026">
        <v>45546</v>
      </c>
      <c r="G1249" s="1026"/>
      <c r="H1249" s="1027" t="s">
        <v>701</v>
      </c>
    </row>
    <row r="1250" spans="1:8" hidden="1">
      <c r="A1250" s="1018">
        <v>1249</v>
      </c>
      <c r="B1250" s="1019" t="s">
        <v>46</v>
      </c>
      <c r="C1250" s="1020" t="s">
        <v>16</v>
      </c>
      <c r="D1250" s="1020" t="s">
        <v>1888</v>
      </c>
      <c r="E1250" s="1020" t="s">
        <v>1894</v>
      </c>
      <c r="F1250" s="1021">
        <v>45419</v>
      </c>
      <c r="G1250" s="1021">
        <v>45420</v>
      </c>
      <c r="H1250" s="1022" t="s">
        <v>663</v>
      </c>
    </row>
    <row r="1251" spans="1:8" hidden="1">
      <c r="A1251" s="1023">
        <v>1250</v>
      </c>
      <c r="B1251" s="1024" t="s">
        <v>46</v>
      </c>
      <c r="C1251" s="1025" t="s">
        <v>16</v>
      </c>
      <c r="D1251" s="1025" t="s">
        <v>1888</v>
      </c>
      <c r="E1251" s="1025" t="s">
        <v>1895</v>
      </c>
      <c r="F1251" s="1026">
        <v>45419</v>
      </c>
      <c r="G1251" s="1026">
        <v>45420</v>
      </c>
      <c r="H1251" s="1027" t="s">
        <v>663</v>
      </c>
    </row>
    <row r="1252" spans="1:8" hidden="1">
      <c r="A1252" s="1018">
        <v>1251</v>
      </c>
      <c r="B1252" s="1019" t="s">
        <v>46</v>
      </c>
      <c r="C1252" s="1020" t="s">
        <v>16</v>
      </c>
      <c r="D1252" s="1020" t="s">
        <v>1888</v>
      </c>
      <c r="E1252" s="1020" t="s">
        <v>1883</v>
      </c>
      <c r="F1252" s="1021">
        <v>45511</v>
      </c>
      <c r="G1252" s="1021"/>
      <c r="H1252" s="1022" t="s">
        <v>701</v>
      </c>
    </row>
    <row r="1253" spans="1:8" hidden="1">
      <c r="A1253" s="1023">
        <v>1252</v>
      </c>
      <c r="B1253" s="1024" t="s">
        <v>46</v>
      </c>
      <c r="C1253" s="1025" t="s">
        <v>16</v>
      </c>
      <c r="D1253" s="1025" t="s">
        <v>1888</v>
      </c>
      <c r="E1253" s="1025" t="s">
        <v>1896</v>
      </c>
      <c r="F1253" s="1026">
        <v>45482</v>
      </c>
      <c r="G1253" s="1026"/>
      <c r="H1253" s="1027" t="s">
        <v>701</v>
      </c>
    </row>
    <row r="1254" spans="1:8" hidden="1">
      <c r="A1254" s="1018">
        <v>1253</v>
      </c>
      <c r="B1254" s="1019" t="s">
        <v>46</v>
      </c>
      <c r="C1254" s="1020" t="s">
        <v>16</v>
      </c>
      <c r="D1254" s="1020" t="s">
        <v>1888</v>
      </c>
      <c r="E1254" s="1020" t="s">
        <v>1897</v>
      </c>
      <c r="F1254" s="1021">
        <v>45484</v>
      </c>
      <c r="G1254" s="1021"/>
      <c r="H1254" s="1022" t="s">
        <v>701</v>
      </c>
    </row>
    <row r="1255" spans="1:8" hidden="1">
      <c r="A1255" s="1023">
        <v>1254</v>
      </c>
      <c r="B1255" s="1024" t="s">
        <v>46</v>
      </c>
      <c r="C1255" s="1025" t="s">
        <v>16</v>
      </c>
      <c r="D1255" s="1025" t="s">
        <v>1888</v>
      </c>
      <c r="E1255" s="1025" t="s">
        <v>1898</v>
      </c>
      <c r="F1255" s="1026">
        <v>45485</v>
      </c>
      <c r="G1255" s="1026"/>
      <c r="H1255" s="1027" t="s">
        <v>701</v>
      </c>
    </row>
    <row r="1256" spans="1:8" hidden="1">
      <c r="A1256" s="1018">
        <v>1255</v>
      </c>
      <c r="B1256" s="1019" t="s">
        <v>46</v>
      </c>
      <c r="C1256" s="1020" t="s">
        <v>16</v>
      </c>
      <c r="D1256" s="1020" t="s">
        <v>1888</v>
      </c>
      <c r="E1256" s="1020" t="s">
        <v>1899</v>
      </c>
      <c r="F1256" s="1021">
        <v>45475</v>
      </c>
      <c r="G1256" s="1021"/>
      <c r="H1256" s="1022" t="s">
        <v>701</v>
      </c>
    </row>
    <row r="1257" spans="1:8" hidden="1">
      <c r="A1257" s="1023">
        <v>1256</v>
      </c>
      <c r="B1257" s="1024" t="s">
        <v>46</v>
      </c>
      <c r="C1257" s="1025" t="s">
        <v>16</v>
      </c>
      <c r="D1257" s="1025" t="s">
        <v>1888</v>
      </c>
      <c r="E1257" s="1025" t="s">
        <v>1900</v>
      </c>
      <c r="F1257" s="1026">
        <v>45491</v>
      </c>
      <c r="G1257" s="1026"/>
      <c r="H1257" s="1027" t="s">
        <v>701</v>
      </c>
    </row>
    <row r="1258" spans="1:8" hidden="1">
      <c r="A1258" s="1018">
        <v>1257</v>
      </c>
      <c r="B1258" s="1019" t="s">
        <v>46</v>
      </c>
      <c r="C1258" s="1020" t="s">
        <v>16</v>
      </c>
      <c r="D1258" s="1020" t="s">
        <v>1888</v>
      </c>
      <c r="E1258" s="1020" t="s">
        <v>1901</v>
      </c>
      <c r="F1258" s="1021">
        <v>45480</v>
      </c>
      <c r="G1258" s="1021"/>
      <c r="H1258" s="1022" t="s">
        <v>701</v>
      </c>
    </row>
    <row r="1259" spans="1:8" hidden="1">
      <c r="A1259" s="1023">
        <v>1258</v>
      </c>
      <c r="B1259" s="1024" t="s">
        <v>46</v>
      </c>
      <c r="C1259" s="1025" t="s">
        <v>16</v>
      </c>
      <c r="D1259" s="1025" t="s">
        <v>1888</v>
      </c>
      <c r="E1259" s="1025" t="s">
        <v>1902</v>
      </c>
      <c r="F1259" s="1026">
        <v>45486</v>
      </c>
      <c r="G1259" s="1026"/>
      <c r="H1259" s="1027" t="s">
        <v>701</v>
      </c>
    </row>
    <row r="1260" spans="1:8" hidden="1">
      <c r="A1260" s="1018">
        <v>1259</v>
      </c>
      <c r="B1260" s="1019" t="s">
        <v>46</v>
      </c>
      <c r="C1260" s="1020" t="s">
        <v>16</v>
      </c>
      <c r="D1260" s="1020" t="s">
        <v>1888</v>
      </c>
      <c r="E1260" s="1020" t="s">
        <v>1903</v>
      </c>
      <c r="F1260" s="1021">
        <v>45487</v>
      </c>
      <c r="G1260" s="1021"/>
      <c r="H1260" s="1022" t="s">
        <v>701</v>
      </c>
    </row>
    <row r="1261" spans="1:8" hidden="1">
      <c r="A1261" s="1023">
        <v>1260</v>
      </c>
      <c r="B1261" s="1024" t="s">
        <v>46</v>
      </c>
      <c r="C1261" s="1025" t="s">
        <v>16</v>
      </c>
      <c r="D1261" s="1025" t="s">
        <v>1888</v>
      </c>
      <c r="E1261" s="1025" t="s">
        <v>1904</v>
      </c>
      <c r="F1261" s="1026">
        <v>45476</v>
      </c>
      <c r="G1261" s="1026"/>
      <c r="H1261" s="1027" t="s">
        <v>701</v>
      </c>
    </row>
    <row r="1262" spans="1:8" hidden="1">
      <c r="A1262" s="1018">
        <v>1261</v>
      </c>
      <c r="B1262" s="1019" t="s">
        <v>46</v>
      </c>
      <c r="C1262" s="1020" t="s">
        <v>16</v>
      </c>
      <c r="D1262" s="1020" t="s">
        <v>1888</v>
      </c>
      <c r="E1262" s="1020" t="s">
        <v>1905</v>
      </c>
      <c r="F1262" s="1021">
        <v>45494</v>
      </c>
      <c r="G1262" s="1021"/>
      <c r="H1262" s="1022" t="s">
        <v>701</v>
      </c>
    </row>
    <row r="1263" spans="1:8" hidden="1">
      <c r="A1263" s="1023">
        <v>1262</v>
      </c>
      <c r="B1263" s="1024" t="s">
        <v>46</v>
      </c>
      <c r="C1263" s="1025" t="s">
        <v>16</v>
      </c>
      <c r="D1263" s="1025" t="s">
        <v>1888</v>
      </c>
      <c r="E1263" s="1025" t="s">
        <v>1906</v>
      </c>
      <c r="F1263" s="1026">
        <v>45482</v>
      </c>
      <c r="G1263" s="1026"/>
      <c r="H1263" s="1027" t="s">
        <v>701</v>
      </c>
    </row>
    <row r="1264" spans="1:8" hidden="1">
      <c r="A1264" s="1018">
        <v>1263</v>
      </c>
      <c r="B1264" s="1019" t="s">
        <v>46</v>
      </c>
      <c r="C1264" s="1020" t="s">
        <v>16</v>
      </c>
      <c r="D1264" s="1020" t="s">
        <v>1888</v>
      </c>
      <c r="E1264" s="1020" t="s">
        <v>1907</v>
      </c>
      <c r="F1264" s="1021">
        <v>45488</v>
      </c>
      <c r="G1264" s="1021"/>
      <c r="H1264" s="1022" t="s">
        <v>701</v>
      </c>
    </row>
    <row r="1265" spans="1:8" hidden="1">
      <c r="A1265" s="1023">
        <v>1264</v>
      </c>
      <c r="B1265" s="1024" t="s">
        <v>46</v>
      </c>
      <c r="C1265" s="1025" t="s">
        <v>16</v>
      </c>
      <c r="D1265" s="1025" t="s">
        <v>1888</v>
      </c>
      <c r="E1265" s="1025" t="s">
        <v>1908</v>
      </c>
      <c r="F1265" s="1026">
        <v>45488</v>
      </c>
      <c r="G1265" s="1026"/>
      <c r="H1265" s="1027" t="s">
        <v>701</v>
      </c>
    </row>
    <row r="1266" spans="1:8" hidden="1">
      <c r="A1266" s="1018">
        <v>1265</v>
      </c>
      <c r="B1266" s="1019" t="s">
        <v>46</v>
      </c>
      <c r="C1266" s="1020" t="s">
        <v>16</v>
      </c>
      <c r="D1266" s="1020" t="s">
        <v>1888</v>
      </c>
      <c r="E1266" s="1020" t="s">
        <v>1909</v>
      </c>
      <c r="F1266" s="1021">
        <v>45480</v>
      </c>
      <c r="G1266" s="1021"/>
      <c r="H1266" s="1022" t="s">
        <v>701</v>
      </c>
    </row>
    <row r="1267" spans="1:8" hidden="1">
      <c r="A1267" s="1023">
        <v>1266</v>
      </c>
      <c r="B1267" s="1024" t="s">
        <v>46</v>
      </c>
      <c r="C1267" s="1025" t="s">
        <v>16</v>
      </c>
      <c r="D1267" s="1025" t="s">
        <v>1888</v>
      </c>
      <c r="E1267" s="1025" t="s">
        <v>1910</v>
      </c>
      <c r="F1267" s="1026">
        <v>45496</v>
      </c>
      <c r="G1267" s="1026"/>
      <c r="H1267" s="1027" t="s">
        <v>701</v>
      </c>
    </row>
    <row r="1268" spans="1:8" hidden="1">
      <c r="A1268" s="1018">
        <v>1267</v>
      </c>
      <c r="B1268" s="1019" t="s">
        <v>46</v>
      </c>
      <c r="C1268" s="1020" t="s">
        <v>16</v>
      </c>
      <c r="D1268" s="1020" t="s">
        <v>1888</v>
      </c>
      <c r="E1268" s="1020" t="s">
        <v>1911</v>
      </c>
      <c r="F1268" s="1021">
        <v>45484</v>
      </c>
      <c r="G1268" s="1021"/>
      <c r="H1268" s="1022" t="s">
        <v>701</v>
      </c>
    </row>
    <row r="1269" spans="1:8" hidden="1">
      <c r="A1269" s="1023">
        <v>1268</v>
      </c>
      <c r="B1269" s="1024" t="s">
        <v>46</v>
      </c>
      <c r="C1269" s="1025" t="s">
        <v>16</v>
      </c>
      <c r="D1269" s="1025" t="s">
        <v>1888</v>
      </c>
      <c r="E1269" s="1025" t="s">
        <v>1912</v>
      </c>
      <c r="F1269" s="1026">
        <v>45490</v>
      </c>
      <c r="G1269" s="1026"/>
      <c r="H1269" s="1027" t="s">
        <v>701</v>
      </c>
    </row>
    <row r="1270" spans="1:8" hidden="1">
      <c r="A1270" s="1018">
        <v>1269</v>
      </c>
      <c r="B1270" s="1019" t="s">
        <v>46</v>
      </c>
      <c r="C1270" s="1020" t="s">
        <v>16</v>
      </c>
      <c r="D1270" s="1020" t="s">
        <v>1888</v>
      </c>
      <c r="E1270" s="1020" t="s">
        <v>1913</v>
      </c>
      <c r="F1270" s="1021">
        <v>45489</v>
      </c>
      <c r="G1270" s="1021"/>
      <c r="H1270" s="1022" t="s">
        <v>701</v>
      </c>
    </row>
    <row r="1271" spans="1:8" hidden="1">
      <c r="A1271" s="1023">
        <v>1270</v>
      </c>
      <c r="B1271" s="1024" t="s">
        <v>46</v>
      </c>
      <c r="C1271" s="1025" t="s">
        <v>16</v>
      </c>
      <c r="D1271" s="1025" t="s">
        <v>1888</v>
      </c>
      <c r="E1271" s="1025" t="s">
        <v>1914</v>
      </c>
      <c r="F1271" s="1026">
        <v>45484</v>
      </c>
      <c r="G1271" s="1026"/>
      <c r="H1271" s="1027" t="s">
        <v>701</v>
      </c>
    </row>
    <row r="1272" spans="1:8" hidden="1">
      <c r="A1272" s="1018">
        <v>1271</v>
      </c>
      <c r="B1272" s="1019" t="s">
        <v>46</v>
      </c>
      <c r="C1272" s="1020" t="s">
        <v>16</v>
      </c>
      <c r="D1272" s="1020" t="s">
        <v>1888</v>
      </c>
      <c r="E1272" s="1020" t="s">
        <v>1915</v>
      </c>
      <c r="F1272" s="1021">
        <v>45497</v>
      </c>
      <c r="G1272" s="1021"/>
      <c r="H1272" s="1022" t="s">
        <v>701</v>
      </c>
    </row>
    <row r="1273" spans="1:8" hidden="1">
      <c r="A1273" s="1023">
        <v>1272</v>
      </c>
      <c r="B1273" s="1024" t="s">
        <v>46</v>
      </c>
      <c r="C1273" s="1025" t="s">
        <v>16</v>
      </c>
      <c r="D1273" s="1025" t="s">
        <v>1888</v>
      </c>
      <c r="E1273" s="1025" t="s">
        <v>1916</v>
      </c>
      <c r="F1273" s="1026">
        <v>45486</v>
      </c>
      <c r="G1273" s="1026"/>
      <c r="H1273" s="1027" t="s">
        <v>701</v>
      </c>
    </row>
    <row r="1274" spans="1:8" hidden="1">
      <c r="A1274" s="1018">
        <v>1273</v>
      </c>
      <c r="B1274" s="1019" t="s">
        <v>46</v>
      </c>
      <c r="C1274" s="1020" t="s">
        <v>16</v>
      </c>
      <c r="D1274" s="1020" t="s">
        <v>1888</v>
      </c>
      <c r="E1274" s="1020" t="s">
        <v>1917</v>
      </c>
      <c r="F1274" s="1021">
        <v>45491</v>
      </c>
      <c r="G1274" s="1021"/>
      <c r="H1274" s="1022" t="s">
        <v>701</v>
      </c>
    </row>
    <row r="1275" spans="1:8" hidden="1">
      <c r="A1275" s="1023">
        <v>1274</v>
      </c>
      <c r="B1275" s="1024" t="s">
        <v>46</v>
      </c>
      <c r="C1275" s="1025" t="s">
        <v>16</v>
      </c>
      <c r="D1275" s="1025" t="s">
        <v>1888</v>
      </c>
      <c r="E1275" s="1025" t="s">
        <v>1918</v>
      </c>
      <c r="F1275" s="1026">
        <v>45490</v>
      </c>
      <c r="G1275" s="1026"/>
      <c r="H1275" s="1027" t="s">
        <v>701</v>
      </c>
    </row>
    <row r="1276" spans="1:8" hidden="1">
      <c r="A1276" s="1018">
        <v>1275</v>
      </c>
      <c r="B1276" s="1019" t="s">
        <v>46</v>
      </c>
      <c r="C1276" s="1020" t="s">
        <v>16</v>
      </c>
      <c r="D1276" s="1020" t="s">
        <v>1888</v>
      </c>
      <c r="E1276" s="1020" t="s">
        <v>1919</v>
      </c>
      <c r="F1276" s="1021">
        <v>45500</v>
      </c>
      <c r="G1276" s="1021"/>
      <c r="H1276" s="1022" t="s">
        <v>701</v>
      </c>
    </row>
    <row r="1277" spans="1:8" hidden="1">
      <c r="A1277" s="1023">
        <v>1276</v>
      </c>
      <c r="B1277" s="1024" t="s">
        <v>46</v>
      </c>
      <c r="C1277" s="1025" t="s">
        <v>16</v>
      </c>
      <c r="D1277" s="1025" t="s">
        <v>1888</v>
      </c>
      <c r="E1277" s="1025" t="s">
        <v>1920</v>
      </c>
      <c r="F1277" s="1026">
        <v>45486</v>
      </c>
      <c r="G1277" s="1026"/>
      <c r="H1277" s="1027" t="s">
        <v>701</v>
      </c>
    </row>
    <row r="1278" spans="1:8" hidden="1">
      <c r="A1278" s="1018">
        <v>1277</v>
      </c>
      <c r="B1278" s="1019" t="s">
        <v>46</v>
      </c>
      <c r="C1278" s="1020" t="s">
        <v>16</v>
      </c>
      <c r="D1278" s="1020" t="s">
        <v>1888</v>
      </c>
      <c r="E1278" s="1020" t="s">
        <v>1921</v>
      </c>
      <c r="F1278" s="1021">
        <v>45488</v>
      </c>
      <c r="G1278" s="1021"/>
      <c r="H1278" s="1022" t="s">
        <v>701</v>
      </c>
    </row>
    <row r="1279" spans="1:8" hidden="1">
      <c r="A1279" s="1023">
        <v>1278</v>
      </c>
      <c r="B1279" s="1024" t="s">
        <v>46</v>
      </c>
      <c r="C1279" s="1025" t="s">
        <v>16</v>
      </c>
      <c r="D1279" s="1025" t="s">
        <v>1888</v>
      </c>
      <c r="E1279" s="1025" t="s">
        <v>1922</v>
      </c>
      <c r="F1279" s="1026">
        <v>45493</v>
      </c>
      <c r="G1279" s="1026"/>
      <c r="H1279" s="1027" t="s">
        <v>701</v>
      </c>
    </row>
    <row r="1280" spans="1:8" hidden="1">
      <c r="A1280" s="1018">
        <v>1279</v>
      </c>
      <c r="B1280" s="1019" t="s">
        <v>46</v>
      </c>
      <c r="C1280" s="1020" t="s">
        <v>16</v>
      </c>
      <c r="D1280" s="1020" t="s">
        <v>1888</v>
      </c>
      <c r="E1280" s="1020" t="s">
        <v>1923</v>
      </c>
      <c r="F1280" s="1021">
        <v>45502</v>
      </c>
      <c r="G1280" s="1021"/>
      <c r="H1280" s="1022" t="s">
        <v>701</v>
      </c>
    </row>
    <row r="1281" spans="1:8" hidden="1">
      <c r="A1281" s="1023">
        <v>1280</v>
      </c>
      <c r="B1281" s="1024" t="s">
        <v>46</v>
      </c>
      <c r="C1281" s="1025" t="s">
        <v>16</v>
      </c>
      <c r="D1281" s="1025" t="s">
        <v>1888</v>
      </c>
      <c r="E1281" s="1025" t="s">
        <v>1924</v>
      </c>
      <c r="F1281" s="1026">
        <v>45492</v>
      </c>
      <c r="G1281" s="1026"/>
      <c r="H1281" s="1027" t="s">
        <v>701</v>
      </c>
    </row>
    <row r="1282" spans="1:8" hidden="1">
      <c r="A1282" s="1018">
        <v>1281</v>
      </c>
      <c r="B1282" s="1019" t="s">
        <v>46</v>
      </c>
      <c r="C1282" s="1020" t="s">
        <v>16</v>
      </c>
      <c r="D1282" s="1020" t="s">
        <v>1888</v>
      </c>
      <c r="E1282" s="1020" t="s">
        <v>1925</v>
      </c>
      <c r="F1282" s="1021">
        <v>45488</v>
      </c>
      <c r="G1282" s="1021"/>
      <c r="H1282" s="1022" t="s">
        <v>701</v>
      </c>
    </row>
    <row r="1283" spans="1:8" hidden="1">
      <c r="A1283" s="1023">
        <v>1282</v>
      </c>
      <c r="B1283" s="1024" t="s">
        <v>46</v>
      </c>
      <c r="C1283" s="1025" t="s">
        <v>16</v>
      </c>
      <c r="D1283" s="1025" t="s">
        <v>1888</v>
      </c>
      <c r="E1283" s="1025" t="s">
        <v>1926</v>
      </c>
      <c r="F1283" s="1026">
        <v>45495</v>
      </c>
      <c r="G1283" s="1026"/>
      <c r="H1283" s="1027" t="s">
        <v>701</v>
      </c>
    </row>
    <row r="1284" spans="1:8" hidden="1">
      <c r="A1284" s="1018">
        <v>1283</v>
      </c>
      <c r="B1284" s="1019" t="s">
        <v>46</v>
      </c>
      <c r="C1284" s="1020" t="s">
        <v>16</v>
      </c>
      <c r="D1284" s="1020" t="s">
        <v>1888</v>
      </c>
      <c r="E1284" s="1020" t="s">
        <v>1927</v>
      </c>
      <c r="F1284" s="1021">
        <v>45495</v>
      </c>
      <c r="G1284" s="1021"/>
      <c r="H1284" s="1022" t="s">
        <v>701</v>
      </c>
    </row>
    <row r="1285" spans="1:8" hidden="1">
      <c r="A1285" s="1023">
        <v>1284</v>
      </c>
      <c r="B1285" s="1024" t="s">
        <v>46</v>
      </c>
      <c r="C1285" s="1025" t="s">
        <v>16</v>
      </c>
      <c r="D1285" s="1025" t="s">
        <v>1888</v>
      </c>
      <c r="E1285" s="1025" t="s">
        <v>1928</v>
      </c>
      <c r="F1285" s="1026">
        <v>45489</v>
      </c>
      <c r="G1285" s="1026"/>
      <c r="H1285" s="1027" t="s">
        <v>701</v>
      </c>
    </row>
    <row r="1286" spans="1:8" hidden="1">
      <c r="A1286" s="1018">
        <v>1285</v>
      </c>
      <c r="B1286" s="1019" t="s">
        <v>46</v>
      </c>
      <c r="C1286" s="1020" t="s">
        <v>16</v>
      </c>
      <c r="D1286" s="1020" t="s">
        <v>1888</v>
      </c>
      <c r="E1286" s="1020" t="s">
        <v>1929</v>
      </c>
      <c r="F1286" s="1021">
        <v>45504</v>
      </c>
      <c r="G1286" s="1021"/>
      <c r="H1286" s="1022" t="s">
        <v>701</v>
      </c>
    </row>
    <row r="1287" spans="1:8" hidden="1">
      <c r="A1287" s="1023">
        <v>1286</v>
      </c>
      <c r="B1287" s="1024" t="s">
        <v>46</v>
      </c>
      <c r="C1287" s="1025" t="s">
        <v>16</v>
      </c>
      <c r="D1287" s="1025" t="s">
        <v>1888</v>
      </c>
      <c r="E1287" s="1025" t="s">
        <v>1930</v>
      </c>
      <c r="F1287" s="1026">
        <v>45510</v>
      </c>
      <c r="G1287" s="1026"/>
      <c r="H1287" s="1027" t="s">
        <v>701</v>
      </c>
    </row>
    <row r="1288" spans="1:8" hidden="1">
      <c r="A1288" s="1018">
        <v>1287</v>
      </c>
      <c r="B1288" s="1019" t="s">
        <v>46</v>
      </c>
      <c r="C1288" s="1020" t="s">
        <v>16</v>
      </c>
      <c r="D1288" s="1020" t="s">
        <v>1888</v>
      </c>
      <c r="E1288" s="1020" t="s">
        <v>1883</v>
      </c>
      <c r="F1288" s="1021">
        <v>45514</v>
      </c>
      <c r="G1288" s="1021"/>
      <c r="H1288" s="1022" t="s">
        <v>701</v>
      </c>
    </row>
    <row r="1289" spans="1:8" hidden="1">
      <c r="A1289" s="1023">
        <v>1288</v>
      </c>
      <c r="B1289" s="1024" t="s">
        <v>46</v>
      </c>
      <c r="C1289" s="1025" t="s">
        <v>16</v>
      </c>
      <c r="D1289" s="1025" t="s">
        <v>1888</v>
      </c>
      <c r="E1289" s="1025" t="s">
        <v>1931</v>
      </c>
      <c r="F1289" s="1026">
        <v>45496</v>
      </c>
      <c r="G1289" s="1026"/>
      <c r="H1289" s="1027" t="s">
        <v>701</v>
      </c>
    </row>
    <row r="1290" spans="1:8" hidden="1">
      <c r="A1290" s="1018">
        <v>1289</v>
      </c>
      <c r="B1290" s="1019" t="s">
        <v>46</v>
      </c>
      <c r="C1290" s="1020" t="s">
        <v>16</v>
      </c>
      <c r="D1290" s="1020" t="s">
        <v>1888</v>
      </c>
      <c r="E1290" s="1020" t="s">
        <v>1932</v>
      </c>
      <c r="F1290" s="1021">
        <v>45499</v>
      </c>
      <c r="G1290" s="1021"/>
      <c r="H1290" s="1022" t="s">
        <v>701</v>
      </c>
    </row>
    <row r="1291" spans="1:8" hidden="1">
      <c r="A1291" s="1023">
        <v>1290</v>
      </c>
      <c r="B1291" s="1024" t="s">
        <v>46</v>
      </c>
      <c r="C1291" s="1025" t="s">
        <v>16</v>
      </c>
      <c r="D1291" s="1025" t="s">
        <v>1888</v>
      </c>
      <c r="E1291" s="1025" t="s">
        <v>1933</v>
      </c>
      <c r="F1291" s="1026">
        <v>45491</v>
      </c>
      <c r="G1291" s="1026"/>
      <c r="H1291" s="1027" t="s">
        <v>701</v>
      </c>
    </row>
    <row r="1292" spans="1:8" hidden="1">
      <c r="A1292" s="1018">
        <v>1291</v>
      </c>
      <c r="B1292" s="1019" t="s">
        <v>46</v>
      </c>
      <c r="C1292" s="1020" t="s">
        <v>16</v>
      </c>
      <c r="D1292" s="1020" t="s">
        <v>1888</v>
      </c>
      <c r="E1292" s="1020" t="s">
        <v>1934</v>
      </c>
      <c r="F1292" s="1021">
        <v>45506</v>
      </c>
      <c r="G1292" s="1021"/>
      <c r="H1292" s="1022" t="s">
        <v>701</v>
      </c>
    </row>
    <row r="1293" spans="1:8" hidden="1">
      <c r="A1293" s="1023">
        <v>1292</v>
      </c>
      <c r="B1293" s="1024" t="s">
        <v>46</v>
      </c>
      <c r="C1293" s="1025" t="s">
        <v>16</v>
      </c>
      <c r="D1293" s="1025" t="s">
        <v>1888</v>
      </c>
      <c r="E1293" s="1025" t="s">
        <v>1935</v>
      </c>
      <c r="F1293" s="1026">
        <v>45500</v>
      </c>
      <c r="G1293" s="1026"/>
      <c r="H1293" s="1027" t="s">
        <v>701</v>
      </c>
    </row>
    <row r="1294" spans="1:8" hidden="1">
      <c r="A1294" s="1018">
        <v>1293</v>
      </c>
      <c r="B1294" s="1019" t="s">
        <v>46</v>
      </c>
      <c r="C1294" s="1020" t="s">
        <v>16</v>
      </c>
      <c r="D1294" s="1020" t="s">
        <v>1888</v>
      </c>
      <c r="E1294" s="1020" t="s">
        <v>1936</v>
      </c>
      <c r="F1294" s="1021">
        <v>45502</v>
      </c>
      <c r="G1294" s="1021"/>
      <c r="H1294" s="1022" t="s">
        <v>701</v>
      </c>
    </row>
    <row r="1295" spans="1:8" hidden="1">
      <c r="A1295" s="1023">
        <v>1294</v>
      </c>
      <c r="B1295" s="1024" t="s">
        <v>46</v>
      </c>
      <c r="C1295" s="1025" t="s">
        <v>16</v>
      </c>
      <c r="D1295" s="1025" t="s">
        <v>1888</v>
      </c>
      <c r="E1295" s="1025" t="s">
        <v>1937</v>
      </c>
      <c r="F1295" s="1026">
        <v>45492</v>
      </c>
      <c r="G1295" s="1026"/>
      <c r="H1295" s="1027" t="s">
        <v>701</v>
      </c>
    </row>
    <row r="1296" spans="1:8" hidden="1">
      <c r="A1296" s="1018">
        <v>1295</v>
      </c>
      <c r="B1296" s="1019" t="s">
        <v>46</v>
      </c>
      <c r="C1296" s="1020" t="s">
        <v>16</v>
      </c>
      <c r="D1296" s="1020" t="s">
        <v>1888</v>
      </c>
      <c r="E1296" s="1020" t="s">
        <v>1938</v>
      </c>
      <c r="F1296" s="1021">
        <v>45508</v>
      </c>
      <c r="G1296" s="1021"/>
      <c r="H1296" s="1022" t="s">
        <v>701</v>
      </c>
    </row>
    <row r="1297" spans="1:8" hidden="1">
      <c r="A1297" s="1023">
        <v>1296</v>
      </c>
      <c r="B1297" s="1024" t="s">
        <v>46</v>
      </c>
      <c r="C1297" s="1025" t="s">
        <v>16</v>
      </c>
      <c r="D1297" s="1025" t="s">
        <v>1888</v>
      </c>
      <c r="E1297" s="1025" t="s">
        <v>1939</v>
      </c>
      <c r="F1297" s="1026">
        <v>45490</v>
      </c>
      <c r="G1297" s="1026"/>
      <c r="H1297" s="1027" t="s">
        <v>701</v>
      </c>
    </row>
    <row r="1298" spans="1:8" hidden="1">
      <c r="A1298" s="1018">
        <v>1297</v>
      </c>
      <c r="B1298" s="1019" t="s">
        <v>46</v>
      </c>
      <c r="C1298" s="1020" t="s">
        <v>16</v>
      </c>
      <c r="D1298" s="1020" t="s">
        <v>1940</v>
      </c>
      <c r="E1298" s="1020" t="s">
        <v>1859</v>
      </c>
      <c r="F1298" s="1021">
        <v>45475</v>
      </c>
      <c r="G1298" s="1021"/>
      <c r="H1298" s="1022" t="s">
        <v>701</v>
      </c>
    </row>
    <row r="1299" spans="1:8" hidden="1">
      <c r="A1299" s="1023">
        <v>1298</v>
      </c>
      <c r="B1299" s="1024" t="s">
        <v>46</v>
      </c>
      <c r="C1299" s="1025" t="s">
        <v>16</v>
      </c>
      <c r="D1299" s="1025" t="s">
        <v>1940</v>
      </c>
      <c r="E1299" s="1025" t="s">
        <v>1860</v>
      </c>
      <c r="F1299" s="1026">
        <v>45475</v>
      </c>
      <c r="G1299" s="1026"/>
      <c r="H1299" s="1027" t="s">
        <v>701</v>
      </c>
    </row>
    <row r="1300" spans="1:8" hidden="1">
      <c r="A1300" s="1018">
        <v>1299</v>
      </c>
      <c r="B1300" s="1019" t="s">
        <v>46</v>
      </c>
      <c r="C1300" s="1020" t="s">
        <v>16</v>
      </c>
      <c r="D1300" s="1020" t="s">
        <v>1940</v>
      </c>
      <c r="E1300" s="1020" t="s">
        <v>1861</v>
      </c>
      <c r="F1300" s="1021">
        <v>45516</v>
      </c>
      <c r="G1300" s="1021"/>
      <c r="H1300" s="1022" t="s">
        <v>701</v>
      </c>
    </row>
    <row r="1301" spans="1:8" hidden="1">
      <c r="A1301" s="1023">
        <v>1300</v>
      </c>
      <c r="B1301" s="1024" t="s">
        <v>46</v>
      </c>
      <c r="C1301" s="1025" t="s">
        <v>16</v>
      </c>
      <c r="D1301" s="1025" t="s">
        <v>1940</v>
      </c>
      <c r="E1301" s="1025" t="s">
        <v>1862</v>
      </c>
      <c r="F1301" s="1026">
        <v>45474</v>
      </c>
      <c r="G1301" s="1026"/>
      <c r="H1301" s="1027" t="s">
        <v>701</v>
      </c>
    </row>
    <row r="1302" spans="1:8" hidden="1">
      <c r="A1302" s="1018">
        <v>1301</v>
      </c>
      <c r="B1302" s="1019" t="s">
        <v>46</v>
      </c>
      <c r="C1302" s="1020" t="s">
        <v>16</v>
      </c>
      <c r="D1302" s="1020" t="s">
        <v>1940</v>
      </c>
      <c r="E1302" s="1020" t="s">
        <v>1864</v>
      </c>
      <c r="F1302" s="1021">
        <v>45498</v>
      </c>
      <c r="G1302" s="1021"/>
      <c r="H1302" s="1022" t="s">
        <v>701</v>
      </c>
    </row>
    <row r="1303" spans="1:8" hidden="1">
      <c r="A1303" s="1023">
        <v>1302</v>
      </c>
      <c r="B1303" s="1024" t="s">
        <v>46</v>
      </c>
      <c r="C1303" s="1025" t="s">
        <v>16</v>
      </c>
      <c r="D1303" s="1025" t="s">
        <v>1940</v>
      </c>
      <c r="E1303" s="1025" t="s">
        <v>1865</v>
      </c>
      <c r="F1303" s="1026">
        <v>45483</v>
      </c>
      <c r="G1303" s="1026"/>
      <c r="H1303" s="1027" t="s">
        <v>701</v>
      </c>
    </row>
    <row r="1304" spans="1:8" hidden="1">
      <c r="A1304" s="1018">
        <v>1303</v>
      </c>
      <c r="B1304" s="1019" t="s">
        <v>46</v>
      </c>
      <c r="C1304" s="1020" t="s">
        <v>16</v>
      </c>
      <c r="D1304" s="1020" t="s">
        <v>1940</v>
      </c>
      <c r="E1304" s="1020" t="s">
        <v>1866</v>
      </c>
      <c r="F1304" s="1021">
        <v>45515</v>
      </c>
      <c r="G1304" s="1021"/>
      <c r="H1304" s="1022" t="s">
        <v>701</v>
      </c>
    </row>
    <row r="1305" spans="1:8" hidden="1">
      <c r="A1305" s="1023">
        <v>1304</v>
      </c>
      <c r="B1305" s="1024" t="s">
        <v>46</v>
      </c>
      <c r="C1305" s="1025" t="s">
        <v>16</v>
      </c>
      <c r="D1305" s="1025" t="s">
        <v>1940</v>
      </c>
      <c r="E1305" s="1025" t="s">
        <v>1867</v>
      </c>
      <c r="F1305" s="1026">
        <v>45486</v>
      </c>
      <c r="G1305" s="1026"/>
      <c r="H1305" s="1027" t="s">
        <v>701</v>
      </c>
    </row>
    <row r="1306" spans="1:8" hidden="1">
      <c r="A1306" s="1018">
        <v>1305</v>
      </c>
      <c r="B1306" s="1019" t="s">
        <v>46</v>
      </c>
      <c r="C1306" s="1020" t="s">
        <v>16</v>
      </c>
      <c r="D1306" s="1020" t="s">
        <v>1940</v>
      </c>
      <c r="E1306" s="1020" t="s">
        <v>1868</v>
      </c>
      <c r="F1306" s="1021">
        <v>45522</v>
      </c>
      <c r="G1306" s="1021"/>
      <c r="H1306" s="1022" t="s">
        <v>701</v>
      </c>
    </row>
    <row r="1307" spans="1:8" hidden="1">
      <c r="A1307" s="1023">
        <v>1306</v>
      </c>
      <c r="B1307" s="1024" t="s">
        <v>46</v>
      </c>
      <c r="C1307" s="1025" t="s">
        <v>16</v>
      </c>
      <c r="D1307" s="1025" t="s">
        <v>1940</v>
      </c>
      <c r="E1307" s="1025" t="s">
        <v>1941</v>
      </c>
      <c r="F1307" s="1026">
        <v>45529</v>
      </c>
      <c r="G1307" s="1026"/>
      <c r="H1307" s="1027" t="s">
        <v>701</v>
      </c>
    </row>
    <row r="1308" spans="1:8" hidden="1">
      <c r="A1308" s="1018">
        <v>1307</v>
      </c>
      <c r="B1308" s="1019" t="s">
        <v>46</v>
      </c>
      <c r="C1308" s="1020" t="s">
        <v>16</v>
      </c>
      <c r="D1308" s="1020" t="s">
        <v>1940</v>
      </c>
      <c r="E1308" s="1020" t="s">
        <v>1870</v>
      </c>
      <c r="F1308" s="1021">
        <v>45517</v>
      </c>
      <c r="G1308" s="1021"/>
      <c r="H1308" s="1022" t="s">
        <v>701</v>
      </c>
    </row>
    <row r="1309" spans="1:8" hidden="1">
      <c r="A1309" s="1023">
        <v>1308</v>
      </c>
      <c r="B1309" s="1024" t="s">
        <v>46</v>
      </c>
      <c r="C1309" s="1025" t="s">
        <v>16</v>
      </c>
      <c r="D1309" s="1025" t="s">
        <v>1940</v>
      </c>
      <c r="E1309" s="1025" t="s">
        <v>1871</v>
      </c>
      <c r="F1309" s="1026">
        <v>45494</v>
      </c>
      <c r="G1309" s="1026"/>
      <c r="H1309" s="1027" t="s">
        <v>701</v>
      </c>
    </row>
    <row r="1310" spans="1:8" hidden="1">
      <c r="A1310" s="1018">
        <v>1309</v>
      </c>
      <c r="B1310" s="1019" t="s">
        <v>46</v>
      </c>
      <c r="C1310" s="1020" t="s">
        <v>16</v>
      </c>
      <c r="D1310" s="1020" t="s">
        <v>1940</v>
      </c>
      <c r="E1310" s="1020" t="s">
        <v>1872</v>
      </c>
      <c r="F1310" s="1021">
        <v>45548</v>
      </c>
      <c r="G1310" s="1021"/>
      <c r="H1310" s="1022" t="s">
        <v>701</v>
      </c>
    </row>
    <row r="1311" spans="1:8" hidden="1">
      <c r="A1311" s="1023">
        <v>1310</v>
      </c>
      <c r="B1311" s="1024" t="s">
        <v>46</v>
      </c>
      <c r="C1311" s="1025" t="s">
        <v>16</v>
      </c>
      <c r="D1311" s="1025" t="s">
        <v>1940</v>
      </c>
      <c r="E1311" s="1025" t="s">
        <v>1873</v>
      </c>
      <c r="F1311" s="1026">
        <v>45521</v>
      </c>
      <c r="G1311" s="1026"/>
      <c r="H1311" s="1027" t="s">
        <v>701</v>
      </c>
    </row>
    <row r="1312" spans="1:8" hidden="1">
      <c r="A1312" s="1018">
        <v>1311</v>
      </c>
      <c r="B1312" s="1019" t="s">
        <v>46</v>
      </c>
      <c r="C1312" s="1020" t="s">
        <v>16</v>
      </c>
      <c r="D1312" s="1020" t="s">
        <v>1940</v>
      </c>
      <c r="E1312" s="1020" t="s">
        <v>1874</v>
      </c>
      <c r="F1312" s="1021">
        <v>45511</v>
      </c>
      <c r="G1312" s="1021"/>
      <c r="H1312" s="1022" t="s">
        <v>701</v>
      </c>
    </row>
    <row r="1313" spans="1:8" hidden="1">
      <c r="A1313" s="1023">
        <v>1312</v>
      </c>
      <c r="B1313" s="1024" t="s">
        <v>46</v>
      </c>
      <c r="C1313" s="1025" t="s">
        <v>16</v>
      </c>
      <c r="D1313" s="1025" t="s">
        <v>1940</v>
      </c>
      <c r="E1313" s="1025" t="s">
        <v>1875</v>
      </c>
      <c r="F1313" s="1026">
        <v>45507</v>
      </c>
      <c r="G1313" s="1026"/>
      <c r="H1313" s="1027" t="s">
        <v>701</v>
      </c>
    </row>
    <row r="1314" spans="1:8" hidden="1">
      <c r="A1314" s="1018">
        <v>1313</v>
      </c>
      <c r="B1314" s="1019" t="s">
        <v>46</v>
      </c>
      <c r="C1314" s="1020" t="s">
        <v>16</v>
      </c>
      <c r="D1314" s="1020" t="s">
        <v>1940</v>
      </c>
      <c r="E1314" s="1020" t="s">
        <v>1876</v>
      </c>
      <c r="F1314" s="1021">
        <v>45513</v>
      </c>
      <c r="G1314" s="1021"/>
      <c r="H1314" s="1022" t="s">
        <v>701</v>
      </c>
    </row>
    <row r="1315" spans="1:8" ht="26" hidden="1">
      <c r="A1315" s="1023">
        <v>1314</v>
      </c>
      <c r="B1315" s="1024" t="s">
        <v>46</v>
      </c>
      <c r="C1315" s="1025" t="s">
        <v>16</v>
      </c>
      <c r="D1315" s="1025" t="s">
        <v>1940</v>
      </c>
      <c r="E1315" s="1025" t="s">
        <v>1877</v>
      </c>
      <c r="F1315" s="1026">
        <v>45530</v>
      </c>
      <c r="G1315" s="1026"/>
      <c r="H1315" s="1027" t="s">
        <v>701</v>
      </c>
    </row>
    <row r="1316" spans="1:8" hidden="1">
      <c r="A1316" s="1018">
        <v>1315</v>
      </c>
      <c r="B1316" s="1019" t="s">
        <v>46</v>
      </c>
      <c r="C1316" s="1020" t="s">
        <v>16</v>
      </c>
      <c r="D1316" s="1020" t="s">
        <v>1940</v>
      </c>
      <c r="E1316" s="1020" t="s">
        <v>1890</v>
      </c>
      <c r="F1316" s="1021">
        <v>45512</v>
      </c>
      <c r="G1316" s="1021"/>
      <c r="H1316" s="1022" t="s">
        <v>701</v>
      </c>
    </row>
    <row r="1317" spans="1:8" hidden="1">
      <c r="A1317" s="1023">
        <v>1316</v>
      </c>
      <c r="B1317" s="1024" t="s">
        <v>46</v>
      </c>
      <c r="C1317" s="1025" t="s">
        <v>16</v>
      </c>
      <c r="D1317" s="1025" t="s">
        <v>1940</v>
      </c>
      <c r="E1317" s="1025" t="s">
        <v>1878</v>
      </c>
      <c r="F1317" s="1026">
        <v>45496</v>
      </c>
      <c r="G1317" s="1026"/>
      <c r="H1317" s="1027" t="s">
        <v>701</v>
      </c>
    </row>
    <row r="1318" spans="1:8" hidden="1">
      <c r="A1318" s="1018">
        <v>1317</v>
      </c>
      <c r="B1318" s="1019" t="s">
        <v>46</v>
      </c>
      <c r="C1318" s="1020" t="s">
        <v>16</v>
      </c>
      <c r="D1318" s="1020" t="s">
        <v>1940</v>
      </c>
      <c r="E1318" s="1020" t="s">
        <v>1942</v>
      </c>
      <c r="F1318" s="1021">
        <v>45503</v>
      </c>
      <c r="G1318" s="1021"/>
      <c r="H1318" s="1022" t="s">
        <v>701</v>
      </c>
    </row>
    <row r="1319" spans="1:8" hidden="1">
      <c r="A1319" s="1023">
        <v>1318</v>
      </c>
      <c r="B1319" s="1024" t="s">
        <v>46</v>
      </c>
      <c r="C1319" s="1025" t="s">
        <v>16</v>
      </c>
      <c r="D1319" s="1025" t="s">
        <v>1940</v>
      </c>
      <c r="E1319" s="1025" t="s">
        <v>1879</v>
      </c>
      <c r="F1319" s="1026">
        <v>45548</v>
      </c>
      <c r="G1319" s="1026"/>
      <c r="H1319" s="1027" t="s">
        <v>701</v>
      </c>
    </row>
    <row r="1320" spans="1:8" hidden="1">
      <c r="A1320" s="1018">
        <v>1319</v>
      </c>
      <c r="B1320" s="1019" t="s">
        <v>46</v>
      </c>
      <c r="C1320" s="1020" t="s">
        <v>16</v>
      </c>
      <c r="D1320" s="1020" t="s">
        <v>1940</v>
      </c>
      <c r="E1320" s="1020" t="s">
        <v>1880</v>
      </c>
      <c r="F1320" s="1021">
        <v>45511</v>
      </c>
      <c r="G1320" s="1021"/>
      <c r="H1320" s="1022" t="s">
        <v>701</v>
      </c>
    </row>
    <row r="1321" spans="1:8" hidden="1">
      <c r="A1321" s="1023">
        <v>1320</v>
      </c>
      <c r="B1321" s="1024" t="s">
        <v>46</v>
      </c>
      <c r="C1321" s="1025" t="s">
        <v>16</v>
      </c>
      <c r="D1321" s="1025" t="s">
        <v>1940</v>
      </c>
      <c r="E1321" s="1025" t="s">
        <v>1881</v>
      </c>
      <c r="F1321" s="1026">
        <v>45551</v>
      </c>
      <c r="G1321" s="1026"/>
      <c r="H1321" s="1027" t="s">
        <v>701</v>
      </c>
    </row>
    <row r="1322" spans="1:8" hidden="1">
      <c r="A1322" s="1018">
        <v>1321</v>
      </c>
      <c r="B1322" s="1019" t="s">
        <v>46</v>
      </c>
      <c r="C1322" s="1020" t="s">
        <v>16</v>
      </c>
      <c r="D1322" s="1020" t="s">
        <v>1940</v>
      </c>
      <c r="E1322" s="1020" t="s">
        <v>1882</v>
      </c>
      <c r="F1322" s="1021">
        <v>45549</v>
      </c>
      <c r="G1322" s="1021"/>
      <c r="H1322" s="1022" t="s">
        <v>701</v>
      </c>
    </row>
    <row r="1323" spans="1:8" hidden="1">
      <c r="A1323" s="1023">
        <v>1322</v>
      </c>
      <c r="B1323" s="1024" t="s">
        <v>46</v>
      </c>
      <c r="C1323" s="1025" t="s">
        <v>16</v>
      </c>
      <c r="D1323" s="1025" t="s">
        <v>1940</v>
      </c>
      <c r="E1323" s="1025" t="s">
        <v>1883</v>
      </c>
      <c r="F1323" s="1026">
        <v>45517</v>
      </c>
      <c r="G1323" s="1026"/>
      <c r="H1323" s="1027" t="s">
        <v>701</v>
      </c>
    </row>
    <row r="1324" spans="1:8" hidden="1">
      <c r="A1324" s="1018">
        <v>1323</v>
      </c>
      <c r="B1324" s="1019" t="s">
        <v>46</v>
      </c>
      <c r="C1324" s="1020" t="s">
        <v>16</v>
      </c>
      <c r="D1324" s="1020" t="s">
        <v>1940</v>
      </c>
      <c r="E1324" s="1020" t="s">
        <v>1943</v>
      </c>
      <c r="F1324" s="1021">
        <v>45503</v>
      </c>
      <c r="G1324" s="1021"/>
      <c r="H1324" s="1022" t="s">
        <v>701</v>
      </c>
    </row>
    <row r="1325" spans="1:8" hidden="1">
      <c r="A1325" s="1023">
        <v>1324</v>
      </c>
      <c r="B1325" s="1024" t="s">
        <v>46</v>
      </c>
      <c r="C1325" s="1025" t="s">
        <v>16</v>
      </c>
      <c r="D1325" s="1025" t="s">
        <v>1940</v>
      </c>
      <c r="E1325" s="1025" t="s">
        <v>1944</v>
      </c>
      <c r="F1325" s="1026">
        <v>45504</v>
      </c>
      <c r="G1325" s="1026"/>
      <c r="H1325" s="1027" t="s">
        <v>701</v>
      </c>
    </row>
    <row r="1326" spans="1:8" hidden="1">
      <c r="A1326" s="1018">
        <v>1325</v>
      </c>
      <c r="B1326" s="1019" t="s">
        <v>46</v>
      </c>
      <c r="C1326" s="1020" t="s">
        <v>16</v>
      </c>
      <c r="D1326" s="1020" t="s">
        <v>1940</v>
      </c>
      <c r="E1326" s="1020" t="s">
        <v>1945</v>
      </c>
      <c r="F1326" s="1021">
        <v>45494</v>
      </c>
      <c r="G1326" s="1021"/>
      <c r="H1326" s="1022" t="s">
        <v>701</v>
      </c>
    </row>
    <row r="1327" spans="1:8" hidden="1">
      <c r="A1327" s="1023">
        <v>1326</v>
      </c>
      <c r="B1327" s="1024" t="s">
        <v>46</v>
      </c>
      <c r="C1327" s="1025" t="s">
        <v>16</v>
      </c>
      <c r="D1327" s="1025" t="s">
        <v>1940</v>
      </c>
      <c r="E1327" s="1025" t="s">
        <v>1946</v>
      </c>
      <c r="F1327" s="1026">
        <v>45511</v>
      </c>
      <c r="G1327" s="1026"/>
      <c r="H1327" s="1027" t="s">
        <v>701</v>
      </c>
    </row>
    <row r="1328" spans="1:8" hidden="1">
      <c r="A1328" s="1018">
        <v>1327</v>
      </c>
      <c r="B1328" s="1019" t="s">
        <v>46</v>
      </c>
      <c r="C1328" s="1020" t="s">
        <v>16</v>
      </c>
      <c r="D1328" s="1020" t="s">
        <v>1940</v>
      </c>
      <c r="E1328" s="1020" t="s">
        <v>1947</v>
      </c>
      <c r="F1328" s="1021">
        <v>45492</v>
      </c>
      <c r="G1328" s="1021"/>
      <c r="H1328" s="1022" t="s">
        <v>701</v>
      </c>
    </row>
    <row r="1329" spans="1:8" hidden="1">
      <c r="A1329" s="1023">
        <v>1328</v>
      </c>
      <c r="B1329" s="1024" t="s">
        <v>46</v>
      </c>
      <c r="C1329" s="1025" t="s">
        <v>16</v>
      </c>
      <c r="D1329" s="1025" t="s">
        <v>1940</v>
      </c>
      <c r="E1329" s="1025" t="s">
        <v>1948</v>
      </c>
      <c r="F1329" s="1026">
        <v>45506</v>
      </c>
      <c r="G1329" s="1026"/>
      <c r="H1329" s="1027" t="s">
        <v>701</v>
      </c>
    </row>
    <row r="1330" spans="1:8" hidden="1">
      <c r="A1330" s="1018">
        <v>1329</v>
      </c>
      <c r="B1330" s="1019" t="s">
        <v>46</v>
      </c>
      <c r="C1330" s="1020" t="s">
        <v>16</v>
      </c>
      <c r="D1330" s="1020" t="s">
        <v>1940</v>
      </c>
      <c r="E1330" s="1020" t="s">
        <v>1949</v>
      </c>
      <c r="F1330" s="1021">
        <v>45507</v>
      </c>
      <c r="G1330" s="1021"/>
      <c r="H1330" s="1022" t="s">
        <v>701</v>
      </c>
    </row>
    <row r="1331" spans="1:8" hidden="1">
      <c r="A1331" s="1023">
        <v>1330</v>
      </c>
      <c r="B1331" s="1024" t="s">
        <v>46</v>
      </c>
      <c r="C1331" s="1025" t="s">
        <v>16</v>
      </c>
      <c r="D1331" s="1025" t="s">
        <v>1940</v>
      </c>
      <c r="E1331" s="1025" t="s">
        <v>1950</v>
      </c>
      <c r="F1331" s="1026">
        <v>45496</v>
      </c>
      <c r="G1331" s="1026"/>
      <c r="H1331" s="1027" t="s">
        <v>701</v>
      </c>
    </row>
    <row r="1332" spans="1:8" hidden="1">
      <c r="A1332" s="1018">
        <v>1331</v>
      </c>
      <c r="B1332" s="1019" t="s">
        <v>46</v>
      </c>
      <c r="C1332" s="1020" t="s">
        <v>16</v>
      </c>
      <c r="D1332" s="1020" t="s">
        <v>1940</v>
      </c>
      <c r="E1332" s="1020" t="s">
        <v>1951</v>
      </c>
      <c r="F1332" s="1021">
        <v>45512</v>
      </c>
      <c r="G1332" s="1021"/>
      <c r="H1332" s="1022" t="s">
        <v>701</v>
      </c>
    </row>
    <row r="1333" spans="1:8" hidden="1">
      <c r="A1333" s="1023">
        <v>1332</v>
      </c>
      <c r="B1333" s="1024" t="s">
        <v>46</v>
      </c>
      <c r="C1333" s="1025" t="s">
        <v>16</v>
      </c>
      <c r="D1333" s="1025" t="s">
        <v>1940</v>
      </c>
      <c r="E1333" s="1025" t="s">
        <v>1952</v>
      </c>
      <c r="F1333" s="1026">
        <v>45494</v>
      </c>
      <c r="G1333" s="1026"/>
      <c r="H1333" s="1027" t="s">
        <v>701</v>
      </c>
    </row>
    <row r="1334" spans="1:8" hidden="1">
      <c r="A1334" s="1018">
        <v>1333</v>
      </c>
      <c r="B1334" s="1019" t="s">
        <v>46</v>
      </c>
      <c r="C1334" s="1020" t="s">
        <v>16</v>
      </c>
      <c r="D1334" s="1020" t="s">
        <v>1940</v>
      </c>
      <c r="E1334" s="1020" t="s">
        <v>1953</v>
      </c>
      <c r="F1334" s="1021">
        <v>45498</v>
      </c>
      <c r="G1334" s="1021">
        <v>45488</v>
      </c>
      <c r="H1334" s="1022" t="s">
        <v>663</v>
      </c>
    </row>
    <row r="1335" spans="1:8" hidden="1">
      <c r="A1335" s="1023">
        <v>1334</v>
      </c>
      <c r="B1335" s="1024" t="s">
        <v>46</v>
      </c>
      <c r="C1335" s="1025" t="s">
        <v>16</v>
      </c>
      <c r="D1335" s="1025" t="s">
        <v>1940</v>
      </c>
      <c r="E1335" s="1025" t="s">
        <v>1954</v>
      </c>
      <c r="F1335" s="1026">
        <v>45504</v>
      </c>
      <c r="G1335" s="1026">
        <v>45488</v>
      </c>
      <c r="H1335" s="1027" t="s">
        <v>663</v>
      </c>
    </row>
    <row r="1336" spans="1:8" hidden="1">
      <c r="A1336" s="1018">
        <v>1335</v>
      </c>
      <c r="B1336" s="1019" t="s">
        <v>46</v>
      </c>
      <c r="C1336" s="1020" t="s">
        <v>16</v>
      </c>
      <c r="D1336" s="1020" t="s">
        <v>1955</v>
      </c>
      <c r="E1336" s="1020" t="s">
        <v>1859</v>
      </c>
      <c r="F1336" s="1021">
        <v>45477</v>
      </c>
      <c r="G1336" s="1021"/>
      <c r="H1336" s="1022" t="s">
        <v>701</v>
      </c>
    </row>
    <row r="1337" spans="1:8" hidden="1">
      <c r="A1337" s="1023">
        <v>1336</v>
      </c>
      <c r="B1337" s="1024" t="s">
        <v>46</v>
      </c>
      <c r="C1337" s="1025" t="s">
        <v>16</v>
      </c>
      <c r="D1337" s="1025" t="s">
        <v>1955</v>
      </c>
      <c r="E1337" s="1025" t="s">
        <v>1860</v>
      </c>
      <c r="F1337" s="1026">
        <v>45477</v>
      </c>
      <c r="G1337" s="1026"/>
      <c r="H1337" s="1027" t="s">
        <v>701</v>
      </c>
    </row>
    <row r="1338" spans="1:8" hidden="1">
      <c r="A1338" s="1018">
        <v>1337</v>
      </c>
      <c r="B1338" s="1019" t="s">
        <v>46</v>
      </c>
      <c r="C1338" s="1020" t="s">
        <v>16</v>
      </c>
      <c r="D1338" s="1020" t="s">
        <v>1955</v>
      </c>
      <c r="E1338" s="1020" t="s">
        <v>1861</v>
      </c>
      <c r="F1338" s="1021">
        <v>45518</v>
      </c>
      <c r="G1338" s="1021"/>
      <c r="H1338" s="1022" t="s">
        <v>701</v>
      </c>
    </row>
    <row r="1339" spans="1:8" hidden="1">
      <c r="A1339" s="1023">
        <v>1338</v>
      </c>
      <c r="B1339" s="1024" t="s">
        <v>46</v>
      </c>
      <c r="C1339" s="1025" t="s">
        <v>16</v>
      </c>
      <c r="D1339" s="1025" t="s">
        <v>1955</v>
      </c>
      <c r="E1339" s="1025" t="s">
        <v>1862</v>
      </c>
      <c r="F1339" s="1026">
        <v>45476</v>
      </c>
      <c r="G1339" s="1026"/>
      <c r="H1339" s="1027" t="s">
        <v>701</v>
      </c>
    </row>
    <row r="1340" spans="1:8" hidden="1">
      <c r="A1340" s="1018">
        <v>1339</v>
      </c>
      <c r="B1340" s="1019" t="s">
        <v>46</v>
      </c>
      <c r="C1340" s="1020" t="s">
        <v>16</v>
      </c>
      <c r="D1340" s="1020" t="s">
        <v>1955</v>
      </c>
      <c r="E1340" s="1020" t="s">
        <v>1864</v>
      </c>
      <c r="F1340" s="1021">
        <v>45500</v>
      </c>
      <c r="G1340" s="1021"/>
      <c r="H1340" s="1022" t="s">
        <v>701</v>
      </c>
    </row>
    <row r="1341" spans="1:8" hidden="1">
      <c r="A1341" s="1023">
        <v>1340</v>
      </c>
      <c r="B1341" s="1024" t="s">
        <v>46</v>
      </c>
      <c r="C1341" s="1025" t="s">
        <v>16</v>
      </c>
      <c r="D1341" s="1025" t="s">
        <v>1955</v>
      </c>
      <c r="E1341" s="1025" t="s">
        <v>1865</v>
      </c>
      <c r="F1341" s="1026">
        <v>45484</v>
      </c>
      <c r="G1341" s="1026"/>
      <c r="H1341" s="1027" t="s">
        <v>701</v>
      </c>
    </row>
    <row r="1342" spans="1:8" hidden="1">
      <c r="A1342" s="1018">
        <v>1341</v>
      </c>
      <c r="B1342" s="1019" t="s">
        <v>46</v>
      </c>
      <c r="C1342" s="1020" t="s">
        <v>16</v>
      </c>
      <c r="D1342" s="1020" t="s">
        <v>1955</v>
      </c>
      <c r="E1342" s="1020" t="s">
        <v>1866</v>
      </c>
      <c r="F1342" s="1021">
        <v>45517</v>
      </c>
      <c r="G1342" s="1021"/>
      <c r="H1342" s="1022" t="s">
        <v>701</v>
      </c>
    </row>
    <row r="1343" spans="1:8" hidden="1">
      <c r="A1343" s="1023">
        <v>1342</v>
      </c>
      <c r="B1343" s="1024" t="s">
        <v>46</v>
      </c>
      <c r="C1343" s="1025" t="s">
        <v>16</v>
      </c>
      <c r="D1343" s="1025" t="s">
        <v>1955</v>
      </c>
      <c r="E1343" s="1025" t="s">
        <v>1867</v>
      </c>
      <c r="F1343" s="1026">
        <v>45488</v>
      </c>
      <c r="G1343" s="1026"/>
      <c r="H1343" s="1027" t="s">
        <v>701</v>
      </c>
    </row>
    <row r="1344" spans="1:8" hidden="1">
      <c r="A1344" s="1018">
        <v>1343</v>
      </c>
      <c r="B1344" s="1019" t="s">
        <v>46</v>
      </c>
      <c r="C1344" s="1020" t="s">
        <v>16</v>
      </c>
      <c r="D1344" s="1020" t="s">
        <v>1955</v>
      </c>
      <c r="E1344" s="1020" t="s">
        <v>1870</v>
      </c>
      <c r="F1344" s="1021">
        <v>45519</v>
      </c>
      <c r="G1344" s="1021"/>
      <c r="H1344" s="1022" t="s">
        <v>701</v>
      </c>
    </row>
    <row r="1345" spans="1:8" hidden="1">
      <c r="A1345" s="1023">
        <v>1344</v>
      </c>
      <c r="B1345" s="1024" t="s">
        <v>46</v>
      </c>
      <c r="C1345" s="1025" t="s">
        <v>16</v>
      </c>
      <c r="D1345" s="1025" t="s">
        <v>1955</v>
      </c>
      <c r="E1345" s="1025" t="s">
        <v>1871</v>
      </c>
      <c r="F1345" s="1026">
        <v>45496</v>
      </c>
      <c r="G1345" s="1026"/>
      <c r="H1345" s="1027" t="s">
        <v>701</v>
      </c>
    </row>
    <row r="1346" spans="1:8" hidden="1">
      <c r="A1346" s="1018">
        <v>1345</v>
      </c>
      <c r="B1346" s="1019" t="s">
        <v>46</v>
      </c>
      <c r="C1346" s="1020" t="s">
        <v>16</v>
      </c>
      <c r="D1346" s="1020" t="s">
        <v>1955</v>
      </c>
      <c r="E1346" s="1020" t="s">
        <v>1872</v>
      </c>
      <c r="F1346" s="1021">
        <v>45550</v>
      </c>
      <c r="G1346" s="1021"/>
      <c r="H1346" s="1022" t="s">
        <v>701</v>
      </c>
    </row>
    <row r="1347" spans="1:8" hidden="1">
      <c r="A1347" s="1023">
        <v>1346</v>
      </c>
      <c r="B1347" s="1024" t="s">
        <v>46</v>
      </c>
      <c r="C1347" s="1025" t="s">
        <v>16</v>
      </c>
      <c r="D1347" s="1025" t="s">
        <v>1955</v>
      </c>
      <c r="E1347" s="1025" t="s">
        <v>1873</v>
      </c>
      <c r="F1347" s="1026">
        <v>45523</v>
      </c>
      <c r="G1347" s="1026"/>
      <c r="H1347" s="1027" t="s">
        <v>701</v>
      </c>
    </row>
    <row r="1348" spans="1:8" hidden="1">
      <c r="A1348" s="1018">
        <v>1347</v>
      </c>
      <c r="B1348" s="1019" t="s">
        <v>46</v>
      </c>
      <c r="C1348" s="1020" t="s">
        <v>16</v>
      </c>
      <c r="D1348" s="1020" t="s">
        <v>1955</v>
      </c>
      <c r="E1348" s="1020" t="s">
        <v>1874</v>
      </c>
      <c r="F1348" s="1021">
        <v>45513</v>
      </c>
      <c r="G1348" s="1021"/>
      <c r="H1348" s="1022" t="s">
        <v>701</v>
      </c>
    </row>
    <row r="1349" spans="1:8" hidden="1">
      <c r="A1349" s="1023">
        <v>1348</v>
      </c>
      <c r="B1349" s="1024" t="s">
        <v>46</v>
      </c>
      <c r="C1349" s="1025" t="s">
        <v>16</v>
      </c>
      <c r="D1349" s="1025" t="s">
        <v>1955</v>
      </c>
      <c r="E1349" s="1025" t="s">
        <v>1875</v>
      </c>
      <c r="F1349" s="1026">
        <v>45509</v>
      </c>
      <c r="G1349" s="1026"/>
      <c r="H1349" s="1027" t="s">
        <v>701</v>
      </c>
    </row>
    <row r="1350" spans="1:8" hidden="1">
      <c r="A1350" s="1018">
        <v>1349</v>
      </c>
      <c r="B1350" s="1019" t="s">
        <v>46</v>
      </c>
      <c r="C1350" s="1020" t="s">
        <v>16</v>
      </c>
      <c r="D1350" s="1020" t="s">
        <v>1955</v>
      </c>
      <c r="E1350" s="1020" t="s">
        <v>1876</v>
      </c>
      <c r="F1350" s="1021">
        <v>45514</v>
      </c>
      <c r="G1350" s="1021"/>
      <c r="H1350" s="1022" t="s">
        <v>701</v>
      </c>
    </row>
    <row r="1351" spans="1:8" ht="26" hidden="1">
      <c r="A1351" s="1023">
        <v>1350</v>
      </c>
      <c r="B1351" s="1024" t="s">
        <v>46</v>
      </c>
      <c r="C1351" s="1025" t="s">
        <v>16</v>
      </c>
      <c r="D1351" s="1025" t="s">
        <v>1955</v>
      </c>
      <c r="E1351" s="1025" t="s">
        <v>1877</v>
      </c>
      <c r="F1351" s="1026">
        <v>45531</v>
      </c>
      <c r="G1351" s="1026"/>
      <c r="H1351" s="1027" t="s">
        <v>701</v>
      </c>
    </row>
    <row r="1352" spans="1:8" hidden="1">
      <c r="A1352" s="1018">
        <v>1351</v>
      </c>
      <c r="B1352" s="1019" t="s">
        <v>46</v>
      </c>
      <c r="C1352" s="1020" t="s">
        <v>16</v>
      </c>
      <c r="D1352" s="1020" t="s">
        <v>1955</v>
      </c>
      <c r="E1352" s="1020" t="s">
        <v>1878</v>
      </c>
      <c r="F1352" s="1021">
        <v>45500</v>
      </c>
      <c r="G1352" s="1021"/>
      <c r="H1352" s="1022" t="s">
        <v>701</v>
      </c>
    </row>
    <row r="1353" spans="1:8" hidden="1">
      <c r="A1353" s="1023">
        <v>1352</v>
      </c>
      <c r="B1353" s="1024" t="s">
        <v>46</v>
      </c>
      <c r="C1353" s="1025" t="s">
        <v>16</v>
      </c>
      <c r="D1353" s="1025" t="s">
        <v>1955</v>
      </c>
      <c r="E1353" s="1025" t="s">
        <v>1942</v>
      </c>
      <c r="F1353" s="1026">
        <v>45504</v>
      </c>
      <c r="G1353" s="1026"/>
      <c r="H1353" s="1027" t="s">
        <v>701</v>
      </c>
    </row>
    <row r="1354" spans="1:8" hidden="1">
      <c r="A1354" s="1018">
        <v>1353</v>
      </c>
      <c r="B1354" s="1019" t="s">
        <v>46</v>
      </c>
      <c r="C1354" s="1020" t="s">
        <v>16</v>
      </c>
      <c r="D1354" s="1020" t="s">
        <v>1955</v>
      </c>
      <c r="E1354" s="1020" t="s">
        <v>1879</v>
      </c>
      <c r="F1354" s="1021">
        <v>45549</v>
      </c>
      <c r="G1354" s="1021"/>
      <c r="H1354" s="1022" t="s">
        <v>701</v>
      </c>
    </row>
    <row r="1355" spans="1:8" hidden="1">
      <c r="A1355" s="1023">
        <v>1354</v>
      </c>
      <c r="B1355" s="1024" t="s">
        <v>46</v>
      </c>
      <c r="C1355" s="1025" t="s">
        <v>16</v>
      </c>
      <c r="D1355" s="1025" t="s">
        <v>1955</v>
      </c>
      <c r="E1355" s="1025" t="s">
        <v>1880</v>
      </c>
      <c r="F1355" s="1026">
        <v>45513</v>
      </c>
      <c r="G1355" s="1026"/>
      <c r="H1355" s="1027" t="s">
        <v>701</v>
      </c>
    </row>
    <row r="1356" spans="1:8" hidden="1">
      <c r="A1356" s="1018">
        <v>1355</v>
      </c>
      <c r="B1356" s="1019" t="s">
        <v>46</v>
      </c>
      <c r="C1356" s="1020" t="s">
        <v>16</v>
      </c>
      <c r="D1356" s="1020" t="s">
        <v>1955</v>
      </c>
      <c r="E1356" s="1020" t="s">
        <v>1881</v>
      </c>
      <c r="F1356" s="1021">
        <v>45552</v>
      </c>
      <c r="G1356" s="1021"/>
      <c r="H1356" s="1022" t="s">
        <v>701</v>
      </c>
    </row>
    <row r="1357" spans="1:8" hidden="1">
      <c r="A1357" s="1023">
        <v>1356</v>
      </c>
      <c r="B1357" s="1024" t="s">
        <v>46</v>
      </c>
      <c r="C1357" s="1025" t="s">
        <v>16</v>
      </c>
      <c r="D1357" s="1025" t="s">
        <v>1955</v>
      </c>
      <c r="E1357" s="1025" t="s">
        <v>1882</v>
      </c>
      <c r="F1357" s="1026">
        <v>45552</v>
      </c>
      <c r="G1357" s="1026"/>
      <c r="H1357" s="1027" t="s">
        <v>701</v>
      </c>
    </row>
    <row r="1358" spans="1:8" hidden="1">
      <c r="A1358" s="1018">
        <v>1357</v>
      </c>
      <c r="B1358" s="1019" t="s">
        <v>46</v>
      </c>
      <c r="C1358" s="1020" t="s">
        <v>16</v>
      </c>
      <c r="D1358" s="1020" t="s">
        <v>1955</v>
      </c>
      <c r="E1358" s="1020" t="s">
        <v>1883</v>
      </c>
      <c r="F1358" s="1021">
        <v>45520</v>
      </c>
      <c r="G1358" s="1021"/>
      <c r="H1358" s="1022" t="s">
        <v>701</v>
      </c>
    </row>
    <row r="1359" spans="1:8" hidden="1">
      <c r="A1359" s="1023">
        <v>1358</v>
      </c>
      <c r="B1359" s="1024" t="s">
        <v>46</v>
      </c>
      <c r="C1359" s="1025" t="s">
        <v>16</v>
      </c>
      <c r="D1359" s="1025" t="s">
        <v>1955</v>
      </c>
      <c r="E1359" s="1025" t="s">
        <v>1956</v>
      </c>
      <c r="F1359" s="1026">
        <v>45509</v>
      </c>
      <c r="G1359" s="1026"/>
      <c r="H1359" s="1027" t="s">
        <v>701</v>
      </c>
    </row>
    <row r="1360" spans="1:8" hidden="1">
      <c r="A1360" s="1018">
        <v>1359</v>
      </c>
      <c r="B1360" s="1019" t="s">
        <v>46</v>
      </c>
      <c r="C1360" s="1020" t="s">
        <v>16</v>
      </c>
      <c r="D1360" s="1020" t="s">
        <v>1955</v>
      </c>
      <c r="E1360" s="1020" t="s">
        <v>1957</v>
      </c>
      <c r="F1360" s="1021">
        <v>45511</v>
      </c>
      <c r="G1360" s="1021"/>
      <c r="H1360" s="1022" t="s">
        <v>701</v>
      </c>
    </row>
    <row r="1361" spans="1:8" hidden="1">
      <c r="A1361" s="1023">
        <v>1360</v>
      </c>
      <c r="B1361" s="1024" t="s">
        <v>46</v>
      </c>
      <c r="C1361" s="1025" t="s">
        <v>16</v>
      </c>
      <c r="D1361" s="1025" t="s">
        <v>1955</v>
      </c>
      <c r="E1361" s="1025" t="s">
        <v>1958</v>
      </c>
      <c r="F1361" s="1026">
        <v>45498</v>
      </c>
      <c r="G1361" s="1026"/>
      <c r="H1361" s="1027" t="s">
        <v>701</v>
      </c>
    </row>
    <row r="1362" spans="1:8" hidden="1">
      <c r="A1362" s="1018">
        <v>1361</v>
      </c>
      <c r="B1362" s="1019" t="s">
        <v>46</v>
      </c>
      <c r="C1362" s="1020" t="s">
        <v>16</v>
      </c>
      <c r="D1362" s="1020" t="s">
        <v>1955</v>
      </c>
      <c r="E1362" s="1020" t="s">
        <v>1959</v>
      </c>
      <c r="F1362" s="1021">
        <v>45515</v>
      </c>
      <c r="G1362" s="1021"/>
      <c r="H1362" s="1022" t="s">
        <v>701</v>
      </c>
    </row>
    <row r="1363" spans="1:8" hidden="1">
      <c r="A1363" s="1023">
        <v>1362</v>
      </c>
      <c r="B1363" s="1024" t="s">
        <v>46</v>
      </c>
      <c r="C1363" s="1025" t="s">
        <v>16</v>
      </c>
      <c r="D1363" s="1025" t="s">
        <v>1955</v>
      </c>
      <c r="E1363" s="1025" t="s">
        <v>1960</v>
      </c>
      <c r="F1363" s="1026">
        <v>45496</v>
      </c>
      <c r="G1363" s="1026"/>
      <c r="H1363" s="1027" t="s">
        <v>701</v>
      </c>
    </row>
    <row r="1364" spans="1:8" hidden="1">
      <c r="A1364" s="1018">
        <v>1363</v>
      </c>
      <c r="B1364" s="1019" t="s">
        <v>46</v>
      </c>
      <c r="C1364" s="1020" t="s">
        <v>16</v>
      </c>
      <c r="D1364" s="1020" t="s">
        <v>1955</v>
      </c>
      <c r="E1364" s="1020" t="s">
        <v>1961</v>
      </c>
      <c r="F1364" s="1021">
        <v>45513</v>
      </c>
      <c r="G1364" s="1021"/>
      <c r="H1364" s="1022" t="s">
        <v>701</v>
      </c>
    </row>
    <row r="1365" spans="1:8" hidden="1">
      <c r="A1365" s="1023">
        <v>1364</v>
      </c>
      <c r="B1365" s="1024" t="s">
        <v>46</v>
      </c>
      <c r="C1365" s="1025" t="s">
        <v>16</v>
      </c>
      <c r="D1365" s="1025" t="s">
        <v>1955</v>
      </c>
      <c r="E1365" s="1025" t="s">
        <v>1962</v>
      </c>
      <c r="F1365" s="1026">
        <v>45513</v>
      </c>
      <c r="G1365" s="1026"/>
      <c r="H1365" s="1027" t="s">
        <v>701</v>
      </c>
    </row>
    <row r="1366" spans="1:8" hidden="1">
      <c r="A1366" s="1018">
        <v>1365</v>
      </c>
      <c r="B1366" s="1019" t="s">
        <v>46</v>
      </c>
      <c r="C1366" s="1020" t="s">
        <v>16</v>
      </c>
      <c r="D1366" s="1020" t="s">
        <v>1955</v>
      </c>
      <c r="E1366" s="1020" t="s">
        <v>1963</v>
      </c>
      <c r="F1366" s="1021">
        <v>45500</v>
      </c>
      <c r="G1366" s="1021"/>
      <c r="H1366" s="1022" t="s">
        <v>701</v>
      </c>
    </row>
    <row r="1367" spans="1:8" hidden="1">
      <c r="A1367" s="1023">
        <v>1366</v>
      </c>
      <c r="B1367" s="1024" t="s">
        <v>46</v>
      </c>
      <c r="C1367" s="1025" t="s">
        <v>16</v>
      </c>
      <c r="D1367" s="1025" t="s">
        <v>1955</v>
      </c>
      <c r="E1367" s="1025" t="s">
        <v>1964</v>
      </c>
      <c r="F1367" s="1026">
        <v>45517</v>
      </c>
      <c r="G1367" s="1026"/>
      <c r="H1367" s="1027" t="s">
        <v>701</v>
      </c>
    </row>
    <row r="1368" spans="1:8" hidden="1">
      <c r="A1368" s="1018">
        <v>1367</v>
      </c>
      <c r="B1368" s="1019" t="s">
        <v>46</v>
      </c>
      <c r="C1368" s="1020" t="s">
        <v>16</v>
      </c>
      <c r="D1368" s="1020" t="s">
        <v>1955</v>
      </c>
      <c r="E1368" s="1020" t="s">
        <v>1965</v>
      </c>
      <c r="F1368" s="1021">
        <v>45498</v>
      </c>
      <c r="G1368" s="1021"/>
      <c r="H1368" s="1022" t="s">
        <v>701</v>
      </c>
    </row>
    <row r="1369" spans="1:8" hidden="1">
      <c r="A1369" s="1023">
        <v>1368</v>
      </c>
      <c r="B1369" s="1024" t="s">
        <v>46</v>
      </c>
      <c r="C1369" s="1025" t="s">
        <v>16</v>
      </c>
      <c r="D1369" s="1025" t="s">
        <v>1966</v>
      </c>
      <c r="E1369" s="1025" t="s">
        <v>1859</v>
      </c>
      <c r="F1369" s="1026">
        <v>45479</v>
      </c>
      <c r="G1369" s="1026"/>
      <c r="H1369" s="1027" t="s">
        <v>701</v>
      </c>
    </row>
    <row r="1370" spans="1:8" hidden="1">
      <c r="A1370" s="1018">
        <v>1369</v>
      </c>
      <c r="B1370" s="1019" t="s">
        <v>46</v>
      </c>
      <c r="C1370" s="1020" t="s">
        <v>16</v>
      </c>
      <c r="D1370" s="1020" t="s">
        <v>1966</v>
      </c>
      <c r="E1370" s="1020" t="s">
        <v>1860</v>
      </c>
      <c r="F1370" s="1021">
        <v>45479</v>
      </c>
      <c r="G1370" s="1021"/>
      <c r="H1370" s="1022" t="s">
        <v>701</v>
      </c>
    </row>
    <row r="1371" spans="1:8" hidden="1">
      <c r="A1371" s="1023">
        <v>1370</v>
      </c>
      <c r="B1371" s="1024" t="s">
        <v>46</v>
      </c>
      <c r="C1371" s="1025" t="s">
        <v>16</v>
      </c>
      <c r="D1371" s="1025" t="s">
        <v>1966</v>
      </c>
      <c r="E1371" s="1025" t="s">
        <v>1861</v>
      </c>
      <c r="F1371" s="1026">
        <v>45520</v>
      </c>
      <c r="G1371" s="1026"/>
      <c r="H1371" s="1027" t="s">
        <v>701</v>
      </c>
    </row>
    <row r="1372" spans="1:8" hidden="1">
      <c r="A1372" s="1018">
        <v>1371</v>
      </c>
      <c r="B1372" s="1019" t="s">
        <v>46</v>
      </c>
      <c r="C1372" s="1020" t="s">
        <v>16</v>
      </c>
      <c r="D1372" s="1020" t="s">
        <v>1966</v>
      </c>
      <c r="E1372" s="1020" t="s">
        <v>1862</v>
      </c>
      <c r="F1372" s="1021">
        <v>45478</v>
      </c>
      <c r="G1372" s="1021"/>
      <c r="H1372" s="1022" t="s">
        <v>701</v>
      </c>
    </row>
    <row r="1373" spans="1:8" hidden="1">
      <c r="A1373" s="1023">
        <v>1372</v>
      </c>
      <c r="B1373" s="1024" t="s">
        <v>46</v>
      </c>
      <c r="C1373" s="1025" t="s">
        <v>16</v>
      </c>
      <c r="D1373" s="1025" t="s">
        <v>1966</v>
      </c>
      <c r="E1373" s="1025" t="s">
        <v>1864</v>
      </c>
      <c r="F1373" s="1026">
        <v>45502</v>
      </c>
      <c r="G1373" s="1026"/>
      <c r="H1373" s="1027" t="s">
        <v>701</v>
      </c>
    </row>
    <row r="1374" spans="1:8" hidden="1">
      <c r="A1374" s="1018">
        <v>1373</v>
      </c>
      <c r="B1374" s="1019" t="s">
        <v>46</v>
      </c>
      <c r="C1374" s="1020" t="s">
        <v>16</v>
      </c>
      <c r="D1374" s="1020" t="s">
        <v>1966</v>
      </c>
      <c r="E1374" s="1020" t="s">
        <v>1865</v>
      </c>
      <c r="F1374" s="1021">
        <v>45485</v>
      </c>
      <c r="G1374" s="1021"/>
      <c r="H1374" s="1022" t="s">
        <v>701</v>
      </c>
    </row>
    <row r="1375" spans="1:8" hidden="1">
      <c r="A1375" s="1023">
        <v>1374</v>
      </c>
      <c r="B1375" s="1024" t="s">
        <v>46</v>
      </c>
      <c r="C1375" s="1025" t="s">
        <v>16</v>
      </c>
      <c r="D1375" s="1025" t="s">
        <v>1966</v>
      </c>
      <c r="E1375" s="1025" t="s">
        <v>1866</v>
      </c>
      <c r="F1375" s="1026">
        <v>45519</v>
      </c>
      <c r="G1375" s="1026"/>
      <c r="H1375" s="1027" t="s">
        <v>701</v>
      </c>
    </row>
    <row r="1376" spans="1:8" hidden="1">
      <c r="A1376" s="1018">
        <v>1375</v>
      </c>
      <c r="B1376" s="1019" t="s">
        <v>46</v>
      </c>
      <c r="C1376" s="1020" t="s">
        <v>16</v>
      </c>
      <c r="D1376" s="1020" t="s">
        <v>1966</v>
      </c>
      <c r="E1376" s="1020" t="s">
        <v>1867</v>
      </c>
      <c r="F1376" s="1021">
        <v>45490</v>
      </c>
      <c r="G1376" s="1021"/>
      <c r="H1376" s="1022" t="s">
        <v>701</v>
      </c>
    </row>
    <row r="1377" spans="1:8" hidden="1">
      <c r="A1377" s="1023">
        <v>1376</v>
      </c>
      <c r="B1377" s="1024" t="s">
        <v>46</v>
      </c>
      <c r="C1377" s="1025" t="s">
        <v>16</v>
      </c>
      <c r="D1377" s="1025" t="s">
        <v>1966</v>
      </c>
      <c r="E1377" s="1025" t="s">
        <v>1870</v>
      </c>
      <c r="F1377" s="1026">
        <v>45521</v>
      </c>
      <c r="G1377" s="1026"/>
      <c r="H1377" s="1027" t="s">
        <v>701</v>
      </c>
    </row>
    <row r="1378" spans="1:8" hidden="1">
      <c r="A1378" s="1018">
        <v>1377</v>
      </c>
      <c r="B1378" s="1019" t="s">
        <v>46</v>
      </c>
      <c r="C1378" s="1020" t="s">
        <v>16</v>
      </c>
      <c r="D1378" s="1020" t="s">
        <v>1966</v>
      </c>
      <c r="E1378" s="1020" t="s">
        <v>1871</v>
      </c>
      <c r="F1378" s="1021">
        <v>45498</v>
      </c>
      <c r="G1378" s="1021"/>
      <c r="H1378" s="1022" t="s">
        <v>701</v>
      </c>
    </row>
    <row r="1379" spans="1:8" hidden="1">
      <c r="A1379" s="1023">
        <v>1378</v>
      </c>
      <c r="B1379" s="1024" t="s">
        <v>46</v>
      </c>
      <c r="C1379" s="1025" t="s">
        <v>16</v>
      </c>
      <c r="D1379" s="1025" t="s">
        <v>1966</v>
      </c>
      <c r="E1379" s="1025" t="s">
        <v>1872</v>
      </c>
      <c r="F1379" s="1026">
        <v>45552</v>
      </c>
      <c r="G1379" s="1026"/>
      <c r="H1379" s="1027" t="s">
        <v>701</v>
      </c>
    </row>
    <row r="1380" spans="1:8" hidden="1">
      <c r="A1380" s="1018">
        <v>1379</v>
      </c>
      <c r="B1380" s="1019" t="s">
        <v>46</v>
      </c>
      <c r="C1380" s="1020" t="s">
        <v>16</v>
      </c>
      <c r="D1380" s="1020" t="s">
        <v>1966</v>
      </c>
      <c r="E1380" s="1020" t="s">
        <v>1873</v>
      </c>
      <c r="F1380" s="1021">
        <v>45525</v>
      </c>
      <c r="G1380" s="1021"/>
      <c r="H1380" s="1022" t="s">
        <v>701</v>
      </c>
    </row>
    <row r="1381" spans="1:8" hidden="1">
      <c r="A1381" s="1023">
        <v>1380</v>
      </c>
      <c r="B1381" s="1024" t="s">
        <v>46</v>
      </c>
      <c r="C1381" s="1025" t="s">
        <v>16</v>
      </c>
      <c r="D1381" s="1025" t="s">
        <v>1966</v>
      </c>
      <c r="E1381" s="1025" t="s">
        <v>1874</v>
      </c>
      <c r="F1381" s="1026">
        <v>45515</v>
      </c>
      <c r="G1381" s="1026"/>
      <c r="H1381" s="1027" t="s">
        <v>701</v>
      </c>
    </row>
    <row r="1382" spans="1:8" hidden="1">
      <c r="A1382" s="1018">
        <v>1381</v>
      </c>
      <c r="B1382" s="1019" t="s">
        <v>46</v>
      </c>
      <c r="C1382" s="1020" t="s">
        <v>16</v>
      </c>
      <c r="D1382" s="1020" t="s">
        <v>1966</v>
      </c>
      <c r="E1382" s="1020" t="s">
        <v>1875</v>
      </c>
      <c r="F1382" s="1021">
        <v>45513</v>
      </c>
      <c r="G1382" s="1021"/>
      <c r="H1382" s="1022" t="s">
        <v>701</v>
      </c>
    </row>
    <row r="1383" spans="1:8" hidden="1">
      <c r="A1383" s="1023">
        <v>1382</v>
      </c>
      <c r="B1383" s="1024" t="s">
        <v>46</v>
      </c>
      <c r="C1383" s="1025" t="s">
        <v>16</v>
      </c>
      <c r="D1383" s="1025" t="s">
        <v>1966</v>
      </c>
      <c r="E1383" s="1025" t="s">
        <v>1876</v>
      </c>
      <c r="F1383" s="1026">
        <v>45515</v>
      </c>
      <c r="G1383" s="1026"/>
      <c r="H1383" s="1027" t="s">
        <v>701</v>
      </c>
    </row>
    <row r="1384" spans="1:8" ht="26" hidden="1">
      <c r="A1384" s="1018">
        <v>1383</v>
      </c>
      <c r="B1384" s="1019" t="s">
        <v>46</v>
      </c>
      <c r="C1384" s="1020" t="s">
        <v>16</v>
      </c>
      <c r="D1384" s="1020" t="s">
        <v>1966</v>
      </c>
      <c r="E1384" s="1020" t="s">
        <v>1877</v>
      </c>
      <c r="F1384" s="1021">
        <v>45533</v>
      </c>
      <c r="G1384" s="1021"/>
      <c r="H1384" s="1022" t="s">
        <v>701</v>
      </c>
    </row>
    <row r="1385" spans="1:8" hidden="1">
      <c r="A1385" s="1023">
        <v>1384</v>
      </c>
      <c r="B1385" s="1024" t="s">
        <v>46</v>
      </c>
      <c r="C1385" s="1025" t="s">
        <v>16</v>
      </c>
      <c r="D1385" s="1025" t="s">
        <v>1966</v>
      </c>
      <c r="E1385" s="1025" t="s">
        <v>1878</v>
      </c>
      <c r="F1385" s="1026">
        <v>45502</v>
      </c>
      <c r="G1385" s="1026"/>
      <c r="H1385" s="1027" t="s">
        <v>701</v>
      </c>
    </row>
    <row r="1386" spans="1:8" hidden="1">
      <c r="A1386" s="1018">
        <v>1385</v>
      </c>
      <c r="B1386" s="1019" t="s">
        <v>46</v>
      </c>
      <c r="C1386" s="1020" t="s">
        <v>16</v>
      </c>
      <c r="D1386" s="1020" t="s">
        <v>1966</v>
      </c>
      <c r="E1386" s="1020" t="s">
        <v>1942</v>
      </c>
      <c r="F1386" s="1021">
        <v>45506</v>
      </c>
      <c r="G1386" s="1021"/>
      <c r="H1386" s="1022" t="s">
        <v>701</v>
      </c>
    </row>
    <row r="1387" spans="1:8" hidden="1">
      <c r="A1387" s="1023">
        <v>1386</v>
      </c>
      <c r="B1387" s="1024" t="s">
        <v>46</v>
      </c>
      <c r="C1387" s="1025" t="s">
        <v>16</v>
      </c>
      <c r="D1387" s="1025" t="s">
        <v>1966</v>
      </c>
      <c r="E1387" s="1025" t="s">
        <v>1879</v>
      </c>
      <c r="F1387" s="1026">
        <v>45550</v>
      </c>
      <c r="G1387" s="1026"/>
      <c r="H1387" s="1027" t="s">
        <v>701</v>
      </c>
    </row>
    <row r="1388" spans="1:8" hidden="1">
      <c r="A1388" s="1018">
        <v>1387</v>
      </c>
      <c r="B1388" s="1019" t="s">
        <v>46</v>
      </c>
      <c r="C1388" s="1020" t="s">
        <v>16</v>
      </c>
      <c r="D1388" s="1020" t="s">
        <v>1966</v>
      </c>
      <c r="E1388" s="1020" t="s">
        <v>1880</v>
      </c>
      <c r="F1388" s="1021">
        <v>45515</v>
      </c>
      <c r="G1388" s="1021"/>
      <c r="H1388" s="1022" t="s">
        <v>701</v>
      </c>
    </row>
    <row r="1389" spans="1:8" hidden="1">
      <c r="A1389" s="1023">
        <v>1388</v>
      </c>
      <c r="B1389" s="1024" t="s">
        <v>46</v>
      </c>
      <c r="C1389" s="1025" t="s">
        <v>16</v>
      </c>
      <c r="D1389" s="1025" t="s">
        <v>1966</v>
      </c>
      <c r="E1389" s="1025" t="s">
        <v>1881</v>
      </c>
      <c r="F1389" s="1026">
        <v>45554</v>
      </c>
      <c r="G1389" s="1026"/>
      <c r="H1389" s="1027" t="s">
        <v>701</v>
      </c>
    </row>
    <row r="1390" spans="1:8" hidden="1">
      <c r="A1390" s="1018">
        <v>1389</v>
      </c>
      <c r="B1390" s="1019" t="s">
        <v>46</v>
      </c>
      <c r="C1390" s="1020" t="s">
        <v>16</v>
      </c>
      <c r="D1390" s="1020" t="s">
        <v>1966</v>
      </c>
      <c r="E1390" s="1020" t="s">
        <v>1882</v>
      </c>
      <c r="F1390" s="1021">
        <v>45554</v>
      </c>
      <c r="G1390" s="1021"/>
      <c r="H1390" s="1022" t="s">
        <v>701</v>
      </c>
    </row>
    <row r="1391" spans="1:8" hidden="1">
      <c r="A1391" s="1023">
        <v>1390</v>
      </c>
      <c r="B1391" s="1024" t="s">
        <v>46</v>
      </c>
      <c r="C1391" s="1025" t="s">
        <v>16</v>
      </c>
      <c r="D1391" s="1025" t="s">
        <v>1966</v>
      </c>
      <c r="E1391" s="1025" t="s">
        <v>1883</v>
      </c>
      <c r="F1391" s="1026">
        <v>45523</v>
      </c>
      <c r="G1391" s="1026"/>
      <c r="H1391" s="1027" t="s">
        <v>701</v>
      </c>
    </row>
    <row r="1392" spans="1:8" hidden="1">
      <c r="A1392" s="1018">
        <v>1391</v>
      </c>
      <c r="B1392" s="1019" t="s">
        <v>46</v>
      </c>
      <c r="C1392" s="1020" t="s">
        <v>16</v>
      </c>
      <c r="D1392" s="1020" t="s">
        <v>1966</v>
      </c>
      <c r="E1392" s="1020" t="s">
        <v>1967</v>
      </c>
      <c r="F1392" s="1021">
        <v>45515</v>
      </c>
      <c r="G1392" s="1021"/>
      <c r="H1392" s="1022" t="s">
        <v>701</v>
      </c>
    </row>
    <row r="1393" spans="1:8" hidden="1">
      <c r="A1393" s="1023">
        <v>1392</v>
      </c>
      <c r="B1393" s="1024" t="s">
        <v>46</v>
      </c>
      <c r="C1393" s="1025" t="s">
        <v>16</v>
      </c>
      <c r="D1393" s="1025" t="s">
        <v>1966</v>
      </c>
      <c r="E1393" s="1025" t="s">
        <v>1968</v>
      </c>
      <c r="F1393" s="1026">
        <v>45515</v>
      </c>
      <c r="G1393" s="1026"/>
      <c r="H1393" s="1027" t="s">
        <v>701</v>
      </c>
    </row>
    <row r="1394" spans="1:8" hidden="1">
      <c r="A1394" s="1018">
        <v>1393</v>
      </c>
      <c r="B1394" s="1019" t="s">
        <v>46</v>
      </c>
      <c r="C1394" s="1020" t="s">
        <v>16</v>
      </c>
      <c r="D1394" s="1020" t="s">
        <v>1966</v>
      </c>
      <c r="E1394" s="1020" t="s">
        <v>1969</v>
      </c>
      <c r="F1394" s="1021">
        <v>45502</v>
      </c>
      <c r="G1394" s="1021"/>
      <c r="H1394" s="1022" t="s">
        <v>701</v>
      </c>
    </row>
    <row r="1395" spans="1:8" hidden="1">
      <c r="A1395" s="1023">
        <v>1394</v>
      </c>
      <c r="B1395" s="1024" t="s">
        <v>46</v>
      </c>
      <c r="C1395" s="1025" t="s">
        <v>16</v>
      </c>
      <c r="D1395" s="1025" t="s">
        <v>1966</v>
      </c>
      <c r="E1395" s="1025" t="s">
        <v>1970</v>
      </c>
      <c r="F1395" s="1026">
        <v>45519</v>
      </c>
      <c r="G1395" s="1026"/>
      <c r="H1395" s="1027" t="s">
        <v>701</v>
      </c>
    </row>
    <row r="1396" spans="1:8" hidden="1">
      <c r="A1396" s="1018">
        <v>1395</v>
      </c>
      <c r="B1396" s="1019" t="s">
        <v>46</v>
      </c>
      <c r="C1396" s="1020" t="s">
        <v>16</v>
      </c>
      <c r="D1396" s="1020" t="s">
        <v>1966</v>
      </c>
      <c r="E1396" s="1020" t="s">
        <v>1971</v>
      </c>
      <c r="F1396" s="1021">
        <v>45500</v>
      </c>
      <c r="G1396" s="1021"/>
      <c r="H1396" s="1022" t="s">
        <v>701</v>
      </c>
    </row>
    <row r="1397" spans="1:8" hidden="1">
      <c r="A1397" s="1023">
        <v>1396</v>
      </c>
      <c r="B1397" s="1024" t="s">
        <v>46</v>
      </c>
      <c r="C1397" s="1025" t="s">
        <v>16</v>
      </c>
      <c r="D1397" s="1025" t="s">
        <v>1972</v>
      </c>
      <c r="E1397" s="1025" t="s">
        <v>1859</v>
      </c>
      <c r="F1397" s="1026">
        <v>45481</v>
      </c>
      <c r="G1397" s="1026"/>
      <c r="H1397" s="1027" t="s">
        <v>701</v>
      </c>
    </row>
    <row r="1398" spans="1:8" hidden="1">
      <c r="A1398" s="1018">
        <v>1397</v>
      </c>
      <c r="B1398" s="1019" t="s">
        <v>46</v>
      </c>
      <c r="C1398" s="1020" t="s">
        <v>16</v>
      </c>
      <c r="D1398" s="1020" t="s">
        <v>1972</v>
      </c>
      <c r="E1398" s="1020" t="s">
        <v>1860</v>
      </c>
      <c r="F1398" s="1021">
        <v>45481</v>
      </c>
      <c r="G1398" s="1021"/>
      <c r="H1398" s="1022" t="s">
        <v>701</v>
      </c>
    </row>
    <row r="1399" spans="1:8" hidden="1">
      <c r="A1399" s="1023">
        <v>1398</v>
      </c>
      <c r="B1399" s="1024" t="s">
        <v>46</v>
      </c>
      <c r="C1399" s="1025" t="s">
        <v>16</v>
      </c>
      <c r="D1399" s="1025" t="s">
        <v>1972</v>
      </c>
      <c r="E1399" s="1025" t="s">
        <v>1861</v>
      </c>
      <c r="F1399" s="1026">
        <v>45522</v>
      </c>
      <c r="G1399" s="1026"/>
      <c r="H1399" s="1027" t="s">
        <v>701</v>
      </c>
    </row>
    <row r="1400" spans="1:8" hidden="1">
      <c r="A1400" s="1018">
        <v>1399</v>
      </c>
      <c r="B1400" s="1019" t="s">
        <v>46</v>
      </c>
      <c r="C1400" s="1020" t="s">
        <v>16</v>
      </c>
      <c r="D1400" s="1020" t="s">
        <v>1972</v>
      </c>
      <c r="E1400" s="1020" t="s">
        <v>1862</v>
      </c>
      <c r="F1400" s="1021">
        <v>45480</v>
      </c>
      <c r="G1400" s="1021"/>
      <c r="H1400" s="1022" t="s">
        <v>701</v>
      </c>
    </row>
    <row r="1401" spans="1:8" hidden="1">
      <c r="A1401" s="1023">
        <v>1400</v>
      </c>
      <c r="B1401" s="1024" t="s">
        <v>46</v>
      </c>
      <c r="C1401" s="1025" t="s">
        <v>16</v>
      </c>
      <c r="D1401" s="1025" t="s">
        <v>1972</v>
      </c>
      <c r="E1401" s="1025" t="s">
        <v>1864</v>
      </c>
      <c r="F1401" s="1026">
        <v>45504</v>
      </c>
      <c r="G1401" s="1026"/>
      <c r="H1401" s="1027" t="s">
        <v>701</v>
      </c>
    </row>
    <row r="1402" spans="1:8" hidden="1">
      <c r="A1402" s="1018">
        <v>1401</v>
      </c>
      <c r="B1402" s="1019" t="s">
        <v>46</v>
      </c>
      <c r="C1402" s="1020" t="s">
        <v>16</v>
      </c>
      <c r="D1402" s="1020" t="s">
        <v>1972</v>
      </c>
      <c r="E1402" s="1020" t="s">
        <v>1865</v>
      </c>
      <c r="F1402" s="1021">
        <v>45486</v>
      </c>
      <c r="G1402" s="1021"/>
      <c r="H1402" s="1022" t="s">
        <v>701</v>
      </c>
    </row>
    <row r="1403" spans="1:8" hidden="1">
      <c r="A1403" s="1023">
        <v>1402</v>
      </c>
      <c r="B1403" s="1024" t="s">
        <v>46</v>
      </c>
      <c r="C1403" s="1025" t="s">
        <v>16</v>
      </c>
      <c r="D1403" s="1025" t="s">
        <v>1972</v>
      </c>
      <c r="E1403" s="1025" t="s">
        <v>1866</v>
      </c>
      <c r="F1403" s="1026">
        <v>45521</v>
      </c>
      <c r="G1403" s="1026"/>
      <c r="H1403" s="1027" t="s">
        <v>701</v>
      </c>
    </row>
    <row r="1404" spans="1:8" hidden="1">
      <c r="A1404" s="1018">
        <v>1403</v>
      </c>
      <c r="B1404" s="1019" t="s">
        <v>46</v>
      </c>
      <c r="C1404" s="1020" t="s">
        <v>16</v>
      </c>
      <c r="D1404" s="1020" t="s">
        <v>1972</v>
      </c>
      <c r="E1404" s="1020" t="s">
        <v>1867</v>
      </c>
      <c r="F1404" s="1021">
        <v>45492</v>
      </c>
      <c r="G1404" s="1021"/>
      <c r="H1404" s="1022" t="s">
        <v>701</v>
      </c>
    </row>
    <row r="1405" spans="1:8" hidden="1">
      <c r="A1405" s="1023">
        <v>1404</v>
      </c>
      <c r="B1405" s="1024" t="s">
        <v>46</v>
      </c>
      <c r="C1405" s="1025" t="s">
        <v>16</v>
      </c>
      <c r="D1405" s="1025" t="s">
        <v>1972</v>
      </c>
      <c r="E1405" s="1025" t="s">
        <v>1870</v>
      </c>
      <c r="F1405" s="1026">
        <v>45523</v>
      </c>
      <c r="G1405" s="1026"/>
      <c r="H1405" s="1027" t="s">
        <v>701</v>
      </c>
    </row>
    <row r="1406" spans="1:8" hidden="1">
      <c r="A1406" s="1018">
        <v>1405</v>
      </c>
      <c r="B1406" s="1019" t="s">
        <v>46</v>
      </c>
      <c r="C1406" s="1020" t="s">
        <v>16</v>
      </c>
      <c r="D1406" s="1020" t="s">
        <v>1972</v>
      </c>
      <c r="E1406" s="1020" t="s">
        <v>1871</v>
      </c>
      <c r="F1406" s="1021">
        <v>45500</v>
      </c>
      <c r="G1406" s="1021"/>
      <c r="H1406" s="1022" t="s">
        <v>701</v>
      </c>
    </row>
    <row r="1407" spans="1:8" hidden="1">
      <c r="A1407" s="1023">
        <v>1406</v>
      </c>
      <c r="B1407" s="1024" t="s">
        <v>46</v>
      </c>
      <c r="C1407" s="1025" t="s">
        <v>16</v>
      </c>
      <c r="D1407" s="1025" t="s">
        <v>1972</v>
      </c>
      <c r="E1407" s="1025" t="s">
        <v>1872</v>
      </c>
      <c r="F1407" s="1026">
        <v>45554</v>
      </c>
      <c r="G1407" s="1026"/>
      <c r="H1407" s="1027" t="s">
        <v>701</v>
      </c>
    </row>
    <row r="1408" spans="1:8" hidden="1">
      <c r="A1408" s="1018">
        <v>1407</v>
      </c>
      <c r="B1408" s="1019" t="s">
        <v>46</v>
      </c>
      <c r="C1408" s="1020" t="s">
        <v>16</v>
      </c>
      <c r="D1408" s="1020" t="s">
        <v>1972</v>
      </c>
      <c r="E1408" s="1020" t="s">
        <v>1873</v>
      </c>
      <c r="F1408" s="1021">
        <v>45527</v>
      </c>
      <c r="G1408" s="1021"/>
      <c r="H1408" s="1022" t="s">
        <v>701</v>
      </c>
    </row>
    <row r="1409" spans="1:8" hidden="1">
      <c r="A1409" s="1023">
        <v>1408</v>
      </c>
      <c r="B1409" s="1024" t="s">
        <v>46</v>
      </c>
      <c r="C1409" s="1025" t="s">
        <v>16</v>
      </c>
      <c r="D1409" s="1025" t="s">
        <v>1972</v>
      </c>
      <c r="E1409" s="1025" t="s">
        <v>1874</v>
      </c>
      <c r="F1409" s="1026">
        <v>45519</v>
      </c>
      <c r="G1409" s="1026"/>
      <c r="H1409" s="1027" t="s">
        <v>701</v>
      </c>
    </row>
    <row r="1410" spans="1:8" hidden="1">
      <c r="A1410" s="1018">
        <v>1409</v>
      </c>
      <c r="B1410" s="1019" t="s">
        <v>46</v>
      </c>
      <c r="C1410" s="1020" t="s">
        <v>16</v>
      </c>
      <c r="D1410" s="1020" t="s">
        <v>1972</v>
      </c>
      <c r="E1410" s="1020" t="s">
        <v>1875</v>
      </c>
      <c r="F1410" s="1021">
        <v>45517</v>
      </c>
      <c r="G1410" s="1021"/>
      <c r="H1410" s="1022" t="s">
        <v>701</v>
      </c>
    </row>
    <row r="1411" spans="1:8" hidden="1">
      <c r="A1411" s="1023">
        <v>1410</v>
      </c>
      <c r="B1411" s="1024" t="s">
        <v>46</v>
      </c>
      <c r="C1411" s="1025" t="s">
        <v>16</v>
      </c>
      <c r="D1411" s="1025" t="s">
        <v>1972</v>
      </c>
      <c r="E1411" s="1025" t="s">
        <v>1876</v>
      </c>
      <c r="F1411" s="1026">
        <v>45516</v>
      </c>
      <c r="G1411" s="1026"/>
      <c r="H1411" s="1027" t="s">
        <v>701</v>
      </c>
    </row>
    <row r="1412" spans="1:8" ht="26" hidden="1">
      <c r="A1412" s="1018">
        <v>1411</v>
      </c>
      <c r="B1412" s="1019" t="s">
        <v>46</v>
      </c>
      <c r="C1412" s="1020" t="s">
        <v>16</v>
      </c>
      <c r="D1412" s="1020" t="s">
        <v>1972</v>
      </c>
      <c r="E1412" s="1020" t="s">
        <v>1877</v>
      </c>
      <c r="F1412" s="1021">
        <v>45534</v>
      </c>
      <c r="G1412" s="1021"/>
      <c r="H1412" s="1022" t="s">
        <v>701</v>
      </c>
    </row>
    <row r="1413" spans="1:8" hidden="1">
      <c r="A1413" s="1023">
        <v>1412</v>
      </c>
      <c r="B1413" s="1024" t="s">
        <v>46</v>
      </c>
      <c r="C1413" s="1025" t="s">
        <v>16</v>
      </c>
      <c r="D1413" s="1025" t="s">
        <v>1972</v>
      </c>
      <c r="E1413" s="1025" t="s">
        <v>1878</v>
      </c>
      <c r="F1413" s="1026">
        <v>45505</v>
      </c>
      <c r="G1413" s="1026"/>
      <c r="H1413" s="1027" t="s">
        <v>701</v>
      </c>
    </row>
    <row r="1414" spans="1:8" hidden="1">
      <c r="A1414" s="1018">
        <v>1413</v>
      </c>
      <c r="B1414" s="1019" t="s">
        <v>46</v>
      </c>
      <c r="C1414" s="1020" t="s">
        <v>16</v>
      </c>
      <c r="D1414" s="1020" t="s">
        <v>1972</v>
      </c>
      <c r="E1414" s="1020" t="s">
        <v>1942</v>
      </c>
      <c r="F1414" s="1021">
        <v>45511</v>
      </c>
      <c r="G1414" s="1021"/>
      <c r="H1414" s="1022" t="s">
        <v>701</v>
      </c>
    </row>
    <row r="1415" spans="1:8" hidden="1">
      <c r="A1415" s="1023">
        <v>1414</v>
      </c>
      <c r="B1415" s="1024" t="s">
        <v>46</v>
      </c>
      <c r="C1415" s="1025" t="s">
        <v>16</v>
      </c>
      <c r="D1415" s="1025" t="s">
        <v>1972</v>
      </c>
      <c r="E1415" s="1025" t="s">
        <v>1879</v>
      </c>
      <c r="F1415" s="1026">
        <v>45552</v>
      </c>
      <c r="G1415" s="1026"/>
      <c r="H1415" s="1027" t="s">
        <v>701</v>
      </c>
    </row>
    <row r="1416" spans="1:8" hidden="1">
      <c r="A1416" s="1018">
        <v>1415</v>
      </c>
      <c r="B1416" s="1019" t="s">
        <v>46</v>
      </c>
      <c r="C1416" s="1020" t="s">
        <v>16</v>
      </c>
      <c r="D1416" s="1020" t="s">
        <v>1972</v>
      </c>
      <c r="E1416" s="1020" t="s">
        <v>1880</v>
      </c>
      <c r="F1416" s="1021">
        <v>45518</v>
      </c>
      <c r="G1416" s="1021"/>
      <c r="H1416" s="1022" t="s">
        <v>701</v>
      </c>
    </row>
    <row r="1417" spans="1:8" hidden="1">
      <c r="A1417" s="1023">
        <v>1416</v>
      </c>
      <c r="B1417" s="1024" t="s">
        <v>46</v>
      </c>
      <c r="C1417" s="1025" t="s">
        <v>16</v>
      </c>
      <c r="D1417" s="1025" t="s">
        <v>1972</v>
      </c>
      <c r="E1417" s="1025" t="s">
        <v>1881</v>
      </c>
      <c r="F1417" s="1026">
        <v>45558</v>
      </c>
      <c r="G1417" s="1026"/>
      <c r="H1417" s="1027" t="s">
        <v>701</v>
      </c>
    </row>
    <row r="1418" spans="1:8" hidden="1">
      <c r="A1418" s="1018">
        <v>1417</v>
      </c>
      <c r="B1418" s="1019" t="s">
        <v>46</v>
      </c>
      <c r="C1418" s="1020" t="s">
        <v>16</v>
      </c>
      <c r="D1418" s="1020" t="s">
        <v>1972</v>
      </c>
      <c r="E1418" s="1020" t="s">
        <v>1882</v>
      </c>
      <c r="F1418" s="1021">
        <v>45556</v>
      </c>
      <c r="G1418" s="1021"/>
      <c r="H1418" s="1022" t="s">
        <v>701</v>
      </c>
    </row>
    <row r="1419" spans="1:8" hidden="1">
      <c r="A1419" s="1023">
        <v>1418</v>
      </c>
      <c r="B1419" s="1024" t="s">
        <v>46</v>
      </c>
      <c r="C1419" s="1025" t="s">
        <v>16</v>
      </c>
      <c r="D1419" s="1025" t="s">
        <v>1972</v>
      </c>
      <c r="E1419" s="1025" t="s">
        <v>1883</v>
      </c>
      <c r="F1419" s="1026">
        <v>45526</v>
      </c>
      <c r="G1419" s="1026"/>
      <c r="H1419" s="1027" t="s">
        <v>701</v>
      </c>
    </row>
    <row r="1420" spans="1:8" hidden="1">
      <c r="A1420" s="1018">
        <v>1419</v>
      </c>
      <c r="B1420" s="1019" t="s">
        <v>46</v>
      </c>
      <c r="C1420" s="1020" t="s">
        <v>16</v>
      </c>
      <c r="D1420" s="1020" t="s">
        <v>1972</v>
      </c>
      <c r="E1420" s="1020" t="s">
        <v>1973</v>
      </c>
      <c r="F1420" s="1021">
        <v>45518</v>
      </c>
      <c r="G1420" s="1021"/>
      <c r="H1420" s="1022" t="s">
        <v>701</v>
      </c>
    </row>
    <row r="1421" spans="1:8" hidden="1">
      <c r="A1421" s="1023">
        <v>1420</v>
      </c>
      <c r="B1421" s="1024" t="s">
        <v>46</v>
      </c>
      <c r="C1421" s="1025" t="s">
        <v>16</v>
      </c>
      <c r="D1421" s="1025" t="s">
        <v>1972</v>
      </c>
      <c r="E1421" s="1025" t="s">
        <v>1974</v>
      </c>
      <c r="F1421" s="1026">
        <v>45517</v>
      </c>
      <c r="G1421" s="1026"/>
      <c r="H1421" s="1027" t="s">
        <v>701</v>
      </c>
    </row>
    <row r="1422" spans="1:8" hidden="1">
      <c r="A1422" s="1018">
        <v>1421</v>
      </c>
      <c r="B1422" s="1019" t="s">
        <v>46</v>
      </c>
      <c r="C1422" s="1020" t="s">
        <v>16</v>
      </c>
      <c r="D1422" s="1020" t="s">
        <v>1972</v>
      </c>
      <c r="E1422" s="1020" t="s">
        <v>1975</v>
      </c>
      <c r="F1422" s="1021">
        <v>45509</v>
      </c>
      <c r="G1422" s="1021"/>
      <c r="H1422" s="1022" t="s">
        <v>701</v>
      </c>
    </row>
    <row r="1423" spans="1:8" hidden="1">
      <c r="A1423" s="1023">
        <v>1422</v>
      </c>
      <c r="B1423" s="1024" t="s">
        <v>46</v>
      </c>
      <c r="C1423" s="1025" t="s">
        <v>16</v>
      </c>
      <c r="D1423" s="1025" t="s">
        <v>1972</v>
      </c>
      <c r="E1423" s="1025" t="s">
        <v>1976</v>
      </c>
      <c r="F1423" s="1026">
        <v>45521</v>
      </c>
      <c r="G1423" s="1026"/>
      <c r="H1423" s="1027" t="s">
        <v>701</v>
      </c>
    </row>
    <row r="1424" spans="1:8" hidden="1">
      <c r="A1424" s="1018">
        <v>1423</v>
      </c>
      <c r="B1424" s="1019" t="s">
        <v>46</v>
      </c>
      <c r="C1424" s="1020" t="s">
        <v>16</v>
      </c>
      <c r="D1424" s="1020" t="s">
        <v>1972</v>
      </c>
      <c r="E1424" s="1020" t="s">
        <v>1977</v>
      </c>
      <c r="F1424" s="1021">
        <v>45502</v>
      </c>
      <c r="G1424" s="1021"/>
      <c r="H1424" s="1022" t="s">
        <v>701</v>
      </c>
    </row>
    <row r="1425" spans="1:8" hidden="1">
      <c r="A1425" s="1023">
        <v>1424</v>
      </c>
      <c r="B1425" s="1024" t="s">
        <v>46</v>
      </c>
      <c r="C1425" s="1025" t="s">
        <v>16</v>
      </c>
      <c r="D1425" s="1025" t="s">
        <v>1978</v>
      </c>
      <c r="E1425" s="1025" t="s">
        <v>1859</v>
      </c>
      <c r="F1425" s="1026">
        <v>45483</v>
      </c>
      <c r="G1425" s="1026"/>
      <c r="H1425" s="1027" t="s">
        <v>701</v>
      </c>
    </row>
    <row r="1426" spans="1:8" hidden="1">
      <c r="A1426" s="1018">
        <v>1425</v>
      </c>
      <c r="B1426" s="1019" t="s">
        <v>46</v>
      </c>
      <c r="C1426" s="1020" t="s">
        <v>16</v>
      </c>
      <c r="D1426" s="1020" t="s">
        <v>1978</v>
      </c>
      <c r="E1426" s="1020" t="s">
        <v>1860</v>
      </c>
      <c r="F1426" s="1021">
        <v>45483</v>
      </c>
      <c r="G1426" s="1021"/>
      <c r="H1426" s="1022" t="s">
        <v>701</v>
      </c>
    </row>
    <row r="1427" spans="1:8" hidden="1">
      <c r="A1427" s="1023">
        <v>1426</v>
      </c>
      <c r="B1427" s="1024" t="s">
        <v>46</v>
      </c>
      <c r="C1427" s="1025" t="s">
        <v>16</v>
      </c>
      <c r="D1427" s="1025" t="s">
        <v>1978</v>
      </c>
      <c r="E1427" s="1025" t="s">
        <v>1861</v>
      </c>
      <c r="F1427" s="1026">
        <v>45524</v>
      </c>
      <c r="G1427" s="1026"/>
      <c r="H1427" s="1027" t="s">
        <v>701</v>
      </c>
    </row>
    <row r="1428" spans="1:8" hidden="1">
      <c r="A1428" s="1018">
        <v>1427</v>
      </c>
      <c r="B1428" s="1019" t="s">
        <v>46</v>
      </c>
      <c r="C1428" s="1020" t="s">
        <v>16</v>
      </c>
      <c r="D1428" s="1020" t="s">
        <v>1978</v>
      </c>
      <c r="E1428" s="1020" t="s">
        <v>1862</v>
      </c>
      <c r="F1428" s="1021">
        <v>45482</v>
      </c>
      <c r="G1428" s="1021"/>
      <c r="H1428" s="1022" t="s">
        <v>701</v>
      </c>
    </row>
    <row r="1429" spans="1:8" hidden="1">
      <c r="A1429" s="1023">
        <v>1428</v>
      </c>
      <c r="B1429" s="1024" t="s">
        <v>46</v>
      </c>
      <c r="C1429" s="1025" t="s">
        <v>16</v>
      </c>
      <c r="D1429" s="1025" t="s">
        <v>1978</v>
      </c>
      <c r="E1429" s="1025" t="s">
        <v>1864</v>
      </c>
      <c r="F1429" s="1026">
        <v>45507</v>
      </c>
      <c r="G1429" s="1026"/>
      <c r="H1429" s="1027" t="s">
        <v>701</v>
      </c>
    </row>
    <row r="1430" spans="1:8" hidden="1">
      <c r="A1430" s="1018">
        <v>1429</v>
      </c>
      <c r="B1430" s="1019" t="s">
        <v>46</v>
      </c>
      <c r="C1430" s="1020" t="s">
        <v>16</v>
      </c>
      <c r="D1430" s="1020" t="s">
        <v>1978</v>
      </c>
      <c r="E1430" s="1020" t="s">
        <v>1865</v>
      </c>
      <c r="F1430" s="1021">
        <v>45487</v>
      </c>
      <c r="G1430" s="1021"/>
      <c r="H1430" s="1022" t="s">
        <v>701</v>
      </c>
    </row>
    <row r="1431" spans="1:8" hidden="1">
      <c r="A1431" s="1023">
        <v>1430</v>
      </c>
      <c r="B1431" s="1024" t="s">
        <v>46</v>
      </c>
      <c r="C1431" s="1025" t="s">
        <v>16</v>
      </c>
      <c r="D1431" s="1025" t="s">
        <v>1978</v>
      </c>
      <c r="E1431" s="1025" t="s">
        <v>1867</v>
      </c>
      <c r="F1431" s="1026">
        <v>45494</v>
      </c>
      <c r="G1431" s="1026"/>
      <c r="H1431" s="1027" t="s">
        <v>701</v>
      </c>
    </row>
    <row r="1432" spans="1:8" hidden="1">
      <c r="A1432" s="1018">
        <v>1431</v>
      </c>
      <c r="B1432" s="1019" t="s">
        <v>46</v>
      </c>
      <c r="C1432" s="1020" t="s">
        <v>16</v>
      </c>
      <c r="D1432" s="1020" t="s">
        <v>1978</v>
      </c>
      <c r="E1432" s="1020" t="s">
        <v>1870</v>
      </c>
      <c r="F1432" s="1021">
        <v>45525</v>
      </c>
      <c r="G1432" s="1021"/>
      <c r="H1432" s="1022" t="s">
        <v>701</v>
      </c>
    </row>
    <row r="1433" spans="1:8" hidden="1">
      <c r="A1433" s="1023">
        <v>1432</v>
      </c>
      <c r="B1433" s="1024" t="s">
        <v>46</v>
      </c>
      <c r="C1433" s="1025" t="s">
        <v>16</v>
      </c>
      <c r="D1433" s="1025" t="s">
        <v>1978</v>
      </c>
      <c r="E1433" s="1025" t="s">
        <v>1871</v>
      </c>
      <c r="F1433" s="1026">
        <v>45502</v>
      </c>
      <c r="G1433" s="1026"/>
      <c r="H1433" s="1027" t="s">
        <v>701</v>
      </c>
    </row>
    <row r="1434" spans="1:8" hidden="1">
      <c r="A1434" s="1018">
        <v>1433</v>
      </c>
      <c r="B1434" s="1019" t="s">
        <v>46</v>
      </c>
      <c r="C1434" s="1020" t="s">
        <v>16</v>
      </c>
      <c r="D1434" s="1020" t="s">
        <v>1978</v>
      </c>
      <c r="E1434" s="1020" t="s">
        <v>1872</v>
      </c>
      <c r="F1434" s="1021">
        <v>45558</v>
      </c>
      <c r="G1434" s="1021"/>
      <c r="H1434" s="1022" t="s">
        <v>701</v>
      </c>
    </row>
    <row r="1435" spans="1:8" hidden="1">
      <c r="A1435" s="1023">
        <v>1434</v>
      </c>
      <c r="B1435" s="1024" t="s">
        <v>46</v>
      </c>
      <c r="C1435" s="1025" t="s">
        <v>16</v>
      </c>
      <c r="D1435" s="1025" t="s">
        <v>1978</v>
      </c>
      <c r="E1435" s="1025" t="s">
        <v>1873</v>
      </c>
      <c r="F1435" s="1026">
        <v>45529</v>
      </c>
      <c r="G1435" s="1026"/>
      <c r="H1435" s="1027" t="s">
        <v>701</v>
      </c>
    </row>
    <row r="1436" spans="1:8" hidden="1">
      <c r="A1436" s="1018">
        <v>1435</v>
      </c>
      <c r="B1436" s="1019" t="s">
        <v>46</v>
      </c>
      <c r="C1436" s="1020" t="s">
        <v>16</v>
      </c>
      <c r="D1436" s="1020" t="s">
        <v>1978</v>
      </c>
      <c r="E1436" s="1020" t="s">
        <v>1874</v>
      </c>
      <c r="F1436" s="1021">
        <v>45522</v>
      </c>
      <c r="G1436" s="1021"/>
      <c r="H1436" s="1022" t="s">
        <v>701</v>
      </c>
    </row>
    <row r="1437" spans="1:8" hidden="1">
      <c r="A1437" s="1023">
        <v>1436</v>
      </c>
      <c r="B1437" s="1024" t="s">
        <v>46</v>
      </c>
      <c r="C1437" s="1025" t="s">
        <v>16</v>
      </c>
      <c r="D1437" s="1025" t="s">
        <v>1978</v>
      </c>
      <c r="E1437" s="1025" t="s">
        <v>1875</v>
      </c>
      <c r="F1437" s="1026">
        <v>45519</v>
      </c>
      <c r="G1437" s="1026"/>
      <c r="H1437" s="1027" t="s">
        <v>701</v>
      </c>
    </row>
    <row r="1438" spans="1:8" hidden="1">
      <c r="A1438" s="1018">
        <v>1437</v>
      </c>
      <c r="B1438" s="1019" t="s">
        <v>46</v>
      </c>
      <c r="C1438" s="1020" t="s">
        <v>16</v>
      </c>
      <c r="D1438" s="1020" t="s">
        <v>1978</v>
      </c>
      <c r="E1438" s="1020" t="s">
        <v>1876</v>
      </c>
      <c r="F1438" s="1021">
        <v>45521</v>
      </c>
      <c r="G1438" s="1021"/>
      <c r="H1438" s="1022" t="s">
        <v>701</v>
      </c>
    </row>
    <row r="1439" spans="1:8" ht="26" hidden="1">
      <c r="A1439" s="1023">
        <v>1438</v>
      </c>
      <c r="B1439" s="1024" t="s">
        <v>46</v>
      </c>
      <c r="C1439" s="1025" t="s">
        <v>16</v>
      </c>
      <c r="D1439" s="1025" t="s">
        <v>1978</v>
      </c>
      <c r="E1439" s="1025" t="s">
        <v>1877</v>
      </c>
      <c r="F1439" s="1026">
        <v>45535</v>
      </c>
      <c r="G1439" s="1026"/>
      <c r="H1439" s="1027" t="s">
        <v>701</v>
      </c>
    </row>
    <row r="1440" spans="1:8" hidden="1">
      <c r="A1440" s="1018">
        <v>1439</v>
      </c>
      <c r="B1440" s="1019" t="s">
        <v>46</v>
      </c>
      <c r="C1440" s="1020" t="s">
        <v>16</v>
      </c>
      <c r="D1440" s="1020" t="s">
        <v>1978</v>
      </c>
      <c r="E1440" s="1020" t="s">
        <v>1878</v>
      </c>
      <c r="F1440" s="1021">
        <v>45507</v>
      </c>
      <c r="G1440" s="1021"/>
      <c r="H1440" s="1022" t="s">
        <v>701</v>
      </c>
    </row>
    <row r="1441" spans="1:8" hidden="1">
      <c r="A1441" s="1023">
        <v>1440</v>
      </c>
      <c r="B1441" s="1024" t="s">
        <v>46</v>
      </c>
      <c r="C1441" s="1025" t="s">
        <v>16</v>
      </c>
      <c r="D1441" s="1025" t="s">
        <v>1978</v>
      </c>
      <c r="E1441" s="1025" t="s">
        <v>1942</v>
      </c>
      <c r="F1441" s="1026">
        <v>45513</v>
      </c>
      <c r="G1441" s="1026"/>
      <c r="H1441" s="1027" t="s">
        <v>701</v>
      </c>
    </row>
    <row r="1442" spans="1:8" hidden="1">
      <c r="A1442" s="1018">
        <v>1441</v>
      </c>
      <c r="B1442" s="1019" t="s">
        <v>46</v>
      </c>
      <c r="C1442" s="1020" t="s">
        <v>16</v>
      </c>
      <c r="D1442" s="1020" t="s">
        <v>1978</v>
      </c>
      <c r="E1442" s="1020" t="s">
        <v>1879</v>
      </c>
      <c r="F1442" s="1021">
        <v>45554</v>
      </c>
      <c r="G1442" s="1021"/>
      <c r="H1442" s="1022" t="s">
        <v>701</v>
      </c>
    </row>
    <row r="1443" spans="1:8" hidden="1">
      <c r="A1443" s="1023">
        <v>1442</v>
      </c>
      <c r="B1443" s="1024" t="s">
        <v>46</v>
      </c>
      <c r="C1443" s="1025" t="s">
        <v>16</v>
      </c>
      <c r="D1443" s="1025" t="s">
        <v>1978</v>
      </c>
      <c r="E1443" s="1025" t="s">
        <v>1880</v>
      </c>
      <c r="F1443" s="1026">
        <v>45521</v>
      </c>
      <c r="G1443" s="1026"/>
      <c r="H1443" s="1027" t="s">
        <v>701</v>
      </c>
    </row>
    <row r="1444" spans="1:8" hidden="1">
      <c r="A1444" s="1018">
        <v>1443</v>
      </c>
      <c r="B1444" s="1019" t="s">
        <v>46</v>
      </c>
      <c r="C1444" s="1020" t="s">
        <v>16</v>
      </c>
      <c r="D1444" s="1020" t="s">
        <v>1978</v>
      </c>
      <c r="E1444" s="1020" t="s">
        <v>1881</v>
      </c>
      <c r="F1444" s="1021">
        <v>45560</v>
      </c>
      <c r="G1444" s="1021"/>
      <c r="H1444" s="1022" t="s">
        <v>701</v>
      </c>
    </row>
    <row r="1445" spans="1:8" hidden="1">
      <c r="A1445" s="1023">
        <v>1444</v>
      </c>
      <c r="B1445" s="1024" t="s">
        <v>46</v>
      </c>
      <c r="C1445" s="1025" t="s">
        <v>16</v>
      </c>
      <c r="D1445" s="1025" t="s">
        <v>1978</v>
      </c>
      <c r="E1445" s="1025" t="s">
        <v>1882</v>
      </c>
      <c r="F1445" s="1026">
        <v>45558</v>
      </c>
      <c r="G1445" s="1026"/>
      <c r="H1445" s="1027" t="s">
        <v>701</v>
      </c>
    </row>
    <row r="1446" spans="1:8" hidden="1">
      <c r="A1446" s="1018">
        <v>1445</v>
      </c>
      <c r="B1446" s="1019" t="s">
        <v>46</v>
      </c>
      <c r="C1446" s="1020" t="s">
        <v>16</v>
      </c>
      <c r="D1446" s="1020" t="s">
        <v>1978</v>
      </c>
      <c r="E1446" s="1020" t="s">
        <v>1883</v>
      </c>
      <c r="F1446" s="1021">
        <v>45529</v>
      </c>
      <c r="G1446" s="1021"/>
      <c r="H1446" s="1022" t="s">
        <v>701</v>
      </c>
    </row>
    <row r="1447" spans="1:8" hidden="1">
      <c r="A1447" s="1023">
        <v>1446</v>
      </c>
      <c r="B1447" s="1024" t="s">
        <v>46</v>
      </c>
      <c r="C1447" s="1025" t="s">
        <v>16</v>
      </c>
      <c r="D1447" s="1025" t="s">
        <v>1978</v>
      </c>
      <c r="E1447" s="1025" t="s">
        <v>1979</v>
      </c>
      <c r="F1447" s="1026">
        <v>45520</v>
      </c>
      <c r="G1447" s="1026"/>
      <c r="H1447" s="1027" t="s">
        <v>701</v>
      </c>
    </row>
    <row r="1448" spans="1:8" hidden="1">
      <c r="A1448" s="1018">
        <v>1447</v>
      </c>
      <c r="B1448" s="1019" t="s">
        <v>46</v>
      </c>
      <c r="C1448" s="1020" t="s">
        <v>16</v>
      </c>
      <c r="D1448" s="1020" t="s">
        <v>1978</v>
      </c>
      <c r="E1448" s="1020" t="s">
        <v>1980</v>
      </c>
      <c r="F1448" s="1021">
        <v>45520</v>
      </c>
      <c r="G1448" s="1021"/>
      <c r="H1448" s="1022" t="s">
        <v>701</v>
      </c>
    </row>
    <row r="1449" spans="1:8" hidden="1">
      <c r="A1449" s="1023">
        <v>1448</v>
      </c>
      <c r="B1449" s="1024" t="s">
        <v>46</v>
      </c>
      <c r="C1449" s="1025" t="s">
        <v>16</v>
      </c>
      <c r="D1449" s="1025" t="s">
        <v>1978</v>
      </c>
      <c r="E1449" s="1025" t="s">
        <v>1981</v>
      </c>
      <c r="F1449" s="1026">
        <v>45513</v>
      </c>
      <c r="G1449" s="1026"/>
      <c r="H1449" s="1027" t="s">
        <v>701</v>
      </c>
    </row>
    <row r="1450" spans="1:8" hidden="1">
      <c r="A1450" s="1018">
        <v>1449</v>
      </c>
      <c r="B1450" s="1019" t="s">
        <v>46</v>
      </c>
      <c r="C1450" s="1020" t="s">
        <v>16</v>
      </c>
      <c r="D1450" s="1020" t="s">
        <v>1978</v>
      </c>
      <c r="E1450" s="1020" t="s">
        <v>1982</v>
      </c>
      <c r="F1450" s="1021">
        <v>45523</v>
      </c>
      <c r="G1450" s="1021"/>
      <c r="H1450" s="1022" t="s">
        <v>701</v>
      </c>
    </row>
    <row r="1451" spans="1:8" hidden="1">
      <c r="A1451" s="1023">
        <v>1450</v>
      </c>
      <c r="B1451" s="1024" t="s">
        <v>46</v>
      </c>
      <c r="C1451" s="1025" t="s">
        <v>16</v>
      </c>
      <c r="D1451" s="1025" t="s">
        <v>1978</v>
      </c>
      <c r="E1451" s="1025" t="s">
        <v>1983</v>
      </c>
      <c r="F1451" s="1026">
        <v>45504</v>
      </c>
      <c r="G1451" s="1026"/>
      <c r="H1451" s="1027" t="s">
        <v>701</v>
      </c>
    </row>
    <row r="1452" spans="1:8" hidden="1">
      <c r="A1452" s="1018">
        <v>1451</v>
      </c>
      <c r="B1452" s="1019" t="s">
        <v>46</v>
      </c>
      <c r="C1452" s="1020" t="s">
        <v>16</v>
      </c>
      <c r="D1452" s="1020" t="s">
        <v>1984</v>
      </c>
      <c r="E1452" s="1020" t="s">
        <v>1859</v>
      </c>
      <c r="F1452" s="1021">
        <v>45485</v>
      </c>
      <c r="G1452" s="1021"/>
      <c r="H1452" s="1022" t="s">
        <v>701</v>
      </c>
    </row>
    <row r="1453" spans="1:8" hidden="1">
      <c r="A1453" s="1023">
        <v>1452</v>
      </c>
      <c r="B1453" s="1024" t="s">
        <v>46</v>
      </c>
      <c r="C1453" s="1025" t="s">
        <v>16</v>
      </c>
      <c r="D1453" s="1025" t="s">
        <v>1984</v>
      </c>
      <c r="E1453" s="1025" t="s">
        <v>1860</v>
      </c>
      <c r="F1453" s="1026">
        <v>45485</v>
      </c>
      <c r="G1453" s="1026"/>
      <c r="H1453" s="1027" t="s">
        <v>701</v>
      </c>
    </row>
    <row r="1454" spans="1:8" hidden="1">
      <c r="A1454" s="1018">
        <v>1453</v>
      </c>
      <c r="B1454" s="1019" t="s">
        <v>46</v>
      </c>
      <c r="C1454" s="1020" t="s">
        <v>16</v>
      </c>
      <c r="D1454" s="1020" t="s">
        <v>1984</v>
      </c>
      <c r="E1454" s="1020" t="s">
        <v>1861</v>
      </c>
      <c r="F1454" s="1021">
        <v>45527</v>
      </c>
      <c r="G1454" s="1021"/>
      <c r="H1454" s="1022" t="s">
        <v>701</v>
      </c>
    </row>
    <row r="1455" spans="1:8" hidden="1">
      <c r="A1455" s="1023">
        <v>1454</v>
      </c>
      <c r="B1455" s="1024" t="s">
        <v>46</v>
      </c>
      <c r="C1455" s="1025" t="s">
        <v>16</v>
      </c>
      <c r="D1455" s="1025" t="s">
        <v>1984</v>
      </c>
      <c r="E1455" s="1025" t="s">
        <v>1862</v>
      </c>
      <c r="F1455" s="1026">
        <v>45484</v>
      </c>
      <c r="G1455" s="1026"/>
      <c r="H1455" s="1027" t="s">
        <v>701</v>
      </c>
    </row>
    <row r="1456" spans="1:8" hidden="1">
      <c r="A1456" s="1018">
        <v>1455</v>
      </c>
      <c r="B1456" s="1019" t="s">
        <v>46</v>
      </c>
      <c r="C1456" s="1020" t="s">
        <v>16</v>
      </c>
      <c r="D1456" s="1020" t="s">
        <v>1984</v>
      </c>
      <c r="E1456" s="1020" t="s">
        <v>1863</v>
      </c>
      <c r="F1456" s="1021">
        <v>45512</v>
      </c>
      <c r="G1456" s="1021"/>
      <c r="H1456" s="1022" t="s">
        <v>701</v>
      </c>
    </row>
    <row r="1457" spans="1:8" hidden="1">
      <c r="A1457" s="1023">
        <v>1456</v>
      </c>
      <c r="B1457" s="1024" t="s">
        <v>46</v>
      </c>
      <c r="C1457" s="1025" t="s">
        <v>16</v>
      </c>
      <c r="D1457" s="1025" t="s">
        <v>1984</v>
      </c>
      <c r="E1457" s="1025" t="s">
        <v>1864</v>
      </c>
      <c r="F1457" s="1026">
        <v>45509</v>
      </c>
      <c r="G1457" s="1026"/>
      <c r="H1457" s="1027" t="s">
        <v>701</v>
      </c>
    </row>
    <row r="1458" spans="1:8" hidden="1">
      <c r="A1458" s="1018">
        <v>1457</v>
      </c>
      <c r="B1458" s="1019" t="s">
        <v>46</v>
      </c>
      <c r="C1458" s="1020" t="s">
        <v>16</v>
      </c>
      <c r="D1458" s="1020" t="s">
        <v>1984</v>
      </c>
      <c r="E1458" s="1020" t="s">
        <v>1865</v>
      </c>
      <c r="F1458" s="1021">
        <v>45489</v>
      </c>
      <c r="G1458" s="1021"/>
      <c r="H1458" s="1022" t="s">
        <v>701</v>
      </c>
    </row>
    <row r="1459" spans="1:8" hidden="1">
      <c r="A1459" s="1023">
        <v>1458</v>
      </c>
      <c r="B1459" s="1024" t="s">
        <v>46</v>
      </c>
      <c r="C1459" s="1025" t="s">
        <v>16</v>
      </c>
      <c r="D1459" s="1025" t="s">
        <v>1984</v>
      </c>
      <c r="E1459" s="1025" t="s">
        <v>1866</v>
      </c>
      <c r="F1459" s="1026">
        <v>45523</v>
      </c>
      <c r="G1459" s="1026"/>
      <c r="H1459" s="1027" t="s">
        <v>701</v>
      </c>
    </row>
    <row r="1460" spans="1:8" hidden="1">
      <c r="A1460" s="1018">
        <v>1459</v>
      </c>
      <c r="B1460" s="1019" t="s">
        <v>46</v>
      </c>
      <c r="C1460" s="1020" t="s">
        <v>16</v>
      </c>
      <c r="D1460" s="1020" t="s">
        <v>1984</v>
      </c>
      <c r="E1460" s="1020" t="s">
        <v>1867</v>
      </c>
      <c r="F1460" s="1021">
        <v>45496</v>
      </c>
      <c r="G1460" s="1021"/>
      <c r="H1460" s="1022" t="s">
        <v>701</v>
      </c>
    </row>
    <row r="1461" spans="1:8" hidden="1">
      <c r="A1461" s="1023">
        <v>1460</v>
      </c>
      <c r="B1461" s="1024" t="s">
        <v>46</v>
      </c>
      <c r="C1461" s="1025" t="s">
        <v>16</v>
      </c>
      <c r="D1461" s="1025" t="s">
        <v>1984</v>
      </c>
      <c r="E1461" s="1025" t="s">
        <v>1870</v>
      </c>
      <c r="F1461" s="1026">
        <v>45527</v>
      </c>
      <c r="G1461" s="1026"/>
      <c r="H1461" s="1027" t="s">
        <v>701</v>
      </c>
    </row>
    <row r="1462" spans="1:8" hidden="1">
      <c r="A1462" s="1018">
        <v>1461</v>
      </c>
      <c r="B1462" s="1019" t="s">
        <v>46</v>
      </c>
      <c r="C1462" s="1020" t="s">
        <v>16</v>
      </c>
      <c r="D1462" s="1020" t="s">
        <v>1984</v>
      </c>
      <c r="E1462" s="1020" t="s">
        <v>1871</v>
      </c>
      <c r="F1462" s="1021">
        <v>45504</v>
      </c>
      <c r="G1462" s="1021"/>
      <c r="H1462" s="1022" t="s">
        <v>701</v>
      </c>
    </row>
    <row r="1463" spans="1:8" hidden="1">
      <c r="A1463" s="1023">
        <v>1462</v>
      </c>
      <c r="B1463" s="1024" t="s">
        <v>46</v>
      </c>
      <c r="C1463" s="1025" t="s">
        <v>16</v>
      </c>
      <c r="D1463" s="1025" t="s">
        <v>1984</v>
      </c>
      <c r="E1463" s="1025" t="s">
        <v>1872</v>
      </c>
      <c r="F1463" s="1026">
        <v>45560</v>
      </c>
      <c r="G1463" s="1026"/>
      <c r="H1463" s="1027" t="s">
        <v>701</v>
      </c>
    </row>
    <row r="1464" spans="1:8" hidden="1">
      <c r="A1464" s="1018">
        <v>1463</v>
      </c>
      <c r="B1464" s="1019" t="s">
        <v>46</v>
      </c>
      <c r="C1464" s="1020" t="s">
        <v>16</v>
      </c>
      <c r="D1464" s="1020" t="s">
        <v>1984</v>
      </c>
      <c r="E1464" s="1020" t="s">
        <v>1873</v>
      </c>
      <c r="F1464" s="1021">
        <v>45531</v>
      </c>
      <c r="G1464" s="1021"/>
      <c r="H1464" s="1022" t="s">
        <v>701</v>
      </c>
    </row>
    <row r="1465" spans="1:8" hidden="1">
      <c r="A1465" s="1023">
        <v>1464</v>
      </c>
      <c r="B1465" s="1024" t="s">
        <v>46</v>
      </c>
      <c r="C1465" s="1025" t="s">
        <v>16</v>
      </c>
      <c r="D1465" s="1025" t="s">
        <v>1984</v>
      </c>
      <c r="E1465" s="1025" t="s">
        <v>1874</v>
      </c>
      <c r="F1465" s="1026">
        <v>45524</v>
      </c>
      <c r="G1465" s="1026"/>
      <c r="H1465" s="1027" t="s">
        <v>701</v>
      </c>
    </row>
    <row r="1466" spans="1:8" hidden="1">
      <c r="A1466" s="1018">
        <v>1465</v>
      </c>
      <c r="B1466" s="1019" t="s">
        <v>46</v>
      </c>
      <c r="C1466" s="1020" t="s">
        <v>16</v>
      </c>
      <c r="D1466" s="1020" t="s">
        <v>1984</v>
      </c>
      <c r="E1466" s="1020" t="s">
        <v>1875</v>
      </c>
      <c r="F1466" s="1021">
        <v>45522</v>
      </c>
      <c r="G1466" s="1021"/>
      <c r="H1466" s="1022" t="s">
        <v>701</v>
      </c>
    </row>
    <row r="1467" spans="1:8" hidden="1">
      <c r="A1467" s="1023">
        <v>1466</v>
      </c>
      <c r="B1467" s="1024" t="s">
        <v>46</v>
      </c>
      <c r="C1467" s="1025" t="s">
        <v>16</v>
      </c>
      <c r="D1467" s="1025" t="s">
        <v>1984</v>
      </c>
      <c r="E1467" s="1025" t="s">
        <v>1876</v>
      </c>
      <c r="F1467" s="1026">
        <v>45523</v>
      </c>
      <c r="G1467" s="1026"/>
      <c r="H1467" s="1027" t="s">
        <v>701</v>
      </c>
    </row>
    <row r="1468" spans="1:8" ht="26" hidden="1">
      <c r="A1468" s="1018">
        <v>1467</v>
      </c>
      <c r="B1468" s="1019" t="s">
        <v>46</v>
      </c>
      <c r="C1468" s="1020" t="s">
        <v>16</v>
      </c>
      <c r="D1468" s="1020" t="s">
        <v>1984</v>
      </c>
      <c r="E1468" s="1020" t="s">
        <v>1877</v>
      </c>
      <c r="F1468" s="1021">
        <v>45537</v>
      </c>
      <c r="G1468" s="1021"/>
      <c r="H1468" s="1022" t="s">
        <v>701</v>
      </c>
    </row>
    <row r="1469" spans="1:8" hidden="1">
      <c r="A1469" s="1023">
        <v>1468</v>
      </c>
      <c r="B1469" s="1024" t="s">
        <v>46</v>
      </c>
      <c r="C1469" s="1025" t="s">
        <v>16</v>
      </c>
      <c r="D1469" s="1025" t="s">
        <v>1984</v>
      </c>
      <c r="E1469" s="1025" t="s">
        <v>1878</v>
      </c>
      <c r="F1469" s="1026">
        <v>45510</v>
      </c>
      <c r="G1469" s="1026"/>
      <c r="H1469" s="1027" t="s">
        <v>701</v>
      </c>
    </row>
    <row r="1470" spans="1:8" hidden="1">
      <c r="A1470" s="1018">
        <v>1469</v>
      </c>
      <c r="B1470" s="1019" t="s">
        <v>46</v>
      </c>
      <c r="C1470" s="1020" t="s">
        <v>16</v>
      </c>
      <c r="D1470" s="1020" t="s">
        <v>1984</v>
      </c>
      <c r="E1470" s="1020" t="s">
        <v>1942</v>
      </c>
      <c r="F1470" s="1021">
        <v>45517</v>
      </c>
      <c r="G1470" s="1021"/>
      <c r="H1470" s="1022" t="s">
        <v>701</v>
      </c>
    </row>
    <row r="1471" spans="1:8" hidden="1">
      <c r="A1471" s="1023">
        <v>1470</v>
      </c>
      <c r="B1471" s="1024" t="s">
        <v>46</v>
      </c>
      <c r="C1471" s="1025" t="s">
        <v>16</v>
      </c>
      <c r="D1471" s="1025" t="s">
        <v>1984</v>
      </c>
      <c r="E1471" s="1025" t="s">
        <v>1879</v>
      </c>
      <c r="F1471" s="1026">
        <v>45558</v>
      </c>
      <c r="G1471" s="1026"/>
      <c r="H1471" s="1027" t="s">
        <v>701</v>
      </c>
    </row>
    <row r="1472" spans="1:8" hidden="1">
      <c r="A1472" s="1018">
        <v>1471</v>
      </c>
      <c r="B1472" s="1019" t="s">
        <v>46</v>
      </c>
      <c r="C1472" s="1020" t="s">
        <v>16</v>
      </c>
      <c r="D1472" s="1020" t="s">
        <v>1984</v>
      </c>
      <c r="E1472" s="1020" t="s">
        <v>1880</v>
      </c>
      <c r="F1472" s="1021">
        <v>45523</v>
      </c>
      <c r="G1472" s="1021"/>
      <c r="H1472" s="1022" t="s">
        <v>701</v>
      </c>
    </row>
    <row r="1473" spans="1:8" hidden="1">
      <c r="A1473" s="1023">
        <v>1472</v>
      </c>
      <c r="B1473" s="1024" t="s">
        <v>46</v>
      </c>
      <c r="C1473" s="1025" t="s">
        <v>16</v>
      </c>
      <c r="D1473" s="1025" t="s">
        <v>1984</v>
      </c>
      <c r="E1473" s="1025" t="s">
        <v>1881</v>
      </c>
      <c r="F1473" s="1026">
        <v>45562</v>
      </c>
      <c r="G1473" s="1026"/>
      <c r="H1473" s="1027" t="s">
        <v>701</v>
      </c>
    </row>
    <row r="1474" spans="1:8" hidden="1">
      <c r="A1474" s="1018">
        <v>1473</v>
      </c>
      <c r="B1474" s="1019" t="s">
        <v>46</v>
      </c>
      <c r="C1474" s="1020" t="s">
        <v>16</v>
      </c>
      <c r="D1474" s="1020" t="s">
        <v>1984</v>
      </c>
      <c r="E1474" s="1020" t="s">
        <v>1882</v>
      </c>
      <c r="F1474" s="1021">
        <v>45563</v>
      </c>
      <c r="G1474" s="1021"/>
      <c r="H1474" s="1022" t="s">
        <v>701</v>
      </c>
    </row>
    <row r="1475" spans="1:8" hidden="1">
      <c r="A1475" s="1023">
        <v>1474</v>
      </c>
      <c r="B1475" s="1024" t="s">
        <v>46</v>
      </c>
      <c r="C1475" s="1025" t="s">
        <v>16</v>
      </c>
      <c r="D1475" s="1025" t="s">
        <v>1984</v>
      </c>
      <c r="E1475" s="1025" t="s">
        <v>1883</v>
      </c>
      <c r="F1475" s="1026">
        <v>45532</v>
      </c>
      <c r="G1475" s="1026"/>
      <c r="H1475" s="1027" t="s">
        <v>701</v>
      </c>
    </row>
    <row r="1476" spans="1:8" hidden="1">
      <c r="A1476" s="1018">
        <v>1475</v>
      </c>
      <c r="B1476" s="1019" t="s">
        <v>46</v>
      </c>
      <c r="C1476" s="1020" t="s">
        <v>16</v>
      </c>
      <c r="D1476" s="1020" t="s">
        <v>1984</v>
      </c>
      <c r="E1476" s="1020" t="s">
        <v>1985</v>
      </c>
      <c r="F1476" s="1021">
        <v>45522</v>
      </c>
      <c r="G1476" s="1021"/>
      <c r="H1476" s="1022" t="s">
        <v>701</v>
      </c>
    </row>
    <row r="1477" spans="1:8" hidden="1">
      <c r="A1477" s="1023">
        <v>1476</v>
      </c>
      <c r="B1477" s="1024" t="s">
        <v>46</v>
      </c>
      <c r="C1477" s="1025" t="s">
        <v>16</v>
      </c>
      <c r="D1477" s="1025" t="s">
        <v>1984</v>
      </c>
      <c r="E1477" s="1025" t="s">
        <v>1986</v>
      </c>
      <c r="F1477" s="1026">
        <v>45522</v>
      </c>
      <c r="G1477" s="1026"/>
      <c r="H1477" s="1027" t="s">
        <v>701</v>
      </c>
    </row>
    <row r="1478" spans="1:8" hidden="1">
      <c r="A1478" s="1018">
        <v>1477</v>
      </c>
      <c r="B1478" s="1019" t="s">
        <v>46</v>
      </c>
      <c r="C1478" s="1020" t="s">
        <v>16</v>
      </c>
      <c r="D1478" s="1020" t="s">
        <v>1984</v>
      </c>
      <c r="E1478" s="1020" t="s">
        <v>1987</v>
      </c>
      <c r="F1478" s="1021">
        <v>45517</v>
      </c>
      <c r="G1478" s="1021"/>
      <c r="H1478" s="1022" t="s">
        <v>701</v>
      </c>
    </row>
    <row r="1479" spans="1:8" hidden="1">
      <c r="A1479" s="1023">
        <v>1478</v>
      </c>
      <c r="B1479" s="1024" t="s">
        <v>46</v>
      </c>
      <c r="C1479" s="1025" t="s">
        <v>16</v>
      </c>
      <c r="D1479" s="1025" t="s">
        <v>1984</v>
      </c>
      <c r="E1479" s="1025" t="s">
        <v>1988</v>
      </c>
      <c r="F1479" s="1026">
        <v>45527</v>
      </c>
      <c r="G1479" s="1026">
        <v>45508</v>
      </c>
      <c r="H1479" s="1027" t="s">
        <v>663</v>
      </c>
    </row>
    <row r="1480" spans="1:8" hidden="1">
      <c r="A1480" s="1018">
        <v>1479</v>
      </c>
      <c r="B1480" s="1019" t="s">
        <v>46</v>
      </c>
      <c r="C1480" s="1020" t="s">
        <v>16</v>
      </c>
      <c r="D1480" s="1020" t="s">
        <v>1984</v>
      </c>
      <c r="E1480" s="1020" t="s">
        <v>1989</v>
      </c>
      <c r="F1480" s="1021">
        <v>45507</v>
      </c>
      <c r="G1480" s="1021">
        <v>45508</v>
      </c>
      <c r="H1480" s="1022" t="s">
        <v>663</v>
      </c>
    </row>
  </sheetData>
  <autoFilter ref="A1:H1480" xr:uid="{D129DA73-E573-403E-81DF-324CC27FB895}">
    <filterColumn colId="1">
      <filters>
        <filter val="Mechanical"/>
      </filters>
    </filterColumn>
  </autoFilter>
  <pageMargins left="0.7" right="0.7" top="0.75" bottom="0.75" header="0.3" footer="0.3"/>
  <pageSetup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EB72-AC0C-47BE-8545-3F31701A35DD}">
  <dimension ref="A1:P10"/>
  <sheetViews>
    <sheetView zoomScale="75" zoomScaleNormal="75" workbookViewId="0">
      <pane ySplit="1" topLeftCell="A2" activePane="bottomLeft" state="frozen"/>
      <selection activeCell="B19" sqref="B19"/>
      <selection pane="bottomLeft" activeCell="B19" sqref="B19"/>
    </sheetView>
  </sheetViews>
  <sheetFormatPr defaultColWidth="8.7265625" defaultRowHeight="14.5"/>
  <cols>
    <col min="1" max="1" width="4.7265625" style="544" bestFit="1" customWidth="1"/>
    <col min="2" max="2" width="7.1796875" style="544" bestFit="1" customWidth="1"/>
    <col min="3" max="3" width="14" style="544" bestFit="1" customWidth="1"/>
    <col min="4" max="4" width="12.81640625" style="544" bestFit="1" customWidth="1"/>
    <col min="5" max="5" width="37.54296875" style="544" bestFit="1" customWidth="1"/>
    <col min="6" max="6" width="9.7265625" style="544" customWidth="1"/>
    <col min="7" max="16" width="14" style="544" customWidth="1"/>
    <col min="17" max="16384" width="8.7265625" style="544"/>
  </cols>
  <sheetData>
    <row r="1" spans="1:16" s="543" customFormat="1" ht="46.5">
      <c r="A1" s="996" t="s">
        <v>0</v>
      </c>
      <c r="B1" s="996" t="s">
        <v>359</v>
      </c>
      <c r="C1" s="996" t="s">
        <v>1</v>
      </c>
      <c r="D1" s="997" t="s">
        <v>361</v>
      </c>
      <c r="E1" s="996" t="s">
        <v>362</v>
      </c>
      <c r="F1" s="998" t="s">
        <v>628</v>
      </c>
      <c r="G1" s="998" t="s">
        <v>629</v>
      </c>
      <c r="H1" s="998" t="s">
        <v>630</v>
      </c>
      <c r="I1" s="998" t="s">
        <v>631</v>
      </c>
      <c r="J1" s="998" t="s">
        <v>632</v>
      </c>
      <c r="K1" s="998" t="s">
        <v>633</v>
      </c>
      <c r="L1" s="998" t="s">
        <v>634</v>
      </c>
      <c r="M1" s="998" t="s">
        <v>635</v>
      </c>
      <c r="N1" s="998" t="s">
        <v>636</v>
      </c>
      <c r="O1" s="998" t="s">
        <v>637</v>
      </c>
      <c r="P1" s="998" t="s">
        <v>638</v>
      </c>
    </row>
    <row r="2" spans="1:16">
      <c r="A2" s="46">
        <v>1</v>
      </c>
      <c r="B2" s="942" t="s">
        <v>2</v>
      </c>
      <c r="C2" s="999" t="s">
        <v>25</v>
      </c>
      <c r="D2" s="999" t="s">
        <v>26</v>
      </c>
      <c r="E2" s="1000" t="s">
        <v>639</v>
      </c>
      <c r="F2" s="1001"/>
      <c r="G2" s="1001"/>
      <c r="H2" s="46"/>
      <c r="I2" s="46"/>
      <c r="J2" s="46"/>
      <c r="K2" s="46"/>
      <c r="L2" s="46"/>
      <c r="M2" s="46"/>
      <c r="N2" s="46"/>
      <c r="O2" s="46"/>
      <c r="P2" s="46"/>
    </row>
    <row r="3" spans="1:16">
      <c r="A3" s="46">
        <v>2</v>
      </c>
      <c r="B3" s="942" t="s">
        <v>2</v>
      </c>
      <c r="C3" s="999" t="s">
        <v>25</v>
      </c>
      <c r="D3" s="999" t="s">
        <v>26</v>
      </c>
      <c r="E3" s="1000" t="s">
        <v>640</v>
      </c>
      <c r="F3" s="1001"/>
      <c r="G3" s="1001"/>
      <c r="H3" s="46"/>
      <c r="I3" s="46"/>
      <c r="J3" s="46"/>
      <c r="K3" s="46"/>
      <c r="L3" s="46"/>
      <c r="M3" s="46"/>
      <c r="N3" s="46"/>
      <c r="O3" s="46"/>
      <c r="P3" s="46"/>
    </row>
    <row r="4" spans="1:16">
      <c r="A4" s="46">
        <v>3</v>
      </c>
      <c r="B4" s="942" t="s">
        <v>2</v>
      </c>
      <c r="C4" s="999" t="s">
        <v>25</v>
      </c>
      <c r="D4" s="999" t="s">
        <v>26</v>
      </c>
      <c r="E4" s="1000" t="s">
        <v>641</v>
      </c>
      <c r="F4" s="1001"/>
      <c r="G4" s="1001"/>
      <c r="H4" s="46"/>
      <c r="I4" s="46"/>
      <c r="J4" s="46"/>
      <c r="K4" s="46"/>
      <c r="L4" s="46"/>
      <c r="M4" s="46"/>
      <c r="N4" s="46"/>
      <c r="O4" s="46"/>
      <c r="P4" s="46"/>
    </row>
    <row r="5" spans="1:16">
      <c r="A5" s="46">
        <v>4</v>
      </c>
      <c r="B5" s="942" t="s">
        <v>2</v>
      </c>
      <c r="C5" s="999" t="s">
        <v>25</v>
      </c>
      <c r="D5" s="999" t="s">
        <v>26</v>
      </c>
      <c r="E5" s="1000" t="s">
        <v>642</v>
      </c>
      <c r="F5" s="1001"/>
      <c r="G5" s="1001"/>
      <c r="H5" s="46"/>
      <c r="I5" s="46"/>
      <c r="J5" s="46"/>
      <c r="K5" s="46"/>
      <c r="L5" s="46"/>
      <c r="M5" s="46"/>
      <c r="N5" s="46"/>
      <c r="O5" s="46"/>
      <c r="P5" s="46"/>
    </row>
    <row r="6" spans="1:16">
      <c r="A6" s="46">
        <v>5</v>
      </c>
      <c r="B6" s="942" t="s">
        <v>2</v>
      </c>
      <c r="C6" s="999" t="s">
        <v>25</v>
      </c>
      <c r="D6" s="999" t="s">
        <v>26</v>
      </c>
      <c r="E6" s="1000" t="s">
        <v>643</v>
      </c>
      <c r="F6" s="1001"/>
      <c r="G6" s="1001"/>
      <c r="H6" s="46"/>
      <c r="I6" s="46"/>
      <c r="J6" s="46"/>
      <c r="K6" s="46"/>
      <c r="L6" s="46"/>
      <c r="M6" s="46"/>
      <c r="N6" s="46"/>
      <c r="O6" s="46"/>
      <c r="P6" s="46"/>
    </row>
    <row r="7" spans="1:16">
      <c r="A7" s="46">
        <v>6</v>
      </c>
      <c r="B7" s="942" t="s">
        <v>2</v>
      </c>
      <c r="C7" s="999" t="s">
        <v>25</v>
      </c>
      <c r="D7" s="999" t="s">
        <v>26</v>
      </c>
      <c r="E7" s="1002" t="s">
        <v>644</v>
      </c>
      <c r="F7" s="1001"/>
      <c r="G7" s="1001"/>
      <c r="H7" s="46"/>
      <c r="I7" s="46"/>
      <c r="J7" s="46"/>
      <c r="K7" s="46"/>
      <c r="L7" s="46"/>
      <c r="M7" s="46"/>
      <c r="N7" s="46"/>
      <c r="O7" s="46"/>
      <c r="P7" s="46"/>
    </row>
    <row r="8" spans="1:16">
      <c r="A8" s="46">
        <v>7</v>
      </c>
      <c r="B8" s="942" t="s">
        <v>2</v>
      </c>
      <c r="C8" s="999" t="s">
        <v>25</v>
      </c>
      <c r="D8" s="999" t="s">
        <v>26</v>
      </c>
      <c r="E8" s="1002" t="s">
        <v>645</v>
      </c>
      <c r="F8" s="1001"/>
      <c r="G8" s="1001"/>
      <c r="H8" s="46"/>
      <c r="I8" s="46"/>
      <c r="J8" s="46"/>
      <c r="K8" s="46"/>
      <c r="L8" s="46"/>
      <c r="M8" s="46"/>
      <c r="N8" s="46"/>
      <c r="O8" s="46"/>
      <c r="P8" s="46"/>
    </row>
    <row r="9" spans="1:16">
      <c r="A9" s="46">
        <v>8</v>
      </c>
      <c r="B9" s="942" t="s">
        <v>2</v>
      </c>
      <c r="C9" s="999" t="s">
        <v>25</v>
      </c>
      <c r="D9" s="999" t="s">
        <v>26</v>
      </c>
      <c r="E9" s="1002" t="s">
        <v>646</v>
      </c>
      <c r="F9" s="1001"/>
      <c r="G9" s="1001"/>
      <c r="H9" s="46"/>
      <c r="I9" s="46"/>
      <c r="J9" s="46"/>
      <c r="K9" s="46"/>
      <c r="L9" s="46"/>
      <c r="M9" s="46"/>
      <c r="N9" s="46"/>
      <c r="O9" s="46"/>
      <c r="P9" s="46"/>
    </row>
    <row r="10" spans="1:16" s="50" customFormat="1">
      <c r="A10" s="51"/>
      <c r="B10" s="947"/>
      <c r="C10" s="947"/>
      <c r="D10" s="947"/>
      <c r="E10" s="1003" t="s">
        <v>132</v>
      </c>
      <c r="F10" s="1004">
        <f t="shared" ref="F10:P10" si="0">SUM(F2:F6)</f>
        <v>0</v>
      </c>
      <c r="G10" s="1004">
        <f t="shared" si="0"/>
        <v>0</v>
      </c>
      <c r="H10" s="51">
        <f t="shared" si="0"/>
        <v>0</v>
      </c>
      <c r="I10" s="51">
        <f t="shared" si="0"/>
        <v>0</v>
      </c>
      <c r="J10" s="51">
        <f t="shared" si="0"/>
        <v>0</v>
      </c>
      <c r="K10" s="51">
        <f t="shared" si="0"/>
        <v>0</v>
      </c>
      <c r="L10" s="51">
        <f t="shared" si="0"/>
        <v>0</v>
      </c>
      <c r="M10" s="51">
        <f t="shared" si="0"/>
        <v>0</v>
      </c>
      <c r="N10" s="51">
        <f t="shared" si="0"/>
        <v>0</v>
      </c>
      <c r="O10" s="51">
        <f t="shared" si="0"/>
        <v>0</v>
      </c>
      <c r="P10" s="51">
        <f t="shared" si="0"/>
        <v>0</v>
      </c>
    </row>
  </sheetData>
  <conditionalFormatting sqref="A1:G1">
    <cfRule type="containsText" dxfId="8" priority="2" operator="containsText" text="To start">
      <formula>NOT(ISERROR(SEARCH("To start",A1)))</formula>
    </cfRule>
    <cfRule type="containsText" dxfId="7" priority="3" operator="containsText" text="I/p">
      <formula>NOT(ISERROR(SEARCH("I/p",A1)))</formula>
    </cfRule>
    <cfRule type="containsText" dxfId="6" priority="4" operator="containsText" text="DONE">
      <formula>NOT(ISERROR(SEARCH("DONE",A1)))</formula>
    </cfRule>
  </conditionalFormatting>
  <conditionalFormatting sqref="H1:P1">
    <cfRule type="cellIs" dxfId="5" priority="1" operator="equal">
      <formula>"Done"</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CCBED-3BE8-41A3-ABAA-50BA39FF427C}">
  <dimension ref="A1:L9"/>
  <sheetViews>
    <sheetView zoomScale="80" zoomScaleNormal="80" workbookViewId="0">
      <pane ySplit="1" topLeftCell="A2" activePane="bottomLeft" state="frozen"/>
      <selection activeCell="B19" sqref="B19"/>
      <selection pane="bottomLeft" activeCell="B19" sqref="B19"/>
    </sheetView>
  </sheetViews>
  <sheetFormatPr defaultRowHeight="14.5"/>
  <cols>
    <col min="1" max="1" width="5.81640625" style="564" bestFit="1" customWidth="1"/>
    <col min="2" max="2" width="6.81640625" style="564" bestFit="1" customWidth="1"/>
    <col min="3" max="3" width="13.54296875" style="564" bestFit="1" customWidth="1"/>
    <col min="4" max="4" width="14.1796875" style="564" customWidth="1"/>
    <col min="5" max="5" width="41.81640625" style="564" bestFit="1" customWidth="1"/>
    <col min="6" max="6" width="11.453125" style="564" bestFit="1" customWidth="1"/>
    <col min="7" max="7" width="10.81640625" style="564" bestFit="1" customWidth="1"/>
    <col min="8" max="8" width="18.81640625" style="564" customWidth="1"/>
    <col min="9" max="9" width="16.1796875" style="564" customWidth="1"/>
    <col min="10" max="10" width="19.1796875" style="564" customWidth="1"/>
    <col min="11" max="12" width="16.1796875" style="564" customWidth="1"/>
    <col min="13" max="16384" width="8.7265625" style="564"/>
  </cols>
  <sheetData>
    <row r="1" spans="1:12" s="132" customFormat="1" ht="46.5">
      <c r="A1" s="996" t="s">
        <v>0</v>
      </c>
      <c r="B1" s="996" t="s">
        <v>359</v>
      </c>
      <c r="C1" s="996" t="s">
        <v>1</v>
      </c>
      <c r="D1" s="997" t="s">
        <v>361</v>
      </c>
      <c r="E1" s="996" t="s">
        <v>362</v>
      </c>
      <c r="F1" s="998" t="s">
        <v>647</v>
      </c>
      <c r="G1" s="998" t="s">
        <v>648</v>
      </c>
      <c r="H1" s="998" t="s">
        <v>649</v>
      </c>
      <c r="I1" s="998" t="s">
        <v>650</v>
      </c>
      <c r="J1" s="998" t="s">
        <v>651</v>
      </c>
      <c r="K1" s="998" t="s">
        <v>652</v>
      </c>
      <c r="L1" s="998" t="s">
        <v>653</v>
      </c>
    </row>
    <row r="2" spans="1:12" ht="15.5">
      <c r="A2" s="46">
        <v>1</v>
      </c>
      <c r="B2" s="46" t="s">
        <v>2</v>
      </c>
      <c r="C2" s="46" t="s">
        <v>25</v>
      </c>
      <c r="D2" s="46" t="s">
        <v>27</v>
      </c>
      <c r="E2" s="1005" t="s">
        <v>654</v>
      </c>
      <c r="F2" s="1006"/>
      <c r="G2" s="1001"/>
      <c r="H2" s="1001"/>
      <c r="I2" s="1001"/>
      <c r="J2" s="1001"/>
      <c r="K2" s="1006"/>
      <c r="L2" s="1007">
        <f>IFERROR(I2/G2, 0 )</f>
        <v>0</v>
      </c>
    </row>
    <row r="3" spans="1:12" ht="15.5">
      <c r="A3" s="46">
        <v>2</v>
      </c>
      <c r="B3" s="46" t="s">
        <v>2</v>
      </c>
      <c r="C3" s="46" t="s">
        <v>25</v>
      </c>
      <c r="D3" s="46" t="s">
        <v>27</v>
      </c>
      <c r="E3" s="1005" t="s">
        <v>655</v>
      </c>
      <c r="F3" s="1001"/>
      <c r="G3" s="1001"/>
      <c r="H3" s="1001"/>
      <c r="I3" s="1001"/>
      <c r="J3" s="1001"/>
      <c r="K3" s="1006"/>
      <c r="L3" s="1007">
        <f t="shared" ref="L3:L9" si="0">IFERROR(I3/G3, 0 )</f>
        <v>0</v>
      </c>
    </row>
    <row r="4" spans="1:12" ht="15.5">
      <c r="A4" s="46">
        <v>3</v>
      </c>
      <c r="B4" s="46" t="s">
        <v>2</v>
      </c>
      <c r="C4" s="46" t="s">
        <v>25</v>
      </c>
      <c r="D4" s="46" t="s">
        <v>27</v>
      </c>
      <c r="E4" s="1005" t="s">
        <v>656</v>
      </c>
      <c r="F4" s="1001"/>
      <c r="G4" s="1001"/>
      <c r="H4" s="1001"/>
      <c r="I4" s="1001"/>
      <c r="J4" s="1001"/>
      <c r="K4" s="1006"/>
      <c r="L4" s="1007">
        <f t="shared" si="0"/>
        <v>0</v>
      </c>
    </row>
    <row r="5" spans="1:12" ht="15.5">
      <c r="A5" s="46">
        <v>4</v>
      </c>
      <c r="B5" s="46" t="s">
        <v>2</v>
      </c>
      <c r="C5" s="46" t="s">
        <v>25</v>
      </c>
      <c r="D5" s="46" t="s">
        <v>27</v>
      </c>
      <c r="E5" s="1005" t="s">
        <v>657</v>
      </c>
      <c r="F5" s="1006"/>
      <c r="G5" s="1001"/>
      <c r="H5" s="1001"/>
      <c r="I5" s="1001"/>
      <c r="J5" s="1001"/>
      <c r="K5" s="1006"/>
      <c r="L5" s="1007">
        <f t="shared" si="0"/>
        <v>0</v>
      </c>
    </row>
    <row r="6" spans="1:12" ht="15.5">
      <c r="A6" s="46">
        <v>5</v>
      </c>
      <c r="B6" s="46" t="s">
        <v>2</v>
      </c>
      <c r="C6" s="46" t="s">
        <v>25</v>
      </c>
      <c r="D6" s="46" t="s">
        <v>27</v>
      </c>
      <c r="E6" s="1008" t="s">
        <v>658</v>
      </c>
      <c r="F6" s="1006"/>
      <c r="G6" s="1001"/>
      <c r="H6" s="1001"/>
      <c r="I6" s="1001"/>
      <c r="J6" s="1001"/>
      <c r="K6" s="1006"/>
      <c r="L6" s="1007">
        <f t="shared" si="0"/>
        <v>0</v>
      </c>
    </row>
    <row r="7" spans="1:12" ht="15.5">
      <c r="A7" s="46">
        <v>6</v>
      </c>
      <c r="B7" s="46" t="s">
        <v>2</v>
      </c>
      <c r="C7" s="46" t="s">
        <v>25</v>
      </c>
      <c r="D7" s="46" t="s">
        <v>27</v>
      </c>
      <c r="E7" s="1008" t="s">
        <v>646</v>
      </c>
      <c r="F7" s="1006"/>
      <c r="G7" s="1001"/>
      <c r="H7" s="1001"/>
      <c r="I7" s="1001"/>
      <c r="J7" s="1001"/>
      <c r="K7" s="1006"/>
      <c r="L7" s="1007">
        <f t="shared" si="0"/>
        <v>0</v>
      </c>
    </row>
    <row r="8" spans="1:12" ht="15.5">
      <c r="A8" s="46">
        <v>7</v>
      </c>
      <c r="B8" s="46" t="s">
        <v>2</v>
      </c>
      <c r="C8" s="46" t="s">
        <v>25</v>
      </c>
      <c r="D8" s="46" t="s">
        <v>27</v>
      </c>
      <c r="E8" s="1008" t="s">
        <v>645</v>
      </c>
      <c r="F8" s="1006"/>
      <c r="G8" s="1001"/>
      <c r="H8" s="1001"/>
      <c r="I8" s="1001"/>
      <c r="J8" s="1001"/>
      <c r="K8" s="1006"/>
      <c r="L8" s="1007">
        <f t="shared" si="0"/>
        <v>0</v>
      </c>
    </row>
    <row r="9" spans="1:12" ht="15.5">
      <c r="A9" s="1009"/>
      <c r="B9" s="1010"/>
      <c r="C9" s="1010"/>
      <c r="D9" s="1010"/>
      <c r="E9" s="1011" t="s">
        <v>132</v>
      </c>
      <c r="F9" s="1012">
        <f t="shared" ref="F9:K9" si="1">SUM(F2:F5)</f>
        <v>0</v>
      </c>
      <c r="G9" s="1013">
        <f t="shared" si="1"/>
        <v>0</v>
      </c>
      <c r="H9" s="1013">
        <f t="shared" si="1"/>
        <v>0</v>
      </c>
      <c r="I9" s="1013">
        <f t="shared" si="1"/>
        <v>0</v>
      </c>
      <c r="J9" s="1013">
        <f t="shared" si="1"/>
        <v>0</v>
      </c>
      <c r="K9" s="1013">
        <f t="shared" si="1"/>
        <v>0</v>
      </c>
      <c r="L9" s="1007">
        <f t="shared" si="0"/>
        <v>0</v>
      </c>
    </row>
  </sheetData>
  <conditionalFormatting sqref="A1:G1">
    <cfRule type="containsText" dxfId="4" priority="1" operator="containsText" text="To start">
      <formula>NOT(ISERROR(SEARCH("To start",A1)))</formula>
    </cfRule>
    <cfRule type="containsText" dxfId="3" priority="2" operator="containsText" text="I/p">
      <formula>NOT(ISERROR(SEARCH("I/p",A1)))</formula>
    </cfRule>
    <cfRule type="containsText" dxfId="2" priority="3" operator="containsText" text="DONE">
      <formula>NOT(ISERROR(SEARCH("DONE",A1)))</formula>
    </cfRule>
  </conditionalFormatting>
  <conditionalFormatting sqref="H1:L1">
    <cfRule type="cellIs" dxfId="1" priority="4" operator="equal">
      <formula>"Done"</formula>
    </cfRule>
  </conditionalFormatting>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58D0-306E-40BE-8E6B-4F5A1EC4F715}">
  <dimension ref="A1:B5"/>
  <sheetViews>
    <sheetView workbookViewId="0">
      <selection activeCell="C6" sqref="C6"/>
    </sheetView>
  </sheetViews>
  <sheetFormatPr defaultRowHeight="14.5"/>
  <cols>
    <col min="1" max="1" width="14.54296875" style="564" customWidth="1"/>
    <col min="2" max="16384" width="8.7265625" style="564"/>
  </cols>
  <sheetData>
    <row r="1" spans="1:2" ht="16">
      <c r="A1" s="948" t="s">
        <v>360</v>
      </c>
      <c r="B1" s="948" t="s">
        <v>370</v>
      </c>
    </row>
    <row r="2" spans="1:2" ht="16">
      <c r="A2" s="948" t="s">
        <v>47</v>
      </c>
      <c r="B2" s="948" t="s">
        <v>371</v>
      </c>
    </row>
    <row r="3" spans="1:2" ht="16">
      <c r="A3" s="948" t="s">
        <v>58</v>
      </c>
      <c r="B3" s="948" t="s">
        <v>372</v>
      </c>
    </row>
    <row r="4" spans="1:2" ht="16">
      <c r="A4" s="948" t="s">
        <v>46</v>
      </c>
      <c r="B4" s="948" t="s">
        <v>373</v>
      </c>
    </row>
    <row r="5" spans="1:2" ht="16">
      <c r="A5" s="948" t="s">
        <v>55</v>
      </c>
      <c r="B5" s="948" t="s">
        <v>374</v>
      </c>
    </row>
  </sheetData>
  <conditionalFormatting sqref="A1:B5">
    <cfRule type="cellIs" dxfId="0" priority="1" operator="equal">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C6F64-3216-452E-B324-CAB4FFAD1B16}">
  <dimension ref="A1"/>
  <sheetViews>
    <sheetView workbookViewId="0"/>
  </sheetViews>
  <sheetFormatPr defaultRowHeight="14.5"/>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94A2-1B0F-4CAE-9587-1238043EED42}">
  <dimension ref="A1:V29"/>
  <sheetViews>
    <sheetView zoomScale="70" zoomScaleNormal="70" workbookViewId="0">
      <selection activeCell="M34" sqref="M34"/>
    </sheetView>
  </sheetViews>
  <sheetFormatPr defaultColWidth="8.7265625" defaultRowHeight="13"/>
  <cols>
    <col min="1" max="1" width="4.54296875" style="397" bestFit="1" customWidth="1"/>
    <col min="2" max="2" width="27.453125" style="395" bestFit="1" customWidth="1"/>
    <col min="3" max="3" width="7" style="395" customWidth="1"/>
    <col min="4" max="4" width="0" style="395" hidden="1" customWidth="1"/>
    <col min="5" max="6" width="9.7265625" style="395" hidden="1" customWidth="1"/>
    <col min="7" max="9" width="6.453125" style="395" customWidth="1"/>
    <col min="10" max="10" width="9.453125" style="395" customWidth="1"/>
    <col min="11" max="11" width="6.453125" style="395" customWidth="1"/>
    <col min="12" max="12" width="8.81640625" style="395" customWidth="1"/>
    <col min="13" max="14" width="6.453125" style="395" customWidth="1"/>
    <col min="15" max="15" width="8.1796875" style="395" customWidth="1"/>
    <col min="16" max="17" width="6.453125" style="395" customWidth="1"/>
    <col min="18" max="18" width="9" style="395" customWidth="1"/>
    <col min="19" max="22" width="6.81640625" style="395" customWidth="1"/>
    <col min="23" max="16384" width="8.7265625" style="395"/>
  </cols>
  <sheetData>
    <row r="1" spans="1:18">
      <c r="A1" s="464" t="s">
        <v>24</v>
      </c>
      <c r="B1" s="465"/>
      <c r="C1" s="465"/>
      <c r="D1" s="465"/>
      <c r="E1" s="465"/>
      <c r="F1" s="465"/>
      <c r="G1" s="465"/>
      <c r="H1" s="465"/>
      <c r="I1" s="465"/>
      <c r="J1" s="465"/>
      <c r="K1" s="465"/>
      <c r="L1" s="465"/>
      <c r="M1" s="465"/>
      <c r="N1" s="465"/>
      <c r="O1" s="465"/>
      <c r="P1" s="465"/>
      <c r="Q1" s="465"/>
      <c r="R1" s="466"/>
    </row>
    <row r="2" spans="1:18">
      <c r="A2" s="467" t="s">
        <v>0</v>
      </c>
      <c r="B2" s="468" t="s">
        <v>92</v>
      </c>
      <c r="C2" s="469" t="s">
        <v>93</v>
      </c>
      <c r="D2" s="469" t="s">
        <v>94</v>
      </c>
      <c r="E2" s="470" t="s">
        <v>95</v>
      </c>
      <c r="F2" s="470" t="s">
        <v>96</v>
      </c>
      <c r="G2" s="471">
        <v>45657</v>
      </c>
      <c r="H2" s="471">
        <v>45688</v>
      </c>
      <c r="I2" s="471">
        <v>45716</v>
      </c>
      <c r="J2" s="471">
        <v>45747</v>
      </c>
      <c r="K2" s="471">
        <v>45777</v>
      </c>
      <c r="L2" s="471">
        <v>45808</v>
      </c>
      <c r="M2" s="471">
        <v>45838</v>
      </c>
      <c r="N2" s="471">
        <v>45869</v>
      </c>
      <c r="O2" s="471">
        <v>45900</v>
      </c>
      <c r="P2" s="471">
        <v>45930</v>
      </c>
      <c r="Q2" s="471">
        <v>45961</v>
      </c>
      <c r="R2" s="472">
        <v>45991</v>
      </c>
    </row>
    <row r="3" spans="1:18">
      <c r="A3" s="473">
        <v>1</v>
      </c>
      <c r="B3" s="474" t="s">
        <v>103</v>
      </c>
      <c r="C3" s="474">
        <f>6370+710</f>
        <v>7080</v>
      </c>
      <c r="D3" s="474">
        <f>F3-E3+1</f>
        <v>212</v>
      </c>
      <c r="E3" s="475">
        <f>[3]L5!E689</f>
        <v>45758</v>
      </c>
      <c r="F3" s="475">
        <f>[3]L5!F689</f>
        <v>45969</v>
      </c>
      <c r="G3" s="476"/>
      <c r="H3" s="474"/>
      <c r="I3" s="474"/>
      <c r="J3" s="474"/>
      <c r="K3" s="476">
        <f>$C$3*0.07</f>
        <v>495.6</v>
      </c>
      <c r="L3" s="476">
        <f>$C$3*0.13</f>
        <v>920.4</v>
      </c>
      <c r="M3" s="476">
        <f>$C$3*0.18</f>
        <v>1274.3999999999999</v>
      </c>
      <c r="N3" s="476">
        <f>$C$3*0.22</f>
        <v>1557.6</v>
      </c>
      <c r="O3" s="476">
        <f>$C$3*0.16</f>
        <v>1132.8</v>
      </c>
      <c r="P3" s="476">
        <f>$C$3*0.12</f>
        <v>849.6</v>
      </c>
      <c r="Q3" s="476">
        <f>$C$3*0.1</f>
        <v>708</v>
      </c>
      <c r="R3" s="477">
        <f>C3-SUM(G3:Q3)</f>
        <v>141.59999999999945</v>
      </c>
    </row>
    <row r="4" spans="1:18">
      <c r="A4" s="473">
        <v>2</v>
      </c>
      <c r="B4" s="474" t="s">
        <v>104</v>
      </c>
      <c r="C4" s="474">
        <v>1180</v>
      </c>
      <c r="D4" s="474">
        <f>F4-E4+1</f>
        <v>20</v>
      </c>
      <c r="E4" s="475">
        <f>[3]L5!E690</f>
        <v>45925</v>
      </c>
      <c r="F4" s="475">
        <f>[3]L5!F690</f>
        <v>45944</v>
      </c>
      <c r="G4" s="476"/>
      <c r="H4" s="476"/>
      <c r="I4" s="476"/>
      <c r="J4" s="474"/>
      <c r="K4" s="474"/>
      <c r="L4" s="474"/>
      <c r="M4" s="476"/>
      <c r="N4" s="474"/>
      <c r="O4" s="474"/>
      <c r="P4" s="476">
        <f>C4*0.55</f>
        <v>649</v>
      </c>
      <c r="Q4" s="476">
        <f>C4-P4</f>
        <v>531</v>
      </c>
      <c r="R4" s="477"/>
    </row>
    <row r="5" spans="1:18">
      <c r="A5" s="473">
        <v>3</v>
      </c>
      <c r="B5" s="474" t="s">
        <v>105</v>
      </c>
      <c r="C5" s="474">
        <v>675</v>
      </c>
      <c r="D5" s="474">
        <f>F5-E5+1</f>
        <v>55</v>
      </c>
      <c r="E5" s="475">
        <f>[3]L5!E691</f>
        <v>45881</v>
      </c>
      <c r="F5" s="475">
        <f>[3]L5!F691</f>
        <v>45935</v>
      </c>
      <c r="G5" s="476"/>
      <c r="H5" s="476"/>
      <c r="I5" s="476"/>
      <c r="J5" s="476"/>
      <c r="K5" s="476"/>
      <c r="L5" s="474"/>
      <c r="M5" s="474"/>
      <c r="N5" s="474"/>
      <c r="O5" s="476">
        <f>C5*0.34</f>
        <v>229.50000000000003</v>
      </c>
      <c r="P5" s="476">
        <f>C5*0.36</f>
        <v>243</v>
      </c>
      <c r="Q5" s="476">
        <f>C5-P5-O5</f>
        <v>202.49999999999997</v>
      </c>
      <c r="R5" s="478"/>
    </row>
    <row r="6" spans="1:18" ht="13.5" thickBot="1">
      <c r="A6" s="479"/>
      <c r="B6" s="480"/>
      <c r="C6" s="481">
        <f>SUM(C3:C5)</f>
        <v>8935</v>
      </c>
      <c r="D6" s="480"/>
      <c r="E6" s="480"/>
      <c r="F6" s="480"/>
      <c r="G6" s="482"/>
      <c r="H6" s="482"/>
      <c r="I6" s="482"/>
      <c r="J6" s="482"/>
      <c r="K6" s="482">
        <f t="shared" ref="K6:R6" si="0">SUM(K3:K5)</f>
        <v>495.6</v>
      </c>
      <c r="L6" s="482">
        <f t="shared" si="0"/>
        <v>920.4</v>
      </c>
      <c r="M6" s="482">
        <f t="shared" si="0"/>
        <v>1274.3999999999999</v>
      </c>
      <c r="N6" s="482">
        <f t="shared" si="0"/>
        <v>1557.6</v>
      </c>
      <c r="O6" s="482">
        <f t="shared" si="0"/>
        <v>1362.3</v>
      </c>
      <c r="P6" s="482">
        <f t="shared" si="0"/>
        <v>1741.6</v>
      </c>
      <c r="Q6" s="482">
        <f t="shared" si="0"/>
        <v>1441.5</v>
      </c>
      <c r="R6" s="483">
        <f t="shared" si="0"/>
        <v>141.59999999999945</v>
      </c>
    </row>
    <row r="8" spans="1:18">
      <c r="K8" s="395">
        <v>495</v>
      </c>
      <c r="L8" s="395">
        <v>920</v>
      </c>
      <c r="M8" s="395">
        <v>1274</v>
      </c>
      <c r="N8" s="395">
        <v>1557</v>
      </c>
      <c r="O8" s="395">
        <v>1362</v>
      </c>
      <c r="P8" s="395">
        <v>1741</v>
      </c>
      <c r="Q8" s="395">
        <v>1441</v>
      </c>
      <c r="R8" s="395">
        <v>145</v>
      </c>
    </row>
    <row r="9" spans="1:18">
      <c r="C9" s="398">
        <f>C6-SUM(G9:R9)</f>
        <v>0</v>
      </c>
      <c r="G9" s="400"/>
      <c r="H9" s="400"/>
      <c r="I9" s="400"/>
      <c r="J9" s="400"/>
      <c r="K9" s="400">
        <f t="shared" ref="K9:R9" si="1">K8</f>
        <v>495</v>
      </c>
      <c r="L9" s="400">
        <f t="shared" si="1"/>
        <v>920</v>
      </c>
      <c r="M9" s="400">
        <f t="shared" si="1"/>
        <v>1274</v>
      </c>
      <c r="N9" s="400">
        <f t="shared" si="1"/>
        <v>1557</v>
      </c>
      <c r="O9" s="400">
        <f t="shared" si="1"/>
        <v>1362</v>
      </c>
      <c r="P9" s="400">
        <f t="shared" si="1"/>
        <v>1741</v>
      </c>
      <c r="Q9" s="400">
        <f t="shared" si="1"/>
        <v>1441</v>
      </c>
      <c r="R9" s="400">
        <f t="shared" si="1"/>
        <v>145</v>
      </c>
    </row>
    <row r="10" spans="1:18" ht="13.5" thickBot="1"/>
    <row r="11" spans="1:18">
      <c r="A11" s="484"/>
      <c r="B11" s="465"/>
      <c r="C11" s="465"/>
      <c r="D11" s="465"/>
      <c r="E11" s="465"/>
      <c r="F11" s="465"/>
      <c r="G11" s="485">
        <v>45657</v>
      </c>
      <c r="H11" s="485">
        <v>45688</v>
      </c>
      <c r="I11" s="485">
        <v>45716</v>
      </c>
      <c r="J11" s="485">
        <v>45747</v>
      </c>
      <c r="K11" s="485">
        <v>45777</v>
      </c>
      <c r="L11" s="485">
        <v>45808</v>
      </c>
      <c r="M11" s="485">
        <v>45838</v>
      </c>
      <c r="N11" s="485">
        <v>45869</v>
      </c>
      <c r="O11" s="485">
        <v>45900</v>
      </c>
      <c r="P11" s="485">
        <v>45930</v>
      </c>
      <c r="Q11" s="485">
        <v>45961</v>
      </c>
      <c r="R11" s="486">
        <v>45991</v>
      </c>
    </row>
    <row r="12" spans="1:18">
      <c r="A12" s="473"/>
      <c r="B12" s="487" t="s">
        <v>265</v>
      </c>
      <c r="C12" s="474">
        <f>152+500</f>
        <v>652</v>
      </c>
      <c r="D12" s="474"/>
      <c r="E12" s="475">
        <f>MIN([3]MSP!C1081,[3]MSP!C1183,[3]MSP!C1281,[3]MSP!C1459,[3]MSP!C1539,[3]MSP!C2915,[3]MSP!C1613,[3]MSP!C1902,[3]MSP!C1994,[3]MSP!C2064,[3]MSP!C2148,[3]MSP!C2204,[3]MSP!C2288,[3]MSP!C2319,[3]MSP!C2474,[3]MSP!C2547,[3]MSP!C2679,[3]MSP!C2907)</f>
        <v>45789</v>
      </c>
      <c r="F12" s="475">
        <f>MAX([3]MSP!D1081,[3]MSP!D1183,[3]MSP!D1281,[3]MSP!D1459,[3]MSP!D1539,[3]MSP!D2915,[3]MSP!D1613,[3]MSP!D1902,[3]MSP!D1994,[3]MSP!D2064,[3]MSP!D2148,[3]MSP!D2204,[3]MSP!D2288,[3]MSP!D2319,[3]MSP!D2474,[3]MSP!D2547,[3]MSP!D2679,[3]MSP!D2907)</f>
        <v>45970</v>
      </c>
      <c r="G12" s="474"/>
      <c r="H12" s="474"/>
      <c r="I12" s="474"/>
      <c r="J12" s="474"/>
      <c r="K12" s="474"/>
      <c r="L12" s="476">
        <f>$C$12*5%</f>
        <v>32.6</v>
      </c>
      <c r="M12" s="476">
        <f>$C$12*15%</f>
        <v>97.8</v>
      </c>
      <c r="N12" s="476">
        <f>$C$12*20%</f>
        <v>130.4</v>
      </c>
      <c r="O12" s="476">
        <f>$C$12*25%</f>
        <v>163</v>
      </c>
      <c r="P12" s="476">
        <f>$C$12*18%</f>
        <v>117.36</v>
      </c>
      <c r="Q12" s="476">
        <f>$C$12*13%</f>
        <v>84.76</v>
      </c>
      <c r="R12" s="477">
        <f>C12-SUM(L12:Q12)</f>
        <v>26.080000000000041</v>
      </c>
    </row>
    <row r="13" spans="1:18" ht="13.5" thickBot="1">
      <c r="A13" s="479"/>
      <c r="B13" s="488" t="s">
        <v>266</v>
      </c>
      <c r="C13" s="480">
        <v>500</v>
      </c>
      <c r="D13" s="480"/>
      <c r="E13" s="489">
        <f>MIN([3]MSP!C2953:C2961,[3]MSP!C3000:C3008,[3]MSP!C3047:C3055,[3]MSP!C3076:C3084,[3]MSP!C3123:C3131,[3]MSP!C3170:C3177,[3]MSP!C3217:C3224,[3]MSP!C3264:C3272,[3]MSP!C3311:C3319,[3]MSP!C3358:C3366)</f>
        <v>45790</v>
      </c>
      <c r="F13" s="489">
        <f>MAX([3]MSP!D2953:D2961,[3]MSP!D3000:D3008,[3]MSP!D3047:D3055,[3]MSP!D3076:D3084,[3]MSP!D3123:D3131,[3]MSP!D3170:D3177,[3]MSP!D3217:D3224,[3]MSP!D3264:D3272,[3]MSP!D3311:D3319,[3]MSP!D3358:D3366)</f>
        <v>45913</v>
      </c>
      <c r="G13" s="480"/>
      <c r="H13" s="480"/>
      <c r="I13" s="480"/>
      <c r="J13" s="480"/>
      <c r="K13" s="480"/>
      <c r="L13" s="480">
        <v>75</v>
      </c>
      <c r="M13" s="480">
        <v>95</v>
      </c>
      <c r="N13" s="480">
        <v>125</v>
      </c>
      <c r="O13" s="480">
        <v>115</v>
      </c>
      <c r="P13" s="480">
        <f>C13-SUM(L13:O13)</f>
        <v>90</v>
      </c>
      <c r="Q13" s="480"/>
      <c r="R13" s="490"/>
    </row>
    <row r="14" spans="1:18" ht="13.5" thickBot="1">
      <c r="B14" s="397"/>
    </row>
    <row r="15" spans="1:18">
      <c r="A15" s="484"/>
      <c r="B15" s="491" t="s">
        <v>267</v>
      </c>
      <c r="C15" s="492">
        <v>0.5</v>
      </c>
      <c r="D15" s="465"/>
      <c r="E15" s="493">
        <f>[3]L5!E692</f>
        <v>45801</v>
      </c>
      <c r="F15" s="493">
        <f>[3]L5!F692</f>
        <v>45976</v>
      </c>
      <c r="G15" s="465"/>
      <c r="H15" s="465"/>
      <c r="I15" s="465"/>
      <c r="J15" s="465"/>
      <c r="K15" s="465"/>
      <c r="L15" s="492">
        <f>$C$15*5%</f>
        <v>2.5000000000000001E-2</v>
      </c>
      <c r="M15" s="492">
        <f>$C$15*10%</f>
        <v>0.05</v>
      </c>
      <c r="N15" s="492">
        <f>$C$15*15%</f>
        <v>7.4999999999999997E-2</v>
      </c>
      <c r="O15" s="492">
        <f>$C$15*15%</f>
        <v>7.4999999999999997E-2</v>
      </c>
      <c r="P15" s="492">
        <f>$C$15*25%</f>
        <v>0.125</v>
      </c>
      <c r="Q15" s="492">
        <f>$C$15*20%</f>
        <v>0.1</v>
      </c>
      <c r="R15" s="494">
        <f>C15-SUM(L15:Q15)</f>
        <v>4.9999999999999933E-2</v>
      </c>
    </row>
    <row r="16" spans="1:18">
      <c r="A16" s="473"/>
      <c r="B16" s="487" t="s">
        <v>268</v>
      </c>
      <c r="C16" s="495">
        <v>0.1</v>
      </c>
      <c r="D16" s="474"/>
      <c r="E16" s="475">
        <f>[3]L5!E722</f>
        <v>45698</v>
      </c>
      <c r="F16" s="475">
        <f>[3]L5!F722</f>
        <v>45938</v>
      </c>
      <c r="G16" s="474"/>
      <c r="H16" s="474"/>
      <c r="I16" s="496">
        <f>$C$16/9</f>
        <v>1.1111111111111112E-2</v>
      </c>
      <c r="J16" s="496">
        <f t="shared" ref="J16:Q16" si="2">$C$16/9</f>
        <v>1.1111111111111112E-2</v>
      </c>
      <c r="K16" s="496">
        <f t="shared" si="2"/>
        <v>1.1111111111111112E-2</v>
      </c>
      <c r="L16" s="496">
        <f t="shared" si="2"/>
        <v>1.1111111111111112E-2</v>
      </c>
      <c r="M16" s="496">
        <f t="shared" si="2"/>
        <v>1.1111111111111112E-2</v>
      </c>
      <c r="N16" s="496">
        <f t="shared" si="2"/>
        <v>1.1111111111111112E-2</v>
      </c>
      <c r="O16" s="496">
        <f t="shared" si="2"/>
        <v>1.1111111111111112E-2</v>
      </c>
      <c r="P16" s="496">
        <f t="shared" si="2"/>
        <v>1.1111111111111112E-2</v>
      </c>
      <c r="Q16" s="496">
        <f t="shared" si="2"/>
        <v>1.1111111111111112E-2</v>
      </c>
      <c r="R16" s="478"/>
    </row>
    <row r="17" spans="1:22">
      <c r="A17" s="473"/>
      <c r="B17" s="487" t="s">
        <v>269</v>
      </c>
      <c r="C17" s="495">
        <v>0.4</v>
      </c>
      <c r="D17" s="474"/>
      <c r="E17" s="475">
        <f>MIN([3]L5!E711:E720)</f>
        <v>45730</v>
      </c>
      <c r="F17" s="475">
        <f>MAX([3]L5!F711:F720)</f>
        <v>45965</v>
      </c>
      <c r="G17" s="474"/>
      <c r="H17" s="474"/>
      <c r="I17" s="474"/>
      <c r="J17" s="495">
        <f>$C$17*2%</f>
        <v>8.0000000000000002E-3</v>
      </c>
      <c r="K17" s="495">
        <f>$C$17*5%</f>
        <v>2.0000000000000004E-2</v>
      </c>
      <c r="L17" s="495">
        <f>$C$17*8%</f>
        <v>3.2000000000000001E-2</v>
      </c>
      <c r="M17" s="495">
        <f>$C$17*12%</f>
        <v>4.8000000000000001E-2</v>
      </c>
      <c r="N17" s="495">
        <f>$C$17*20%</f>
        <v>8.0000000000000016E-2</v>
      </c>
      <c r="O17" s="495">
        <f>$C$17*20%</f>
        <v>8.0000000000000016E-2</v>
      </c>
      <c r="P17" s="495">
        <f>$C$17*15%</f>
        <v>0.06</v>
      </c>
      <c r="Q17" s="495">
        <f>$C$17*12%</f>
        <v>4.8000000000000001E-2</v>
      </c>
      <c r="R17" s="497">
        <f>C17-SUM(J17:Q17)</f>
        <v>2.4000000000000021E-2</v>
      </c>
    </row>
    <row r="18" spans="1:22" ht="13.5" thickBot="1">
      <c r="A18" s="479"/>
      <c r="B18" s="480"/>
      <c r="C18" s="498">
        <f>SUM(I18:R18)</f>
        <v>1</v>
      </c>
      <c r="D18" s="499"/>
      <c r="E18" s="499"/>
      <c r="F18" s="499"/>
      <c r="G18" s="499"/>
      <c r="H18" s="499"/>
      <c r="I18" s="500">
        <f>SUM(I15:I17)</f>
        <v>1.1111111111111112E-2</v>
      </c>
      <c r="J18" s="500">
        <f t="shared" ref="J18:R18" si="3">SUM(J15:J17)</f>
        <v>1.9111111111111113E-2</v>
      </c>
      <c r="K18" s="500">
        <f t="shared" si="3"/>
        <v>3.1111111111111117E-2</v>
      </c>
      <c r="L18" s="500">
        <f t="shared" si="3"/>
        <v>6.8111111111111122E-2</v>
      </c>
      <c r="M18" s="500">
        <f t="shared" si="3"/>
        <v>0.10911111111111112</v>
      </c>
      <c r="N18" s="500">
        <f t="shared" si="3"/>
        <v>0.16611111111111113</v>
      </c>
      <c r="O18" s="500">
        <f t="shared" si="3"/>
        <v>0.16611111111111113</v>
      </c>
      <c r="P18" s="500">
        <f t="shared" si="3"/>
        <v>0.1961111111111111</v>
      </c>
      <c r="Q18" s="500">
        <f t="shared" si="3"/>
        <v>0.15911111111111112</v>
      </c>
      <c r="R18" s="501">
        <f t="shared" si="3"/>
        <v>7.3999999999999955E-2</v>
      </c>
    </row>
    <row r="19" spans="1:22" hidden="1">
      <c r="B19" s="399" t="s">
        <v>270</v>
      </c>
      <c r="E19" s="396">
        <v>45322</v>
      </c>
      <c r="F19" s="396">
        <v>45350</v>
      </c>
      <c r="G19" s="396">
        <v>45378</v>
      </c>
      <c r="H19" s="396">
        <v>45406</v>
      </c>
      <c r="I19" s="396">
        <v>45434</v>
      </c>
      <c r="J19" s="396">
        <v>45462</v>
      </c>
      <c r="K19" s="396">
        <v>45490</v>
      </c>
      <c r="L19" s="396">
        <v>45518</v>
      </c>
      <c r="M19" s="396">
        <v>45546</v>
      </c>
      <c r="N19" s="396">
        <v>45574</v>
      </c>
      <c r="O19" s="396">
        <v>45602</v>
      </c>
      <c r="P19" s="396">
        <v>45630</v>
      </c>
      <c r="Q19" s="396">
        <v>45658</v>
      </c>
      <c r="R19" s="396"/>
      <c r="S19" s="396"/>
      <c r="T19" s="396"/>
      <c r="U19" s="396"/>
      <c r="V19" s="396"/>
    </row>
    <row r="20" spans="1:22" hidden="1">
      <c r="B20" s="395" t="s">
        <v>271</v>
      </c>
      <c r="C20" s="395">
        <v>1070</v>
      </c>
      <c r="F20" s="395">
        <v>23</v>
      </c>
      <c r="G20" s="395">
        <f>201+4</f>
        <v>205</v>
      </c>
      <c r="H20" s="395">
        <v>76</v>
      </c>
      <c r="I20" s="395">
        <v>211</v>
      </c>
      <c r="J20" s="395">
        <v>107</v>
      </c>
      <c r="K20" s="395">
        <v>6</v>
      </c>
      <c r="L20" s="395">
        <v>31</v>
      </c>
      <c r="M20" s="395">
        <v>2</v>
      </c>
      <c r="N20" s="395">
        <v>303</v>
      </c>
      <c r="O20" s="395">
        <v>90</v>
      </c>
      <c r="P20" s="395">
        <v>16</v>
      </c>
    </row>
    <row r="21" spans="1:22" hidden="1">
      <c r="C21" s="395">
        <f>C20-SUM(E20:V20)</f>
        <v>0</v>
      </c>
    </row>
    <row r="22" spans="1:22" hidden="1">
      <c r="B22" s="395" t="s">
        <v>44</v>
      </c>
      <c r="C22" s="395">
        <f>SUM(E22:V22)</f>
        <v>445</v>
      </c>
      <c r="E22" s="395">
        <v>66</v>
      </c>
      <c r="F22" s="395">
        <v>60</v>
      </c>
      <c r="G22" s="395">
        <v>71</v>
      </c>
      <c r="H22" s="395">
        <v>87</v>
      </c>
      <c r="I22" s="395">
        <v>58</v>
      </c>
      <c r="J22" s="395">
        <v>103</v>
      </c>
    </row>
    <row r="23" spans="1:22" hidden="1"/>
    <row r="24" spans="1:22" hidden="1"/>
    <row r="25" spans="1:22" hidden="1">
      <c r="B25" s="399" t="s">
        <v>272</v>
      </c>
      <c r="E25" s="396">
        <v>45322</v>
      </c>
      <c r="F25" s="396">
        <v>45350</v>
      </c>
      <c r="G25" s="396">
        <v>45378</v>
      </c>
      <c r="H25" s="396">
        <v>45406</v>
      </c>
      <c r="I25" s="396">
        <v>45434</v>
      </c>
      <c r="J25" s="396">
        <v>45462</v>
      </c>
      <c r="K25" s="396">
        <v>45490</v>
      </c>
      <c r="L25" s="396">
        <v>45518</v>
      </c>
      <c r="M25" s="396">
        <v>45546</v>
      </c>
      <c r="N25" s="396">
        <v>45574</v>
      </c>
      <c r="O25" s="396">
        <v>45602</v>
      </c>
      <c r="P25" s="396">
        <v>45630</v>
      </c>
      <c r="Q25" s="396">
        <v>45658</v>
      </c>
      <c r="R25" s="396">
        <v>45689</v>
      </c>
    </row>
    <row r="26" spans="1:22" hidden="1">
      <c r="B26" s="395" t="s">
        <v>271</v>
      </c>
      <c r="C26" s="395">
        <v>409</v>
      </c>
      <c r="I26" s="395">
        <v>2</v>
      </c>
      <c r="J26" s="395">
        <v>18</v>
      </c>
      <c r="K26" s="395">
        <v>35</v>
      </c>
      <c r="L26" s="395">
        <v>35</v>
      </c>
      <c r="M26" s="395">
        <v>65</v>
      </c>
      <c r="N26" s="395">
        <v>65</v>
      </c>
      <c r="O26" s="395">
        <v>65</v>
      </c>
      <c r="P26" s="395">
        <v>60</v>
      </c>
      <c r="Q26" s="395">
        <v>44</v>
      </c>
      <c r="R26" s="395">
        <v>20</v>
      </c>
    </row>
    <row r="27" spans="1:22" hidden="1">
      <c r="C27" s="395">
        <f>C26-SUM(E26:V26)</f>
        <v>0</v>
      </c>
    </row>
    <row r="28" spans="1:22" hidden="1">
      <c r="B28" s="395" t="s">
        <v>44</v>
      </c>
      <c r="C28" s="395">
        <f>SUM(E28:V28)</f>
        <v>28</v>
      </c>
      <c r="I28" s="395">
        <v>2</v>
      </c>
      <c r="J28" s="395">
        <v>26</v>
      </c>
    </row>
    <row r="29" spans="1:22" hidden="1"/>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24B72-CD5C-4B36-8BED-675F1EC3541E}">
  <dimension ref="A1:D23"/>
  <sheetViews>
    <sheetView topLeftCell="A3" workbookViewId="0">
      <selection activeCell="G10" sqref="G10"/>
    </sheetView>
  </sheetViews>
  <sheetFormatPr defaultRowHeight="14.5"/>
  <cols>
    <col min="1" max="1" width="23.26953125" customWidth="1"/>
    <col min="2" max="2" width="16.54296875" customWidth="1"/>
  </cols>
  <sheetData>
    <row r="1" spans="1:4" ht="22.5">
      <c r="A1" s="342" t="s">
        <v>199</v>
      </c>
      <c r="B1" s="343">
        <v>45330</v>
      </c>
      <c r="C1" s="354"/>
      <c r="D1" s="355">
        <v>1</v>
      </c>
    </row>
    <row r="2" spans="1:4" ht="22.5">
      <c r="A2" s="344" t="s">
        <v>200</v>
      </c>
      <c r="B2" s="345">
        <v>45331</v>
      </c>
      <c r="C2" s="356"/>
      <c r="D2" s="357">
        <v>2</v>
      </c>
    </row>
    <row r="3" spans="1:4" ht="22.5">
      <c r="A3" s="344" t="s">
        <v>201</v>
      </c>
      <c r="B3" s="345">
        <v>45332</v>
      </c>
      <c r="C3" s="139"/>
      <c r="D3" s="357">
        <v>3</v>
      </c>
    </row>
    <row r="4" spans="1:4" ht="22.5">
      <c r="A4" s="344" t="s">
        <v>202</v>
      </c>
      <c r="B4" s="345">
        <v>45333</v>
      </c>
      <c r="C4" s="139"/>
      <c r="D4" s="357">
        <v>4</v>
      </c>
    </row>
    <row r="5" spans="1:4" ht="22.5">
      <c r="A5" s="344" t="s">
        <v>203</v>
      </c>
      <c r="B5" s="345">
        <v>45334</v>
      </c>
      <c r="C5" s="139"/>
      <c r="D5" s="357">
        <v>5</v>
      </c>
    </row>
    <row r="6" spans="1:4" ht="22.5">
      <c r="A6" s="346" t="s">
        <v>204</v>
      </c>
      <c r="B6" s="347">
        <v>45335</v>
      </c>
      <c r="C6" s="139"/>
      <c r="D6" s="357">
        <v>6</v>
      </c>
    </row>
    <row r="7" spans="1:4" ht="22.5">
      <c r="A7" s="348" t="s">
        <v>205</v>
      </c>
      <c r="B7" s="349">
        <v>45336</v>
      </c>
      <c r="C7" s="358"/>
      <c r="D7" s="357">
        <v>7</v>
      </c>
    </row>
    <row r="8" spans="1:4" ht="22.5">
      <c r="A8" s="344" t="s">
        <v>199</v>
      </c>
      <c r="B8" s="345">
        <v>45337</v>
      </c>
      <c r="C8" s="358"/>
      <c r="D8" s="357">
        <v>8</v>
      </c>
    </row>
    <row r="9" spans="1:4" ht="22.5">
      <c r="A9" s="344" t="s">
        <v>200</v>
      </c>
      <c r="B9" s="345">
        <v>45338</v>
      </c>
      <c r="C9" s="358"/>
      <c r="D9" s="357">
        <v>9</v>
      </c>
    </row>
    <row r="10" spans="1:4" ht="22.5">
      <c r="A10" s="344" t="s">
        <v>201</v>
      </c>
      <c r="B10" s="345">
        <v>45339</v>
      </c>
      <c r="C10" s="358">
        <v>1</v>
      </c>
      <c r="D10" s="357">
        <v>10</v>
      </c>
    </row>
    <row r="11" spans="1:4" ht="22.5">
      <c r="A11" s="344" t="s">
        <v>202</v>
      </c>
      <c r="B11" s="345">
        <v>45340</v>
      </c>
      <c r="C11" s="358">
        <v>2</v>
      </c>
      <c r="D11" s="357">
        <v>11</v>
      </c>
    </row>
    <row r="12" spans="1:4" ht="22.5">
      <c r="A12" s="344" t="s">
        <v>203</v>
      </c>
      <c r="B12" s="345">
        <v>45341</v>
      </c>
      <c r="C12" s="358">
        <v>3</v>
      </c>
      <c r="D12" s="357">
        <v>12</v>
      </c>
    </row>
    <row r="13" spans="1:4" ht="22.5">
      <c r="A13" s="348" t="s">
        <v>204</v>
      </c>
      <c r="B13" s="349">
        <v>45342</v>
      </c>
      <c r="C13" s="358">
        <v>4</v>
      </c>
      <c r="D13" s="357">
        <v>13</v>
      </c>
    </row>
    <row r="14" spans="1:4" ht="22.5">
      <c r="A14" s="344" t="s">
        <v>205</v>
      </c>
      <c r="B14" s="345">
        <v>45343</v>
      </c>
      <c r="C14" s="358">
        <v>5</v>
      </c>
      <c r="D14" s="357">
        <v>14</v>
      </c>
    </row>
    <row r="15" spans="1:4" ht="22.5">
      <c r="A15" s="344" t="s">
        <v>199</v>
      </c>
      <c r="B15" s="345">
        <v>45344</v>
      </c>
      <c r="C15" s="358">
        <v>6</v>
      </c>
      <c r="D15" s="357">
        <v>15</v>
      </c>
    </row>
    <row r="16" spans="1:4" ht="22.5">
      <c r="A16" s="350" t="s">
        <v>200</v>
      </c>
      <c r="B16" s="351">
        <v>45345</v>
      </c>
      <c r="C16" s="358"/>
      <c r="D16" s="357">
        <v>16</v>
      </c>
    </row>
    <row r="17" spans="1:4" ht="22.5">
      <c r="A17" s="344" t="s">
        <v>201</v>
      </c>
      <c r="B17" s="345">
        <v>45346</v>
      </c>
      <c r="C17" s="358">
        <v>8</v>
      </c>
      <c r="D17" s="357">
        <v>17</v>
      </c>
    </row>
    <row r="18" spans="1:4" ht="22.5">
      <c r="A18" s="344" t="s">
        <v>202</v>
      </c>
      <c r="B18" s="345">
        <v>45347</v>
      </c>
      <c r="C18" s="358">
        <v>9</v>
      </c>
      <c r="D18" s="357">
        <v>18</v>
      </c>
    </row>
    <row r="19" spans="1:4" ht="22.5">
      <c r="A19" s="344" t="s">
        <v>203</v>
      </c>
      <c r="B19" s="345">
        <v>45348</v>
      </c>
      <c r="C19" s="358">
        <v>10</v>
      </c>
      <c r="D19" s="357">
        <v>19</v>
      </c>
    </row>
    <row r="20" spans="1:4" ht="22.5">
      <c r="A20" s="344" t="s">
        <v>204</v>
      </c>
      <c r="B20" s="345">
        <v>45349</v>
      </c>
      <c r="C20" s="358">
        <v>11</v>
      </c>
      <c r="D20" s="357">
        <v>20</v>
      </c>
    </row>
    <row r="21" spans="1:4" ht="22.5">
      <c r="A21" s="344" t="s">
        <v>205</v>
      </c>
      <c r="B21" s="345">
        <v>45350</v>
      </c>
      <c r="C21" s="358">
        <v>12</v>
      </c>
      <c r="D21" s="357">
        <v>21</v>
      </c>
    </row>
    <row r="22" spans="1:4" ht="22.5">
      <c r="A22" s="344" t="s">
        <v>199</v>
      </c>
      <c r="B22" s="345">
        <v>45351</v>
      </c>
      <c r="C22" s="358">
        <v>13</v>
      </c>
      <c r="D22" s="357">
        <v>22</v>
      </c>
    </row>
    <row r="23" spans="1:4" ht="23" thickBot="1">
      <c r="A23" s="352" t="s">
        <v>200</v>
      </c>
      <c r="B23" s="353">
        <v>45352</v>
      </c>
      <c r="C23" s="358"/>
      <c r="D23" s="359">
        <v>22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A260D-6C0D-4B0F-8ED3-52143854B69C}">
  <dimension ref="A1"/>
  <sheetViews>
    <sheetView topLeftCell="A16"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MASTER SHEET -MARATHA SITE</vt:lpstr>
      <vt:lpstr>MARATHA QTY DISTRIBUATION</vt:lpstr>
      <vt:lpstr>SUMMARY</vt:lpstr>
      <vt:lpstr>P6 Format</vt:lpstr>
      <vt:lpstr>Site Photograph</vt:lpstr>
      <vt:lpstr>% data sheet</vt:lpstr>
      <vt:lpstr>Ordering</vt:lpstr>
      <vt:lpstr>Enggineering</vt:lpstr>
      <vt:lpstr>delivery</vt:lpstr>
      <vt:lpstr>Construction</vt:lpstr>
      <vt:lpstr>COMMISSIONING</vt:lpstr>
      <vt:lpstr>Focus Area</vt:lpstr>
      <vt:lpstr>Saftey data</vt:lpstr>
      <vt:lpstr>QA&amp;QC</vt:lpstr>
      <vt:lpstr>Summary Qty</vt:lpstr>
      <vt:lpstr>Sheet3</vt:lpstr>
      <vt:lpstr>RCC UPDATED SEP(3)</vt:lpstr>
      <vt:lpstr>PPT-2</vt:lpstr>
      <vt:lpstr>CHART</vt:lpstr>
      <vt:lpstr>Exc</vt:lpstr>
      <vt:lpstr>RCC</vt:lpstr>
      <vt:lpstr>BACKUP MSP</vt:lpstr>
      <vt:lpstr>PLATE FAB</vt:lpstr>
      <vt:lpstr>Str Fab</vt:lpstr>
      <vt:lpstr>STRUCTURE ERECTION</vt:lpstr>
      <vt:lpstr>P&amp;E</vt:lpstr>
      <vt:lpstr>Manpower Trend - A</vt:lpstr>
      <vt:lpstr>PLAN VS ACTUAL</vt:lpstr>
      <vt:lpstr>Manpower Trend - P</vt:lpstr>
      <vt:lpstr>Land Status</vt:lpstr>
      <vt:lpstr>Critical Points</vt:lpstr>
      <vt:lpstr>Packages</vt:lpstr>
      <vt:lpstr>Statutory Approvals</vt:lpstr>
      <vt:lpstr>Safety Statistics</vt:lpstr>
      <vt:lpstr>Information Icon</vt:lpstr>
      <vt:lpstr>SPI</vt:lpstr>
      <vt:lpstr>Delivery - Critical</vt:lpstr>
      <vt:lpstr>Engg Drill page</vt:lpstr>
      <vt:lpstr>Commissioning 1</vt:lpstr>
      <vt:lpstr>Commissioning 2</vt:lpstr>
      <vt:lpstr>Sorting Manpower</vt:lpstr>
      <vt:lpstr>Sheet4</vt:lpstr>
      <vt:lpstr>Ref and E&amp;I</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Paswan</dc:creator>
  <cp:lastModifiedBy>Sudhir Paswan</cp:lastModifiedBy>
  <dcterms:created xsi:type="dcterms:W3CDTF">2024-08-02T15:54:00Z</dcterms:created>
  <dcterms:modified xsi:type="dcterms:W3CDTF">2025-06-13T10:21:38Z</dcterms:modified>
</cp:coreProperties>
</file>