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dip\Desktop\beam flexure\"/>
    </mc:Choice>
  </mc:AlternateContent>
  <xr:revisionPtr revIDLastSave="0" documentId="13_ncr:1_{89913B05-3695-4567-888F-E0BBB873FBB9}" xr6:coauthVersionLast="47" xr6:coauthVersionMax="47" xr10:uidLastSave="{00000000-0000-0000-0000-000000000000}"/>
  <bookViews>
    <workbookView xWindow="-20610" yWindow="-120" windowWidth="20730" windowHeight="11040" tabRatio="724" activeTab="2" xr2:uid="{00000000-000D-0000-FFFF-FFFF00000000}"/>
  </bookViews>
  <sheets>
    <sheet name="info" sheetId="1" r:id="rId1"/>
    <sheet name="md" sheetId="21" r:id="rId2"/>
    <sheet name="Sheet2" sheetId="22" r:id="rId3"/>
  </sheets>
  <externalReferences>
    <externalReference r:id="rId4"/>
  </externalReferences>
  <definedNames>
    <definedName name="_xlnm.Print_Area" localSheetId="0">info!$A$1:$N$72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0" i="22" l="1"/>
  <c r="H50" i="22"/>
  <c r="H71" i="22"/>
  <c r="G71" i="22"/>
  <c r="G70" i="22"/>
  <c r="G69" i="22"/>
  <c r="G68" i="22"/>
  <c r="G67" i="22"/>
  <c r="G66" i="22"/>
  <c r="G65" i="22"/>
  <c r="G64" i="22"/>
  <c r="G63" i="22"/>
  <c r="G62" i="22"/>
  <c r="G61" i="22"/>
  <c r="G60" i="22"/>
  <c r="G59" i="22"/>
  <c r="G58" i="22"/>
  <c r="G57" i="22"/>
  <c r="G56" i="22"/>
  <c r="G55" i="22"/>
  <c r="G54" i="22"/>
  <c r="G53" i="22"/>
  <c r="G52" i="22"/>
  <c r="G51" i="22"/>
  <c r="P70" i="22"/>
  <c r="H70" i="22" s="1"/>
  <c r="P69" i="22"/>
  <c r="H69" i="22" s="1"/>
  <c r="P68" i="22"/>
  <c r="H68" i="22" s="1"/>
  <c r="P67" i="22"/>
  <c r="H67" i="22" s="1"/>
  <c r="P66" i="22"/>
  <c r="H66" i="22" s="1"/>
  <c r="P65" i="22"/>
  <c r="H65" i="22" s="1"/>
  <c r="P64" i="22"/>
  <c r="H64" i="22" s="1"/>
  <c r="P63" i="22"/>
  <c r="H63" i="22" s="1"/>
  <c r="P62" i="22"/>
  <c r="H62" i="22" s="1"/>
  <c r="P61" i="22"/>
  <c r="H61" i="22" s="1"/>
  <c r="P60" i="22"/>
  <c r="H60" i="22" s="1"/>
  <c r="P59" i="22"/>
  <c r="H59" i="22" s="1"/>
  <c r="P58" i="22"/>
  <c r="H58" i="22" s="1"/>
  <c r="P57" i="22"/>
  <c r="H57" i="22" s="1"/>
  <c r="P56" i="22"/>
  <c r="H56" i="22" s="1"/>
  <c r="P55" i="22"/>
  <c r="H55" i="22" s="1"/>
  <c r="P54" i="22"/>
  <c r="H54" i="22" s="1"/>
  <c r="P53" i="22"/>
  <c r="H53" i="22" s="1"/>
  <c r="P52" i="22"/>
  <c r="H52" i="22" s="1"/>
  <c r="P51" i="22"/>
  <c r="H51" i="22" s="1"/>
  <c r="P50" i="22"/>
  <c r="M79" i="22"/>
  <c r="M78" i="22"/>
  <c r="M74" i="22"/>
  <c r="M75" i="22"/>
  <c r="M73" i="22"/>
  <c r="P79" i="22"/>
  <c r="P80" i="22" s="1"/>
  <c r="P78" i="22"/>
  <c r="P76" i="22"/>
  <c r="P74" i="22"/>
  <c r="P75" i="22"/>
  <c r="P73" i="22"/>
  <c r="H26" i="22"/>
  <c r="H27" i="22"/>
  <c r="H28" i="22"/>
  <c r="H30" i="22"/>
  <c r="H32" i="22"/>
  <c r="H34" i="22"/>
  <c r="H36" i="22"/>
  <c r="H38" i="22"/>
  <c r="H40" i="22"/>
  <c r="H42" i="22"/>
  <c r="H44" i="22"/>
  <c r="H25" i="22"/>
  <c r="P28" i="22"/>
  <c r="P26" i="22"/>
  <c r="P27" i="22"/>
  <c r="P29" i="22"/>
  <c r="H29" i="22" s="1"/>
  <c r="P30" i="22"/>
  <c r="P31" i="22"/>
  <c r="H31" i="22" s="1"/>
  <c r="P32" i="22"/>
  <c r="P33" i="22"/>
  <c r="H33" i="22" s="1"/>
  <c r="P34" i="22"/>
  <c r="P35" i="22"/>
  <c r="H35" i="22" s="1"/>
  <c r="P36" i="22"/>
  <c r="P37" i="22"/>
  <c r="H37" i="22" s="1"/>
  <c r="P38" i="22"/>
  <c r="P39" i="22"/>
  <c r="H39" i="22" s="1"/>
  <c r="P40" i="22"/>
  <c r="P41" i="22"/>
  <c r="H41" i="22" s="1"/>
  <c r="P42" i="22"/>
  <c r="P43" i="22"/>
  <c r="H43" i="22" s="1"/>
  <c r="P44" i="22"/>
  <c r="P45" i="22"/>
  <c r="H45" i="22" s="1"/>
  <c r="P25" i="22"/>
  <c r="G36" i="22"/>
  <c r="G37" i="22"/>
  <c r="G38" i="22"/>
  <c r="G39" i="22"/>
  <c r="G40" i="22"/>
  <c r="G41" i="22"/>
  <c r="G42" i="22"/>
  <c r="G43" i="22"/>
  <c r="G44" i="22"/>
  <c r="G45" i="22"/>
  <c r="G25" i="22"/>
  <c r="G26" i="22"/>
  <c r="G27" i="22"/>
  <c r="G28" i="22"/>
  <c r="G29" i="22"/>
  <c r="G30" i="22"/>
  <c r="G31" i="22"/>
  <c r="G32" i="22"/>
  <c r="G33" i="22"/>
  <c r="G34" i="22"/>
  <c r="G35" i="22"/>
  <c r="R58" i="21"/>
  <c r="R59" i="21"/>
  <c r="R60" i="21"/>
  <c r="R57" i="21"/>
  <c r="Q58" i="21"/>
  <c r="Q59" i="21"/>
  <c r="Q60" i="21"/>
  <c r="Q57" i="21"/>
  <c r="P55" i="21"/>
  <c r="L59" i="21"/>
  <c r="L58" i="21"/>
  <c r="P6" i="22"/>
  <c r="P7" i="22"/>
  <c r="H7" i="22" s="1"/>
  <c r="P8" i="22"/>
  <c r="H8" i="22" s="1"/>
  <c r="P9" i="22"/>
  <c r="H9" i="22" s="1"/>
  <c r="P10" i="22"/>
  <c r="H10" i="22" s="1"/>
  <c r="P11" i="22"/>
  <c r="P12" i="22"/>
  <c r="H12" i="22" s="1"/>
  <c r="P13" i="22"/>
  <c r="H13" i="22" s="1"/>
  <c r="P14" i="22"/>
  <c r="H14" i="22" s="1"/>
  <c r="P15" i="22"/>
  <c r="H15" i="22" s="1"/>
  <c r="P5" i="22"/>
  <c r="H5" i="22" s="1"/>
  <c r="H11" i="22"/>
  <c r="H6" i="22"/>
  <c r="G6" i="22"/>
  <c r="G7" i="22"/>
  <c r="G8" i="22"/>
  <c r="G9" i="22"/>
  <c r="G10" i="22"/>
  <c r="G11" i="22"/>
  <c r="G12" i="22"/>
  <c r="G13" i="22"/>
  <c r="G14" i="22"/>
  <c r="G15" i="22"/>
  <c r="G5" i="22"/>
  <c r="B76" i="21"/>
  <c r="B77" i="21"/>
  <c r="B78" i="21"/>
  <c r="B79" i="21"/>
  <c r="B80" i="21"/>
  <c r="B81" i="21"/>
  <c r="B82" i="21"/>
  <c r="B83" i="21"/>
  <c r="B75" i="21"/>
  <c r="B59" i="21"/>
  <c r="B60" i="21"/>
  <c r="B61" i="21"/>
  <c r="B62" i="21"/>
  <c r="B63" i="21"/>
  <c r="B64" i="21"/>
  <c r="B65" i="21"/>
  <c r="B66" i="21"/>
  <c r="B58" i="21"/>
  <c r="F47" i="1"/>
  <c r="F49" i="1"/>
  <c r="F48" i="1"/>
  <c r="F46" i="1"/>
  <c r="E42" i="1"/>
  <c r="E41" i="1"/>
  <c r="D41" i="1"/>
  <c r="D42" i="1"/>
  <c r="C42" i="1"/>
  <c r="C4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1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21" i="1"/>
  <c r="D17" i="1"/>
  <c r="E17" i="1"/>
  <c r="F17" i="1"/>
  <c r="G17" i="1"/>
  <c r="C17" i="1"/>
  <c r="E13" i="1" l="1"/>
  <c r="D13" i="1"/>
  <c r="J6" i="21"/>
  <c r="B8" i="21"/>
  <c r="E33" i="21"/>
  <c r="E32" i="21"/>
  <c r="E13" i="21"/>
  <c r="J11" i="21"/>
  <c r="J12" i="21" s="1"/>
  <c r="N7" i="21"/>
  <c r="J3" i="21"/>
  <c r="K3" i="21" s="1"/>
  <c r="C8" i="21" l="1"/>
  <c r="B32" i="21"/>
  <c r="B33" i="21" s="1"/>
  <c r="D33" i="21" s="1"/>
  <c r="I11" i="21"/>
  <c r="L11" i="21" s="1"/>
  <c r="J13" i="21"/>
  <c r="I12" i="21"/>
  <c r="L12" i="21" s="1"/>
  <c r="O8" i="21"/>
  <c r="K10" i="21"/>
  <c r="L10" i="21"/>
  <c r="I13" i="21"/>
  <c r="K12" i="21" l="1"/>
  <c r="L13" i="21"/>
  <c r="B13" i="21"/>
  <c r="K11" i="21"/>
  <c r="J14" i="21"/>
  <c r="K13" i="21"/>
  <c r="D13" i="21"/>
  <c r="J15" i="21" l="1"/>
  <c r="D14" i="21"/>
  <c r="I14" i="21"/>
  <c r="B14" i="21" l="1"/>
  <c r="L14" i="21"/>
  <c r="K14" i="21"/>
  <c r="C14" i="21" s="1"/>
  <c r="E14" i="21" s="1"/>
  <c r="D15" i="21"/>
  <c r="J16" i="21"/>
  <c r="I15" i="21"/>
  <c r="K15" i="21" s="1"/>
  <c r="C15" i="21" s="1"/>
  <c r="E15" i="21" s="1"/>
  <c r="B15" i="21" l="1"/>
  <c r="L15" i="21"/>
  <c r="J17" i="21"/>
  <c r="D16" i="21"/>
  <c r="I16" i="21"/>
  <c r="J18" i="21" l="1"/>
  <c r="D17" i="21"/>
  <c r="I17" i="21"/>
  <c r="B16" i="21"/>
  <c r="L16" i="21"/>
  <c r="K16" i="21"/>
  <c r="C16" i="21" s="1"/>
  <c r="E16" i="21" s="1"/>
  <c r="B17" i="21" l="1"/>
  <c r="L17" i="21"/>
  <c r="K17" i="21"/>
  <c r="C17" i="21" s="1"/>
  <c r="E17" i="21" s="1"/>
  <c r="D18" i="21"/>
  <c r="J19" i="21"/>
  <c r="I18" i="21"/>
  <c r="K18" i="21" s="1"/>
  <c r="C18" i="21" s="1"/>
  <c r="E18" i="21" s="1"/>
  <c r="B18" i="21" l="1"/>
  <c r="L18" i="21"/>
  <c r="S6" i="21"/>
  <c r="J20" i="21"/>
  <c r="D19" i="21"/>
  <c r="I19" i="21"/>
  <c r="B19" i="21" l="1"/>
  <c r="L19" i="21"/>
  <c r="J21" i="21"/>
  <c r="I20" i="21"/>
  <c r="K20" i="21" s="1"/>
  <c r="C20" i="21" s="1"/>
  <c r="K19" i="21"/>
  <c r="C19" i="21" s="1"/>
  <c r="E19" i="21" s="1"/>
  <c r="J22" i="21" l="1"/>
  <c r="I21" i="21"/>
  <c r="E20" i="21"/>
  <c r="N8" i="21"/>
  <c r="B20" i="21"/>
  <c r="L20" i="21"/>
  <c r="D20" i="21" s="1"/>
  <c r="J23" i="21" l="1"/>
  <c r="I22" i="21"/>
  <c r="B21" i="21"/>
  <c r="L21" i="21"/>
  <c r="D21" i="21" s="1"/>
  <c r="K21" i="21"/>
  <c r="C21" i="21" s="1"/>
  <c r="E21" i="21" s="1"/>
  <c r="J24" i="21" l="1"/>
  <c r="I23" i="21"/>
  <c r="K23" i="21" s="1"/>
  <c r="C23" i="21" s="1"/>
  <c r="E23" i="21" s="1"/>
  <c r="B22" i="21"/>
  <c r="L22" i="21"/>
  <c r="D22" i="21" s="1"/>
  <c r="K22" i="21"/>
  <c r="C22" i="21" s="1"/>
  <c r="E22" i="21" s="1"/>
  <c r="B23" i="21" l="1"/>
  <c r="L23" i="21"/>
  <c r="D23" i="21" s="1"/>
  <c r="J25" i="21"/>
  <c r="I24" i="21"/>
  <c r="K24" i="21" s="1"/>
  <c r="C24" i="21" s="1"/>
  <c r="E24" i="21" s="1"/>
  <c r="J26" i="21" l="1"/>
  <c r="I25" i="21"/>
  <c r="B24" i="21"/>
  <c r="L24" i="21"/>
  <c r="D24" i="21" s="1"/>
  <c r="B25" i="21" l="1"/>
  <c r="L25" i="21"/>
  <c r="D25" i="21" s="1"/>
  <c r="J27" i="21"/>
  <c r="I26" i="21"/>
  <c r="K26" i="21" s="1"/>
  <c r="C26" i="21" s="1"/>
  <c r="E26" i="21" s="1"/>
  <c r="K25" i="21"/>
  <c r="C25" i="21" s="1"/>
  <c r="E25" i="21" s="1"/>
  <c r="J28" i="21" l="1"/>
  <c r="I27" i="21"/>
  <c r="B26" i="21"/>
  <c r="L26" i="21"/>
  <c r="D26" i="21" s="1"/>
  <c r="B27" i="21" l="1"/>
  <c r="L27" i="21"/>
  <c r="D27" i="21" s="1"/>
  <c r="K27" i="21"/>
  <c r="C27" i="21" s="1"/>
  <c r="E27" i="21" s="1"/>
  <c r="J29" i="21"/>
  <c r="I28" i="21"/>
  <c r="K28" i="21" s="1"/>
  <c r="C28" i="21" s="1"/>
  <c r="E28" i="21" s="1"/>
  <c r="I29" i="21" l="1"/>
  <c r="K29" i="21" s="1"/>
  <c r="C29" i="21" s="1"/>
  <c r="E29" i="21" s="1"/>
  <c r="B28" i="21"/>
  <c r="L28" i="21"/>
  <c r="D28" i="21" s="1"/>
  <c r="B29" i="21" l="1"/>
  <c r="L29" i="21"/>
  <c r="D29" i="21" s="1"/>
  <c r="N21" i="1" l="1"/>
  <c r="N22" i="1" s="1"/>
  <c r="N15" i="1"/>
  <c r="N14" i="1"/>
  <c r="N12" i="1"/>
  <c r="N11" i="1"/>
  <c r="N8" i="1"/>
  <c r="N5" i="1"/>
  <c r="N6" i="1" s="1"/>
  <c r="E6" i="1"/>
  <c r="E5" i="1"/>
  <c r="E4" i="1"/>
  <c r="D4" i="1"/>
  <c r="E3" i="1"/>
  <c r="C3" i="1"/>
  <c r="F5" i="1" s="1"/>
  <c r="D7" i="1"/>
  <c r="C7" i="1"/>
  <c r="N23" i="1" l="1"/>
  <c r="C4" i="1"/>
</calcChain>
</file>

<file path=xl/sharedStrings.xml><?xml version="1.0" encoding="utf-8"?>
<sst xmlns="http://schemas.openxmlformats.org/spreadsheetml/2006/main" count="130" uniqueCount="92">
  <si>
    <t>Part</t>
  </si>
  <si>
    <t>material</t>
  </si>
  <si>
    <t>Concrete</t>
  </si>
  <si>
    <t>Density</t>
  </si>
  <si>
    <t>Elasticity</t>
  </si>
  <si>
    <t>poisson</t>
  </si>
  <si>
    <t>CDP</t>
  </si>
  <si>
    <t>Dilation</t>
  </si>
  <si>
    <t>ecc</t>
  </si>
  <si>
    <t>fb0/fc0</t>
  </si>
  <si>
    <t>K</t>
  </si>
  <si>
    <t>viscosity</t>
  </si>
  <si>
    <t>Compression</t>
  </si>
  <si>
    <t>Yield stress</t>
  </si>
  <si>
    <t>Inelastic strain</t>
  </si>
  <si>
    <t>Tension</t>
  </si>
  <si>
    <t>Damage</t>
  </si>
  <si>
    <t>cracking</t>
  </si>
  <si>
    <t>damage</t>
  </si>
  <si>
    <t>Steel</t>
  </si>
  <si>
    <t>Plastic</t>
  </si>
  <si>
    <t>Plastic strain</t>
  </si>
  <si>
    <t>X</t>
  </si>
  <si>
    <t>Y</t>
  </si>
  <si>
    <t>Z</t>
  </si>
  <si>
    <t>Load applied</t>
  </si>
  <si>
    <t>kN</t>
  </si>
  <si>
    <t>MPa</t>
  </si>
  <si>
    <t xml:space="preserve">Interaction : </t>
  </si>
  <si>
    <t>Units</t>
  </si>
  <si>
    <t xml:space="preserve">Mass density : </t>
  </si>
  <si>
    <t>tonne/mm^3</t>
  </si>
  <si>
    <t xml:space="preserve">Force : </t>
  </si>
  <si>
    <t xml:space="preserve">Stress: </t>
  </si>
  <si>
    <t>mm</t>
  </si>
  <si>
    <t xml:space="preserve">Length : </t>
  </si>
  <si>
    <t>time</t>
  </si>
  <si>
    <t>beam</t>
  </si>
  <si>
    <t>support</t>
  </si>
  <si>
    <t>cbar</t>
  </si>
  <si>
    <t>tbar</t>
  </si>
  <si>
    <t>stirrup</t>
  </si>
  <si>
    <t>bX</t>
  </si>
  <si>
    <t>hY</t>
  </si>
  <si>
    <t>lZ</t>
  </si>
  <si>
    <t>sp1</t>
  </si>
  <si>
    <t>sp2</t>
  </si>
  <si>
    <t>L1</t>
  </si>
  <si>
    <t>L2</t>
  </si>
  <si>
    <t>positions</t>
  </si>
  <si>
    <t>CDP derivation</t>
  </si>
  <si>
    <t xml:space="preserve">unit weight = </t>
  </si>
  <si>
    <t>hognestad behavior</t>
  </si>
  <si>
    <t xml:space="preserve">youngs modulus (if given): </t>
  </si>
  <si>
    <t>elastic behavior</t>
  </si>
  <si>
    <t>Compressive strength (MPa)</t>
  </si>
  <si>
    <t>Young Modulus (MPa)</t>
  </si>
  <si>
    <t xml:space="preserve">Poisson's ratio </t>
  </si>
  <si>
    <t>strain at yield</t>
  </si>
  <si>
    <t xml:space="preserve">Compressive strength (if given) = </t>
  </si>
  <si>
    <t xml:space="preserve">Dilation angle </t>
  </si>
  <si>
    <t xml:space="preserve">Eccentricity </t>
  </si>
  <si>
    <t>Viscosity parameters</t>
  </si>
  <si>
    <t>stress</t>
  </si>
  <si>
    <t>strain</t>
  </si>
  <si>
    <t>inelastic strain</t>
  </si>
  <si>
    <t>Compressive behavior</t>
  </si>
  <si>
    <t>Compression damage</t>
  </si>
  <si>
    <t xml:space="preserve">Yeild stress </t>
  </si>
  <si>
    <t xml:space="preserve">inelastic strain </t>
  </si>
  <si>
    <t>Damage parameter</t>
  </si>
  <si>
    <t>Crushing strain</t>
  </si>
  <si>
    <t>Tensile behaviour</t>
  </si>
  <si>
    <t xml:space="preserve">Tension damage </t>
  </si>
  <si>
    <t>Damage paramter</t>
  </si>
  <si>
    <t>Cracking strain</t>
  </si>
  <si>
    <t>material properties derivation</t>
  </si>
  <si>
    <t>Rebar</t>
  </si>
  <si>
    <t xml:space="preserve">Rebar tensile strength </t>
  </si>
  <si>
    <t>Steel supports</t>
  </si>
  <si>
    <t>0.35 friction</t>
  </si>
  <si>
    <t>disp</t>
  </si>
  <si>
    <t>force</t>
  </si>
  <si>
    <t>x</t>
  </si>
  <si>
    <t xml:space="preserve"> y</t>
  </si>
  <si>
    <t>Experiment 5N1</t>
  </si>
  <si>
    <t>Numerical</t>
  </si>
  <si>
    <t>plastic strain</t>
  </si>
  <si>
    <t xml:space="preserve">Elastic modulus = </t>
  </si>
  <si>
    <t>v01</t>
  </si>
  <si>
    <t>v02</t>
  </si>
  <si>
    <t>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</si>
</sst>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"/>
    <numFmt numFmtId="167" formatCode="0.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4" borderId="15" applyNumberFormat="0" applyAlignment="0" applyProtection="0"/>
  </cellStyleXfs>
  <cellXfs count="5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0" fillId="0" borderId="0" xfId="0" applyNumberFormat="1"/>
    <xf numFmtId="0" fontId="0" fillId="0" borderId="0" xfId="0" applyAlignment="1">
      <alignment horizontal="right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6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7" fontId="0" fillId="2" borderId="0" xfId="0" applyNumberFormat="1" applyFill="1"/>
    <xf numFmtId="1" fontId="0" fillId="5" borderId="0" xfId="0" applyNumberFormat="1" applyFill="1"/>
    <xf numFmtId="0" fontId="2" fillId="2" borderId="15" xfId="1" applyFill="1"/>
    <xf numFmtId="0" fontId="2" fillId="5" borderId="15" xfId="1" applyFill="1"/>
    <xf numFmtId="0" fontId="2" fillId="4" borderId="15" xfId="1"/>
    <xf numFmtId="167" fontId="2" fillId="4" borderId="15" xfId="1" applyNumberFormat="1"/>
    <xf numFmtId="167" fontId="0" fillId="0" borderId="0" xfId="0" applyNumberFormat="1"/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implemented</a:t>
            </a:r>
            <a:r>
              <a:rPr lang="en-US" baseline="0"/>
              <a:t> </a:t>
            </a:r>
            <a:r>
              <a:rPr lang="en-US"/>
              <a:t>ASR kinetics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285433070866135E-2"/>
          <c:y val="0.17413145539906102"/>
          <c:w val="0.86450098425196853"/>
          <c:h val="0.77422535211267607"/>
        </c:manualLayout>
      </c:layout>
      <c:scatterChart>
        <c:scatterStyle val="lineMarker"/>
        <c:varyColors val="0"/>
        <c:ser>
          <c:idx val="0"/>
          <c:order val="0"/>
          <c:tx>
            <c:v>implemented kinetics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info!#REF!</c:f>
            </c:numRef>
          </c:xVal>
          <c:yVal>
            <c:numRef>
              <c:f>info!#REF!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5F-4B29-9F31-56CC16CC6C88}"/>
            </c:ext>
          </c:extLst>
        </c:ser>
        <c:ser>
          <c:idx val="1"/>
          <c:order val="1"/>
          <c:tx>
            <c:v>numerical kinetics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F7-4BFD-962A-99251E748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013647"/>
        <c:axId val="110017007"/>
      </c:scatterChart>
      <c:valAx>
        <c:axId val="110013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17007"/>
        <c:crosses val="autoZero"/>
        <c:crossBetween val="midCat"/>
      </c:valAx>
      <c:valAx>
        <c:axId val="11001700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1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4386417322834648E-2"/>
          <c:y val="0.14457617093637942"/>
          <c:w val="0.2911507874015748"/>
          <c:h val="0.158451813241654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[1]CDP!$J$10:$J$29</c:f>
              <c:numCache>
                <c:formatCode>General</c:formatCode>
                <c:ptCount val="20"/>
                <c:pt idx="0">
                  <c:v>0</c:v>
                </c:pt>
                <c:pt idx="1">
                  <c:v>2.0000000000000001E-4</c:v>
                </c:pt>
                <c:pt idx="2">
                  <c:v>4.0000000000000002E-4</c:v>
                </c:pt>
                <c:pt idx="3">
                  <c:v>6.0000000000000006E-4</c:v>
                </c:pt>
                <c:pt idx="4">
                  <c:v>8.0000000000000004E-4</c:v>
                </c:pt>
                <c:pt idx="5">
                  <c:v>1E-3</c:v>
                </c:pt>
                <c:pt idx="6">
                  <c:v>1.2000000000000001E-3</c:v>
                </c:pt>
                <c:pt idx="7">
                  <c:v>1.4000000000000002E-3</c:v>
                </c:pt>
                <c:pt idx="8">
                  <c:v>1.6000000000000003E-3</c:v>
                </c:pt>
                <c:pt idx="9">
                  <c:v>1.8000000000000004E-3</c:v>
                </c:pt>
                <c:pt idx="10">
                  <c:v>2.0000000000000005E-3</c:v>
                </c:pt>
                <c:pt idx="11">
                  <c:v>2.2000000000000006E-3</c:v>
                </c:pt>
                <c:pt idx="12">
                  <c:v>2.4000000000000007E-3</c:v>
                </c:pt>
                <c:pt idx="13">
                  <c:v>2.6000000000000007E-3</c:v>
                </c:pt>
                <c:pt idx="14">
                  <c:v>2.8000000000000008E-3</c:v>
                </c:pt>
                <c:pt idx="15">
                  <c:v>3.0000000000000009E-3</c:v>
                </c:pt>
                <c:pt idx="16">
                  <c:v>3.200000000000001E-3</c:v>
                </c:pt>
                <c:pt idx="17">
                  <c:v>3.4000000000000011E-3</c:v>
                </c:pt>
                <c:pt idx="18">
                  <c:v>3.6000000000000012E-3</c:v>
                </c:pt>
                <c:pt idx="19">
                  <c:v>3.8000000000000013E-3</c:v>
                </c:pt>
              </c:numCache>
            </c:numRef>
          </c:xVal>
          <c:yVal>
            <c:numRef>
              <c:f>[1]CDP!$I$10:$I$29</c:f>
              <c:numCache>
                <c:formatCode>General</c:formatCode>
                <c:ptCount val="20"/>
                <c:pt idx="0">
                  <c:v>0</c:v>
                </c:pt>
                <c:pt idx="1">
                  <c:v>11.058</c:v>
                </c:pt>
                <c:pt idx="2">
                  <c:v>20.952000000000002</c:v>
                </c:pt>
                <c:pt idx="3">
                  <c:v>29.682000000000002</c:v>
                </c:pt>
                <c:pt idx="4">
                  <c:v>37.248000000000005</c:v>
                </c:pt>
                <c:pt idx="5">
                  <c:v>43.650000000000006</c:v>
                </c:pt>
                <c:pt idx="6">
                  <c:v>48.888000000000005</c:v>
                </c:pt>
                <c:pt idx="7">
                  <c:v>52.962000000000003</c:v>
                </c:pt>
                <c:pt idx="8">
                  <c:v>55.872000000000007</c:v>
                </c:pt>
                <c:pt idx="9">
                  <c:v>57.618000000000002</c:v>
                </c:pt>
                <c:pt idx="10">
                  <c:v>58.2</c:v>
                </c:pt>
                <c:pt idx="11">
                  <c:v>57.618000000000002</c:v>
                </c:pt>
                <c:pt idx="12">
                  <c:v>55.871999999999986</c:v>
                </c:pt>
                <c:pt idx="13">
                  <c:v>52.961999999999996</c:v>
                </c:pt>
                <c:pt idx="14">
                  <c:v>48.887999999999984</c:v>
                </c:pt>
                <c:pt idx="15">
                  <c:v>43.649999999999977</c:v>
                </c:pt>
                <c:pt idx="16">
                  <c:v>37.247999999999955</c:v>
                </c:pt>
                <c:pt idx="17">
                  <c:v>29.681999999999963</c:v>
                </c:pt>
                <c:pt idx="18">
                  <c:v>20.951999999999966</c:v>
                </c:pt>
                <c:pt idx="19">
                  <c:v>11.057999999999947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D2-4921-92AB-DB0F2F2C3A0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[1]CDP!$N$7:$N$8</c:f>
              <c:numCache>
                <c:formatCode>General</c:formatCode>
                <c:ptCount val="2"/>
                <c:pt idx="0">
                  <c:v>0</c:v>
                </c:pt>
                <c:pt idx="1">
                  <c:v>3.3714285714285747E-4</c:v>
                </c:pt>
              </c:numCache>
            </c:numRef>
          </c:xVal>
          <c:yVal>
            <c:numRef>
              <c:f>[1]CDP!$O$7:$O$8</c:f>
              <c:numCache>
                <c:formatCode>General</c:formatCode>
                <c:ptCount val="2"/>
                <c:pt idx="0">
                  <c:v>0</c:v>
                </c:pt>
                <c:pt idx="1">
                  <c:v>58.2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D2-4921-92AB-DB0F2F2C3A04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[1]CDP!$J$32:$J$34</c:f>
              <c:numCache>
                <c:formatCode>General</c:formatCode>
                <c:ptCount val="3"/>
              </c:numCache>
            </c:numRef>
          </c:xVal>
          <c:yVal>
            <c:numRef>
              <c:f>[1]CDP!$I$32:$I$34</c:f>
              <c:numCache>
                <c:formatCode>General</c:formatCode>
                <c:ptCount val="3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D2-4921-92AB-DB0F2F2C3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5926544"/>
        <c:axId val="785908784"/>
      </c:scatterChart>
      <c:valAx>
        <c:axId val="78592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908784"/>
        <c:crosses val="autoZero"/>
        <c:crossBetween val="midCat"/>
      </c:valAx>
      <c:valAx>
        <c:axId val="78590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92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md!$C$58:$C$66</c:f>
              <c:numCache>
                <c:formatCode>General</c:formatCode>
                <c:ptCount val="9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0.06</c:v>
                </c:pt>
                <c:pt idx="5">
                  <c:v>0.1</c:v>
                </c:pt>
                <c:pt idx="6">
                  <c:v>0.15</c:v>
                </c:pt>
                <c:pt idx="7">
                  <c:v>0.25</c:v>
                </c:pt>
                <c:pt idx="8">
                  <c:v>0.4</c:v>
                </c:pt>
              </c:numCache>
            </c:numRef>
          </c:xVal>
          <c:yVal>
            <c:numRef>
              <c:f>md!$B$58:$B$66</c:f>
              <c:numCache>
                <c:formatCode>0</c:formatCode>
                <c:ptCount val="9"/>
                <c:pt idx="0">
                  <c:v>435</c:v>
                </c:pt>
                <c:pt idx="1">
                  <c:v>453.49871134020617</c:v>
                </c:pt>
                <c:pt idx="2">
                  <c:v>464.71005154639175</c:v>
                </c:pt>
                <c:pt idx="3">
                  <c:v>471.9974226804124</c:v>
                </c:pt>
                <c:pt idx="4">
                  <c:v>485.45103092783506</c:v>
                </c:pt>
                <c:pt idx="5">
                  <c:v>494.98067010309279</c:v>
                </c:pt>
                <c:pt idx="6">
                  <c:v>501.70747422680415</c:v>
                </c:pt>
                <c:pt idx="7">
                  <c:v>510.11597938144331</c:v>
                </c:pt>
                <c:pt idx="8">
                  <c:v>516.84278350515467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EF-44CD-970F-2EAB98595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034751"/>
        <c:axId val="1688047711"/>
      </c:scatterChart>
      <c:valAx>
        <c:axId val="1688034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47711"/>
        <c:crosses val="autoZero"/>
        <c:crossBetween val="midCat"/>
      </c:valAx>
      <c:valAx>
        <c:axId val="168804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34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247594050743664E-2"/>
          <c:y val="5.0925925925925923E-2"/>
          <c:w val="0.89141907261592301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Sheet2!$H$2</c:f>
              <c:strCache>
                <c:ptCount val="1"/>
                <c:pt idx="0">
                  <c:v>v01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Sheet2!$G$5:$G$15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xVal>
          <c:yVal>
            <c:numRef>
              <c:f>Sheet2!$H$5:$H$15</c:f>
              <c:numCache>
                <c:formatCode>0</c:formatCode>
                <c:ptCount val="11"/>
                <c:pt idx="0">
                  <c:v>0</c:v>
                </c:pt>
                <c:pt idx="1">
                  <c:v>152.65507200000008</c:v>
                </c:pt>
                <c:pt idx="2">
                  <c:v>225.09329439999999</c:v>
                </c:pt>
                <c:pt idx="3">
                  <c:v>206.29602320000001</c:v>
                </c:pt>
                <c:pt idx="4">
                  <c:v>155.13812799999999</c:v>
                </c:pt>
                <c:pt idx="5">
                  <c:v>126.54139799999999</c:v>
                </c:pt>
                <c:pt idx="6">
                  <c:v>123.30329000000002</c:v>
                </c:pt>
                <c:pt idx="7">
                  <c:v>139.45636200000001</c:v>
                </c:pt>
                <c:pt idx="8">
                  <c:v>135.99710399999998</c:v>
                </c:pt>
                <c:pt idx="9">
                  <c:v>126.09963800000001</c:v>
                </c:pt>
                <c:pt idx="10">
                  <c:v>117.93207980000001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66-4E5F-9DDD-DB8DC6D1AFEB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Experiment 5N1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Sheet2!$A$5:$A$41</c:f>
              <c:numCache>
                <c:formatCode>General</c:formatCode>
                <c:ptCount val="37"/>
                <c:pt idx="0">
                  <c:v>0</c:v>
                </c:pt>
                <c:pt idx="1">
                  <c:v>0.317881731389833</c:v>
                </c:pt>
                <c:pt idx="2">
                  <c:v>0.39734998152332601</c:v>
                </c:pt>
                <c:pt idx="3">
                  <c:v>0.71523171291315901</c:v>
                </c:pt>
                <c:pt idx="4">
                  <c:v>0.79470432847458805</c:v>
                </c:pt>
                <c:pt idx="5">
                  <c:v>0.953645194169503</c:v>
                </c:pt>
                <c:pt idx="6">
                  <c:v>1.2715225601314</c:v>
                </c:pt>
                <c:pt idx="7">
                  <c:v>1.43046342582632</c:v>
                </c:pt>
                <c:pt idx="8">
                  <c:v>1.7483451572161499</c:v>
                </c:pt>
                <c:pt idx="9">
                  <c:v>2.3046360044343999</c:v>
                </c:pt>
                <c:pt idx="10">
                  <c:v>2.86092685165264</c:v>
                </c:pt>
                <c:pt idx="11">
                  <c:v>3.5761585645657998</c:v>
                </c:pt>
                <c:pt idx="12">
                  <c:v>4.5298037587352997</c:v>
                </c:pt>
                <c:pt idx="13">
                  <c:v>5.40397633734338</c:v>
                </c:pt>
                <c:pt idx="14">
                  <c:v>6.75496714760828</c:v>
                </c:pt>
                <c:pt idx="15">
                  <c:v>7.1523171291316103</c:v>
                </c:pt>
                <c:pt idx="16">
                  <c:v>8.1854305734346102</c:v>
                </c:pt>
                <c:pt idx="17">
                  <c:v>9.1390714021761692</c:v>
                </c:pt>
                <c:pt idx="18">
                  <c:v>10.1721848464791</c:v>
                </c:pt>
                <c:pt idx="19">
                  <c:v>11.523180022171999</c:v>
                </c:pt>
                <c:pt idx="20">
                  <c:v>13.112584313693199</c:v>
                </c:pt>
                <c:pt idx="21">
                  <c:v>14.463575123958099</c:v>
                </c:pt>
                <c:pt idx="22">
                  <c:v>15.417220318127599</c:v>
                </c:pt>
                <c:pt idx="23">
                  <c:v>16.0529794154793</c:v>
                </c:pt>
                <c:pt idx="24">
                  <c:v>16.688742878258999</c:v>
                </c:pt>
                <c:pt idx="25">
                  <c:v>17.801324572695499</c:v>
                </c:pt>
                <c:pt idx="26">
                  <c:v>19.152319748388301</c:v>
                </c:pt>
                <c:pt idx="27">
                  <c:v>20.105960577129899</c:v>
                </c:pt>
                <c:pt idx="28">
                  <c:v>20.980133155737999</c:v>
                </c:pt>
                <c:pt idx="29">
                  <c:v>21.615892253089701</c:v>
                </c:pt>
                <c:pt idx="30">
                  <c:v>21.695360503223199</c:v>
                </c:pt>
                <c:pt idx="31">
                  <c:v>22.251655715869401</c:v>
                </c:pt>
                <c:pt idx="32">
                  <c:v>23.443705660439399</c:v>
                </c:pt>
                <c:pt idx="33">
                  <c:v>25.192050817655499</c:v>
                </c:pt>
                <c:pt idx="34">
                  <c:v>26.3841094930814</c:v>
                </c:pt>
                <c:pt idx="35">
                  <c:v>27.735095937918299</c:v>
                </c:pt>
                <c:pt idx="36">
                  <c:v>28.688741132087799</c:v>
                </c:pt>
              </c:numCache>
            </c:numRef>
          </c:xVal>
          <c:yVal>
            <c:numRef>
              <c:f>Sheet2!$B$5:$B$41</c:f>
              <c:numCache>
                <c:formatCode>General</c:formatCode>
                <c:ptCount val="37"/>
                <c:pt idx="0">
                  <c:v>0</c:v>
                </c:pt>
                <c:pt idx="1">
                  <c:v>23.676227180211701</c:v>
                </c:pt>
                <c:pt idx="2">
                  <c:v>31.2647578987619</c:v>
                </c:pt>
                <c:pt idx="3">
                  <c:v>41.281609776757001</c:v>
                </c:pt>
                <c:pt idx="4">
                  <c:v>47.9595221447683</c:v>
                </c:pt>
                <c:pt idx="5">
                  <c:v>56.762221780051803</c:v>
                </c:pt>
                <c:pt idx="6">
                  <c:v>64.047218606429695</c:v>
                </c:pt>
                <c:pt idx="7">
                  <c:v>71.635749324979997</c:v>
                </c:pt>
                <c:pt idx="8">
                  <c:v>77.099492776257904</c:v>
                </c:pt>
                <c:pt idx="9">
                  <c:v>85.598650182358199</c:v>
                </c:pt>
                <c:pt idx="10">
                  <c:v>95.311968168180798</c:v>
                </c:pt>
                <c:pt idx="11">
                  <c:v>103.81112557428099</c:v>
                </c:pt>
                <c:pt idx="12">
                  <c:v>118.077568660842</c:v>
                </c:pt>
                <c:pt idx="13">
                  <c:v>126.576726066942</c:v>
                </c:pt>
                <c:pt idx="14">
                  <c:v>134.77234124385899</c:v>
                </c:pt>
                <c:pt idx="15">
                  <c:v>138.41483965704799</c:v>
                </c:pt>
                <c:pt idx="16">
                  <c:v>145.699828146415</c:v>
                </c:pt>
                <c:pt idx="17">
                  <c:v>150.86002936851</c:v>
                </c:pt>
                <c:pt idx="18">
                  <c:v>154.806070010882</c:v>
                </c:pt>
                <c:pt idx="19">
                  <c:v>157.84147979719901</c:v>
                </c:pt>
                <c:pt idx="20">
                  <c:v>159.05564871393199</c:v>
                </c:pt>
                <c:pt idx="21">
                  <c:v>156.62731504897101</c:v>
                </c:pt>
                <c:pt idx="22">
                  <c:v>152.37774051442599</c:v>
                </c:pt>
                <c:pt idx="23">
                  <c:v>147.21753929233199</c:v>
                </c:pt>
                <c:pt idx="24">
                  <c:v>144.485667566693</c:v>
                </c:pt>
                <c:pt idx="25">
                  <c:v>144.78920145886499</c:v>
                </c:pt>
                <c:pt idx="26">
                  <c:v>144.78920145886499</c:v>
                </c:pt>
                <c:pt idx="27">
                  <c:v>142.36087196240999</c:v>
                </c:pt>
                <c:pt idx="28">
                  <c:v>139.325458007587</c:v>
                </c:pt>
                <c:pt idx="29">
                  <c:v>135.682967931409</c:v>
                </c:pt>
                <c:pt idx="30">
                  <c:v>129.61214002176499</c:v>
                </c:pt>
                <c:pt idx="31">
                  <c:v>124.755481028853</c:v>
                </c:pt>
                <c:pt idx="32">
                  <c:v>118.684653119209</c:v>
                </c:pt>
                <c:pt idx="33">
                  <c:v>112.91736743874699</c:v>
                </c:pt>
                <c:pt idx="34">
                  <c:v>107.45362398747</c:v>
                </c:pt>
                <c:pt idx="35">
                  <c:v>99.865093268919694</c:v>
                </c:pt>
                <c:pt idx="36">
                  <c:v>96.526137084914097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66-4E5F-9DDD-DB8DC6D1AFEB}"/>
            </c:ext>
          </c:extLst>
        </c:ser>
        <c:ser>
          <c:idx val="2"/>
          <c:order val="2"/>
          <c:tx>
            <c:strRef>
              <c:f>Sheet2!$H$22</c:f>
              <c:strCache>
                <c:ptCount val="1"/>
                <c:pt idx="0">
                  <c:v>v02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Sheet2!$G$25:$G$45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Sheet2!$H$25:$H$45</c:f>
              <c:numCache>
                <c:formatCode>0</c:formatCode>
                <c:ptCount val="21"/>
                <c:pt idx="0">
                  <c:v>0</c:v>
                </c:pt>
                <c:pt idx="1">
                  <c:v>83.219685100000021</c:v>
                </c:pt>
                <c:pt idx="2">
                  <c:v>129.0533858</c:v>
                </c:pt>
                <c:pt idx="3">
                  <c:v>160.86642040000004</c:v>
                </c:pt>
                <c:pt idx="4">
                  <c:v>188.30993380000001</c:v>
                </c:pt>
                <c:pt idx="5">
                  <c:v>183.72632400000003</c:v>
                </c:pt>
                <c:pt idx="6">
                  <c:v>151.99590899999998</c:v>
                </c:pt>
                <c:pt idx="7">
                  <c:v>151.10691820000002</c:v>
                </c:pt>
                <c:pt idx="8">
                  <c:v>127.56402799999999</c:v>
                </c:pt>
                <c:pt idx="9">
                  <c:v>125.48181199999999</c:v>
                </c:pt>
                <c:pt idx="10">
                  <c:v>116.346788</c:v>
                </c:pt>
                <c:pt idx="11">
                  <c:v>110.73580200000002</c:v>
                </c:pt>
                <c:pt idx="12">
                  <c:v>108.20747399999999</c:v>
                </c:pt>
                <c:pt idx="13">
                  <c:v>107.26425399999998</c:v>
                </c:pt>
                <c:pt idx="14">
                  <c:v>104.80242999999997</c:v>
                </c:pt>
                <c:pt idx="15">
                  <c:v>102.04716200000001</c:v>
                </c:pt>
                <c:pt idx="16">
                  <c:v>97.154234000000017</c:v>
                </c:pt>
                <c:pt idx="17">
                  <c:v>100.94802400000003</c:v>
                </c:pt>
                <c:pt idx="18">
                  <c:v>105.72125600000001</c:v>
                </c:pt>
                <c:pt idx="19">
                  <c:v>106.70450199999998</c:v>
                </c:pt>
                <c:pt idx="20">
                  <c:v>101.53729200000001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F3-4CA5-ABD0-443729955A75}"/>
            </c:ext>
          </c:extLst>
        </c:ser>
        <c:ser>
          <c:idx val="3"/>
          <c:order val="3"/>
          <c:tx>
            <c:strRef>
              <c:f>Sheet2!$H$47</c:f>
              <c:strCache>
                <c:ptCount val="1"/>
                <c:pt idx="0">
                  <c:v>v11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Sheet2!$G$50:$G$70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Sheet2!$H$50:$H$70</c:f>
              <c:numCache>
                <c:formatCode>0</c:formatCode>
                <c:ptCount val="21"/>
                <c:pt idx="0">
                  <c:v>0</c:v>
                </c:pt>
                <c:pt idx="1">
                  <c:v>80.008417199999997</c:v>
                </c:pt>
                <c:pt idx="2">
                  <c:v>117.57473279999999</c:v>
                </c:pt>
                <c:pt idx="3">
                  <c:v>157.11572199999998</c:v>
                </c:pt>
                <c:pt idx="4">
                  <c:v>185.04852339999999</c:v>
                </c:pt>
                <c:pt idx="5">
                  <c:v>186.39674199999999</c:v>
                </c:pt>
                <c:pt idx="6">
                  <c:v>185.48806999999999</c:v>
                </c:pt>
                <c:pt idx="7">
                  <c:v>191.09283600000001</c:v>
                </c:pt>
                <c:pt idx="8">
                  <c:v>188.840486</c:v>
                </c:pt>
                <c:pt idx="9">
                  <c:v>177.14928800000004</c:v>
                </c:pt>
                <c:pt idx="10">
                  <c:v>172.02368000000001</c:v>
                </c:pt>
                <c:pt idx="11">
                  <c:v>175.02396599999994</c:v>
                </c:pt>
                <c:pt idx="12">
                  <c:v>175.86407399999996</c:v>
                </c:pt>
                <c:pt idx="13">
                  <c:v>177.24186399999999</c:v>
                </c:pt>
                <c:pt idx="14">
                  <c:v>169.88001800000001</c:v>
                </c:pt>
                <c:pt idx="15">
                  <c:v>169.12986599999999</c:v>
                </c:pt>
                <c:pt idx="16">
                  <c:v>157.98061999999996</c:v>
                </c:pt>
                <c:pt idx="17">
                  <c:v>171.32617000000002</c:v>
                </c:pt>
                <c:pt idx="18">
                  <c:v>176.84825199999997</c:v>
                </c:pt>
                <c:pt idx="19">
                  <c:v>169.77284</c:v>
                </c:pt>
                <c:pt idx="20">
                  <c:v>173.62320800000001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5D-4518-AAB2-9F2083ABF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083135"/>
        <c:axId val="1776094175"/>
      </c:scatterChart>
      <c:valAx>
        <c:axId val="1776083135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094175"/>
        <c:crosses val="autoZero"/>
        <c:crossBetween val="midCat"/>
      </c:valAx>
      <c:valAx>
        <c:axId val="177609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083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363845144356963"/>
          <c:y val="6.076334208223972E-2"/>
          <c:w val="0.24747265966754156"/>
          <c:h val="0.31250218722659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35</xdr:row>
      <xdr:rowOff>144462</xdr:rowOff>
    </xdr:from>
    <xdr:to>
      <xdr:col>14</xdr:col>
      <xdr:colOff>0</xdr:colOff>
      <xdr:row>53</xdr:row>
      <xdr:rowOff>125412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15DB7A-3763-B0AE-A06B-7BEF37C4B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128867</xdr:colOff>
      <xdr:row>12</xdr:row>
      <xdr:rowOff>90767</xdr:rowOff>
    </xdr:from>
    <xdr:to>
      <xdr:col>20</xdr:col>
      <xdr:colOff>465043</xdr:colOff>
      <xdr:row>26</xdr:row>
      <xdr:rowOff>166967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F1D998-823E-45A1-A47F-D1B89E7E84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885825</xdr:colOff>
      <xdr:row>40</xdr:row>
      <xdr:rowOff>61912</xdr:rowOff>
    </xdr:from>
    <xdr:to>
      <xdr:col>7</xdr:col>
      <xdr:colOff>495300</xdr:colOff>
      <xdr:row>54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AA3D75-A8FA-0121-7AB1-ED1A3A565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6</xdr:row>
      <xdr:rowOff>9525</xdr:rowOff>
    </xdr:from>
    <xdr:to>
      <xdr:col>12</xdr:col>
      <xdr:colOff>428625</xdr:colOff>
      <xdr:row>20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9B9606-505F-4063-8DBA-7F788C73DA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7d778f7758162451/ASR%20PAPER/numerical/0.bghep.xlsx" TargetMode="External"/><Relationship Id="rId1" Type="http://schemas.openxmlformats.org/officeDocument/2006/relationships/externalLinkPath" Target="https://d.docs.live.net/7d778f7758162451/ASR%20PAPER/numerical/0.bghe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CDP"/>
      <sheetName val="kinetics"/>
      <sheetName val="lar"/>
      <sheetName val="num"/>
    </sheetNames>
    <sheetDataSet>
      <sheetData sheetId="0"/>
      <sheetData sheetId="1">
        <row r="7">
          <cell r="N7">
            <v>0</v>
          </cell>
          <cell r="O7">
            <v>0</v>
          </cell>
        </row>
        <row r="8">
          <cell r="N8">
            <v>3.3714285714285747E-4</v>
          </cell>
          <cell r="O8">
            <v>58.2</v>
          </cell>
        </row>
        <row r="10">
          <cell r="I10">
            <v>0</v>
          </cell>
          <cell r="J10">
            <v>0</v>
          </cell>
        </row>
        <row r="11">
          <cell r="I11">
            <v>11.058</v>
          </cell>
          <cell r="J11">
            <v>2.0000000000000001E-4</v>
          </cell>
        </row>
        <row r="12">
          <cell r="I12">
            <v>20.952000000000002</v>
          </cell>
          <cell r="J12">
            <v>4.0000000000000002E-4</v>
          </cell>
        </row>
        <row r="13">
          <cell r="I13">
            <v>29.682000000000002</v>
          </cell>
          <cell r="J13">
            <v>6.0000000000000006E-4</v>
          </cell>
        </row>
        <row r="14">
          <cell r="I14">
            <v>37.248000000000005</v>
          </cell>
          <cell r="J14">
            <v>8.0000000000000004E-4</v>
          </cell>
        </row>
        <row r="15">
          <cell r="I15">
            <v>43.650000000000006</v>
          </cell>
          <cell r="J15">
            <v>1E-3</v>
          </cell>
        </row>
        <row r="16">
          <cell r="I16">
            <v>48.888000000000005</v>
          </cell>
          <cell r="J16">
            <v>1.2000000000000001E-3</v>
          </cell>
        </row>
        <row r="17">
          <cell r="I17">
            <v>52.962000000000003</v>
          </cell>
          <cell r="J17">
            <v>1.4000000000000002E-3</v>
          </cell>
        </row>
        <row r="18">
          <cell r="I18">
            <v>55.872000000000007</v>
          </cell>
          <cell r="J18">
            <v>1.6000000000000003E-3</v>
          </cell>
        </row>
        <row r="19">
          <cell r="I19">
            <v>57.618000000000002</v>
          </cell>
          <cell r="J19">
            <v>1.8000000000000004E-3</v>
          </cell>
        </row>
        <row r="20">
          <cell r="I20">
            <v>58.2</v>
          </cell>
          <cell r="J20">
            <v>2.0000000000000005E-3</v>
          </cell>
        </row>
        <row r="21">
          <cell r="I21">
            <v>57.618000000000002</v>
          </cell>
          <cell r="J21">
            <v>2.2000000000000006E-3</v>
          </cell>
        </row>
        <row r="22">
          <cell r="I22">
            <v>55.871999999999986</v>
          </cell>
          <cell r="J22">
            <v>2.4000000000000007E-3</v>
          </cell>
        </row>
        <row r="23">
          <cell r="I23">
            <v>52.961999999999996</v>
          </cell>
          <cell r="J23">
            <v>2.6000000000000007E-3</v>
          </cell>
        </row>
        <row r="24">
          <cell r="I24">
            <v>48.887999999999984</v>
          </cell>
          <cell r="J24">
            <v>2.8000000000000008E-3</v>
          </cell>
        </row>
        <row r="25">
          <cell r="I25">
            <v>43.649999999999977</v>
          </cell>
          <cell r="J25">
            <v>3.0000000000000009E-3</v>
          </cell>
        </row>
        <row r="26">
          <cell r="I26">
            <v>37.247999999999955</v>
          </cell>
          <cell r="J26">
            <v>3.200000000000001E-3</v>
          </cell>
        </row>
        <row r="27">
          <cell r="I27">
            <v>29.681999999999963</v>
          </cell>
          <cell r="J27">
            <v>3.4000000000000011E-3</v>
          </cell>
        </row>
        <row r="28">
          <cell r="I28">
            <v>20.951999999999966</v>
          </cell>
          <cell r="J28">
            <v>3.6000000000000012E-3</v>
          </cell>
        </row>
        <row r="29">
          <cell r="I29">
            <v>11.057999999999947</v>
          </cell>
          <cell r="J29">
            <v>3.8000000000000013E-3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view="pageBreakPreview" topLeftCell="A16" zoomScaleNormal="100" zoomScaleSheetLayoutView="100" workbookViewId="0">
      <selection activeCell="K50" sqref="K50"/>
    </sheetView>
  </sheetViews>
  <sheetFormatPr defaultRowHeight="15" x14ac:dyDescent="0.25"/>
  <cols>
    <col min="1" max="1" width="9.140625" style="3"/>
    <col min="2" max="2" width="10.140625" style="28" customWidth="1"/>
    <col min="3" max="3" width="16.85546875" style="3" customWidth="1"/>
    <col min="4" max="8" width="12" style="3" bestFit="1" customWidth="1"/>
    <col min="9" max="9" width="13" style="3" customWidth="1"/>
    <col min="10" max="10" width="14.42578125" style="3" customWidth="1"/>
    <col min="11" max="11" width="12.5703125" style="3" bestFit="1" customWidth="1"/>
    <col min="12" max="16384" width="9.140625" style="3"/>
  </cols>
  <sheetData>
    <row r="1" spans="1:16" x14ac:dyDescent="0.25">
      <c r="A1" s="11"/>
      <c r="B1" s="32"/>
      <c r="C1" s="1"/>
      <c r="D1" s="1"/>
      <c r="E1" s="1"/>
      <c r="F1" s="1"/>
      <c r="G1" s="2"/>
    </row>
    <row r="2" spans="1:16" ht="15.75" thickBot="1" x14ac:dyDescent="0.3">
      <c r="A2" s="12"/>
      <c r="B2" s="38" t="s">
        <v>0</v>
      </c>
      <c r="C2" s="14" t="s">
        <v>42</v>
      </c>
      <c r="D2" s="14" t="s">
        <v>43</v>
      </c>
      <c r="E2" s="14" t="s">
        <v>44</v>
      </c>
      <c r="G2" s="4"/>
    </row>
    <row r="3" spans="1:16" x14ac:dyDescent="0.25">
      <c r="A3" s="12"/>
      <c r="B3" s="29" t="s">
        <v>37</v>
      </c>
      <c r="C3" s="11">
        <f>6*25.4</f>
        <v>152.39999999999998</v>
      </c>
      <c r="D3" s="1">
        <v>250</v>
      </c>
      <c r="E3" s="2">
        <f>60*25.4</f>
        <v>1524</v>
      </c>
      <c r="G3" s="4"/>
    </row>
    <row r="4" spans="1:16" x14ac:dyDescent="0.25">
      <c r="A4" s="12"/>
      <c r="B4" s="29" t="s">
        <v>38</v>
      </c>
      <c r="C4" s="12">
        <f>C3</f>
        <v>152.39999999999998</v>
      </c>
      <c r="D4" s="3">
        <f>1*25.4</f>
        <v>25.4</v>
      </c>
      <c r="E4" s="3">
        <f>1*25.4</f>
        <v>25.4</v>
      </c>
      <c r="G4" s="4"/>
      <c r="P4" s="3" t="s">
        <v>50</v>
      </c>
    </row>
    <row r="5" spans="1:16" x14ac:dyDescent="0.25">
      <c r="A5" s="12"/>
      <c r="B5" s="29" t="s">
        <v>39</v>
      </c>
      <c r="C5" s="12"/>
      <c r="E5" s="4">
        <f>58*25.4</f>
        <v>1473.1999999999998</v>
      </c>
      <c r="F5" s="3">
        <f>C3-2*38.4</f>
        <v>75.59999999999998</v>
      </c>
      <c r="G5" s="4"/>
      <c r="N5" s="3">
        <f>8.2*25.4</f>
        <v>208.27999999999997</v>
      </c>
    </row>
    <row r="6" spans="1:16" x14ac:dyDescent="0.25">
      <c r="A6" s="12"/>
      <c r="B6" s="29" t="s">
        <v>40</v>
      </c>
      <c r="C6" s="12"/>
      <c r="E6" s="4">
        <f>58*25.4</f>
        <v>1473.1999999999998</v>
      </c>
      <c r="G6" s="4"/>
      <c r="N6" s="3">
        <f>N5-250</f>
        <v>-41.720000000000027</v>
      </c>
    </row>
    <row r="7" spans="1:16" ht="15.75" thickBot="1" x14ac:dyDescent="0.3">
      <c r="A7" s="12"/>
      <c r="B7" s="29" t="s">
        <v>41</v>
      </c>
      <c r="C7" s="13">
        <f>101.6-5</f>
        <v>96.6</v>
      </c>
      <c r="D7" s="5">
        <f>199.2-5</f>
        <v>194.2</v>
      </c>
      <c r="E7" s="6"/>
      <c r="G7" s="4"/>
    </row>
    <row r="8" spans="1:16" ht="15.75" thickBot="1" x14ac:dyDescent="0.3">
      <c r="A8" s="13"/>
      <c r="B8" s="33"/>
      <c r="C8" s="5"/>
      <c r="D8" s="5"/>
      <c r="E8" s="5"/>
      <c r="F8" s="5"/>
      <c r="G8" s="6"/>
      <c r="N8" s="3">
        <f>25.4+5+8</f>
        <v>38.4</v>
      </c>
    </row>
    <row r="9" spans="1:16" ht="15.75" thickBot="1" x14ac:dyDescent="0.3">
      <c r="A9" s="11"/>
      <c r="B9" s="32"/>
      <c r="C9" s="1"/>
      <c r="D9" s="1"/>
      <c r="E9" s="1"/>
      <c r="F9" s="1"/>
      <c r="G9" s="2"/>
    </row>
    <row r="10" spans="1:16" x14ac:dyDescent="0.25">
      <c r="A10" s="12"/>
      <c r="B10" s="38" t="s">
        <v>1</v>
      </c>
      <c r="G10" s="4"/>
      <c r="H10" s="1"/>
      <c r="I10" s="1"/>
      <c r="J10" s="1"/>
      <c r="K10" s="1"/>
      <c r="L10" s="2"/>
    </row>
    <row r="11" spans="1:16" ht="15.75" thickBot="1" x14ac:dyDescent="0.3">
      <c r="A11" s="12"/>
      <c r="C11" s="27" t="s">
        <v>2</v>
      </c>
      <c r="G11" s="4"/>
      <c r="I11" s="27" t="s">
        <v>19</v>
      </c>
      <c r="L11" s="4"/>
      <c r="N11" s="3">
        <f>41.82-8-2.5</f>
        <v>31.32</v>
      </c>
    </row>
    <row r="12" spans="1:16" x14ac:dyDescent="0.25">
      <c r="A12" s="12"/>
      <c r="C12" s="18" t="s">
        <v>3</v>
      </c>
      <c r="D12" s="19" t="s">
        <v>4</v>
      </c>
      <c r="E12" s="20" t="s">
        <v>5</v>
      </c>
      <c r="G12" s="4"/>
      <c r="I12" s="18" t="s">
        <v>3</v>
      </c>
      <c r="J12" s="19" t="s">
        <v>4</v>
      </c>
      <c r="K12" s="20" t="s">
        <v>5</v>
      </c>
      <c r="L12" s="4"/>
      <c r="N12" s="3">
        <f>38.4-8-2.5</f>
        <v>27.9</v>
      </c>
    </row>
    <row r="13" spans="1:16" ht="15.75" thickBot="1" x14ac:dyDescent="0.3">
      <c r="A13" s="12"/>
      <c r="C13" s="21">
        <v>2.45E-9</v>
      </c>
      <c r="D13" s="5">
        <f>md!C8</f>
        <v>26792.314093639281</v>
      </c>
      <c r="E13" s="6">
        <f>md!D8</f>
        <v>0.2</v>
      </c>
      <c r="G13" s="4"/>
      <c r="I13" s="21">
        <v>7.8500000000000008E-9</v>
      </c>
      <c r="J13" s="5">
        <v>200000</v>
      </c>
      <c r="K13" s="6">
        <v>0.3</v>
      </c>
      <c r="L13" s="4"/>
    </row>
    <row r="14" spans="1:16" x14ac:dyDescent="0.25">
      <c r="A14" s="12"/>
      <c r="C14" s="22"/>
      <c r="G14" s="4"/>
      <c r="I14" s="22"/>
      <c r="L14" s="4"/>
      <c r="N14" s="3">
        <f>3*25.4</f>
        <v>76.199999999999989</v>
      </c>
    </row>
    <row r="15" spans="1:16" ht="15.75" thickBot="1" x14ac:dyDescent="0.3">
      <c r="A15" s="12"/>
      <c r="C15" s="27" t="s">
        <v>6</v>
      </c>
      <c r="G15" s="4"/>
      <c r="L15" s="4"/>
      <c r="N15" s="3">
        <f>16*25.4</f>
        <v>406.4</v>
      </c>
    </row>
    <row r="16" spans="1:16" ht="15.75" thickBot="1" x14ac:dyDescent="0.3">
      <c r="A16" s="12"/>
      <c r="C16" s="18" t="s">
        <v>7</v>
      </c>
      <c r="D16" s="19" t="s">
        <v>8</v>
      </c>
      <c r="E16" s="19" t="s">
        <v>9</v>
      </c>
      <c r="F16" s="19" t="s">
        <v>10</v>
      </c>
      <c r="G16" s="20" t="s">
        <v>11</v>
      </c>
      <c r="I16" s="27" t="s">
        <v>20</v>
      </c>
      <c r="L16" s="4"/>
    </row>
    <row r="17" spans="1:14" ht="15.75" thickBot="1" x14ac:dyDescent="0.3">
      <c r="A17" s="12"/>
      <c r="C17" s="13">
        <f>md!B10</f>
        <v>31</v>
      </c>
      <c r="D17" s="13">
        <f>md!C10</f>
        <v>0.1</v>
      </c>
      <c r="E17" s="13">
        <f>md!D10</f>
        <v>1.1599999999999999</v>
      </c>
      <c r="F17" s="13">
        <f>md!E10</f>
        <v>0.67</v>
      </c>
      <c r="G17" s="13">
        <f>md!F10</f>
        <v>1E-3</v>
      </c>
      <c r="I17" s="18" t="s">
        <v>13</v>
      </c>
      <c r="J17" s="20" t="s">
        <v>21</v>
      </c>
      <c r="L17" s="4"/>
    </row>
    <row r="18" spans="1:14" x14ac:dyDescent="0.25">
      <c r="A18" s="12"/>
      <c r="G18" s="4"/>
      <c r="I18" s="12">
        <v>776</v>
      </c>
      <c r="J18" s="4">
        <v>0</v>
      </c>
      <c r="L18" s="4"/>
    </row>
    <row r="19" spans="1:14" ht="15.75" thickBot="1" x14ac:dyDescent="0.3">
      <c r="A19" s="12"/>
      <c r="C19" s="27" t="s">
        <v>12</v>
      </c>
      <c r="G19" s="4"/>
      <c r="I19" s="12">
        <v>809</v>
      </c>
      <c r="J19" s="4">
        <v>0.01</v>
      </c>
      <c r="L19" s="4"/>
    </row>
    <row r="20" spans="1:14" x14ac:dyDescent="0.25">
      <c r="A20" s="12"/>
      <c r="C20" s="18" t="s">
        <v>13</v>
      </c>
      <c r="D20" s="19" t="s">
        <v>14</v>
      </c>
      <c r="E20" s="20" t="s">
        <v>16</v>
      </c>
      <c r="G20" s="4"/>
      <c r="I20" s="12">
        <v>829</v>
      </c>
      <c r="J20" s="4">
        <v>0.02</v>
      </c>
      <c r="L20" s="4"/>
      <c r="N20" s="3">
        <v>199.2</v>
      </c>
    </row>
    <row r="21" spans="1:14" x14ac:dyDescent="0.25">
      <c r="A21" s="12"/>
      <c r="C21" s="12">
        <f>md!B13</f>
        <v>18.309000000000001</v>
      </c>
      <c r="D21" s="12">
        <f>md!C13</f>
        <v>0</v>
      </c>
      <c r="E21" s="4">
        <f>md!D13</f>
        <v>0</v>
      </c>
      <c r="G21" s="4"/>
      <c r="I21" s="12">
        <v>842</v>
      </c>
      <c r="J21" s="4">
        <v>0.03</v>
      </c>
      <c r="L21" s="4"/>
      <c r="N21" s="3">
        <f>N20-10</f>
        <v>189.2</v>
      </c>
    </row>
    <row r="22" spans="1:14" x14ac:dyDescent="0.25">
      <c r="A22" s="12"/>
      <c r="C22" s="12">
        <f>md!B14</f>
        <v>22.975999999999999</v>
      </c>
      <c r="D22" s="12">
        <f>md!C14</f>
        <v>0</v>
      </c>
      <c r="E22" s="4">
        <f>md!D14</f>
        <v>0</v>
      </c>
      <c r="G22" s="4"/>
      <c r="I22" s="12">
        <v>866</v>
      </c>
      <c r="J22" s="4">
        <v>0.06</v>
      </c>
      <c r="L22" s="4"/>
      <c r="N22" s="3">
        <f>N21-16</f>
        <v>173.2</v>
      </c>
    </row>
    <row r="23" spans="1:14" x14ac:dyDescent="0.25">
      <c r="A23" s="12"/>
      <c r="C23" s="12">
        <f>md!B15</f>
        <v>26.924999999999997</v>
      </c>
      <c r="D23" s="12">
        <f>md!C15</f>
        <v>0</v>
      </c>
      <c r="E23" s="4">
        <f>md!D15</f>
        <v>0</v>
      </c>
      <c r="G23" s="4"/>
      <c r="I23" s="12">
        <v>883</v>
      </c>
      <c r="J23" s="4">
        <v>0.1</v>
      </c>
      <c r="L23" s="4"/>
      <c r="N23" s="3">
        <f>N22-N6</f>
        <v>214.92000000000002</v>
      </c>
    </row>
    <row r="24" spans="1:14" x14ac:dyDescent="0.25">
      <c r="A24" s="12"/>
      <c r="C24" s="12">
        <f>md!B16</f>
        <v>30.156000000000002</v>
      </c>
      <c r="D24" s="12">
        <f>md!C16</f>
        <v>7.445332662924832E-5</v>
      </c>
      <c r="E24" s="4">
        <f>md!D16</f>
        <v>0</v>
      </c>
      <c r="G24" s="4"/>
      <c r="I24" s="12">
        <v>895</v>
      </c>
      <c r="J24" s="4">
        <v>0.15</v>
      </c>
      <c r="L24" s="4"/>
    </row>
    <row r="25" spans="1:14" x14ac:dyDescent="0.25">
      <c r="A25" s="12"/>
      <c r="C25" s="12">
        <f>md!B17</f>
        <v>32.668999999999997</v>
      </c>
      <c r="D25" s="12">
        <f>md!C17</f>
        <v>1.8065777051501928E-4</v>
      </c>
      <c r="E25" s="4">
        <f>md!D17</f>
        <v>0</v>
      </c>
      <c r="G25" s="4"/>
      <c r="I25" s="12">
        <v>910</v>
      </c>
      <c r="J25" s="4">
        <v>0.25</v>
      </c>
      <c r="L25" s="4"/>
    </row>
    <row r="26" spans="1:14" ht="15.75" thickBot="1" x14ac:dyDescent="0.3">
      <c r="A26" s="12"/>
      <c r="C26" s="12">
        <f>md!B18</f>
        <v>34.463999999999999</v>
      </c>
      <c r="D26" s="12">
        <f>md!C18</f>
        <v>3.1366094471914113E-4</v>
      </c>
      <c r="E26" s="4">
        <f>md!D18</f>
        <v>0</v>
      </c>
      <c r="G26" s="4"/>
      <c r="I26" s="13">
        <v>922</v>
      </c>
      <c r="J26" s="6">
        <v>0.4</v>
      </c>
      <c r="L26" s="4"/>
    </row>
    <row r="27" spans="1:14" x14ac:dyDescent="0.25">
      <c r="A27" s="12"/>
      <c r="C27" s="12">
        <f>md!B19</f>
        <v>35.540999999999997</v>
      </c>
      <c r="D27" s="12">
        <f>md!C19</f>
        <v>4.7346284924161455E-4</v>
      </c>
      <c r="E27" s="4">
        <f>md!D19</f>
        <v>0</v>
      </c>
      <c r="G27" s="4"/>
      <c r="L27" s="4"/>
    </row>
    <row r="28" spans="1:14" x14ac:dyDescent="0.25">
      <c r="A28" s="12"/>
      <c r="C28" s="12">
        <f>md!B20</f>
        <v>35.9</v>
      </c>
      <c r="D28" s="12">
        <f>md!C20</f>
        <v>6.6006348408243886E-4</v>
      </c>
      <c r="E28" s="4">
        <f>md!D20</f>
        <v>0</v>
      </c>
      <c r="G28" s="4"/>
      <c r="L28" s="4"/>
    </row>
    <row r="29" spans="1:14" x14ac:dyDescent="0.25">
      <c r="A29" s="12"/>
      <c r="C29" s="12">
        <f>md!B21</f>
        <v>35.540999999999997</v>
      </c>
      <c r="D29" s="12">
        <f>md!C21</f>
        <v>8.7346284924161473E-4</v>
      </c>
      <c r="E29" s="4">
        <f>md!D21</f>
        <v>1.0000000000000009E-2</v>
      </c>
      <c r="G29" s="4"/>
      <c r="L29" s="4"/>
    </row>
    <row r="30" spans="1:14" x14ac:dyDescent="0.25">
      <c r="A30" s="12"/>
      <c r="C30" s="12">
        <f>md!B22</f>
        <v>34.463999999999992</v>
      </c>
      <c r="D30" s="12">
        <f>md!C22</f>
        <v>1.1136609447191419E-3</v>
      </c>
      <c r="E30" s="4">
        <f>md!D22</f>
        <v>4.0000000000000147E-2</v>
      </c>
      <c r="G30" s="4"/>
      <c r="L30" s="4"/>
    </row>
    <row r="31" spans="1:14" ht="15.75" thickBot="1" x14ac:dyDescent="0.3">
      <c r="A31" s="12"/>
      <c r="C31" s="12">
        <f>md!B23</f>
        <v>32.668999999999997</v>
      </c>
      <c r="D31" s="12">
        <f>md!C23</f>
        <v>1.3806577705150198E-3</v>
      </c>
      <c r="E31" s="4">
        <f>md!D23</f>
        <v>9.000000000000008E-2</v>
      </c>
      <c r="G31" s="4"/>
      <c r="H31" s="5"/>
      <c r="I31" s="5"/>
      <c r="J31" s="5"/>
      <c r="K31" s="5"/>
      <c r="L31" s="6"/>
    </row>
    <row r="32" spans="1:14" x14ac:dyDescent="0.25">
      <c r="A32" s="12"/>
      <c r="C32" s="12">
        <f>md!B24</f>
        <v>30.155999999999985</v>
      </c>
      <c r="D32" s="12">
        <f>md!C24</f>
        <v>1.6744533266292497E-3</v>
      </c>
      <c r="E32" s="4">
        <f>md!D24</f>
        <v>0.16000000000000036</v>
      </c>
      <c r="G32" s="4"/>
    </row>
    <row r="33" spans="1:10" x14ac:dyDescent="0.25">
      <c r="A33" s="12"/>
      <c r="C33" s="12">
        <f>md!B25</f>
        <v>26.924999999999983</v>
      </c>
      <c r="D33" s="12">
        <f>md!C25</f>
        <v>1.9950476130618303E-3</v>
      </c>
      <c r="E33" s="4">
        <f>md!D25</f>
        <v>0.25000000000000044</v>
      </c>
      <c r="G33" s="4"/>
    </row>
    <row r="34" spans="1:10" x14ac:dyDescent="0.25">
      <c r="A34" s="12"/>
      <c r="C34" s="12">
        <f>md!B26</f>
        <v>22.975999999999971</v>
      </c>
      <c r="D34" s="12">
        <f>md!C26</f>
        <v>2.3424406298127626E-3</v>
      </c>
      <c r="E34" s="4">
        <f>md!D26</f>
        <v>0.36000000000000076</v>
      </c>
      <c r="G34" s="4"/>
    </row>
    <row r="35" spans="1:10" x14ac:dyDescent="0.25">
      <c r="A35" s="12"/>
      <c r="C35" s="12">
        <f>md!B27</f>
        <v>18.308999999999976</v>
      </c>
      <c r="D35" s="12">
        <f>md!C27</f>
        <v>2.7166323768820456E-3</v>
      </c>
      <c r="E35" s="4">
        <f>md!D27</f>
        <v>0.49000000000000066</v>
      </c>
      <c r="G35" s="4"/>
    </row>
    <row r="36" spans="1:10" x14ac:dyDescent="0.25">
      <c r="A36" s="12"/>
      <c r="C36" s="12">
        <f>md!B28</f>
        <v>12.92399999999998</v>
      </c>
      <c r="D36" s="12">
        <f>md!C28</f>
        <v>3.1176228542696797E-3</v>
      </c>
      <c r="E36" s="4">
        <f>md!D28</f>
        <v>0.64000000000000057</v>
      </c>
      <c r="G36" s="4"/>
      <c r="I36" s="27" t="s">
        <v>29</v>
      </c>
    </row>
    <row r="37" spans="1:10" x14ac:dyDescent="0.25">
      <c r="A37" s="12"/>
      <c r="C37" s="12">
        <f>md!B29</f>
        <v>6.820999999999966</v>
      </c>
      <c r="D37" s="12">
        <f>md!C29</f>
        <v>3.5454120619756659E-3</v>
      </c>
      <c r="E37" s="4">
        <f>md!D29</f>
        <v>0.81000000000000094</v>
      </c>
      <c r="G37" s="4"/>
      <c r="I37" s="39" t="s">
        <v>30</v>
      </c>
      <c r="J37" s="3" t="s">
        <v>31</v>
      </c>
    </row>
    <row r="38" spans="1:10" x14ac:dyDescent="0.25">
      <c r="A38" s="12"/>
      <c r="G38" s="4"/>
      <c r="I38" s="39" t="s">
        <v>32</v>
      </c>
      <c r="J38" s="3" t="s">
        <v>26</v>
      </c>
    </row>
    <row r="39" spans="1:10" ht="15.75" thickBot="1" x14ac:dyDescent="0.3">
      <c r="A39" s="12"/>
      <c r="C39" s="27" t="s">
        <v>15</v>
      </c>
      <c r="G39" s="4"/>
      <c r="I39" s="39" t="s">
        <v>33</v>
      </c>
      <c r="J39" s="3" t="s">
        <v>27</v>
      </c>
    </row>
    <row r="40" spans="1:10" x14ac:dyDescent="0.25">
      <c r="A40" s="12"/>
      <c r="C40" s="18" t="s">
        <v>13</v>
      </c>
      <c r="D40" s="19" t="s">
        <v>17</v>
      </c>
      <c r="E40" s="20" t="s">
        <v>18</v>
      </c>
      <c r="G40" s="4"/>
      <c r="I40" s="39" t="s">
        <v>35</v>
      </c>
      <c r="J40" s="3" t="s">
        <v>34</v>
      </c>
    </row>
    <row r="41" spans="1:10" x14ac:dyDescent="0.25">
      <c r="A41" s="12"/>
      <c r="C41" s="12">
        <f>md!B32</f>
        <v>3.35</v>
      </c>
      <c r="D41" s="12">
        <f>md!C32</f>
        <v>0</v>
      </c>
      <c r="E41" s="4">
        <f>md!D32</f>
        <v>0</v>
      </c>
      <c r="G41" s="4"/>
      <c r="I41" s="39"/>
    </row>
    <row r="42" spans="1:10" ht="15.75" thickBot="1" x14ac:dyDescent="0.3">
      <c r="A42" s="13"/>
      <c r="B42" s="33"/>
      <c r="C42" s="12">
        <f>md!B33</f>
        <v>3.3500000000000002E-2</v>
      </c>
      <c r="D42" s="12">
        <f>md!C33</f>
        <v>1E-3</v>
      </c>
      <c r="E42" s="4">
        <f>md!D33</f>
        <v>0.99</v>
      </c>
      <c r="F42" s="5"/>
      <c r="G42" s="6"/>
      <c r="I42" s="39"/>
    </row>
    <row r="43" spans="1:10" x14ac:dyDescent="0.25">
      <c r="A43" s="11"/>
      <c r="B43" s="32"/>
      <c r="C43" s="1"/>
      <c r="D43" s="1"/>
      <c r="E43" s="1"/>
      <c r="F43" s="1"/>
      <c r="G43" s="2"/>
      <c r="I43" s="39"/>
    </row>
    <row r="44" spans="1:10" ht="15.75" thickBot="1" x14ac:dyDescent="0.3">
      <c r="A44" s="12"/>
      <c r="G44" s="4"/>
      <c r="I44" s="39"/>
    </row>
    <row r="45" spans="1:10" x14ac:dyDescent="0.25">
      <c r="A45" s="12"/>
      <c r="C45" s="18" t="s">
        <v>49</v>
      </c>
      <c r="D45" s="19" t="s">
        <v>22</v>
      </c>
      <c r="E45" s="19" t="s">
        <v>23</v>
      </c>
      <c r="F45" s="20" t="s">
        <v>24</v>
      </c>
      <c r="G45" s="4"/>
      <c r="I45" s="39"/>
    </row>
    <row r="46" spans="1:10" x14ac:dyDescent="0.25">
      <c r="A46" s="12"/>
      <c r="C46" s="53" t="s">
        <v>45</v>
      </c>
      <c r="F46" s="4">
        <f>4*25.4</f>
        <v>101.6</v>
      </c>
      <c r="G46" s="4"/>
      <c r="I46" s="39"/>
    </row>
    <row r="47" spans="1:10" x14ac:dyDescent="0.25">
      <c r="A47" s="12"/>
      <c r="C47" s="53" t="s">
        <v>46</v>
      </c>
      <c r="F47" s="4">
        <f>E3-F46</f>
        <v>1422.4</v>
      </c>
      <c r="G47" s="4"/>
    </row>
    <row r="48" spans="1:10" x14ac:dyDescent="0.25">
      <c r="A48" s="12"/>
      <c r="C48" s="53" t="s">
        <v>47</v>
      </c>
      <c r="F48" s="4">
        <f>(18+4)*25.4</f>
        <v>558.79999999999995</v>
      </c>
      <c r="G48" s="4"/>
    </row>
    <row r="49" spans="1:9" x14ac:dyDescent="0.25">
      <c r="A49" s="12"/>
      <c r="C49" s="53" t="s">
        <v>48</v>
      </c>
      <c r="F49" s="4">
        <f>(4+18+16)*25.4</f>
        <v>965.19999999999993</v>
      </c>
      <c r="G49" s="4"/>
    </row>
    <row r="50" spans="1:9" x14ac:dyDescent="0.25">
      <c r="A50" s="12"/>
      <c r="C50" s="53" t="s">
        <v>41</v>
      </c>
      <c r="D50" s="3">
        <v>27.9</v>
      </c>
      <c r="E50" s="3">
        <v>31.32</v>
      </c>
      <c r="F50" s="4">
        <v>25.4</v>
      </c>
      <c r="G50" s="4"/>
    </row>
    <row r="51" spans="1:9" x14ac:dyDescent="0.25">
      <c r="A51" s="12"/>
      <c r="C51" s="53" t="s">
        <v>40</v>
      </c>
      <c r="D51" s="3">
        <v>38.4</v>
      </c>
      <c r="E51" s="3">
        <v>41.72</v>
      </c>
      <c r="F51" s="4">
        <v>25.4</v>
      </c>
      <c r="G51" s="4"/>
    </row>
    <row r="52" spans="1:9" ht="15.75" thickBot="1" x14ac:dyDescent="0.3">
      <c r="A52" s="12"/>
      <c r="C52" s="54" t="s">
        <v>39</v>
      </c>
      <c r="D52" s="5">
        <v>38.4</v>
      </c>
      <c r="E52" s="5">
        <v>214.92</v>
      </c>
      <c r="F52" s="6">
        <v>25.4</v>
      </c>
      <c r="G52" s="4"/>
    </row>
    <row r="53" spans="1:9" x14ac:dyDescent="0.25">
      <c r="A53" s="12"/>
      <c r="G53" s="4"/>
    </row>
    <row r="54" spans="1:9" x14ac:dyDescent="0.25">
      <c r="A54" s="12"/>
      <c r="C54" s="29" t="s">
        <v>28</v>
      </c>
      <c r="D54" s="28" t="s">
        <v>80</v>
      </c>
      <c r="G54" s="4"/>
    </row>
    <row r="55" spans="1:9" ht="15.75" thickBot="1" x14ac:dyDescent="0.3">
      <c r="A55" s="13"/>
      <c r="B55" s="33"/>
      <c r="C55" s="5"/>
      <c r="D55" s="5"/>
      <c r="E55" s="5"/>
      <c r="F55" s="5"/>
      <c r="G55" s="6"/>
    </row>
    <row r="56" spans="1:9" x14ac:dyDescent="0.25">
      <c r="A56" s="11"/>
      <c r="B56" s="34" t="s">
        <v>25</v>
      </c>
      <c r="C56" s="30"/>
      <c r="D56" s="1"/>
      <c r="E56" s="1"/>
      <c r="F56" s="1"/>
      <c r="G56" s="2"/>
    </row>
    <row r="57" spans="1:9" ht="15.75" thickBot="1" x14ac:dyDescent="0.3">
      <c r="A57" s="12"/>
      <c r="G57" s="4"/>
    </row>
    <row r="58" spans="1:9" x14ac:dyDescent="0.25">
      <c r="A58" s="12"/>
      <c r="B58" s="35"/>
      <c r="C58" s="15"/>
      <c r="D58" s="23"/>
      <c r="E58" s="2"/>
      <c r="G58" s="4"/>
    </row>
    <row r="59" spans="1:9" x14ac:dyDescent="0.25">
      <c r="A59" s="12"/>
      <c r="B59" s="36"/>
      <c r="C59" s="16"/>
      <c r="D59" s="24"/>
      <c r="E59" s="4"/>
      <c r="G59" s="4"/>
    </row>
    <row r="60" spans="1:9" ht="15.75" thickBot="1" x14ac:dyDescent="0.3">
      <c r="A60" s="12"/>
      <c r="B60" s="36"/>
      <c r="C60" s="16"/>
      <c r="D60" s="24"/>
      <c r="E60" s="4"/>
      <c r="G60" s="4"/>
    </row>
    <row r="61" spans="1:9" ht="15.75" thickBot="1" x14ac:dyDescent="0.3">
      <c r="A61" s="12"/>
      <c r="B61" s="37"/>
      <c r="C61" s="17"/>
      <c r="D61" s="25"/>
      <c r="E61" s="6"/>
      <c r="F61" s="26"/>
      <c r="G61" s="4"/>
    </row>
    <row r="62" spans="1:9" ht="15.75" thickBot="1" x14ac:dyDescent="0.3">
      <c r="A62" s="13"/>
      <c r="B62" s="33"/>
      <c r="C62" s="5"/>
      <c r="D62" s="5"/>
      <c r="E62" s="5"/>
      <c r="F62" s="5"/>
      <c r="G62" s="6"/>
    </row>
    <row r="63" spans="1:9" x14ac:dyDescent="0.25">
      <c r="A63" s="11"/>
      <c r="B63" s="32"/>
      <c r="C63" s="1"/>
      <c r="D63" s="1"/>
      <c r="E63" s="1"/>
      <c r="F63" s="1"/>
      <c r="G63" s="1"/>
      <c r="H63" s="1"/>
      <c r="I63" s="2"/>
    </row>
    <row r="64" spans="1:9" ht="15.75" thickBot="1" x14ac:dyDescent="0.3">
      <c r="A64" s="12"/>
      <c r="B64" s="38"/>
      <c r="C64" s="27"/>
      <c r="I64" s="4"/>
    </row>
    <row r="65" spans="1:9" ht="15.75" thickBot="1" x14ac:dyDescent="0.3">
      <c r="A65" s="12"/>
      <c r="C65" s="31"/>
      <c r="D65" s="9"/>
      <c r="E65" s="9"/>
      <c r="F65" s="9"/>
      <c r="G65" s="9"/>
      <c r="H65" s="10"/>
      <c r="I65" s="41"/>
    </row>
    <row r="66" spans="1:9" x14ac:dyDescent="0.25">
      <c r="A66" s="12"/>
      <c r="C66" s="12"/>
      <c r="H66" s="4"/>
      <c r="I66" s="2"/>
    </row>
    <row r="67" spans="1:9" ht="15.75" thickBot="1" x14ac:dyDescent="0.3">
      <c r="A67" s="12"/>
      <c r="C67" s="13"/>
      <c r="D67" s="5"/>
      <c r="E67" s="5"/>
      <c r="F67" s="5"/>
      <c r="G67" s="5"/>
      <c r="H67" s="6"/>
      <c r="I67" s="40"/>
    </row>
    <row r="68" spans="1:9" x14ac:dyDescent="0.25">
      <c r="A68" s="12"/>
      <c r="I68" s="4"/>
    </row>
    <row r="69" spans="1:9" ht="15.75" thickBot="1" x14ac:dyDescent="0.3">
      <c r="A69" s="13"/>
      <c r="B69" s="33"/>
      <c r="C69" s="5"/>
      <c r="D69" s="5"/>
      <c r="E69" s="5"/>
      <c r="F69" s="5"/>
      <c r="G69" s="5"/>
      <c r="H69" s="5"/>
      <c r="I69" s="6"/>
    </row>
    <row r="74" spans="1:9" x14ac:dyDescent="0.25">
      <c r="B74" s="3"/>
    </row>
    <row r="75" spans="1:9" x14ac:dyDescent="0.25">
      <c r="B75" s="3"/>
    </row>
    <row r="76" spans="1:9" x14ac:dyDescent="0.25">
      <c r="B76" s="3"/>
    </row>
    <row r="77" spans="1:9" x14ac:dyDescent="0.25">
      <c r="B77" s="3"/>
    </row>
    <row r="78" spans="1:9" x14ac:dyDescent="0.25">
      <c r="B78" s="3"/>
    </row>
    <row r="79" spans="1:9" x14ac:dyDescent="0.25">
      <c r="B79" s="3"/>
    </row>
    <row r="80" spans="1:9" x14ac:dyDescent="0.25">
      <c r="B80" s="3"/>
    </row>
    <row r="81" spans="2:2" x14ac:dyDescent="0.25">
      <c r="B81" s="3"/>
    </row>
  </sheetData>
  <phoneticPr fontId="1" type="noConversion"/>
  <pageMargins left="0.7" right="0.7" top="0.75" bottom="0.75" header="0.3" footer="0.3"/>
  <pageSetup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16F4-3670-4A9C-9F89-DF4E8259485D}">
  <dimension ref="B1:S83"/>
  <sheetViews>
    <sheetView topLeftCell="I1" workbookViewId="0">
      <selection activeCell="T62" sqref="T62"/>
    </sheetView>
  </sheetViews>
  <sheetFormatPr defaultRowHeight="15" x14ac:dyDescent="0.25"/>
  <cols>
    <col min="2" max="2" width="26.7109375" bestFit="1" customWidth="1"/>
    <col min="3" max="3" width="21" bestFit="1" customWidth="1"/>
    <col min="4" max="4" width="20.28515625" bestFit="1" customWidth="1"/>
    <col min="5" max="5" width="14.28515625" bestFit="1" customWidth="1"/>
    <col min="7" max="7" width="9.7109375" bestFit="1" customWidth="1"/>
    <col min="8" max="8" width="12.42578125" bestFit="1" customWidth="1"/>
    <col min="10" max="10" width="10.5703125" bestFit="1" customWidth="1"/>
    <col min="11" max="11" width="24.28515625" customWidth="1"/>
    <col min="14" max="14" width="11.42578125" bestFit="1" customWidth="1"/>
  </cols>
  <sheetData>
    <row r="1" spans="2:19" x14ac:dyDescent="0.25">
      <c r="B1" t="s">
        <v>76</v>
      </c>
    </row>
    <row r="3" spans="2:19" x14ac:dyDescent="0.25">
      <c r="B3" t="s">
        <v>6</v>
      </c>
      <c r="I3" t="s">
        <v>51</v>
      </c>
      <c r="J3" s="44">
        <f>23.5*1000/9.807</f>
        <v>2396.2475782604261</v>
      </c>
      <c r="K3" s="46">
        <f>J3*0.000001</f>
        <v>2.3962475782604259E-3</v>
      </c>
    </row>
    <row r="5" spans="2:19" x14ac:dyDescent="0.25">
      <c r="I5" t="s">
        <v>52</v>
      </c>
    </row>
    <row r="6" spans="2:19" x14ac:dyDescent="0.25">
      <c r="I6" s="8" t="s">
        <v>53</v>
      </c>
      <c r="J6" s="47">
        <f>3320*SQRT(J7)+6900</f>
        <v>26792.314093639281</v>
      </c>
      <c r="K6" t="s">
        <v>27</v>
      </c>
      <c r="N6" t="s">
        <v>54</v>
      </c>
      <c r="S6">
        <f>I18/$C$8</f>
        <v>1.2863390552808592E-3</v>
      </c>
    </row>
    <row r="7" spans="2:19" x14ac:dyDescent="0.25">
      <c r="B7" s="48" t="s">
        <v>55</v>
      </c>
      <c r="C7" s="48" t="s">
        <v>56</v>
      </c>
      <c r="D7" s="48" t="s">
        <v>57</v>
      </c>
      <c r="E7" s="48" t="s">
        <v>58</v>
      </c>
      <c r="I7" s="8" t="s">
        <v>59</v>
      </c>
      <c r="J7">
        <v>35.9</v>
      </c>
      <c r="K7" t="s">
        <v>27</v>
      </c>
      <c r="N7">
        <f>I10</f>
        <v>0</v>
      </c>
      <c r="O7">
        <v>0</v>
      </c>
    </row>
    <row r="8" spans="2:19" x14ac:dyDescent="0.25">
      <c r="B8" s="49">
        <f>IF(J7&gt;0,J7,ROUNDDOWN((C8/4700)^2,0))</f>
        <v>35.9</v>
      </c>
      <c r="C8" s="50">
        <f>IF(J6&gt;0,J6,ROUNDDOWN(4700*SQRT(B8),-3))</f>
        <v>26792.314093639281</v>
      </c>
      <c r="D8" s="50">
        <v>0.2</v>
      </c>
      <c r="E8" s="49">
        <v>2E-3</v>
      </c>
      <c r="N8" s="42">
        <f>C20</f>
        <v>6.6006348408243886E-4</v>
      </c>
      <c r="O8">
        <f>B8</f>
        <v>35.9</v>
      </c>
    </row>
    <row r="9" spans="2:19" x14ac:dyDescent="0.25">
      <c r="B9" s="48" t="s">
        <v>60</v>
      </c>
      <c r="C9" s="48" t="s">
        <v>61</v>
      </c>
      <c r="D9" s="48" t="s">
        <v>9</v>
      </c>
      <c r="E9" s="48" t="s">
        <v>10</v>
      </c>
      <c r="F9" s="48" t="s">
        <v>62</v>
      </c>
      <c r="I9" t="s">
        <v>63</v>
      </c>
      <c r="J9" t="s">
        <v>64</v>
      </c>
      <c r="K9" t="s">
        <v>65</v>
      </c>
      <c r="L9" t="s">
        <v>18</v>
      </c>
    </row>
    <row r="10" spans="2:19" x14ac:dyDescent="0.25">
      <c r="B10" s="50">
        <v>31</v>
      </c>
      <c r="C10" s="50">
        <v>0.1</v>
      </c>
      <c r="D10" s="50">
        <v>1.1599999999999999</v>
      </c>
      <c r="E10" s="50">
        <v>0.67</v>
      </c>
      <c r="F10" s="50">
        <v>1E-3</v>
      </c>
      <c r="I10">
        <v>0</v>
      </c>
      <c r="J10" s="43">
        <v>0</v>
      </c>
      <c r="K10" s="43">
        <f>IF((J10-I10/$C$8)&lt;0,0,J10-I10/$C$8)</f>
        <v>0</v>
      </c>
      <c r="L10">
        <f>1-I10/$B$8</f>
        <v>1</v>
      </c>
    </row>
    <row r="11" spans="2:19" x14ac:dyDescent="0.25">
      <c r="B11" s="48" t="s">
        <v>66</v>
      </c>
      <c r="C11" s="48"/>
      <c r="D11" s="48" t="s">
        <v>67</v>
      </c>
      <c r="E11" s="48"/>
      <c r="I11">
        <f>$B$8*(2*(J11/$E$8)-(J11/$E$8)^2)</f>
        <v>6.8209999999999997</v>
      </c>
      <c r="J11" s="43">
        <f>J10+0.1*$E$8</f>
        <v>2.0000000000000001E-4</v>
      </c>
      <c r="K11" s="43">
        <f t="shared" ref="K11:K29" si="0">IF((J11-I11/$C$8)&lt;0,0,J11-I11/$C$8)</f>
        <v>0</v>
      </c>
      <c r="L11">
        <f t="shared" ref="L11:L29" si="1">1-I11/$B$8</f>
        <v>0.81</v>
      </c>
    </row>
    <row r="12" spans="2:19" x14ac:dyDescent="0.25">
      <c r="B12" s="48" t="s">
        <v>68</v>
      </c>
      <c r="C12" s="48" t="s">
        <v>69</v>
      </c>
      <c r="D12" s="48" t="s">
        <v>70</v>
      </c>
      <c r="E12" s="48" t="s">
        <v>71</v>
      </c>
      <c r="I12">
        <f t="shared" ref="I12:I29" si="2">$B$8*(2*(J12/$E$8)-(J12/$E$8)^2)</f>
        <v>12.923999999999999</v>
      </c>
      <c r="J12" s="43">
        <f t="shared" ref="J12:J27" si="3">J11+0.1*$E$8</f>
        <v>4.0000000000000002E-4</v>
      </c>
      <c r="K12" s="43">
        <f>IF((J12-I12/$C$8)&lt;0,0,J12-I12/$C$8)</f>
        <v>0</v>
      </c>
      <c r="L12">
        <f t="shared" si="1"/>
        <v>0.64</v>
      </c>
    </row>
    <row r="13" spans="2:19" x14ac:dyDescent="0.25">
      <c r="B13" s="50">
        <f>I13</f>
        <v>18.309000000000001</v>
      </c>
      <c r="C13" s="51">
        <v>0</v>
      </c>
      <c r="D13" s="50">
        <f>IF(J13&lt;$E$8,0,L13)</f>
        <v>0</v>
      </c>
      <c r="E13" s="51">
        <f>C13</f>
        <v>0</v>
      </c>
      <c r="G13" s="42"/>
      <c r="H13" s="52"/>
      <c r="I13">
        <f t="shared" si="2"/>
        <v>18.309000000000001</v>
      </c>
      <c r="J13" s="43">
        <f t="shared" si="3"/>
        <v>6.0000000000000006E-4</v>
      </c>
      <c r="K13" s="43">
        <f t="shared" si="0"/>
        <v>0</v>
      </c>
      <c r="L13">
        <f t="shared" si="1"/>
        <v>0.49</v>
      </c>
    </row>
    <row r="14" spans="2:19" x14ac:dyDescent="0.25">
      <c r="B14" s="50">
        <f t="shared" ref="B14:B29" si="4">I14</f>
        <v>22.975999999999999</v>
      </c>
      <c r="C14" s="51">
        <f t="shared" ref="C14:C29" si="5">K14</f>
        <v>0</v>
      </c>
      <c r="D14" s="50">
        <f t="shared" ref="D14:D28" si="6">IF(J14&lt;$E$8,0,L14)</f>
        <v>0</v>
      </c>
      <c r="E14" s="51">
        <f t="shared" ref="E14:E29" si="7">C14</f>
        <v>0</v>
      </c>
      <c r="G14" s="42"/>
      <c r="H14" s="52"/>
      <c r="I14">
        <f t="shared" si="2"/>
        <v>22.975999999999999</v>
      </c>
      <c r="J14" s="43">
        <f t="shared" si="3"/>
        <v>8.0000000000000004E-4</v>
      </c>
      <c r="K14" s="43">
        <f t="shared" si="0"/>
        <v>0</v>
      </c>
      <c r="L14">
        <f t="shared" si="1"/>
        <v>0.36</v>
      </c>
    </row>
    <row r="15" spans="2:19" x14ac:dyDescent="0.25">
      <c r="B15" s="50">
        <f t="shared" si="4"/>
        <v>26.924999999999997</v>
      </c>
      <c r="C15" s="51">
        <f t="shared" si="5"/>
        <v>0</v>
      </c>
      <c r="D15" s="50">
        <f t="shared" si="6"/>
        <v>0</v>
      </c>
      <c r="E15" s="51">
        <f t="shared" si="7"/>
        <v>0</v>
      </c>
      <c r="G15" s="42"/>
      <c r="H15" s="52"/>
      <c r="I15">
        <f t="shared" si="2"/>
        <v>26.924999999999997</v>
      </c>
      <c r="J15" s="43">
        <f t="shared" si="3"/>
        <v>1E-3</v>
      </c>
      <c r="K15" s="43">
        <f t="shared" si="0"/>
        <v>0</v>
      </c>
      <c r="L15">
        <f t="shared" si="1"/>
        <v>0.25</v>
      </c>
    </row>
    <row r="16" spans="2:19" x14ac:dyDescent="0.25">
      <c r="B16" s="50">
        <f t="shared" si="4"/>
        <v>30.156000000000002</v>
      </c>
      <c r="C16" s="51">
        <f t="shared" si="5"/>
        <v>7.445332662924832E-5</v>
      </c>
      <c r="D16" s="50">
        <f t="shared" si="6"/>
        <v>0</v>
      </c>
      <c r="E16" s="51">
        <f t="shared" si="7"/>
        <v>7.445332662924832E-5</v>
      </c>
      <c r="G16" s="42"/>
      <c r="H16" s="52"/>
      <c r="I16">
        <f t="shared" si="2"/>
        <v>30.156000000000002</v>
      </c>
      <c r="J16" s="43">
        <f t="shared" si="3"/>
        <v>1.2000000000000001E-3</v>
      </c>
      <c r="K16" s="43">
        <f t="shared" si="0"/>
        <v>7.445332662924832E-5</v>
      </c>
      <c r="L16">
        <f t="shared" si="1"/>
        <v>0.15999999999999992</v>
      </c>
    </row>
    <row r="17" spans="2:12" x14ac:dyDescent="0.25">
      <c r="B17" s="50">
        <f t="shared" si="4"/>
        <v>32.668999999999997</v>
      </c>
      <c r="C17" s="51">
        <f t="shared" si="5"/>
        <v>1.8065777051501928E-4</v>
      </c>
      <c r="D17" s="50">
        <f t="shared" si="6"/>
        <v>0</v>
      </c>
      <c r="E17" s="51">
        <f t="shared" si="7"/>
        <v>1.8065777051501928E-4</v>
      </c>
      <c r="G17" s="42"/>
      <c r="H17" s="52"/>
      <c r="I17">
        <f t="shared" si="2"/>
        <v>32.668999999999997</v>
      </c>
      <c r="J17" s="43">
        <f t="shared" si="3"/>
        <v>1.4000000000000002E-3</v>
      </c>
      <c r="K17" s="43">
        <f>IF((J17-I17/$C$8)&lt;0,0,J17-I17/$C$8)</f>
        <v>1.8065777051501928E-4</v>
      </c>
      <c r="L17">
        <f t="shared" si="1"/>
        <v>9.000000000000008E-2</v>
      </c>
    </row>
    <row r="18" spans="2:12" x14ac:dyDescent="0.25">
      <c r="B18" s="50">
        <f t="shared" si="4"/>
        <v>34.463999999999999</v>
      </c>
      <c r="C18" s="51">
        <f t="shared" si="5"/>
        <v>3.1366094471914113E-4</v>
      </c>
      <c r="D18" s="50">
        <f t="shared" si="6"/>
        <v>0</v>
      </c>
      <c r="E18" s="51">
        <f t="shared" si="7"/>
        <v>3.1366094471914113E-4</v>
      </c>
      <c r="G18" s="42"/>
      <c r="H18" s="52"/>
      <c r="I18">
        <f t="shared" si="2"/>
        <v>34.463999999999999</v>
      </c>
      <c r="J18" s="43">
        <f t="shared" si="3"/>
        <v>1.6000000000000003E-3</v>
      </c>
      <c r="K18" s="43">
        <f t="shared" si="0"/>
        <v>3.1366094471914113E-4</v>
      </c>
      <c r="L18">
        <f t="shared" si="1"/>
        <v>4.0000000000000036E-2</v>
      </c>
    </row>
    <row r="19" spans="2:12" x14ac:dyDescent="0.25">
      <c r="B19" s="50">
        <f t="shared" si="4"/>
        <v>35.540999999999997</v>
      </c>
      <c r="C19" s="51">
        <f t="shared" si="5"/>
        <v>4.7346284924161455E-4</v>
      </c>
      <c r="D19" s="50">
        <f t="shared" si="6"/>
        <v>0</v>
      </c>
      <c r="E19" s="51">
        <f t="shared" si="7"/>
        <v>4.7346284924161455E-4</v>
      </c>
      <c r="G19" s="42"/>
      <c r="H19" s="52"/>
      <c r="I19">
        <f t="shared" si="2"/>
        <v>35.540999999999997</v>
      </c>
      <c r="J19" s="43">
        <f t="shared" si="3"/>
        <v>1.8000000000000004E-3</v>
      </c>
      <c r="K19" s="43">
        <f t="shared" si="0"/>
        <v>4.7346284924161455E-4</v>
      </c>
      <c r="L19">
        <f t="shared" si="1"/>
        <v>1.0000000000000009E-2</v>
      </c>
    </row>
    <row r="20" spans="2:12" x14ac:dyDescent="0.25">
      <c r="B20" s="50">
        <f t="shared" si="4"/>
        <v>35.9</v>
      </c>
      <c r="C20" s="51">
        <f t="shared" si="5"/>
        <v>6.6006348408243886E-4</v>
      </c>
      <c r="D20" s="50">
        <f t="shared" si="6"/>
        <v>0</v>
      </c>
      <c r="E20" s="51">
        <f t="shared" si="7"/>
        <v>6.6006348408243886E-4</v>
      </c>
      <c r="G20" s="42"/>
      <c r="H20" s="52"/>
      <c r="I20">
        <f t="shared" si="2"/>
        <v>35.9</v>
      </c>
      <c r="J20" s="43">
        <f t="shared" si="3"/>
        <v>2.0000000000000005E-3</v>
      </c>
      <c r="K20" s="43">
        <f t="shared" si="0"/>
        <v>6.6006348408243886E-4</v>
      </c>
      <c r="L20">
        <f t="shared" si="1"/>
        <v>0</v>
      </c>
    </row>
    <row r="21" spans="2:12" x14ac:dyDescent="0.25">
      <c r="B21" s="50">
        <f t="shared" si="4"/>
        <v>35.540999999999997</v>
      </c>
      <c r="C21" s="51">
        <f t="shared" si="5"/>
        <v>8.7346284924161473E-4</v>
      </c>
      <c r="D21" s="50">
        <f t="shared" si="6"/>
        <v>1.0000000000000009E-2</v>
      </c>
      <c r="E21" s="51">
        <f t="shared" si="7"/>
        <v>8.7346284924161473E-4</v>
      </c>
      <c r="G21" s="42"/>
      <c r="H21" s="52"/>
      <c r="I21">
        <f t="shared" si="2"/>
        <v>35.540999999999997</v>
      </c>
      <c r="J21" s="43">
        <f t="shared" si="3"/>
        <v>2.2000000000000006E-3</v>
      </c>
      <c r="K21" s="43">
        <f t="shared" si="0"/>
        <v>8.7346284924161473E-4</v>
      </c>
      <c r="L21">
        <f t="shared" si="1"/>
        <v>1.0000000000000009E-2</v>
      </c>
    </row>
    <row r="22" spans="2:12" x14ac:dyDescent="0.25">
      <c r="B22" s="50">
        <f t="shared" si="4"/>
        <v>34.463999999999992</v>
      </c>
      <c r="C22" s="51">
        <f t="shared" si="5"/>
        <v>1.1136609447191419E-3</v>
      </c>
      <c r="D22" s="50">
        <f t="shared" si="6"/>
        <v>4.0000000000000147E-2</v>
      </c>
      <c r="E22" s="51">
        <f t="shared" si="7"/>
        <v>1.1136609447191419E-3</v>
      </c>
      <c r="G22" s="42"/>
      <c r="H22" s="52"/>
      <c r="I22">
        <f t="shared" si="2"/>
        <v>34.463999999999992</v>
      </c>
      <c r="J22" s="43">
        <f t="shared" si="3"/>
        <v>2.4000000000000007E-3</v>
      </c>
      <c r="K22" s="43">
        <f t="shared" si="0"/>
        <v>1.1136609447191419E-3</v>
      </c>
      <c r="L22">
        <f t="shared" si="1"/>
        <v>4.0000000000000147E-2</v>
      </c>
    </row>
    <row r="23" spans="2:12" x14ac:dyDescent="0.25">
      <c r="B23" s="50">
        <f t="shared" si="4"/>
        <v>32.668999999999997</v>
      </c>
      <c r="C23" s="51">
        <f t="shared" si="5"/>
        <v>1.3806577705150198E-3</v>
      </c>
      <c r="D23" s="50">
        <f t="shared" si="6"/>
        <v>9.000000000000008E-2</v>
      </c>
      <c r="E23" s="51">
        <f t="shared" si="7"/>
        <v>1.3806577705150198E-3</v>
      </c>
      <c r="G23" s="42"/>
      <c r="H23" s="52"/>
      <c r="I23">
        <f t="shared" si="2"/>
        <v>32.668999999999997</v>
      </c>
      <c r="J23" s="43">
        <f t="shared" si="3"/>
        <v>2.6000000000000007E-3</v>
      </c>
      <c r="K23" s="43">
        <f t="shared" si="0"/>
        <v>1.3806577705150198E-3</v>
      </c>
      <c r="L23">
        <f t="shared" si="1"/>
        <v>9.000000000000008E-2</v>
      </c>
    </row>
    <row r="24" spans="2:12" x14ac:dyDescent="0.25">
      <c r="B24" s="50">
        <f t="shared" si="4"/>
        <v>30.155999999999985</v>
      </c>
      <c r="C24" s="51">
        <f>K24</f>
        <v>1.6744533266292497E-3</v>
      </c>
      <c r="D24" s="50">
        <f t="shared" si="6"/>
        <v>0.16000000000000036</v>
      </c>
      <c r="E24" s="51">
        <f t="shared" si="7"/>
        <v>1.6744533266292497E-3</v>
      </c>
      <c r="G24" s="42"/>
      <c r="H24" s="52"/>
      <c r="I24">
        <f t="shared" si="2"/>
        <v>30.155999999999985</v>
      </c>
      <c r="J24" s="43">
        <f t="shared" si="3"/>
        <v>2.8000000000000008E-3</v>
      </c>
      <c r="K24" s="43">
        <f t="shared" si="0"/>
        <v>1.6744533266292497E-3</v>
      </c>
      <c r="L24">
        <f t="shared" si="1"/>
        <v>0.16000000000000036</v>
      </c>
    </row>
    <row r="25" spans="2:12" x14ac:dyDescent="0.25">
      <c r="B25" s="50">
        <f t="shared" si="4"/>
        <v>26.924999999999983</v>
      </c>
      <c r="C25" s="51">
        <f t="shared" si="5"/>
        <v>1.9950476130618303E-3</v>
      </c>
      <c r="D25" s="50">
        <f t="shared" si="6"/>
        <v>0.25000000000000044</v>
      </c>
      <c r="E25" s="51">
        <f t="shared" si="7"/>
        <v>1.9950476130618303E-3</v>
      </c>
      <c r="G25" s="42"/>
      <c r="H25" s="52"/>
      <c r="I25">
        <f t="shared" si="2"/>
        <v>26.924999999999983</v>
      </c>
      <c r="J25" s="43">
        <f t="shared" si="3"/>
        <v>3.0000000000000009E-3</v>
      </c>
      <c r="K25" s="43">
        <f t="shared" si="0"/>
        <v>1.9950476130618303E-3</v>
      </c>
      <c r="L25">
        <f t="shared" si="1"/>
        <v>0.25000000000000044</v>
      </c>
    </row>
    <row r="26" spans="2:12" x14ac:dyDescent="0.25">
      <c r="B26" s="50">
        <f t="shared" si="4"/>
        <v>22.975999999999971</v>
      </c>
      <c r="C26" s="51">
        <f t="shared" si="5"/>
        <v>2.3424406298127626E-3</v>
      </c>
      <c r="D26" s="50">
        <f t="shared" si="6"/>
        <v>0.36000000000000076</v>
      </c>
      <c r="E26" s="51">
        <f t="shared" si="7"/>
        <v>2.3424406298127626E-3</v>
      </c>
      <c r="G26" s="42"/>
      <c r="H26" s="52"/>
      <c r="I26">
        <f t="shared" si="2"/>
        <v>22.975999999999971</v>
      </c>
      <c r="J26" s="43">
        <f>J25+0.1*$E$8</f>
        <v>3.200000000000001E-3</v>
      </c>
      <c r="K26" s="43">
        <f t="shared" si="0"/>
        <v>2.3424406298127626E-3</v>
      </c>
      <c r="L26">
        <f t="shared" si="1"/>
        <v>0.36000000000000076</v>
      </c>
    </row>
    <row r="27" spans="2:12" x14ac:dyDescent="0.25">
      <c r="B27" s="50">
        <f t="shared" si="4"/>
        <v>18.308999999999976</v>
      </c>
      <c r="C27" s="51">
        <f t="shared" si="5"/>
        <v>2.7166323768820456E-3</v>
      </c>
      <c r="D27" s="50">
        <f t="shared" si="6"/>
        <v>0.49000000000000066</v>
      </c>
      <c r="E27" s="51">
        <f t="shared" si="7"/>
        <v>2.7166323768820456E-3</v>
      </c>
      <c r="G27" s="42"/>
      <c r="H27" s="52"/>
      <c r="I27">
        <f t="shared" si="2"/>
        <v>18.308999999999976</v>
      </c>
      <c r="J27" s="43">
        <f t="shared" si="3"/>
        <v>3.4000000000000011E-3</v>
      </c>
      <c r="K27" s="43">
        <f t="shared" si="0"/>
        <v>2.7166323768820456E-3</v>
      </c>
      <c r="L27">
        <f t="shared" si="1"/>
        <v>0.49000000000000066</v>
      </c>
    </row>
    <row r="28" spans="2:12" x14ac:dyDescent="0.25">
      <c r="B28" s="50">
        <f t="shared" si="4"/>
        <v>12.92399999999998</v>
      </c>
      <c r="C28" s="51">
        <f t="shared" si="5"/>
        <v>3.1176228542696797E-3</v>
      </c>
      <c r="D28" s="50">
        <f t="shared" si="6"/>
        <v>0.64000000000000057</v>
      </c>
      <c r="E28" s="51">
        <f t="shared" si="7"/>
        <v>3.1176228542696797E-3</v>
      </c>
      <c r="G28" s="42"/>
      <c r="H28" s="52"/>
      <c r="I28">
        <f t="shared" si="2"/>
        <v>12.92399999999998</v>
      </c>
      <c r="J28" s="43">
        <f>J27+0.1*$E$8</f>
        <v>3.6000000000000012E-3</v>
      </c>
      <c r="K28" s="43">
        <f t="shared" si="0"/>
        <v>3.1176228542696797E-3</v>
      </c>
      <c r="L28">
        <f t="shared" si="1"/>
        <v>0.64000000000000057</v>
      </c>
    </row>
    <row r="29" spans="2:12" x14ac:dyDescent="0.25">
      <c r="B29" s="50">
        <f t="shared" si="4"/>
        <v>6.820999999999966</v>
      </c>
      <c r="C29" s="51">
        <f t="shared" si="5"/>
        <v>3.5454120619756659E-3</v>
      </c>
      <c r="D29" s="50">
        <f>IF(J29&lt;$E$8,0,L29)</f>
        <v>0.81000000000000094</v>
      </c>
      <c r="E29" s="51">
        <f t="shared" si="7"/>
        <v>3.5454120619756659E-3</v>
      </c>
      <c r="G29" s="42"/>
      <c r="H29" s="52"/>
      <c r="I29">
        <f t="shared" si="2"/>
        <v>6.820999999999966</v>
      </c>
      <c r="J29" s="43">
        <f>J28+0.1*$E$8</f>
        <v>3.8000000000000013E-3</v>
      </c>
      <c r="K29" s="43">
        <f t="shared" si="0"/>
        <v>3.5454120619756659E-3</v>
      </c>
      <c r="L29">
        <f t="shared" si="1"/>
        <v>0.81000000000000094</v>
      </c>
    </row>
    <row r="30" spans="2:12" x14ac:dyDescent="0.25">
      <c r="B30" s="48" t="s">
        <v>72</v>
      </c>
      <c r="C30" s="48"/>
      <c r="D30" s="48" t="s">
        <v>73</v>
      </c>
      <c r="E30" s="48"/>
      <c r="H30" s="52"/>
    </row>
    <row r="31" spans="2:12" x14ac:dyDescent="0.25">
      <c r="B31" s="48" t="s">
        <v>74</v>
      </c>
      <c r="C31" s="48"/>
      <c r="D31" s="48" t="s">
        <v>70</v>
      </c>
      <c r="E31" s="48" t="s">
        <v>75</v>
      </c>
      <c r="H31" s="52"/>
    </row>
    <row r="32" spans="2:12" x14ac:dyDescent="0.25">
      <c r="B32" s="50">
        <f>ROUNDDOWN(0.56*SQRT(B8),2)</f>
        <v>3.35</v>
      </c>
      <c r="C32" s="50">
        <v>0</v>
      </c>
      <c r="D32" s="50">
        <v>0</v>
      </c>
      <c r="E32" s="50">
        <f>C32</f>
        <v>0</v>
      </c>
      <c r="H32" s="52"/>
    </row>
    <row r="33" spans="2:8" x14ac:dyDescent="0.25">
      <c r="B33" s="50">
        <f>B32*10^-2</f>
        <v>3.3500000000000002E-2</v>
      </c>
      <c r="C33" s="50">
        <v>1E-3</v>
      </c>
      <c r="D33" s="50">
        <f>1-B33/$B$32</f>
        <v>0.99</v>
      </c>
      <c r="E33" s="50">
        <f>C33</f>
        <v>1E-3</v>
      </c>
      <c r="G33" s="43"/>
      <c r="H33" s="52"/>
    </row>
    <row r="34" spans="2:8" x14ac:dyDescent="0.25">
      <c r="B34" s="50"/>
      <c r="C34" s="50"/>
      <c r="D34" s="50"/>
      <c r="E34" s="50"/>
    </row>
    <row r="35" spans="2:8" x14ac:dyDescent="0.25">
      <c r="B35" s="50"/>
      <c r="C35" s="50"/>
      <c r="D35" s="50"/>
      <c r="E35" s="50"/>
    </row>
    <row r="37" spans="2:8" x14ac:dyDescent="0.25">
      <c r="G37" s="7"/>
    </row>
    <row r="44" spans="2:8" x14ac:dyDescent="0.25">
      <c r="B44" t="s">
        <v>77</v>
      </c>
    </row>
    <row r="46" spans="2:8" x14ac:dyDescent="0.25">
      <c r="B46" t="s">
        <v>78</v>
      </c>
      <c r="C46">
        <v>435</v>
      </c>
      <c r="D46" t="s">
        <v>27</v>
      </c>
    </row>
    <row r="51" spans="2:18" x14ac:dyDescent="0.25">
      <c r="B51" t="s">
        <v>63</v>
      </c>
      <c r="C51" t="s">
        <v>64</v>
      </c>
    </row>
    <row r="52" spans="2:18" x14ac:dyDescent="0.25">
      <c r="B52">
        <v>0</v>
      </c>
      <c r="C52">
        <v>0</v>
      </c>
    </row>
    <row r="53" spans="2:18" x14ac:dyDescent="0.25">
      <c r="B53">
        <v>435</v>
      </c>
      <c r="C53">
        <v>0</v>
      </c>
    </row>
    <row r="54" spans="2:18" x14ac:dyDescent="0.25">
      <c r="O54">
        <v>415</v>
      </c>
      <c r="Q54" t="s">
        <v>88</v>
      </c>
      <c r="R54">
        <v>200000</v>
      </c>
    </row>
    <row r="55" spans="2:18" x14ac:dyDescent="0.25">
      <c r="O55">
        <v>485</v>
      </c>
      <c r="P55">
        <f>O55*435/415</f>
        <v>508.37349397590361</v>
      </c>
    </row>
    <row r="56" spans="2:18" x14ac:dyDescent="0.25">
      <c r="K56" t="s">
        <v>63</v>
      </c>
      <c r="L56" t="s">
        <v>64</v>
      </c>
      <c r="Q56" t="s">
        <v>63</v>
      </c>
      <c r="R56" t="s">
        <v>87</v>
      </c>
    </row>
    <row r="57" spans="2:18" x14ac:dyDescent="0.25">
      <c r="K57">
        <v>0</v>
      </c>
      <c r="L57">
        <v>0</v>
      </c>
      <c r="Q57">
        <f>K57</f>
        <v>0</v>
      </c>
      <c r="R57" s="45">
        <f>L57-Q57/$R$54</f>
        <v>0</v>
      </c>
    </row>
    <row r="58" spans="2:18" x14ac:dyDescent="0.25">
      <c r="B58" s="44">
        <f>$B$53*E58/$E$58</f>
        <v>435</v>
      </c>
      <c r="C58">
        <v>0</v>
      </c>
      <c r="E58">
        <v>776</v>
      </c>
      <c r="K58">
        <v>435</v>
      </c>
      <c r="L58">
        <f>K58/200000</f>
        <v>2.1749999999999999E-3</v>
      </c>
      <c r="Q58">
        <f t="shared" ref="Q58:Q60" si="8">K58</f>
        <v>435</v>
      </c>
      <c r="R58" s="45">
        <f t="shared" ref="R58:R60" si="9">L58-Q58/$R$54</f>
        <v>0</v>
      </c>
    </row>
    <row r="59" spans="2:18" x14ac:dyDescent="0.25">
      <c r="B59" s="44">
        <f t="shared" ref="B59:B66" si="10">$B$53*E59/$E$58</f>
        <v>453.49871134020617</v>
      </c>
      <c r="C59">
        <v>0.01</v>
      </c>
      <c r="E59">
        <v>809</v>
      </c>
      <c r="K59">
        <v>435</v>
      </c>
      <c r="L59">
        <f>L58*10</f>
        <v>2.1749999999999999E-2</v>
      </c>
      <c r="Q59">
        <f t="shared" si="8"/>
        <v>435</v>
      </c>
      <c r="R59" s="45">
        <f t="shared" si="9"/>
        <v>1.9574999999999999E-2</v>
      </c>
    </row>
    <row r="60" spans="2:18" x14ac:dyDescent="0.25">
      <c r="B60" s="44">
        <f t="shared" si="10"/>
        <v>464.71005154639175</v>
      </c>
      <c r="C60">
        <v>0.02</v>
      </c>
      <c r="E60">
        <v>829</v>
      </c>
      <c r="K60">
        <v>508</v>
      </c>
      <c r="L60">
        <v>0.05</v>
      </c>
      <c r="Q60">
        <f t="shared" si="8"/>
        <v>508</v>
      </c>
      <c r="R60" s="45">
        <f t="shared" si="9"/>
        <v>4.7460000000000002E-2</v>
      </c>
    </row>
    <row r="61" spans="2:18" x14ac:dyDescent="0.25">
      <c r="B61" s="44">
        <f t="shared" si="10"/>
        <v>471.9974226804124</v>
      </c>
      <c r="C61">
        <v>0.03</v>
      </c>
      <c r="E61">
        <v>842</v>
      </c>
    </row>
    <row r="62" spans="2:18" x14ac:dyDescent="0.25">
      <c r="B62" s="44">
        <f t="shared" si="10"/>
        <v>485.45103092783506</v>
      </c>
      <c r="C62">
        <v>0.06</v>
      </c>
      <c r="E62">
        <v>866</v>
      </c>
    </row>
    <row r="63" spans="2:18" x14ac:dyDescent="0.25">
      <c r="B63" s="44">
        <f t="shared" si="10"/>
        <v>494.98067010309279</v>
      </c>
      <c r="C63">
        <v>0.1</v>
      </c>
      <c r="E63">
        <v>883</v>
      </c>
    </row>
    <row r="64" spans="2:18" x14ac:dyDescent="0.25">
      <c r="B64" s="44">
        <f t="shared" si="10"/>
        <v>501.70747422680415</v>
      </c>
      <c r="C64">
        <v>0.15</v>
      </c>
      <c r="E64">
        <v>895</v>
      </c>
    </row>
    <row r="65" spans="2:5" x14ac:dyDescent="0.25">
      <c r="B65" s="44">
        <f t="shared" si="10"/>
        <v>510.11597938144331</v>
      </c>
      <c r="C65">
        <v>0.25</v>
      </c>
      <c r="E65">
        <v>910</v>
      </c>
    </row>
    <row r="66" spans="2:5" x14ac:dyDescent="0.25">
      <c r="B66" s="44">
        <f t="shared" si="10"/>
        <v>516.84278350515467</v>
      </c>
      <c r="C66">
        <v>0.4</v>
      </c>
      <c r="E66">
        <v>922</v>
      </c>
    </row>
    <row r="72" spans="2:5" x14ac:dyDescent="0.25">
      <c r="B72" t="s">
        <v>79</v>
      </c>
    </row>
    <row r="73" spans="2:5" x14ac:dyDescent="0.25">
      <c r="B73">
        <v>410</v>
      </c>
    </row>
    <row r="75" spans="2:5" x14ac:dyDescent="0.25">
      <c r="B75" s="44">
        <f>$B$73*E58/$E$58</f>
        <v>410</v>
      </c>
      <c r="C75">
        <v>0</v>
      </c>
    </row>
    <row r="76" spans="2:5" x14ac:dyDescent="0.25">
      <c r="B76" s="44">
        <f t="shared" ref="B76:B83" si="11">$B$73*E59/$E$58</f>
        <v>427.43556701030928</v>
      </c>
      <c r="C76">
        <v>0.01</v>
      </c>
    </row>
    <row r="77" spans="2:5" x14ac:dyDescent="0.25">
      <c r="B77" s="44">
        <f t="shared" si="11"/>
        <v>438.0025773195876</v>
      </c>
      <c r="C77">
        <v>0.02</v>
      </c>
    </row>
    <row r="78" spans="2:5" x14ac:dyDescent="0.25">
      <c r="B78" s="44">
        <f t="shared" si="11"/>
        <v>444.87113402061857</v>
      </c>
      <c r="C78">
        <v>0.03</v>
      </c>
    </row>
    <row r="79" spans="2:5" x14ac:dyDescent="0.25">
      <c r="B79" s="44">
        <f t="shared" si="11"/>
        <v>457.55154639175259</v>
      </c>
      <c r="C79">
        <v>0.06</v>
      </c>
    </row>
    <row r="80" spans="2:5" x14ac:dyDescent="0.25">
      <c r="B80" s="44">
        <f t="shared" si="11"/>
        <v>466.53350515463916</v>
      </c>
      <c r="C80">
        <v>0.1</v>
      </c>
    </row>
    <row r="81" spans="2:3" x14ac:dyDescent="0.25">
      <c r="B81" s="44">
        <f t="shared" si="11"/>
        <v>472.87371134020617</v>
      </c>
      <c r="C81">
        <v>0.15</v>
      </c>
    </row>
    <row r="82" spans="2:3" x14ac:dyDescent="0.25">
      <c r="B82" s="44">
        <f t="shared" si="11"/>
        <v>480.79896907216494</v>
      </c>
      <c r="C82">
        <v>0.25</v>
      </c>
    </row>
    <row r="83" spans="2:3" x14ac:dyDescent="0.25">
      <c r="B83" s="44">
        <f t="shared" si="11"/>
        <v>487.13917525773195</v>
      </c>
      <c r="C83">
        <v>0.4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93A0-F94E-45EE-9E34-6691B85362E4}">
  <dimension ref="A2:BU80"/>
  <sheetViews>
    <sheetView tabSelected="1" workbookViewId="0">
      <selection activeCell="I51" sqref="I51"/>
    </sheetView>
  </sheetViews>
  <sheetFormatPr defaultRowHeight="15" x14ac:dyDescent="0.25"/>
  <sheetData>
    <row r="2" spans="1:73" x14ac:dyDescent="0.25">
      <c r="H2" t="s">
        <v>89</v>
      </c>
    </row>
    <row r="3" spans="1:73" x14ac:dyDescent="0.25">
      <c r="A3" s="56" t="s">
        <v>85</v>
      </c>
      <c r="B3" s="56"/>
      <c r="G3" s="56" t="s">
        <v>86</v>
      </c>
      <c r="H3" s="56"/>
    </row>
    <row r="4" spans="1:73" x14ac:dyDescent="0.25">
      <c r="A4" t="s">
        <v>83</v>
      </c>
      <c r="B4" t="s">
        <v>84</v>
      </c>
      <c r="G4" t="s">
        <v>81</v>
      </c>
      <c r="H4" t="s">
        <v>82</v>
      </c>
      <c r="L4" t="s">
        <v>36</v>
      </c>
      <c r="M4" t="s">
        <v>81</v>
      </c>
      <c r="O4" t="s">
        <v>36</v>
      </c>
      <c r="P4" t="s">
        <v>82</v>
      </c>
    </row>
    <row r="5" spans="1:73" x14ac:dyDescent="0.25">
      <c r="A5">
        <v>0</v>
      </c>
      <c r="B5">
        <v>0</v>
      </c>
      <c r="G5">
        <f>-M5</f>
        <v>0</v>
      </c>
      <c r="H5" s="44">
        <f>P5/1000</f>
        <v>0</v>
      </c>
      <c r="L5">
        <v>0</v>
      </c>
      <c r="M5">
        <v>0</v>
      </c>
      <c r="O5">
        <v>0</v>
      </c>
      <c r="P5">
        <f>-SUM(R5:BU5)</f>
        <v>0</v>
      </c>
      <c r="R5" s="44">
        <v>0</v>
      </c>
      <c r="S5" s="44">
        <v>0</v>
      </c>
      <c r="T5" s="44">
        <v>0</v>
      </c>
      <c r="U5" s="44">
        <v>0</v>
      </c>
      <c r="V5" s="44">
        <v>0</v>
      </c>
      <c r="W5" s="44">
        <v>0</v>
      </c>
      <c r="X5" s="44">
        <v>0</v>
      </c>
      <c r="Y5" s="44">
        <v>0</v>
      </c>
      <c r="Z5" s="44">
        <v>0</v>
      </c>
      <c r="AA5" s="44">
        <v>0</v>
      </c>
      <c r="AB5" s="44">
        <v>0</v>
      </c>
      <c r="AC5" s="44">
        <v>0</v>
      </c>
      <c r="AD5" s="44">
        <v>0</v>
      </c>
      <c r="AE5" s="44">
        <v>0</v>
      </c>
      <c r="AF5" s="44">
        <v>0</v>
      </c>
      <c r="AG5" s="44">
        <v>0</v>
      </c>
      <c r="AH5" s="44">
        <v>0</v>
      </c>
      <c r="AI5" s="44">
        <v>0</v>
      </c>
      <c r="AJ5" s="44">
        <v>0</v>
      </c>
      <c r="AK5" s="44">
        <v>0</v>
      </c>
      <c r="AL5" s="44">
        <v>0</v>
      </c>
      <c r="AM5" s="44">
        <v>0</v>
      </c>
      <c r="AN5" s="44">
        <v>0</v>
      </c>
      <c r="AO5" s="44">
        <v>0</v>
      </c>
      <c r="AP5" s="44">
        <v>0</v>
      </c>
      <c r="AQ5" s="44">
        <v>0</v>
      </c>
      <c r="AR5" s="44">
        <v>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0</v>
      </c>
      <c r="BA5" s="44">
        <v>0</v>
      </c>
      <c r="BB5" s="44">
        <v>0</v>
      </c>
      <c r="BC5" s="44">
        <v>0</v>
      </c>
      <c r="BD5" s="44">
        <v>0</v>
      </c>
      <c r="BE5" s="44">
        <v>0</v>
      </c>
      <c r="BF5" s="44">
        <v>0</v>
      </c>
      <c r="BG5" s="44">
        <v>0</v>
      </c>
      <c r="BH5" s="44">
        <v>0</v>
      </c>
      <c r="BI5" s="44">
        <v>0</v>
      </c>
      <c r="BJ5" s="44">
        <v>0</v>
      </c>
      <c r="BK5" s="44">
        <v>0</v>
      </c>
      <c r="BL5" s="44">
        <v>0</v>
      </c>
      <c r="BM5" s="44">
        <v>0</v>
      </c>
      <c r="BN5" s="44">
        <v>0</v>
      </c>
      <c r="BO5" s="44">
        <v>0</v>
      </c>
      <c r="BP5" s="44">
        <v>0</v>
      </c>
      <c r="BQ5" s="44">
        <v>0</v>
      </c>
      <c r="BR5" s="44">
        <v>0</v>
      </c>
      <c r="BS5" s="44">
        <v>0</v>
      </c>
      <c r="BT5" s="44">
        <v>0</v>
      </c>
      <c r="BU5" s="44">
        <v>0</v>
      </c>
    </row>
    <row r="6" spans="1:73" x14ac:dyDescent="0.25">
      <c r="A6">
        <v>0.317881731389833</v>
      </c>
      <c r="B6">
        <v>23.676227180211701</v>
      </c>
      <c r="G6">
        <f t="shared" ref="G6:G15" si="0">-M6</f>
        <v>2</v>
      </c>
      <c r="H6" s="44">
        <f t="shared" ref="H6:H15" si="1">P6/1000</f>
        <v>152.65507200000008</v>
      </c>
      <c r="L6">
        <v>0.1</v>
      </c>
      <c r="M6">
        <v>-2</v>
      </c>
      <c r="O6">
        <v>0.1</v>
      </c>
      <c r="P6">
        <f t="shared" ref="P6:P15" si="2">-SUM(R6:BU6)</f>
        <v>152655.07200000007</v>
      </c>
      <c r="R6" s="44">
        <v>-15.6508</v>
      </c>
      <c r="S6" s="44">
        <v>-1437.24</v>
      </c>
      <c r="T6" s="44">
        <v>-47.247</v>
      </c>
      <c r="U6" s="44">
        <v>-4244.6400000000003</v>
      </c>
      <c r="V6" s="44">
        <v>74.432100000000005</v>
      </c>
      <c r="W6" s="44">
        <v>-3239.61</v>
      </c>
      <c r="X6" s="44">
        <v>58.189500000000002</v>
      </c>
      <c r="Y6" s="44">
        <v>-9659.75</v>
      </c>
      <c r="Z6" s="44">
        <v>106.877</v>
      </c>
      <c r="AA6" s="44">
        <v>-3562.83</v>
      </c>
      <c r="AB6" s="44">
        <v>142.62200000000001</v>
      </c>
      <c r="AC6" s="44">
        <v>-10503.6</v>
      </c>
      <c r="AD6" s="44">
        <v>100.61799999999999</v>
      </c>
      <c r="AE6" s="44">
        <v>-3469.91</v>
      </c>
      <c r="AF6" s="44">
        <v>131.44399999999999</v>
      </c>
      <c r="AG6" s="44">
        <v>-10171.700000000001</v>
      </c>
      <c r="AH6" s="44">
        <v>102.01900000000001</v>
      </c>
      <c r="AI6" s="44">
        <v>-3382.33</v>
      </c>
      <c r="AJ6" s="44">
        <v>126.96299999999999</v>
      </c>
      <c r="AK6" s="44">
        <v>-9978.7900000000009</v>
      </c>
      <c r="AL6" s="44">
        <v>65.046400000000006</v>
      </c>
      <c r="AM6" s="44">
        <v>-3029.94</v>
      </c>
      <c r="AN6" s="44">
        <v>50.444200000000002</v>
      </c>
      <c r="AO6" s="44">
        <v>-9028.86</v>
      </c>
      <c r="AP6" s="44">
        <v>-13.805999999999999</v>
      </c>
      <c r="AQ6" s="44">
        <v>-1379.2</v>
      </c>
      <c r="AR6" s="44">
        <v>-42.917400000000001</v>
      </c>
      <c r="AS6" s="44">
        <v>-4078.17</v>
      </c>
      <c r="AT6" s="44">
        <v>-15.6508</v>
      </c>
      <c r="AU6" s="44">
        <v>-1437.24</v>
      </c>
      <c r="AV6" s="44">
        <v>-47.247</v>
      </c>
      <c r="AW6" s="44">
        <v>-4244.6400000000003</v>
      </c>
      <c r="AX6" s="44">
        <v>74.432100000000005</v>
      </c>
      <c r="AY6" s="44">
        <v>-3239.61</v>
      </c>
      <c r="AZ6" s="44">
        <v>58.189500000000002</v>
      </c>
      <c r="BA6" s="44">
        <v>-9659.75</v>
      </c>
      <c r="BB6" s="44">
        <v>106.877</v>
      </c>
      <c r="BC6" s="44">
        <v>-3562.83</v>
      </c>
      <c r="BD6" s="44">
        <v>142.62200000000001</v>
      </c>
      <c r="BE6" s="44">
        <v>-10503.6</v>
      </c>
      <c r="BF6" s="44">
        <v>100.61799999999999</v>
      </c>
      <c r="BG6" s="44">
        <v>-3469.91</v>
      </c>
      <c r="BH6" s="44">
        <v>131.44399999999999</v>
      </c>
      <c r="BI6" s="44">
        <v>-10171.700000000001</v>
      </c>
      <c r="BJ6" s="44">
        <v>102.01900000000001</v>
      </c>
      <c r="BK6" s="44">
        <v>-3382.33</v>
      </c>
      <c r="BL6" s="44">
        <v>126.96299999999999</v>
      </c>
      <c r="BM6" s="44">
        <v>-9978.7900000000009</v>
      </c>
      <c r="BN6" s="44">
        <v>65.046400000000006</v>
      </c>
      <c r="BO6" s="44">
        <v>-3029.94</v>
      </c>
      <c r="BP6" s="44">
        <v>50.444200000000002</v>
      </c>
      <c r="BQ6" s="44">
        <v>-9028.86</v>
      </c>
      <c r="BR6" s="44">
        <v>-13.805999999999999</v>
      </c>
      <c r="BS6" s="44">
        <v>-1379.2</v>
      </c>
      <c r="BT6" s="44">
        <v>-42.917400000000001</v>
      </c>
      <c r="BU6" s="44">
        <v>-4078.17</v>
      </c>
    </row>
    <row r="7" spans="1:73" x14ac:dyDescent="0.25">
      <c r="A7">
        <v>0.39734998152332601</v>
      </c>
      <c r="B7">
        <v>31.2647578987619</v>
      </c>
      <c r="G7">
        <f t="shared" si="0"/>
        <v>4</v>
      </c>
      <c r="H7" s="44">
        <f t="shared" si="1"/>
        <v>225.09329439999999</v>
      </c>
      <c r="L7">
        <v>0.2</v>
      </c>
      <c r="M7">
        <v>-4</v>
      </c>
      <c r="O7">
        <v>0.2</v>
      </c>
      <c r="P7">
        <f t="shared" si="2"/>
        <v>225093.29439999998</v>
      </c>
      <c r="R7" s="44">
        <v>-59.952500000000001</v>
      </c>
      <c r="S7" s="44">
        <v>-2089.0300000000002</v>
      </c>
      <c r="T7" s="44">
        <v>-177.221</v>
      </c>
      <c r="U7" s="44">
        <v>-6008.89</v>
      </c>
      <c r="V7" s="44">
        <v>282.82799999999997</v>
      </c>
      <c r="W7" s="44">
        <v>-4702.87</v>
      </c>
      <c r="X7" s="44">
        <v>248.22800000000001</v>
      </c>
      <c r="Y7" s="44">
        <v>-13900.8</v>
      </c>
      <c r="Z7" s="44">
        <v>371.98599999999999</v>
      </c>
      <c r="AA7" s="44">
        <v>-5214.12</v>
      </c>
      <c r="AB7" s="44">
        <v>474.548</v>
      </c>
      <c r="AC7" s="44">
        <v>-14987.5</v>
      </c>
      <c r="AD7" s="44">
        <v>364.15800000000002</v>
      </c>
      <c r="AE7" s="44">
        <v>-5129.68</v>
      </c>
      <c r="AF7" s="44">
        <v>442.42700000000002</v>
      </c>
      <c r="AG7" s="44">
        <v>-14557.6</v>
      </c>
      <c r="AH7" s="44">
        <v>382.238</v>
      </c>
      <c r="AI7" s="44">
        <v>-5431.77</v>
      </c>
      <c r="AJ7" s="44">
        <v>520.05100000000004</v>
      </c>
      <c r="AK7" s="44">
        <v>-15630.2</v>
      </c>
      <c r="AL7" s="44">
        <v>250.86699999999999</v>
      </c>
      <c r="AM7" s="44">
        <v>-4882.6000000000004</v>
      </c>
      <c r="AN7" s="44">
        <v>207.214</v>
      </c>
      <c r="AO7" s="44">
        <v>-14400.7</v>
      </c>
      <c r="AP7" s="44">
        <v>-48.828699999999998</v>
      </c>
      <c r="AQ7" s="44">
        <v>-2228.19</v>
      </c>
      <c r="AR7" s="44">
        <v>-171.92</v>
      </c>
      <c r="AS7" s="44">
        <v>-6469.32</v>
      </c>
      <c r="AT7" s="44">
        <v>-59.952500000000001</v>
      </c>
      <c r="AU7" s="44">
        <v>-2089.0300000000002</v>
      </c>
      <c r="AV7" s="44">
        <v>-177.221</v>
      </c>
      <c r="AW7" s="44">
        <v>-6008.89</v>
      </c>
      <c r="AX7" s="44">
        <v>282.82799999999997</v>
      </c>
      <c r="AY7" s="44">
        <v>-4702.87</v>
      </c>
      <c r="AZ7" s="44">
        <v>248.22800000000001</v>
      </c>
      <c r="BA7" s="44">
        <v>-13900.8</v>
      </c>
      <c r="BB7" s="44">
        <v>371.98599999999999</v>
      </c>
      <c r="BC7" s="44">
        <v>-5214.12</v>
      </c>
      <c r="BD7" s="44">
        <v>474.548</v>
      </c>
      <c r="BE7" s="44">
        <v>-14987.5</v>
      </c>
      <c r="BF7" s="44">
        <v>364.15800000000002</v>
      </c>
      <c r="BG7" s="44">
        <v>-5129.68</v>
      </c>
      <c r="BH7" s="44">
        <v>442.42700000000002</v>
      </c>
      <c r="BI7" s="44">
        <v>-14557.6</v>
      </c>
      <c r="BJ7" s="44">
        <v>382.238</v>
      </c>
      <c r="BK7" s="44">
        <v>-5431.77</v>
      </c>
      <c r="BL7" s="44">
        <v>520.05100000000004</v>
      </c>
      <c r="BM7" s="44">
        <v>-15630.2</v>
      </c>
      <c r="BN7" s="44">
        <v>250.86699999999999</v>
      </c>
      <c r="BO7" s="44">
        <v>-4882.6000000000004</v>
      </c>
      <c r="BP7" s="44">
        <v>207.214</v>
      </c>
      <c r="BQ7" s="44">
        <v>-14400.7</v>
      </c>
      <c r="BR7" s="44">
        <v>-48.828699999999998</v>
      </c>
      <c r="BS7" s="44">
        <v>-2228.19</v>
      </c>
      <c r="BT7" s="44">
        <v>-171.92</v>
      </c>
      <c r="BU7" s="44">
        <v>-6469.32</v>
      </c>
    </row>
    <row r="8" spans="1:73" x14ac:dyDescent="0.25">
      <c r="A8">
        <v>0.71523171291315901</v>
      </c>
      <c r="B8">
        <v>41.281609776757001</v>
      </c>
      <c r="G8">
        <f t="shared" si="0"/>
        <v>6</v>
      </c>
      <c r="H8" s="44">
        <f t="shared" si="1"/>
        <v>206.29602320000001</v>
      </c>
      <c r="L8">
        <v>0.3</v>
      </c>
      <c r="M8">
        <v>-6</v>
      </c>
      <c r="O8">
        <v>0.3</v>
      </c>
      <c r="P8">
        <f t="shared" si="2"/>
        <v>206296.0232</v>
      </c>
      <c r="R8" s="44">
        <v>-80.229399999999998</v>
      </c>
      <c r="S8" s="44">
        <v>-1601.16</v>
      </c>
      <c r="T8" s="44">
        <v>-202.071</v>
      </c>
      <c r="U8" s="44">
        <v>-4468.13</v>
      </c>
      <c r="V8" s="44">
        <v>282.642</v>
      </c>
      <c r="W8" s="44">
        <v>-4149</v>
      </c>
      <c r="X8" s="44">
        <v>326.29599999999999</v>
      </c>
      <c r="Y8" s="44">
        <v>-12040.8</v>
      </c>
      <c r="Z8" s="44">
        <v>492.209</v>
      </c>
      <c r="AA8" s="44">
        <v>-5594.16</v>
      </c>
      <c r="AB8" s="44">
        <v>512.41700000000003</v>
      </c>
      <c r="AC8" s="44">
        <v>-16164.9</v>
      </c>
      <c r="AD8" s="44">
        <v>500.66399999999999</v>
      </c>
      <c r="AE8" s="44">
        <v>-5115.0600000000004</v>
      </c>
      <c r="AF8" s="44">
        <v>510.37</v>
      </c>
      <c r="AG8" s="44">
        <v>-14498.9</v>
      </c>
      <c r="AH8" s="44">
        <v>454.02800000000002</v>
      </c>
      <c r="AI8" s="44">
        <v>-5204.72</v>
      </c>
      <c r="AJ8" s="44">
        <v>684.16600000000005</v>
      </c>
      <c r="AK8" s="44">
        <v>-14707.7</v>
      </c>
      <c r="AL8" s="44">
        <v>303.2</v>
      </c>
      <c r="AM8" s="44">
        <v>-4255.58</v>
      </c>
      <c r="AN8" s="44">
        <v>249.929</v>
      </c>
      <c r="AO8" s="44">
        <v>-12443</v>
      </c>
      <c r="AP8" s="44">
        <v>-73.028199999999998</v>
      </c>
      <c r="AQ8" s="44">
        <v>-1742.78</v>
      </c>
      <c r="AR8" s="44">
        <v>-201.44399999999999</v>
      </c>
      <c r="AS8" s="44">
        <v>-4921.2700000000004</v>
      </c>
      <c r="AT8" s="44">
        <v>-80.229399999999998</v>
      </c>
      <c r="AU8" s="44">
        <v>-1601.16</v>
      </c>
      <c r="AV8" s="44">
        <v>-202.071</v>
      </c>
      <c r="AW8" s="44">
        <v>-4468.13</v>
      </c>
      <c r="AX8" s="44">
        <v>282.642</v>
      </c>
      <c r="AY8" s="44">
        <v>-4149</v>
      </c>
      <c r="AZ8" s="44">
        <v>326.29599999999999</v>
      </c>
      <c r="BA8" s="44">
        <v>-12040.8</v>
      </c>
      <c r="BB8" s="44">
        <v>492.209</v>
      </c>
      <c r="BC8" s="44">
        <v>-5594.16</v>
      </c>
      <c r="BD8" s="44">
        <v>512.41700000000003</v>
      </c>
      <c r="BE8" s="44">
        <v>-16164.9</v>
      </c>
      <c r="BF8" s="44">
        <v>500.66399999999999</v>
      </c>
      <c r="BG8" s="44">
        <v>-5115.0600000000004</v>
      </c>
      <c r="BH8" s="44">
        <v>510.37</v>
      </c>
      <c r="BI8" s="44">
        <v>-14498.9</v>
      </c>
      <c r="BJ8" s="44">
        <v>454.02800000000002</v>
      </c>
      <c r="BK8" s="44">
        <v>-5204.72</v>
      </c>
      <c r="BL8" s="44">
        <v>684.16600000000005</v>
      </c>
      <c r="BM8" s="44">
        <v>-14707.7</v>
      </c>
      <c r="BN8" s="44">
        <v>303.2</v>
      </c>
      <c r="BO8" s="44">
        <v>-4255.58</v>
      </c>
      <c r="BP8" s="44">
        <v>249.929</v>
      </c>
      <c r="BQ8" s="44">
        <v>-12443</v>
      </c>
      <c r="BR8" s="44">
        <v>-73.028199999999998</v>
      </c>
      <c r="BS8" s="44">
        <v>-1742.78</v>
      </c>
      <c r="BT8" s="44">
        <v>-201.44399999999999</v>
      </c>
      <c r="BU8" s="44">
        <v>-4921.2700000000004</v>
      </c>
    </row>
    <row r="9" spans="1:73" x14ac:dyDescent="0.25">
      <c r="A9">
        <v>0.79470432847458805</v>
      </c>
      <c r="B9">
        <v>47.9595221447683</v>
      </c>
      <c r="G9">
        <f t="shared" si="0"/>
        <v>8</v>
      </c>
      <c r="H9" s="44">
        <f t="shared" si="1"/>
        <v>155.13812799999999</v>
      </c>
      <c r="L9">
        <v>0.4</v>
      </c>
      <c r="M9">
        <v>-8</v>
      </c>
      <c r="O9">
        <v>0.4</v>
      </c>
      <c r="P9">
        <f t="shared" si="2"/>
        <v>155138.128</v>
      </c>
      <c r="R9" s="44">
        <v>-147.55000000000001</v>
      </c>
      <c r="S9" s="44">
        <v>-1818.79</v>
      </c>
      <c r="T9" s="44">
        <v>-226.16800000000001</v>
      </c>
      <c r="U9" s="44">
        <v>-4880.63</v>
      </c>
      <c r="V9" s="44">
        <v>453.16800000000001</v>
      </c>
      <c r="W9" s="44">
        <v>-3112.07</v>
      </c>
      <c r="X9" s="44">
        <v>405.113</v>
      </c>
      <c r="Y9" s="44">
        <v>-9114.7099999999991</v>
      </c>
      <c r="Z9" s="44">
        <v>611.26300000000003</v>
      </c>
      <c r="AA9" s="44">
        <v>-3542.23</v>
      </c>
      <c r="AB9" s="44">
        <v>588.23800000000006</v>
      </c>
      <c r="AC9" s="44">
        <v>-10022.9</v>
      </c>
      <c r="AD9" s="44">
        <v>407.91399999999999</v>
      </c>
      <c r="AE9" s="44">
        <v>-3692.15</v>
      </c>
      <c r="AF9" s="44">
        <v>574.202</v>
      </c>
      <c r="AG9" s="44">
        <v>-9735.02</v>
      </c>
      <c r="AH9" s="44">
        <v>533.98400000000004</v>
      </c>
      <c r="AI9" s="44">
        <v>-3857.56</v>
      </c>
      <c r="AJ9" s="44">
        <v>746.91399999999999</v>
      </c>
      <c r="AK9" s="44">
        <v>-10620.1</v>
      </c>
      <c r="AL9" s="44">
        <v>446.26600000000002</v>
      </c>
      <c r="AM9" s="44">
        <v>-3589.49</v>
      </c>
      <c r="AN9" s="44">
        <v>327.97500000000002</v>
      </c>
      <c r="AO9" s="44">
        <v>-10588.5</v>
      </c>
      <c r="AP9" s="44">
        <v>-121.14400000000001</v>
      </c>
      <c r="AQ9" s="44">
        <v>-1959.96</v>
      </c>
      <c r="AR9" s="44">
        <v>-232.489</v>
      </c>
      <c r="AS9" s="44">
        <v>-5402.64</v>
      </c>
      <c r="AT9" s="44">
        <v>-147.55000000000001</v>
      </c>
      <c r="AU9" s="44">
        <v>-1818.79</v>
      </c>
      <c r="AV9" s="44">
        <v>-226.16800000000001</v>
      </c>
      <c r="AW9" s="44">
        <v>-4880.63</v>
      </c>
      <c r="AX9" s="44">
        <v>453.16800000000001</v>
      </c>
      <c r="AY9" s="44">
        <v>-3112.07</v>
      </c>
      <c r="AZ9" s="44">
        <v>405.113</v>
      </c>
      <c r="BA9" s="44">
        <v>-9114.7099999999991</v>
      </c>
      <c r="BB9" s="44">
        <v>611.26300000000003</v>
      </c>
      <c r="BC9" s="44">
        <v>-3542.23</v>
      </c>
      <c r="BD9" s="44">
        <v>588.23800000000006</v>
      </c>
      <c r="BE9" s="44">
        <v>-10022.9</v>
      </c>
      <c r="BF9" s="44">
        <v>407.91399999999999</v>
      </c>
      <c r="BG9" s="44">
        <v>-3692.15</v>
      </c>
      <c r="BH9" s="44">
        <v>574.202</v>
      </c>
      <c r="BI9" s="44">
        <v>-9735.02</v>
      </c>
      <c r="BJ9" s="44">
        <v>533.98400000000004</v>
      </c>
      <c r="BK9" s="44">
        <v>-3857.56</v>
      </c>
      <c r="BL9" s="44">
        <v>746.91399999999999</v>
      </c>
      <c r="BM9" s="44">
        <v>-10620.1</v>
      </c>
      <c r="BN9" s="44">
        <v>446.26600000000002</v>
      </c>
      <c r="BO9" s="44">
        <v>-3589.49</v>
      </c>
      <c r="BP9" s="44">
        <v>327.97500000000002</v>
      </c>
      <c r="BQ9" s="44">
        <v>-10588.5</v>
      </c>
      <c r="BR9" s="44">
        <v>-121.14400000000001</v>
      </c>
      <c r="BS9" s="44">
        <v>-1959.96</v>
      </c>
      <c r="BT9" s="44">
        <v>-232.489</v>
      </c>
      <c r="BU9" s="44">
        <v>-5402.64</v>
      </c>
    </row>
    <row r="10" spans="1:73" x14ac:dyDescent="0.25">
      <c r="A10">
        <v>0.953645194169503</v>
      </c>
      <c r="B10">
        <v>56.762221780051803</v>
      </c>
      <c r="G10">
        <f t="shared" si="0"/>
        <v>10</v>
      </c>
      <c r="H10" s="44">
        <f t="shared" si="1"/>
        <v>126.54139799999999</v>
      </c>
      <c r="L10">
        <v>0.5</v>
      </c>
      <c r="M10">
        <v>-10</v>
      </c>
      <c r="O10">
        <v>0.5</v>
      </c>
      <c r="P10">
        <f t="shared" si="2"/>
        <v>126541.39799999999</v>
      </c>
      <c r="R10" s="44">
        <v>-176.91</v>
      </c>
      <c r="S10" s="44">
        <v>-1668.39</v>
      </c>
      <c r="T10" s="44">
        <v>-233.124</v>
      </c>
      <c r="U10" s="44">
        <v>-4323.3</v>
      </c>
      <c r="V10" s="44">
        <v>539.91300000000001</v>
      </c>
      <c r="W10" s="44">
        <v>-2299.41</v>
      </c>
      <c r="X10" s="44">
        <v>439.64299999999997</v>
      </c>
      <c r="Y10" s="44">
        <v>-6814.36</v>
      </c>
      <c r="Z10" s="44">
        <v>622.69100000000003</v>
      </c>
      <c r="AA10" s="44">
        <v>-2783.28</v>
      </c>
      <c r="AB10" s="44">
        <v>619.875</v>
      </c>
      <c r="AC10" s="44">
        <v>-7724.33</v>
      </c>
      <c r="AD10" s="44">
        <v>333.53100000000001</v>
      </c>
      <c r="AE10" s="44">
        <v>-3108.33</v>
      </c>
      <c r="AF10" s="44">
        <v>528.6</v>
      </c>
      <c r="AG10" s="44">
        <v>-7850.4</v>
      </c>
      <c r="AH10" s="44">
        <v>569.17700000000002</v>
      </c>
      <c r="AI10" s="44">
        <v>-3146.26</v>
      </c>
      <c r="AJ10" s="44">
        <v>748.71100000000001</v>
      </c>
      <c r="AK10" s="44">
        <v>-8611.06</v>
      </c>
      <c r="AL10" s="44">
        <v>417.48599999999999</v>
      </c>
      <c r="AM10" s="44">
        <v>-3244.39</v>
      </c>
      <c r="AN10" s="44">
        <v>322.67</v>
      </c>
      <c r="AO10" s="44">
        <v>-9495.18</v>
      </c>
      <c r="AP10" s="44">
        <v>-112.48099999999999</v>
      </c>
      <c r="AQ10" s="44">
        <v>-1757.93</v>
      </c>
      <c r="AR10" s="44">
        <v>-233.001</v>
      </c>
      <c r="AS10" s="44">
        <v>-4830.8599999999997</v>
      </c>
      <c r="AT10" s="44">
        <v>-176.91</v>
      </c>
      <c r="AU10" s="44">
        <v>-1668.39</v>
      </c>
      <c r="AV10" s="44">
        <v>-233.124</v>
      </c>
      <c r="AW10" s="44">
        <v>-4323.3</v>
      </c>
      <c r="AX10" s="44">
        <v>539.91300000000001</v>
      </c>
      <c r="AY10" s="44">
        <v>-2299.41</v>
      </c>
      <c r="AZ10" s="44">
        <v>439.64299999999997</v>
      </c>
      <c r="BA10" s="44">
        <v>-6814.36</v>
      </c>
      <c r="BB10" s="44">
        <v>622.69100000000003</v>
      </c>
      <c r="BC10" s="44">
        <v>-2783.28</v>
      </c>
      <c r="BD10" s="44">
        <v>619.875</v>
      </c>
      <c r="BE10" s="44">
        <v>-7724.33</v>
      </c>
      <c r="BF10" s="44">
        <v>333.53100000000001</v>
      </c>
      <c r="BG10" s="44">
        <v>-3108.33</v>
      </c>
      <c r="BH10" s="44">
        <v>528.6</v>
      </c>
      <c r="BI10" s="44">
        <v>-7850.4</v>
      </c>
      <c r="BJ10" s="44">
        <v>569.17700000000002</v>
      </c>
      <c r="BK10" s="44">
        <v>-3146.26</v>
      </c>
      <c r="BL10" s="44">
        <v>748.71100000000001</v>
      </c>
      <c r="BM10" s="44">
        <v>-8611.06</v>
      </c>
      <c r="BN10" s="44">
        <v>417.48599999999999</v>
      </c>
      <c r="BO10" s="44">
        <v>-3244.39</v>
      </c>
      <c r="BP10" s="44">
        <v>322.67</v>
      </c>
      <c r="BQ10" s="44">
        <v>-9495.18</v>
      </c>
      <c r="BR10" s="44">
        <v>-112.48099999999999</v>
      </c>
      <c r="BS10" s="44">
        <v>-1757.93</v>
      </c>
      <c r="BT10" s="44">
        <v>-233.001</v>
      </c>
      <c r="BU10" s="44">
        <v>-4830.8599999999997</v>
      </c>
    </row>
    <row r="11" spans="1:73" x14ac:dyDescent="0.25">
      <c r="A11">
        <v>1.2715225601314</v>
      </c>
      <c r="B11">
        <v>64.047218606429695</v>
      </c>
      <c r="G11">
        <f t="shared" si="0"/>
        <v>12</v>
      </c>
      <c r="H11" s="44">
        <f t="shared" si="1"/>
        <v>123.30329000000002</v>
      </c>
      <c r="L11">
        <v>0.6</v>
      </c>
      <c r="M11">
        <v>-12</v>
      </c>
      <c r="O11">
        <v>0.6</v>
      </c>
      <c r="P11">
        <f t="shared" si="2"/>
        <v>123303.29000000002</v>
      </c>
      <c r="R11" s="44">
        <v>-186.54900000000001</v>
      </c>
      <c r="S11" s="44">
        <v>-1946.9</v>
      </c>
      <c r="T11" s="44">
        <v>-262.36799999999999</v>
      </c>
      <c r="U11" s="44">
        <v>-5116.24</v>
      </c>
      <c r="V11" s="44">
        <v>597.27099999999996</v>
      </c>
      <c r="W11" s="44">
        <v>-2493.27</v>
      </c>
      <c r="X11" s="44">
        <v>517.53599999999994</v>
      </c>
      <c r="Y11" s="44">
        <v>-7408.25</v>
      </c>
      <c r="Z11" s="44">
        <v>623.50699999999995</v>
      </c>
      <c r="AA11" s="44">
        <v>-2715.99</v>
      </c>
      <c r="AB11" s="44">
        <v>647.24800000000005</v>
      </c>
      <c r="AC11" s="44">
        <v>-7441.92</v>
      </c>
      <c r="AD11" s="44">
        <v>333.79599999999999</v>
      </c>
      <c r="AE11" s="44">
        <v>-2860.3</v>
      </c>
      <c r="AF11" s="44">
        <v>506.36700000000002</v>
      </c>
      <c r="AG11" s="44">
        <v>-7126.15</v>
      </c>
      <c r="AH11" s="44">
        <v>563.77599999999995</v>
      </c>
      <c r="AI11" s="44">
        <v>-2917.23</v>
      </c>
      <c r="AJ11" s="44">
        <v>730.78</v>
      </c>
      <c r="AK11" s="44">
        <v>-7962.1</v>
      </c>
      <c r="AL11" s="44">
        <v>391.85399999999998</v>
      </c>
      <c r="AM11" s="44">
        <v>-3077.95</v>
      </c>
      <c r="AN11" s="44">
        <v>299.00299999999999</v>
      </c>
      <c r="AO11" s="44">
        <v>-8982.3700000000008</v>
      </c>
      <c r="AP11" s="44">
        <v>-107.502</v>
      </c>
      <c r="AQ11" s="44">
        <v>-1614.36</v>
      </c>
      <c r="AR11" s="44">
        <v>-222.44399999999999</v>
      </c>
      <c r="AS11" s="44">
        <v>-4420.8900000000003</v>
      </c>
      <c r="AT11" s="44">
        <v>-186.54900000000001</v>
      </c>
      <c r="AU11" s="44">
        <v>-1946.9</v>
      </c>
      <c r="AV11" s="44">
        <v>-262.36799999999999</v>
      </c>
      <c r="AW11" s="44">
        <v>-5116.24</v>
      </c>
      <c r="AX11" s="44">
        <v>597.27099999999996</v>
      </c>
      <c r="AY11" s="44">
        <v>-2493.27</v>
      </c>
      <c r="AZ11" s="44">
        <v>517.53599999999994</v>
      </c>
      <c r="BA11" s="44">
        <v>-7408.25</v>
      </c>
      <c r="BB11" s="44">
        <v>623.50699999999995</v>
      </c>
      <c r="BC11" s="44">
        <v>-2715.99</v>
      </c>
      <c r="BD11" s="44">
        <v>647.24800000000005</v>
      </c>
      <c r="BE11" s="44">
        <v>-7441.92</v>
      </c>
      <c r="BF11" s="44">
        <v>333.79599999999999</v>
      </c>
      <c r="BG11" s="44">
        <v>-2860.3</v>
      </c>
      <c r="BH11" s="44">
        <v>506.36700000000002</v>
      </c>
      <c r="BI11" s="44">
        <v>-7126.15</v>
      </c>
      <c r="BJ11" s="44">
        <v>563.77599999999995</v>
      </c>
      <c r="BK11" s="44">
        <v>-2917.23</v>
      </c>
      <c r="BL11" s="44">
        <v>730.78</v>
      </c>
      <c r="BM11" s="44">
        <v>-7962.1</v>
      </c>
      <c r="BN11" s="44">
        <v>391.85399999999998</v>
      </c>
      <c r="BO11" s="44">
        <v>-3077.95</v>
      </c>
      <c r="BP11" s="44">
        <v>299.00299999999999</v>
      </c>
      <c r="BQ11" s="44">
        <v>-8982.3700000000008</v>
      </c>
      <c r="BR11" s="44">
        <v>-107.502</v>
      </c>
      <c r="BS11" s="44">
        <v>-1614.36</v>
      </c>
      <c r="BT11" s="44">
        <v>-222.44399999999999</v>
      </c>
      <c r="BU11" s="44">
        <v>-4420.8900000000003</v>
      </c>
    </row>
    <row r="12" spans="1:73" x14ac:dyDescent="0.25">
      <c r="A12">
        <v>1.43046342582632</v>
      </c>
      <c r="B12">
        <v>71.635749324979997</v>
      </c>
      <c r="G12">
        <f t="shared" si="0"/>
        <v>14</v>
      </c>
      <c r="H12" s="44">
        <f t="shared" si="1"/>
        <v>139.45636200000001</v>
      </c>
      <c r="L12">
        <v>0.7</v>
      </c>
      <c r="M12">
        <v>-14</v>
      </c>
      <c r="O12">
        <v>0.7</v>
      </c>
      <c r="P12">
        <f t="shared" si="2"/>
        <v>139456.36200000002</v>
      </c>
      <c r="R12" s="44">
        <v>-196.089</v>
      </c>
      <c r="S12" s="44">
        <v>-2073.5300000000002</v>
      </c>
      <c r="T12" s="44">
        <v>-280.56200000000001</v>
      </c>
      <c r="U12" s="44">
        <v>-5457.95</v>
      </c>
      <c r="V12" s="44">
        <v>627.59900000000005</v>
      </c>
      <c r="W12" s="44">
        <v>-2754.57</v>
      </c>
      <c r="X12" s="44">
        <v>539.89700000000005</v>
      </c>
      <c r="Y12" s="44">
        <v>-8160.91</v>
      </c>
      <c r="Z12" s="44">
        <v>689.89</v>
      </c>
      <c r="AA12" s="44">
        <v>-3069.74</v>
      </c>
      <c r="AB12" s="44">
        <v>714.48299999999995</v>
      </c>
      <c r="AC12" s="44">
        <v>-8473.9500000000007</v>
      </c>
      <c r="AD12" s="44">
        <v>352.05</v>
      </c>
      <c r="AE12" s="44">
        <v>-3317.05</v>
      </c>
      <c r="AF12" s="44">
        <v>542.30700000000002</v>
      </c>
      <c r="AG12" s="44">
        <v>-8340.5300000000007</v>
      </c>
      <c r="AH12" s="44">
        <v>624.72</v>
      </c>
      <c r="AI12" s="44">
        <v>-3332.82</v>
      </c>
      <c r="AJ12" s="44">
        <v>814.40800000000002</v>
      </c>
      <c r="AK12" s="44">
        <v>-9144.84</v>
      </c>
      <c r="AL12" s="44">
        <v>423.84899999999999</v>
      </c>
      <c r="AM12" s="44">
        <v>-3496.91</v>
      </c>
      <c r="AN12" s="44">
        <v>321.31400000000002</v>
      </c>
      <c r="AO12" s="44">
        <v>-10206</v>
      </c>
      <c r="AP12" s="44">
        <v>-114.464</v>
      </c>
      <c r="AQ12" s="44">
        <v>-1791.46</v>
      </c>
      <c r="AR12" s="44">
        <v>-244.25299999999999</v>
      </c>
      <c r="AS12" s="44">
        <v>-4923.07</v>
      </c>
      <c r="AT12" s="44">
        <v>-196.089</v>
      </c>
      <c r="AU12" s="44">
        <v>-2073.5300000000002</v>
      </c>
      <c r="AV12" s="44">
        <v>-280.56200000000001</v>
      </c>
      <c r="AW12" s="44">
        <v>-5457.95</v>
      </c>
      <c r="AX12" s="44">
        <v>627.59900000000005</v>
      </c>
      <c r="AY12" s="44">
        <v>-2754.57</v>
      </c>
      <c r="AZ12" s="44">
        <v>539.89700000000005</v>
      </c>
      <c r="BA12" s="44">
        <v>-8160.91</v>
      </c>
      <c r="BB12" s="44">
        <v>689.89</v>
      </c>
      <c r="BC12" s="44">
        <v>-3069.74</v>
      </c>
      <c r="BD12" s="44">
        <v>714.48299999999995</v>
      </c>
      <c r="BE12" s="44">
        <v>-8473.9500000000007</v>
      </c>
      <c r="BF12" s="44">
        <v>352.05</v>
      </c>
      <c r="BG12" s="44">
        <v>-3317.05</v>
      </c>
      <c r="BH12" s="44">
        <v>542.30700000000002</v>
      </c>
      <c r="BI12" s="44">
        <v>-8340.5300000000007</v>
      </c>
      <c r="BJ12" s="44">
        <v>624.72</v>
      </c>
      <c r="BK12" s="44">
        <v>-3332.82</v>
      </c>
      <c r="BL12" s="44">
        <v>814.40800000000002</v>
      </c>
      <c r="BM12" s="44">
        <v>-9144.84</v>
      </c>
      <c r="BN12" s="44">
        <v>423.84899999999999</v>
      </c>
      <c r="BO12" s="44">
        <v>-3496.91</v>
      </c>
      <c r="BP12" s="44">
        <v>321.31400000000002</v>
      </c>
      <c r="BQ12" s="44">
        <v>-10206</v>
      </c>
      <c r="BR12" s="44">
        <v>-114.464</v>
      </c>
      <c r="BS12" s="44">
        <v>-1791.46</v>
      </c>
      <c r="BT12" s="44">
        <v>-244.25299999999999</v>
      </c>
      <c r="BU12" s="44">
        <v>-4923.07</v>
      </c>
    </row>
    <row r="13" spans="1:73" x14ac:dyDescent="0.25">
      <c r="A13">
        <v>1.7483451572161499</v>
      </c>
      <c r="B13">
        <v>77.099492776257904</v>
      </c>
      <c r="G13">
        <f t="shared" si="0"/>
        <v>16</v>
      </c>
      <c r="H13" s="44">
        <f t="shared" si="1"/>
        <v>135.99710399999998</v>
      </c>
      <c r="L13">
        <v>0.8</v>
      </c>
      <c r="M13">
        <v>-16</v>
      </c>
      <c r="O13">
        <v>0.8</v>
      </c>
      <c r="P13">
        <f t="shared" si="2"/>
        <v>135997.10399999999</v>
      </c>
      <c r="R13" s="44">
        <v>-193.09800000000001</v>
      </c>
      <c r="S13" s="44">
        <v>-2018.41</v>
      </c>
      <c r="T13" s="44">
        <v>-273.2</v>
      </c>
      <c r="U13" s="44">
        <v>-5305.96</v>
      </c>
      <c r="V13" s="44">
        <v>610.28</v>
      </c>
      <c r="W13" s="44">
        <v>-2729.45</v>
      </c>
      <c r="X13" s="44">
        <v>525.47400000000005</v>
      </c>
      <c r="Y13" s="44">
        <v>-8078.15</v>
      </c>
      <c r="Z13" s="44">
        <v>686.68600000000004</v>
      </c>
      <c r="AA13" s="44">
        <v>-2978.02</v>
      </c>
      <c r="AB13" s="44">
        <v>707.01900000000001</v>
      </c>
      <c r="AC13" s="44">
        <v>-8240.16</v>
      </c>
      <c r="AD13" s="44">
        <v>332.608</v>
      </c>
      <c r="AE13" s="44">
        <v>-3194.34</v>
      </c>
      <c r="AF13" s="44">
        <v>516.80899999999997</v>
      </c>
      <c r="AG13" s="44">
        <v>-7989.86</v>
      </c>
      <c r="AH13" s="44">
        <v>619.81600000000003</v>
      </c>
      <c r="AI13" s="44">
        <v>-3247.72</v>
      </c>
      <c r="AJ13" s="44">
        <v>805.10400000000004</v>
      </c>
      <c r="AK13" s="44">
        <v>-8930.3799999999992</v>
      </c>
      <c r="AL13" s="44">
        <v>405.39</v>
      </c>
      <c r="AM13" s="44">
        <v>-3443.48</v>
      </c>
      <c r="AN13" s="44">
        <v>305.98899999999998</v>
      </c>
      <c r="AO13" s="44">
        <v>-10038.299999999999</v>
      </c>
      <c r="AP13" s="44">
        <v>-110.67700000000001</v>
      </c>
      <c r="AQ13" s="44">
        <v>-1735.73</v>
      </c>
      <c r="AR13" s="44">
        <v>-236.202</v>
      </c>
      <c r="AS13" s="44">
        <v>-4770.59</v>
      </c>
      <c r="AT13" s="44">
        <v>-193.09800000000001</v>
      </c>
      <c r="AU13" s="44">
        <v>-2018.41</v>
      </c>
      <c r="AV13" s="44">
        <v>-273.2</v>
      </c>
      <c r="AW13" s="44">
        <v>-5305.96</v>
      </c>
      <c r="AX13" s="44">
        <v>610.28</v>
      </c>
      <c r="AY13" s="44">
        <v>-2729.45</v>
      </c>
      <c r="AZ13" s="44">
        <v>525.47400000000005</v>
      </c>
      <c r="BA13" s="44">
        <v>-8078.15</v>
      </c>
      <c r="BB13" s="44">
        <v>686.68600000000004</v>
      </c>
      <c r="BC13" s="44">
        <v>-2978.02</v>
      </c>
      <c r="BD13" s="44">
        <v>707.01900000000001</v>
      </c>
      <c r="BE13" s="44">
        <v>-8240.16</v>
      </c>
      <c r="BF13" s="44">
        <v>332.608</v>
      </c>
      <c r="BG13" s="44">
        <v>-3194.34</v>
      </c>
      <c r="BH13" s="44">
        <v>516.80899999999997</v>
      </c>
      <c r="BI13" s="44">
        <v>-7989.86</v>
      </c>
      <c r="BJ13" s="44">
        <v>619.81600000000003</v>
      </c>
      <c r="BK13" s="44">
        <v>-3247.72</v>
      </c>
      <c r="BL13" s="44">
        <v>805.10400000000004</v>
      </c>
      <c r="BM13" s="44">
        <v>-8930.3799999999992</v>
      </c>
      <c r="BN13" s="44">
        <v>405.39</v>
      </c>
      <c r="BO13" s="44">
        <v>-3443.48</v>
      </c>
      <c r="BP13" s="44">
        <v>305.98899999999998</v>
      </c>
      <c r="BQ13" s="44">
        <v>-10038.299999999999</v>
      </c>
      <c r="BR13" s="44">
        <v>-110.67700000000001</v>
      </c>
      <c r="BS13" s="44">
        <v>-1735.73</v>
      </c>
      <c r="BT13" s="44">
        <v>-236.202</v>
      </c>
      <c r="BU13" s="44">
        <v>-4770.59</v>
      </c>
    </row>
    <row r="14" spans="1:73" x14ac:dyDescent="0.25">
      <c r="A14">
        <v>2.3046360044343999</v>
      </c>
      <c r="B14">
        <v>85.598650182358199</v>
      </c>
      <c r="G14">
        <f t="shared" si="0"/>
        <v>18</v>
      </c>
      <c r="H14" s="44">
        <f t="shared" si="1"/>
        <v>126.09963800000001</v>
      </c>
      <c r="L14">
        <v>0.9</v>
      </c>
      <c r="M14">
        <v>-18</v>
      </c>
      <c r="O14">
        <v>0.9</v>
      </c>
      <c r="P14">
        <f t="shared" si="2"/>
        <v>126099.63800000001</v>
      </c>
      <c r="R14" s="44">
        <v>-190.482</v>
      </c>
      <c r="S14" s="44">
        <v>-1963.51</v>
      </c>
      <c r="T14" s="44">
        <v>-264.56700000000001</v>
      </c>
      <c r="U14" s="44">
        <v>-5154.83</v>
      </c>
      <c r="V14" s="44">
        <v>595.476</v>
      </c>
      <c r="W14" s="44">
        <v>-2654.25</v>
      </c>
      <c r="X14" s="44">
        <v>514.03899999999999</v>
      </c>
      <c r="Y14" s="44">
        <v>-7861.8</v>
      </c>
      <c r="Z14" s="44">
        <v>667.70299999999997</v>
      </c>
      <c r="AA14" s="44">
        <v>-2863.3</v>
      </c>
      <c r="AB14" s="44">
        <v>689.37099999999998</v>
      </c>
      <c r="AC14" s="44">
        <v>-7934.98</v>
      </c>
      <c r="AD14" s="44">
        <v>304.79300000000001</v>
      </c>
      <c r="AE14" s="44">
        <v>-2934.88</v>
      </c>
      <c r="AF14" s="44">
        <v>480.26</v>
      </c>
      <c r="AG14" s="44">
        <v>-7269.29</v>
      </c>
      <c r="AH14" s="44">
        <v>594.50599999999997</v>
      </c>
      <c r="AI14" s="44">
        <v>-2933.7</v>
      </c>
      <c r="AJ14" s="44">
        <v>761.005</v>
      </c>
      <c r="AK14" s="44">
        <v>-8066.17</v>
      </c>
      <c r="AL14" s="44">
        <v>366.49099999999999</v>
      </c>
      <c r="AM14" s="44">
        <v>-3119.27</v>
      </c>
      <c r="AN14" s="44">
        <v>272.45600000000002</v>
      </c>
      <c r="AO14" s="44">
        <v>-9064.81</v>
      </c>
      <c r="AP14" s="44">
        <v>-102.40600000000001</v>
      </c>
      <c r="AQ14" s="44">
        <v>-1526.4</v>
      </c>
      <c r="AR14" s="44">
        <v>-216.494</v>
      </c>
      <c r="AS14" s="44">
        <v>-4174.78</v>
      </c>
      <c r="AT14" s="44">
        <v>-190.482</v>
      </c>
      <c r="AU14" s="44">
        <v>-1963.51</v>
      </c>
      <c r="AV14" s="44">
        <v>-264.56700000000001</v>
      </c>
      <c r="AW14" s="44">
        <v>-5154.83</v>
      </c>
      <c r="AX14" s="44">
        <v>595.476</v>
      </c>
      <c r="AY14" s="44">
        <v>-2654.25</v>
      </c>
      <c r="AZ14" s="44">
        <v>514.03899999999999</v>
      </c>
      <c r="BA14" s="44">
        <v>-7861.8</v>
      </c>
      <c r="BB14" s="44">
        <v>667.70299999999997</v>
      </c>
      <c r="BC14" s="44">
        <v>-2863.3</v>
      </c>
      <c r="BD14" s="44">
        <v>689.37099999999998</v>
      </c>
      <c r="BE14" s="44">
        <v>-7934.98</v>
      </c>
      <c r="BF14" s="44">
        <v>304.79300000000001</v>
      </c>
      <c r="BG14" s="44">
        <v>-2934.88</v>
      </c>
      <c r="BH14" s="44">
        <v>480.26</v>
      </c>
      <c r="BI14" s="44">
        <v>-7269.29</v>
      </c>
      <c r="BJ14" s="44">
        <v>594.50599999999997</v>
      </c>
      <c r="BK14" s="44">
        <v>-2933.7</v>
      </c>
      <c r="BL14" s="44">
        <v>761.005</v>
      </c>
      <c r="BM14" s="44">
        <v>-8066.17</v>
      </c>
      <c r="BN14" s="44">
        <v>366.49099999999999</v>
      </c>
      <c r="BO14" s="44">
        <v>-3119.27</v>
      </c>
      <c r="BP14" s="44">
        <v>272.45600000000002</v>
      </c>
      <c r="BQ14" s="44">
        <v>-9064.81</v>
      </c>
      <c r="BR14" s="44">
        <v>-102.40600000000001</v>
      </c>
      <c r="BS14" s="44">
        <v>-1526.4</v>
      </c>
      <c r="BT14" s="44">
        <v>-216.494</v>
      </c>
      <c r="BU14" s="44">
        <v>-4174.78</v>
      </c>
    </row>
    <row r="15" spans="1:73" x14ac:dyDescent="0.25">
      <c r="A15">
        <v>2.86092685165264</v>
      </c>
      <c r="B15">
        <v>95.311968168180798</v>
      </c>
      <c r="G15">
        <f t="shared" si="0"/>
        <v>20</v>
      </c>
      <c r="H15" s="44">
        <f t="shared" si="1"/>
        <v>117.93207980000001</v>
      </c>
      <c r="L15">
        <v>1</v>
      </c>
      <c r="M15">
        <v>-20</v>
      </c>
      <c r="O15">
        <v>1</v>
      </c>
      <c r="P15">
        <f t="shared" si="2"/>
        <v>117932.07980000001</v>
      </c>
      <c r="R15" s="44">
        <v>-190.35</v>
      </c>
      <c r="S15" s="44">
        <v>-1782.58</v>
      </c>
      <c r="T15" s="44">
        <v>-263.81</v>
      </c>
      <c r="U15" s="44">
        <v>-4613.55</v>
      </c>
      <c r="V15" s="44">
        <v>597.298</v>
      </c>
      <c r="W15" s="44">
        <v>-2517.92</v>
      </c>
      <c r="X15" s="44">
        <v>518.54399999999998</v>
      </c>
      <c r="Y15" s="44">
        <v>-7466.72</v>
      </c>
      <c r="Z15" s="44">
        <v>653.14800000000002</v>
      </c>
      <c r="AA15" s="44">
        <v>-2840.91</v>
      </c>
      <c r="AB15" s="44">
        <v>680.76400000000001</v>
      </c>
      <c r="AC15" s="44">
        <v>-7872.66</v>
      </c>
      <c r="AD15" s="44">
        <v>287.24099999999999</v>
      </c>
      <c r="AE15" s="44">
        <v>-2660.39</v>
      </c>
      <c r="AF15" s="44">
        <v>448.83199999999999</v>
      </c>
      <c r="AG15" s="44">
        <v>-6473.04</v>
      </c>
      <c r="AH15" s="44">
        <v>593.98199999999997</v>
      </c>
      <c r="AI15" s="44">
        <v>-2741.69</v>
      </c>
      <c r="AJ15" s="44">
        <v>755.02800000000002</v>
      </c>
      <c r="AK15" s="44">
        <v>-7537.85</v>
      </c>
      <c r="AL15" s="44">
        <v>342.97699999999998</v>
      </c>
      <c r="AM15" s="44">
        <v>-2972.67</v>
      </c>
      <c r="AN15" s="44">
        <v>260.12400000000002</v>
      </c>
      <c r="AO15" s="44">
        <v>-8599.8700000000008</v>
      </c>
      <c r="AP15" s="44">
        <v>-95.624899999999997</v>
      </c>
      <c r="AQ15" s="44">
        <v>-1410.96</v>
      </c>
      <c r="AR15" s="44">
        <v>-210.84299999999999</v>
      </c>
      <c r="AS15" s="44">
        <v>-3852.54</v>
      </c>
      <c r="AT15" s="44">
        <v>-190.35</v>
      </c>
      <c r="AU15" s="44">
        <v>-1782.58</v>
      </c>
      <c r="AV15" s="44">
        <v>-263.81</v>
      </c>
      <c r="AW15" s="44">
        <v>-4613.55</v>
      </c>
      <c r="AX15" s="44">
        <v>597.298</v>
      </c>
      <c r="AY15" s="44">
        <v>-2517.92</v>
      </c>
      <c r="AZ15" s="44">
        <v>518.54399999999998</v>
      </c>
      <c r="BA15" s="44">
        <v>-7466.72</v>
      </c>
      <c r="BB15" s="44">
        <v>653.14800000000002</v>
      </c>
      <c r="BC15" s="44">
        <v>-2840.91</v>
      </c>
      <c r="BD15" s="44">
        <v>680.76400000000001</v>
      </c>
      <c r="BE15" s="44">
        <v>-7872.66</v>
      </c>
      <c r="BF15" s="44">
        <v>287.24099999999999</v>
      </c>
      <c r="BG15" s="44">
        <v>-2660.39</v>
      </c>
      <c r="BH15" s="44">
        <v>448.83199999999999</v>
      </c>
      <c r="BI15" s="44">
        <v>-6473.04</v>
      </c>
      <c r="BJ15" s="44">
        <v>593.98199999999997</v>
      </c>
      <c r="BK15" s="44">
        <v>-2741.69</v>
      </c>
      <c r="BL15" s="44">
        <v>755.02800000000002</v>
      </c>
      <c r="BM15" s="44">
        <v>-7537.85</v>
      </c>
      <c r="BN15" s="44">
        <v>342.97699999999998</v>
      </c>
      <c r="BO15" s="44">
        <v>-2972.67</v>
      </c>
      <c r="BP15" s="44">
        <v>260.12400000000002</v>
      </c>
      <c r="BQ15" s="44">
        <v>-8599.8700000000008</v>
      </c>
      <c r="BR15" s="44">
        <v>-95.624899999999997</v>
      </c>
      <c r="BS15" s="44">
        <v>-1410.96</v>
      </c>
      <c r="BT15" s="44">
        <v>-210.84299999999999</v>
      </c>
      <c r="BU15" s="44">
        <v>-3852.54</v>
      </c>
    </row>
    <row r="16" spans="1:73" x14ac:dyDescent="0.25">
      <c r="A16">
        <v>3.5761585645657998</v>
      </c>
      <c r="B16">
        <v>103.81112557428099</v>
      </c>
    </row>
    <row r="17" spans="1:41" x14ac:dyDescent="0.25">
      <c r="A17">
        <v>4.5298037587352997</v>
      </c>
      <c r="B17">
        <v>118.077568660842</v>
      </c>
    </row>
    <row r="18" spans="1:41" x14ac:dyDescent="0.25">
      <c r="A18">
        <v>5.40397633734338</v>
      </c>
      <c r="B18">
        <v>126.576726066942</v>
      </c>
    </row>
    <row r="19" spans="1:41" x14ac:dyDescent="0.25">
      <c r="A19">
        <v>6.75496714760828</v>
      </c>
      <c r="B19">
        <v>134.77234124385899</v>
      </c>
    </row>
    <row r="20" spans="1:41" x14ac:dyDescent="0.25">
      <c r="A20">
        <v>7.1523171291316103</v>
      </c>
      <c r="B20">
        <v>138.41483965704799</v>
      </c>
    </row>
    <row r="21" spans="1:41" x14ac:dyDescent="0.25">
      <c r="A21">
        <v>8.1854305734346102</v>
      </c>
      <c r="B21">
        <v>145.699828146415</v>
      </c>
    </row>
    <row r="22" spans="1:41" x14ac:dyDescent="0.25">
      <c r="A22">
        <v>9.1390714021761692</v>
      </c>
      <c r="B22">
        <v>150.86002936851</v>
      </c>
      <c r="H22" t="s">
        <v>90</v>
      </c>
    </row>
    <row r="23" spans="1:41" x14ac:dyDescent="0.25">
      <c r="A23">
        <v>10.1721848464791</v>
      </c>
      <c r="B23">
        <v>154.806070010882</v>
      </c>
      <c r="G23" s="56" t="s">
        <v>86</v>
      </c>
      <c r="H23" s="56"/>
    </row>
    <row r="24" spans="1:41" x14ac:dyDescent="0.25">
      <c r="A24">
        <v>11.523180022171999</v>
      </c>
      <c r="B24">
        <v>157.84147979719901</v>
      </c>
      <c r="G24" t="s">
        <v>81</v>
      </c>
      <c r="H24" t="s">
        <v>82</v>
      </c>
      <c r="L24" t="s">
        <v>36</v>
      </c>
      <c r="M24" t="s">
        <v>81</v>
      </c>
      <c r="O24" t="s">
        <v>36</v>
      </c>
      <c r="P24" t="s">
        <v>82</v>
      </c>
    </row>
    <row r="25" spans="1:41" x14ac:dyDescent="0.25">
      <c r="A25">
        <v>13.112584313693199</v>
      </c>
      <c r="B25">
        <v>159.05564871393199</v>
      </c>
      <c r="G25">
        <f t="shared" ref="G25:G45" si="3">-M25</f>
        <v>0</v>
      </c>
      <c r="H25" s="44">
        <f>P25/500</f>
        <v>0</v>
      </c>
      <c r="L25">
        <v>0</v>
      </c>
      <c r="M25">
        <v>0</v>
      </c>
      <c r="O25">
        <v>0</v>
      </c>
      <c r="P25">
        <f>-SUM(R25:BU25)</f>
        <v>0</v>
      </c>
      <c r="R25" s="44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>
        <v>14.463575123958099</v>
      </c>
      <c r="B26">
        <v>156.62731504897101</v>
      </c>
      <c r="G26">
        <f t="shared" si="3"/>
        <v>1</v>
      </c>
      <c r="H26" s="44">
        <f t="shared" ref="H26:H45" si="4">P26/500</f>
        <v>83.219685100000021</v>
      </c>
      <c r="L26">
        <v>0.05</v>
      </c>
      <c r="M26">
        <v>-1</v>
      </c>
      <c r="O26">
        <v>1</v>
      </c>
      <c r="P26">
        <f t="shared" ref="P26:P45" si="5">-SUM(R26:BU26)</f>
        <v>41609.842550000008</v>
      </c>
      <c r="R26">
        <v>-18.8062</v>
      </c>
      <c r="S26">
        <v>-2817.19</v>
      </c>
      <c r="T26">
        <v>-7.5181800000000001</v>
      </c>
      <c r="U26">
        <v>-949.423</v>
      </c>
      <c r="V26">
        <v>25.700099999999999</v>
      </c>
      <c r="W26">
        <v>-6153.26</v>
      </c>
      <c r="X26">
        <v>32.996699999999997</v>
      </c>
      <c r="Y26">
        <v>-2056.6</v>
      </c>
      <c r="Z26">
        <v>51.0274</v>
      </c>
      <c r="AA26">
        <v>-6586.26</v>
      </c>
      <c r="AB26">
        <v>39.7271</v>
      </c>
      <c r="AC26">
        <v>-2220.8000000000002</v>
      </c>
      <c r="AD26">
        <v>56.242899999999999</v>
      </c>
      <c r="AE26">
        <v>-6463.72</v>
      </c>
      <c r="AF26">
        <v>41.940600000000003</v>
      </c>
      <c r="AG26">
        <v>-2185.6799999999998</v>
      </c>
      <c r="AH26">
        <v>49.715400000000002</v>
      </c>
      <c r="AI26">
        <v>-6522.3</v>
      </c>
      <c r="AJ26">
        <v>38.222200000000001</v>
      </c>
      <c r="AK26">
        <v>-2199.73</v>
      </c>
      <c r="AL26">
        <v>24.755099999999999</v>
      </c>
      <c r="AM26">
        <v>-2829.19</v>
      </c>
      <c r="AN26">
        <v>-6.9176700000000002</v>
      </c>
      <c r="AO26">
        <v>-952.77499999999998</v>
      </c>
    </row>
    <row r="27" spans="1:41" x14ac:dyDescent="0.25">
      <c r="A27">
        <v>15.417220318127599</v>
      </c>
      <c r="B27">
        <v>152.37774051442599</v>
      </c>
      <c r="G27">
        <f t="shared" si="3"/>
        <v>2</v>
      </c>
      <c r="H27" s="44">
        <f t="shared" si="4"/>
        <v>129.0533858</v>
      </c>
      <c r="L27">
        <v>0.1</v>
      </c>
      <c r="M27">
        <v>-2</v>
      </c>
      <c r="O27">
        <v>2</v>
      </c>
      <c r="P27">
        <f t="shared" si="5"/>
        <v>64526.692900000002</v>
      </c>
      <c r="R27">
        <v>-47.27</v>
      </c>
      <c r="S27">
        <v>-4231.16</v>
      </c>
      <c r="T27">
        <v>-15.7584</v>
      </c>
      <c r="U27">
        <v>-1432.81</v>
      </c>
      <c r="V27">
        <v>58.079900000000002</v>
      </c>
      <c r="W27">
        <v>-9652.17</v>
      </c>
      <c r="X27">
        <v>74.846299999999999</v>
      </c>
      <c r="Y27">
        <v>-3236.7</v>
      </c>
      <c r="Z27">
        <v>142.17699999999999</v>
      </c>
      <c r="AA27">
        <v>-10555.1</v>
      </c>
      <c r="AB27">
        <v>106.17700000000001</v>
      </c>
      <c r="AC27">
        <v>-3580.77</v>
      </c>
      <c r="AD27">
        <v>133.14400000000001</v>
      </c>
      <c r="AE27">
        <v>-10238.200000000001</v>
      </c>
      <c r="AF27">
        <v>101.59099999999999</v>
      </c>
      <c r="AG27">
        <v>-3492.24</v>
      </c>
      <c r="AH27">
        <v>126.80500000000001</v>
      </c>
      <c r="AI27">
        <v>-10034.200000000001</v>
      </c>
      <c r="AJ27">
        <v>102.208</v>
      </c>
      <c r="AK27">
        <v>-3401.51</v>
      </c>
      <c r="AL27">
        <v>52.302799999999998</v>
      </c>
      <c r="AM27">
        <v>-4103.3599999999997</v>
      </c>
      <c r="AN27">
        <v>-14.3855</v>
      </c>
      <c r="AO27">
        <v>-1388.39</v>
      </c>
    </row>
    <row r="28" spans="1:41" x14ac:dyDescent="0.25">
      <c r="A28">
        <v>16.0529794154793</v>
      </c>
      <c r="B28">
        <v>147.21753929233199</v>
      </c>
      <c r="G28">
        <f t="shared" si="3"/>
        <v>3</v>
      </c>
      <c r="H28" s="44">
        <f t="shared" si="4"/>
        <v>160.86642040000004</v>
      </c>
      <c r="L28">
        <v>0.15</v>
      </c>
      <c r="M28">
        <v>-3</v>
      </c>
      <c r="O28">
        <v>3</v>
      </c>
      <c r="P28">
        <f>-SUM(R28:BU28)</f>
        <v>80433.210200000016</v>
      </c>
      <c r="R28">
        <v>-87.505200000000002</v>
      </c>
      <c r="S28">
        <v>-4965.8</v>
      </c>
      <c r="T28">
        <v>-30.9191</v>
      </c>
      <c r="U28">
        <v>-1698.99</v>
      </c>
      <c r="V28">
        <v>109.38500000000001</v>
      </c>
      <c r="W28">
        <v>-11348.7</v>
      </c>
      <c r="X28">
        <v>140.19399999999999</v>
      </c>
      <c r="Y28">
        <v>-3819.17</v>
      </c>
      <c r="Z28">
        <v>252.99100000000001</v>
      </c>
      <c r="AA28">
        <v>-12971.3</v>
      </c>
      <c r="AB28">
        <v>202.19300000000001</v>
      </c>
      <c r="AC28">
        <v>-4437.79</v>
      </c>
      <c r="AD28">
        <v>265.012</v>
      </c>
      <c r="AE28">
        <v>-13039.7</v>
      </c>
      <c r="AF28">
        <v>200.79300000000001</v>
      </c>
      <c r="AG28">
        <v>-4500.9799999999996</v>
      </c>
      <c r="AH28">
        <v>267.20299999999997</v>
      </c>
      <c r="AI28">
        <v>-13459.2</v>
      </c>
      <c r="AJ28">
        <v>201.608</v>
      </c>
      <c r="AK28">
        <v>-4605.3599999999997</v>
      </c>
      <c r="AL28">
        <v>100.89100000000001</v>
      </c>
      <c r="AM28">
        <v>-5355.49</v>
      </c>
      <c r="AN28">
        <v>-27.5959</v>
      </c>
      <c r="AO28">
        <v>-1824.98</v>
      </c>
    </row>
    <row r="29" spans="1:41" x14ac:dyDescent="0.25">
      <c r="A29">
        <v>16.688742878258999</v>
      </c>
      <c r="B29">
        <v>144.485667566693</v>
      </c>
      <c r="G29">
        <f t="shared" si="3"/>
        <v>4</v>
      </c>
      <c r="H29" s="44">
        <f t="shared" si="4"/>
        <v>188.30993380000001</v>
      </c>
      <c r="L29">
        <v>0.2</v>
      </c>
      <c r="M29">
        <v>-4</v>
      </c>
      <c r="O29">
        <v>4</v>
      </c>
      <c r="P29">
        <f t="shared" si="5"/>
        <v>94154.966899999999</v>
      </c>
      <c r="R29">
        <v>-175.02600000000001</v>
      </c>
      <c r="S29">
        <v>-6047.4</v>
      </c>
      <c r="T29">
        <v>-58.329900000000002</v>
      </c>
      <c r="U29">
        <v>-2099.31</v>
      </c>
      <c r="V29">
        <v>240.75899999999999</v>
      </c>
      <c r="W29">
        <v>-14080.1</v>
      </c>
      <c r="X29">
        <v>273.23399999999998</v>
      </c>
      <c r="Y29">
        <v>-4766.9399999999996</v>
      </c>
      <c r="Z29">
        <v>475.13400000000001</v>
      </c>
      <c r="AA29">
        <v>-15368.4</v>
      </c>
      <c r="AB29">
        <v>382.73899999999998</v>
      </c>
      <c r="AC29">
        <v>-5329.07</v>
      </c>
      <c r="AD29">
        <v>443.97500000000002</v>
      </c>
      <c r="AE29">
        <v>-14865.5</v>
      </c>
      <c r="AF29">
        <v>352.02300000000002</v>
      </c>
      <c r="AG29">
        <v>-5238.17</v>
      </c>
      <c r="AH29">
        <v>505.97199999999998</v>
      </c>
      <c r="AI29">
        <v>-15584.8</v>
      </c>
      <c r="AJ29">
        <v>367.14800000000002</v>
      </c>
      <c r="AK29">
        <v>-5419.72</v>
      </c>
      <c r="AL29">
        <v>202.72200000000001</v>
      </c>
      <c r="AM29">
        <v>-6177.59</v>
      </c>
      <c r="AN29">
        <v>-52.817</v>
      </c>
      <c r="AO29">
        <v>-2135.5</v>
      </c>
    </row>
    <row r="30" spans="1:41" x14ac:dyDescent="0.25">
      <c r="A30">
        <v>17.801324572695499</v>
      </c>
      <c r="B30">
        <v>144.78920145886499</v>
      </c>
      <c r="G30">
        <f t="shared" si="3"/>
        <v>5</v>
      </c>
      <c r="H30" s="44">
        <f t="shared" si="4"/>
        <v>183.72632400000003</v>
      </c>
      <c r="L30">
        <v>0.25</v>
      </c>
      <c r="M30">
        <v>-5</v>
      </c>
      <c r="O30">
        <v>5</v>
      </c>
      <c r="P30">
        <f t="shared" si="5"/>
        <v>91863.162000000011</v>
      </c>
      <c r="R30">
        <v>-274.27199999999999</v>
      </c>
      <c r="S30">
        <v>-6417.4</v>
      </c>
      <c r="T30">
        <v>-90.99</v>
      </c>
      <c r="U30">
        <v>-2269.31</v>
      </c>
      <c r="V30">
        <v>411.33499999999998</v>
      </c>
      <c r="W30">
        <v>-15021.6</v>
      </c>
      <c r="X30">
        <v>410.42200000000003</v>
      </c>
      <c r="Y30">
        <v>-5138.1099999999997</v>
      </c>
      <c r="Z30">
        <v>734.93</v>
      </c>
      <c r="AA30">
        <v>-15298.1</v>
      </c>
      <c r="AB30">
        <v>590.79100000000005</v>
      </c>
      <c r="AC30">
        <v>-5390</v>
      </c>
      <c r="AD30">
        <v>544.44000000000005</v>
      </c>
      <c r="AE30">
        <v>-13185.1</v>
      </c>
      <c r="AF30">
        <v>488.98899999999998</v>
      </c>
      <c r="AG30">
        <v>-4794.34</v>
      </c>
      <c r="AH30">
        <v>765.04</v>
      </c>
      <c r="AI30">
        <v>-14867.2</v>
      </c>
      <c r="AJ30">
        <v>559.62900000000002</v>
      </c>
      <c r="AK30">
        <v>-5260.21</v>
      </c>
      <c r="AL30">
        <v>297.90499999999997</v>
      </c>
      <c r="AM30">
        <v>-6356.84</v>
      </c>
      <c r="AN30">
        <v>-75.251000000000005</v>
      </c>
      <c r="AO30">
        <v>-2227.92</v>
      </c>
    </row>
    <row r="31" spans="1:41" x14ac:dyDescent="0.25">
      <c r="A31">
        <v>19.152319748388301</v>
      </c>
      <c r="B31">
        <v>144.78920145886499</v>
      </c>
      <c r="G31">
        <f t="shared" si="3"/>
        <v>6</v>
      </c>
      <c r="H31" s="44">
        <f t="shared" si="4"/>
        <v>151.99590899999998</v>
      </c>
      <c r="L31">
        <v>0.3</v>
      </c>
      <c r="M31">
        <v>-6</v>
      </c>
      <c r="O31">
        <v>6</v>
      </c>
      <c r="P31">
        <f t="shared" si="5"/>
        <v>75997.954499999993</v>
      </c>
      <c r="R31">
        <v>-154.005</v>
      </c>
      <c r="S31">
        <v>-3776.83</v>
      </c>
      <c r="T31">
        <v>-121.29900000000001</v>
      </c>
      <c r="U31">
        <v>-1409.27</v>
      </c>
      <c r="V31">
        <v>165.636</v>
      </c>
      <c r="W31">
        <v>-12093.2</v>
      </c>
      <c r="X31">
        <v>296.35500000000002</v>
      </c>
      <c r="Y31">
        <v>-4127.18</v>
      </c>
      <c r="Z31">
        <v>661.71100000000001</v>
      </c>
      <c r="AA31">
        <v>-13287.6</v>
      </c>
      <c r="AB31">
        <v>677.04700000000003</v>
      </c>
      <c r="AC31">
        <v>-4547.24</v>
      </c>
      <c r="AD31">
        <v>520.19600000000003</v>
      </c>
      <c r="AE31">
        <v>-10567</v>
      </c>
      <c r="AF31">
        <v>323.19400000000002</v>
      </c>
      <c r="AG31">
        <v>-4018.88</v>
      </c>
      <c r="AH31">
        <v>816.70299999999997</v>
      </c>
      <c r="AI31">
        <v>-13718.9</v>
      </c>
      <c r="AJ31">
        <v>624.68499999999995</v>
      </c>
      <c r="AK31">
        <v>-4806.49</v>
      </c>
      <c r="AL31">
        <v>218.19399999999999</v>
      </c>
      <c r="AM31">
        <v>-5630.25</v>
      </c>
      <c r="AN31">
        <v>-68.201499999999996</v>
      </c>
      <c r="AO31">
        <v>-1975.33</v>
      </c>
    </row>
    <row r="32" spans="1:41" x14ac:dyDescent="0.25">
      <c r="A32">
        <v>20.105960577129899</v>
      </c>
      <c r="B32">
        <v>142.36087196240999</v>
      </c>
      <c r="G32">
        <f t="shared" si="3"/>
        <v>7</v>
      </c>
      <c r="H32" s="44">
        <f t="shared" si="4"/>
        <v>151.10691820000002</v>
      </c>
      <c r="L32">
        <v>0.35</v>
      </c>
      <c r="M32">
        <v>-7</v>
      </c>
      <c r="O32">
        <v>7</v>
      </c>
      <c r="P32">
        <f t="shared" si="5"/>
        <v>75553.459100000007</v>
      </c>
      <c r="R32">
        <v>-179.16</v>
      </c>
      <c r="S32">
        <v>-4256.2299999999996</v>
      </c>
      <c r="T32">
        <v>-152.71600000000001</v>
      </c>
      <c r="U32">
        <v>-1607.22</v>
      </c>
      <c r="V32">
        <v>222.28399999999999</v>
      </c>
      <c r="W32">
        <v>-11774.6</v>
      </c>
      <c r="X32">
        <v>391.56799999999998</v>
      </c>
      <c r="Y32">
        <v>-3997.24</v>
      </c>
      <c r="Z32">
        <v>714.45399999999995</v>
      </c>
      <c r="AA32">
        <v>-12634.8</v>
      </c>
      <c r="AB32">
        <v>741.89599999999996</v>
      </c>
      <c r="AC32">
        <v>-4348.6499999999996</v>
      </c>
      <c r="AD32">
        <v>592.63599999999997</v>
      </c>
      <c r="AE32">
        <v>-10845.2</v>
      </c>
      <c r="AF32">
        <v>311.54500000000002</v>
      </c>
      <c r="AG32">
        <v>-4202.57</v>
      </c>
      <c r="AH32">
        <v>882.471</v>
      </c>
      <c r="AI32">
        <v>-13653</v>
      </c>
      <c r="AJ32">
        <v>691.95299999999997</v>
      </c>
      <c r="AK32">
        <v>-4798.17</v>
      </c>
      <c r="AL32">
        <v>235.215</v>
      </c>
      <c r="AM32">
        <v>-5754.47</v>
      </c>
      <c r="AN32">
        <v>-90.145099999999999</v>
      </c>
      <c r="AO32">
        <v>-2043.31</v>
      </c>
    </row>
    <row r="33" spans="1:41" x14ac:dyDescent="0.25">
      <c r="A33">
        <v>20.980133155737999</v>
      </c>
      <c r="B33">
        <v>139.325458007587</v>
      </c>
      <c r="G33">
        <f t="shared" si="3"/>
        <v>8</v>
      </c>
      <c r="H33" s="44">
        <f t="shared" si="4"/>
        <v>127.56402799999999</v>
      </c>
      <c r="L33">
        <v>0.4</v>
      </c>
      <c r="M33">
        <v>-8</v>
      </c>
      <c r="O33">
        <v>8</v>
      </c>
      <c r="P33">
        <f t="shared" si="5"/>
        <v>63782.013999999996</v>
      </c>
      <c r="R33">
        <v>-192.958</v>
      </c>
      <c r="S33">
        <v>-4367.6099999999997</v>
      </c>
      <c r="T33">
        <v>-191.928</v>
      </c>
      <c r="U33">
        <v>-1691.94</v>
      </c>
      <c r="V33">
        <v>305.923</v>
      </c>
      <c r="W33">
        <v>-9689.4599999999991</v>
      </c>
      <c r="X33">
        <v>513.38199999999995</v>
      </c>
      <c r="Y33">
        <v>-3238.54</v>
      </c>
      <c r="Z33">
        <v>672.03700000000003</v>
      </c>
      <c r="AA33">
        <v>-9908.4699999999993</v>
      </c>
      <c r="AB33">
        <v>708.30799999999999</v>
      </c>
      <c r="AC33">
        <v>-3465.56</v>
      </c>
      <c r="AD33">
        <v>604.87099999999998</v>
      </c>
      <c r="AE33">
        <v>-9107.06</v>
      </c>
      <c r="AF33">
        <v>269.44200000000001</v>
      </c>
      <c r="AG33">
        <v>-3650.78</v>
      </c>
      <c r="AH33">
        <v>833.72900000000004</v>
      </c>
      <c r="AI33">
        <v>-11071.8</v>
      </c>
      <c r="AJ33">
        <v>680.22500000000002</v>
      </c>
      <c r="AK33">
        <v>-3935.81</v>
      </c>
      <c r="AL33">
        <v>294.041</v>
      </c>
      <c r="AM33">
        <v>-5907.48</v>
      </c>
      <c r="AN33">
        <v>-118.166</v>
      </c>
      <c r="AO33">
        <v>-2126.41</v>
      </c>
    </row>
    <row r="34" spans="1:41" x14ac:dyDescent="0.25">
      <c r="A34">
        <v>21.615892253089701</v>
      </c>
      <c r="B34">
        <v>135.682967931409</v>
      </c>
      <c r="G34">
        <f t="shared" si="3"/>
        <v>9</v>
      </c>
      <c r="H34" s="44">
        <f t="shared" si="4"/>
        <v>125.48181199999999</v>
      </c>
      <c r="L34">
        <v>0.45</v>
      </c>
      <c r="M34">
        <v>-9</v>
      </c>
      <c r="O34">
        <v>9</v>
      </c>
      <c r="P34">
        <f t="shared" si="5"/>
        <v>62740.905999999995</v>
      </c>
      <c r="R34">
        <v>-216.833</v>
      </c>
      <c r="S34">
        <v>-4437.3999999999996</v>
      </c>
      <c r="T34">
        <v>-196.614</v>
      </c>
      <c r="U34">
        <v>-1724.64</v>
      </c>
      <c r="V34">
        <v>362.54199999999997</v>
      </c>
      <c r="W34">
        <v>-9106.07</v>
      </c>
      <c r="X34">
        <v>564.45500000000004</v>
      </c>
      <c r="Y34">
        <v>-3034.92</v>
      </c>
      <c r="Z34">
        <v>691.04200000000003</v>
      </c>
      <c r="AA34">
        <v>-9715.08</v>
      </c>
      <c r="AB34">
        <v>699.50400000000002</v>
      </c>
      <c r="AC34">
        <v>-3434.59</v>
      </c>
      <c r="AD34">
        <v>597.75099999999998</v>
      </c>
      <c r="AE34">
        <v>-9163.5</v>
      </c>
      <c r="AF34">
        <v>278.87</v>
      </c>
      <c r="AG34">
        <v>-3675.37</v>
      </c>
      <c r="AH34">
        <v>856.55700000000002</v>
      </c>
      <c r="AI34">
        <v>-10849.3</v>
      </c>
      <c r="AJ34">
        <v>695.596</v>
      </c>
      <c r="AK34">
        <v>-3875.51</v>
      </c>
      <c r="AL34">
        <v>339.32400000000001</v>
      </c>
      <c r="AM34">
        <v>-6082.11</v>
      </c>
      <c r="AN34">
        <v>-123.39</v>
      </c>
      <c r="AO34">
        <v>-2191.2199999999998</v>
      </c>
    </row>
    <row r="35" spans="1:41" x14ac:dyDescent="0.25">
      <c r="A35">
        <v>21.695360503223199</v>
      </c>
      <c r="B35">
        <v>129.61214002176499</v>
      </c>
      <c r="G35">
        <f t="shared" si="3"/>
        <v>10</v>
      </c>
      <c r="H35" s="44">
        <f t="shared" si="4"/>
        <v>116.346788</v>
      </c>
      <c r="L35">
        <v>0.5</v>
      </c>
      <c r="M35">
        <v>-10</v>
      </c>
      <c r="O35">
        <v>10</v>
      </c>
      <c r="P35">
        <f t="shared" si="5"/>
        <v>58173.394</v>
      </c>
      <c r="R35">
        <v>-215.98500000000001</v>
      </c>
      <c r="S35">
        <v>-4582.8900000000003</v>
      </c>
      <c r="T35">
        <v>-196.50700000000001</v>
      </c>
      <c r="U35">
        <v>-1773.23</v>
      </c>
      <c r="V35">
        <v>380.65300000000002</v>
      </c>
      <c r="W35">
        <v>-9089.64</v>
      </c>
      <c r="X35">
        <v>567.81200000000001</v>
      </c>
      <c r="Y35">
        <v>-3022.64</v>
      </c>
      <c r="Z35">
        <v>664.89800000000002</v>
      </c>
      <c r="AA35">
        <v>-9289.56</v>
      </c>
      <c r="AB35">
        <v>665.66899999999998</v>
      </c>
      <c r="AC35">
        <v>-3290.59</v>
      </c>
      <c r="AD35">
        <v>548.423</v>
      </c>
      <c r="AE35">
        <v>-8143.07</v>
      </c>
      <c r="AF35">
        <v>262.834</v>
      </c>
      <c r="AG35">
        <v>-3294.92</v>
      </c>
      <c r="AH35">
        <v>789.87199999999996</v>
      </c>
      <c r="AI35">
        <v>-9386.15</v>
      </c>
      <c r="AJ35">
        <v>642.87300000000005</v>
      </c>
      <c r="AK35">
        <v>-3376.8</v>
      </c>
      <c r="AL35">
        <v>340.41800000000001</v>
      </c>
      <c r="AM35">
        <v>-5324.68</v>
      </c>
      <c r="AN35">
        <v>-118.274</v>
      </c>
      <c r="AO35">
        <v>-1931.91</v>
      </c>
    </row>
    <row r="36" spans="1:41" x14ac:dyDescent="0.25">
      <c r="A36">
        <v>22.251655715869401</v>
      </c>
      <c r="B36">
        <v>124.755481028853</v>
      </c>
      <c r="G36">
        <f t="shared" si="3"/>
        <v>11</v>
      </c>
      <c r="H36" s="44">
        <f t="shared" si="4"/>
        <v>110.73580200000002</v>
      </c>
      <c r="L36">
        <v>0.55000000000000004</v>
      </c>
      <c r="M36">
        <v>-11</v>
      </c>
      <c r="O36">
        <v>11</v>
      </c>
      <c r="P36">
        <f t="shared" si="5"/>
        <v>55367.901000000013</v>
      </c>
      <c r="R36">
        <v>-216.88900000000001</v>
      </c>
      <c r="S36">
        <v>-4627.59</v>
      </c>
      <c r="T36">
        <v>-196.62200000000001</v>
      </c>
      <c r="U36">
        <v>-1788.65</v>
      </c>
      <c r="V36">
        <v>393.11799999999999</v>
      </c>
      <c r="W36">
        <v>-9115.32</v>
      </c>
      <c r="X36">
        <v>569.77200000000005</v>
      </c>
      <c r="Y36">
        <v>-3030.15</v>
      </c>
      <c r="Z36">
        <v>657.37400000000002</v>
      </c>
      <c r="AA36">
        <v>-8942.56</v>
      </c>
      <c r="AB36">
        <v>653.40899999999999</v>
      </c>
      <c r="AC36">
        <v>-3172.43</v>
      </c>
      <c r="AD36">
        <v>514.93399999999997</v>
      </c>
      <c r="AE36">
        <v>-7367.09</v>
      </c>
      <c r="AF36">
        <v>251.381</v>
      </c>
      <c r="AG36">
        <v>-3017.36</v>
      </c>
      <c r="AH36">
        <v>765.29700000000003</v>
      </c>
      <c r="AI36">
        <v>-8657.7099999999991</v>
      </c>
      <c r="AJ36">
        <v>624.18200000000002</v>
      </c>
      <c r="AK36">
        <v>-3122.84</v>
      </c>
      <c r="AL36">
        <v>330.55599999999998</v>
      </c>
      <c r="AM36">
        <v>-4957.75</v>
      </c>
      <c r="AN36">
        <v>-112.71299999999999</v>
      </c>
      <c r="AO36">
        <v>-1802.25</v>
      </c>
    </row>
    <row r="37" spans="1:41" x14ac:dyDescent="0.25">
      <c r="A37">
        <v>23.443705660439399</v>
      </c>
      <c r="B37">
        <v>118.684653119209</v>
      </c>
      <c r="G37">
        <f t="shared" si="3"/>
        <v>12</v>
      </c>
      <c r="H37" s="44">
        <f t="shared" si="4"/>
        <v>108.20747399999999</v>
      </c>
      <c r="L37">
        <v>0.6</v>
      </c>
      <c r="M37">
        <v>-12</v>
      </c>
      <c r="O37">
        <v>12</v>
      </c>
      <c r="P37">
        <f t="shared" si="5"/>
        <v>54103.736999999994</v>
      </c>
      <c r="R37">
        <v>-220.446</v>
      </c>
      <c r="S37">
        <v>-4650.54</v>
      </c>
      <c r="T37">
        <v>-198.68700000000001</v>
      </c>
      <c r="U37">
        <v>-1798.98</v>
      </c>
      <c r="V37">
        <v>406.488</v>
      </c>
      <c r="W37">
        <v>-9250.8700000000008</v>
      </c>
      <c r="X37">
        <v>577.02099999999996</v>
      </c>
      <c r="Y37">
        <v>-3075.25</v>
      </c>
      <c r="Z37">
        <v>659.93499999999995</v>
      </c>
      <c r="AA37">
        <v>-8862.83</v>
      </c>
      <c r="AB37">
        <v>653.91600000000005</v>
      </c>
      <c r="AC37">
        <v>-3145.19</v>
      </c>
      <c r="AD37">
        <v>497.33100000000002</v>
      </c>
      <c r="AE37">
        <v>-6958.7</v>
      </c>
      <c r="AF37">
        <v>244.57400000000001</v>
      </c>
      <c r="AG37">
        <v>-2876.39</v>
      </c>
      <c r="AH37">
        <v>761.91600000000005</v>
      </c>
      <c r="AI37">
        <v>-8362.6299999999992</v>
      </c>
      <c r="AJ37">
        <v>622.09500000000003</v>
      </c>
      <c r="AK37">
        <v>-3016.35</v>
      </c>
      <c r="AL37">
        <v>316.65899999999999</v>
      </c>
      <c r="AM37">
        <v>-4631.38</v>
      </c>
      <c r="AN37">
        <v>-107.949</v>
      </c>
      <c r="AO37">
        <v>-1687.48</v>
      </c>
    </row>
    <row r="38" spans="1:41" x14ac:dyDescent="0.25">
      <c r="A38">
        <v>25.192050817655499</v>
      </c>
      <c r="B38">
        <v>112.91736743874699</v>
      </c>
      <c r="G38">
        <f t="shared" si="3"/>
        <v>13</v>
      </c>
      <c r="H38" s="44">
        <f t="shared" si="4"/>
        <v>107.26425399999998</v>
      </c>
      <c r="L38">
        <v>0.65</v>
      </c>
      <c r="M38">
        <v>-13</v>
      </c>
      <c r="O38">
        <v>13</v>
      </c>
      <c r="P38">
        <f t="shared" si="5"/>
        <v>53632.126999999993</v>
      </c>
      <c r="R38">
        <v>-220.49100000000001</v>
      </c>
      <c r="S38">
        <v>-4577.1899999999996</v>
      </c>
      <c r="T38">
        <v>-198.21799999999999</v>
      </c>
      <c r="U38">
        <v>-1773.86</v>
      </c>
      <c r="V38">
        <v>403.67700000000002</v>
      </c>
      <c r="W38">
        <v>-9265.17</v>
      </c>
      <c r="X38">
        <v>572.45500000000004</v>
      </c>
      <c r="Y38">
        <v>-3084.63</v>
      </c>
      <c r="Z38">
        <v>670.10400000000004</v>
      </c>
      <c r="AA38">
        <v>-8791.9500000000007</v>
      </c>
      <c r="AB38">
        <v>663.30899999999997</v>
      </c>
      <c r="AC38">
        <v>-3118.3</v>
      </c>
      <c r="AD38">
        <v>487.327</v>
      </c>
      <c r="AE38">
        <v>-6740.99</v>
      </c>
      <c r="AF38">
        <v>242.65199999999999</v>
      </c>
      <c r="AG38">
        <v>-2807.02</v>
      </c>
      <c r="AH38">
        <v>775.05700000000002</v>
      </c>
      <c r="AI38">
        <v>-8269.73</v>
      </c>
      <c r="AJ38">
        <v>630.726</v>
      </c>
      <c r="AK38">
        <v>-2987.51</v>
      </c>
      <c r="AL38">
        <v>329.49400000000003</v>
      </c>
      <c r="AM38">
        <v>-4737.99</v>
      </c>
      <c r="AN38">
        <v>-109.009</v>
      </c>
      <c r="AO38">
        <v>-1724.87</v>
      </c>
    </row>
    <row r="39" spans="1:41" x14ac:dyDescent="0.25">
      <c r="A39">
        <v>26.3841094930814</v>
      </c>
      <c r="B39">
        <v>107.45362398747</v>
      </c>
      <c r="G39">
        <f t="shared" si="3"/>
        <v>14</v>
      </c>
      <c r="H39" s="44">
        <f t="shared" si="4"/>
        <v>104.80242999999997</v>
      </c>
      <c r="L39">
        <v>0.7</v>
      </c>
      <c r="M39">
        <v>-14</v>
      </c>
      <c r="O39">
        <v>14</v>
      </c>
      <c r="P39">
        <f t="shared" si="5"/>
        <v>52401.214999999989</v>
      </c>
      <c r="R39">
        <v>-212.32400000000001</v>
      </c>
      <c r="S39">
        <v>-4300.9799999999996</v>
      </c>
      <c r="T39">
        <v>-191.77099999999999</v>
      </c>
      <c r="U39">
        <v>-1673.18</v>
      </c>
      <c r="V39">
        <v>379.875</v>
      </c>
      <c r="W39">
        <v>-9023.7900000000009</v>
      </c>
      <c r="X39">
        <v>545.29200000000003</v>
      </c>
      <c r="Y39">
        <v>-3012.34</v>
      </c>
      <c r="Z39">
        <v>669.08</v>
      </c>
      <c r="AA39">
        <v>-8616.1299999999992</v>
      </c>
      <c r="AB39">
        <v>665.91200000000003</v>
      </c>
      <c r="AC39">
        <v>-3045.8</v>
      </c>
      <c r="AD39">
        <v>469.21300000000002</v>
      </c>
      <c r="AE39">
        <v>-6556.37</v>
      </c>
      <c r="AF39">
        <v>231.41800000000001</v>
      </c>
      <c r="AG39">
        <v>-2742.35</v>
      </c>
      <c r="AH39">
        <v>776.02300000000002</v>
      </c>
      <c r="AI39">
        <v>-8206.0300000000007</v>
      </c>
      <c r="AJ39">
        <v>629.38099999999997</v>
      </c>
      <c r="AK39">
        <v>-2962.66</v>
      </c>
      <c r="AL39">
        <v>331.38200000000001</v>
      </c>
      <c r="AM39">
        <v>-4726.29</v>
      </c>
      <c r="AN39">
        <v>-108.316</v>
      </c>
      <c r="AO39">
        <v>-1720.46</v>
      </c>
    </row>
    <row r="40" spans="1:41" x14ac:dyDescent="0.25">
      <c r="A40">
        <v>27.735095937918299</v>
      </c>
      <c r="B40">
        <v>99.865093268919694</v>
      </c>
      <c r="G40">
        <f t="shared" si="3"/>
        <v>15</v>
      </c>
      <c r="H40" s="44">
        <f t="shared" si="4"/>
        <v>102.04716200000001</v>
      </c>
      <c r="L40">
        <v>0.75</v>
      </c>
      <c r="M40">
        <v>-15</v>
      </c>
      <c r="O40">
        <v>15</v>
      </c>
      <c r="P40">
        <f t="shared" si="5"/>
        <v>51023.581000000006</v>
      </c>
      <c r="R40">
        <v>-207.66900000000001</v>
      </c>
      <c r="S40">
        <v>-4122.93</v>
      </c>
      <c r="T40">
        <v>-186.30199999999999</v>
      </c>
      <c r="U40">
        <v>-1606.7</v>
      </c>
      <c r="V40">
        <v>366.32100000000003</v>
      </c>
      <c r="W40">
        <v>-8851.11</v>
      </c>
      <c r="X40">
        <v>526.35</v>
      </c>
      <c r="Y40">
        <v>-2960.62</v>
      </c>
      <c r="Z40">
        <v>665.52800000000002</v>
      </c>
      <c r="AA40">
        <v>-8417.81</v>
      </c>
      <c r="AB40">
        <v>661.74300000000005</v>
      </c>
      <c r="AC40">
        <v>-2973</v>
      </c>
      <c r="AD40">
        <v>454.74799999999999</v>
      </c>
      <c r="AE40">
        <v>-6234.53</v>
      </c>
      <c r="AF40">
        <v>227.40600000000001</v>
      </c>
      <c r="AG40">
        <v>-2626.64</v>
      </c>
      <c r="AH40">
        <v>770.84900000000005</v>
      </c>
      <c r="AI40">
        <v>-8042.87</v>
      </c>
      <c r="AJ40">
        <v>623.34199999999998</v>
      </c>
      <c r="AK40">
        <v>-2906.65</v>
      </c>
      <c r="AL40">
        <v>335.20499999999998</v>
      </c>
      <c r="AM40">
        <v>-4699.8100000000004</v>
      </c>
      <c r="AN40">
        <v>-107.422</v>
      </c>
      <c r="AO40">
        <v>-1711.01</v>
      </c>
    </row>
    <row r="41" spans="1:41" x14ac:dyDescent="0.25">
      <c r="A41">
        <v>28.688741132087799</v>
      </c>
      <c r="B41">
        <v>96.526137084914097</v>
      </c>
      <c r="G41">
        <f t="shared" si="3"/>
        <v>16</v>
      </c>
      <c r="H41" s="44">
        <f t="shared" si="4"/>
        <v>97.154234000000017</v>
      </c>
      <c r="L41">
        <v>0.8</v>
      </c>
      <c r="M41">
        <v>-16</v>
      </c>
      <c r="O41">
        <v>16</v>
      </c>
      <c r="P41">
        <f t="shared" si="5"/>
        <v>48577.117000000006</v>
      </c>
      <c r="R41">
        <v>-201.31</v>
      </c>
      <c r="S41">
        <v>-3971.05</v>
      </c>
      <c r="T41">
        <v>-180.27699999999999</v>
      </c>
      <c r="U41">
        <v>-1548.55</v>
      </c>
      <c r="V41">
        <v>356.1</v>
      </c>
      <c r="W41">
        <v>-8513.5</v>
      </c>
      <c r="X41">
        <v>506.96499999999997</v>
      </c>
      <c r="Y41">
        <v>-2850.92</v>
      </c>
      <c r="Z41">
        <v>645.90200000000004</v>
      </c>
      <c r="AA41">
        <v>-7940.33</v>
      </c>
      <c r="AB41">
        <v>642.28099999999995</v>
      </c>
      <c r="AC41">
        <v>-2808.5</v>
      </c>
      <c r="AD41">
        <v>435.512</v>
      </c>
      <c r="AE41">
        <v>-5660.48</v>
      </c>
      <c r="AF41">
        <v>226.744</v>
      </c>
      <c r="AG41">
        <v>-2412.5300000000002</v>
      </c>
      <c r="AH41">
        <v>747.71400000000006</v>
      </c>
      <c r="AI41">
        <v>-7644.73</v>
      </c>
      <c r="AJ41">
        <v>600.62800000000004</v>
      </c>
      <c r="AK41">
        <v>-2774.17</v>
      </c>
      <c r="AL41">
        <v>343.96699999999998</v>
      </c>
      <c r="AM41">
        <v>-4745.1000000000004</v>
      </c>
      <c r="AN41">
        <v>-106.443</v>
      </c>
      <c r="AO41">
        <v>-1725.04</v>
      </c>
    </row>
    <row r="42" spans="1:41" x14ac:dyDescent="0.25">
      <c r="G42">
        <f t="shared" si="3"/>
        <v>17</v>
      </c>
      <c r="H42" s="44">
        <f t="shared" si="4"/>
        <v>100.94802400000003</v>
      </c>
      <c r="L42">
        <v>0.85</v>
      </c>
      <c r="M42">
        <v>-17</v>
      </c>
      <c r="O42">
        <v>17</v>
      </c>
      <c r="P42">
        <f t="shared" si="5"/>
        <v>50474.012000000017</v>
      </c>
      <c r="R42">
        <v>-212.14599999999999</v>
      </c>
      <c r="S42">
        <v>-4254.6099999999997</v>
      </c>
      <c r="T42">
        <v>-190.47300000000001</v>
      </c>
      <c r="U42">
        <v>-1655.49</v>
      </c>
      <c r="V42">
        <v>386.334</v>
      </c>
      <c r="W42">
        <v>-9072.6200000000008</v>
      </c>
      <c r="X42">
        <v>541.33500000000004</v>
      </c>
      <c r="Y42">
        <v>-3029.06</v>
      </c>
      <c r="Z42">
        <v>657.053</v>
      </c>
      <c r="AA42">
        <v>-8411.08</v>
      </c>
      <c r="AB42">
        <v>650.62</v>
      </c>
      <c r="AC42">
        <v>-2976.65</v>
      </c>
      <c r="AD42">
        <v>446.52</v>
      </c>
      <c r="AE42">
        <v>-5781.41</v>
      </c>
      <c r="AF42">
        <v>232.48699999999999</v>
      </c>
      <c r="AG42">
        <v>-2460.3200000000002</v>
      </c>
      <c r="AH42">
        <v>746.10199999999998</v>
      </c>
      <c r="AI42">
        <v>-7619.34</v>
      </c>
      <c r="AJ42">
        <v>599.79200000000003</v>
      </c>
      <c r="AK42">
        <v>-2772.26</v>
      </c>
      <c r="AL42">
        <v>352.43099999999998</v>
      </c>
      <c r="AM42">
        <v>-4797.59</v>
      </c>
      <c r="AN42">
        <v>-108.247</v>
      </c>
      <c r="AO42">
        <v>-1745.39</v>
      </c>
    </row>
    <row r="43" spans="1:41" x14ac:dyDescent="0.25">
      <c r="G43">
        <f t="shared" si="3"/>
        <v>18</v>
      </c>
      <c r="H43" s="44">
        <f t="shared" si="4"/>
        <v>105.72125600000001</v>
      </c>
      <c r="L43">
        <v>0.9</v>
      </c>
      <c r="M43">
        <v>-18</v>
      </c>
      <c r="O43">
        <v>18</v>
      </c>
      <c r="P43">
        <f t="shared" si="5"/>
        <v>52860.628000000004</v>
      </c>
      <c r="R43">
        <v>-216.392</v>
      </c>
      <c r="S43">
        <v>-4322.3500000000004</v>
      </c>
      <c r="T43">
        <v>-196.03800000000001</v>
      </c>
      <c r="U43">
        <v>-1684.23</v>
      </c>
      <c r="V43">
        <v>392.74200000000002</v>
      </c>
      <c r="W43">
        <v>-9594.6200000000008</v>
      </c>
      <c r="X43">
        <v>553.93700000000001</v>
      </c>
      <c r="Y43">
        <v>-3202.48</v>
      </c>
      <c r="Z43">
        <v>677.38699999999994</v>
      </c>
      <c r="AA43">
        <v>-9117.26</v>
      </c>
      <c r="AB43">
        <v>671.44399999999996</v>
      </c>
      <c r="AC43">
        <v>-3210.78</v>
      </c>
      <c r="AD43">
        <v>448.60700000000003</v>
      </c>
      <c r="AE43">
        <v>-6072.6</v>
      </c>
      <c r="AF43">
        <v>226.99199999999999</v>
      </c>
      <c r="AG43">
        <v>-2573.12</v>
      </c>
      <c r="AH43">
        <v>756.44600000000003</v>
      </c>
      <c r="AI43">
        <v>-7711.61</v>
      </c>
      <c r="AJ43">
        <v>608.38800000000003</v>
      </c>
      <c r="AK43">
        <v>-2807.43</v>
      </c>
      <c r="AL43">
        <v>364.73099999999999</v>
      </c>
      <c r="AM43">
        <v>-4942.8999999999996</v>
      </c>
      <c r="AN43">
        <v>-111.182</v>
      </c>
      <c r="AO43">
        <v>-1798.31</v>
      </c>
    </row>
    <row r="44" spans="1:41" x14ac:dyDescent="0.25">
      <c r="G44">
        <f t="shared" si="3"/>
        <v>19</v>
      </c>
      <c r="H44" s="44">
        <f t="shared" si="4"/>
        <v>106.70450199999998</v>
      </c>
      <c r="L44">
        <v>0.95</v>
      </c>
      <c r="M44">
        <v>-19</v>
      </c>
      <c r="O44">
        <v>19</v>
      </c>
      <c r="P44">
        <f t="shared" si="5"/>
        <v>53352.250999999989</v>
      </c>
      <c r="R44">
        <v>-208.52</v>
      </c>
      <c r="S44">
        <v>-3916.08</v>
      </c>
      <c r="T44">
        <v>-188.851</v>
      </c>
      <c r="U44">
        <v>-1539.3</v>
      </c>
      <c r="V44">
        <v>360.678</v>
      </c>
      <c r="W44">
        <v>-9345.1299999999992</v>
      </c>
      <c r="X44">
        <v>523.31500000000005</v>
      </c>
      <c r="Y44">
        <v>-3131.54</v>
      </c>
      <c r="Z44">
        <v>690.16099999999994</v>
      </c>
      <c r="AA44">
        <v>-9257.81</v>
      </c>
      <c r="AB44">
        <v>687.83100000000002</v>
      </c>
      <c r="AC44">
        <v>-3244.44</v>
      </c>
      <c r="AD44">
        <v>443.916</v>
      </c>
      <c r="AE44">
        <v>-6248.49</v>
      </c>
      <c r="AF44">
        <v>222.65899999999999</v>
      </c>
      <c r="AG44">
        <v>-2641.1</v>
      </c>
      <c r="AH44">
        <v>777.17499999999995</v>
      </c>
      <c r="AI44">
        <v>-8021.2</v>
      </c>
      <c r="AJ44">
        <v>620.71100000000001</v>
      </c>
      <c r="AK44">
        <v>-2917.49</v>
      </c>
      <c r="AL44">
        <v>387.27499999999998</v>
      </c>
      <c r="AM44">
        <v>-5350.02</v>
      </c>
      <c r="AN44">
        <v>-115.601</v>
      </c>
      <c r="AO44">
        <v>-1940.4</v>
      </c>
    </row>
    <row r="45" spans="1:41" x14ac:dyDescent="0.25">
      <c r="G45">
        <f t="shared" si="3"/>
        <v>20</v>
      </c>
      <c r="H45" s="44">
        <f t="shared" si="4"/>
        <v>101.53729200000001</v>
      </c>
      <c r="L45">
        <v>1</v>
      </c>
      <c r="M45">
        <v>-20</v>
      </c>
      <c r="O45">
        <v>20</v>
      </c>
      <c r="P45">
        <f t="shared" si="5"/>
        <v>50768.646000000001</v>
      </c>
      <c r="R45">
        <v>-205.11099999999999</v>
      </c>
      <c r="S45">
        <v>-3815.26</v>
      </c>
      <c r="T45">
        <v>-183.60400000000001</v>
      </c>
      <c r="U45">
        <v>-1499.15</v>
      </c>
      <c r="V45">
        <v>360.13099999999997</v>
      </c>
      <c r="W45">
        <v>-9234.84</v>
      </c>
      <c r="X45">
        <v>510.553</v>
      </c>
      <c r="Y45">
        <v>-3095.37</v>
      </c>
      <c r="Z45">
        <v>670.37199999999996</v>
      </c>
      <c r="AA45">
        <v>-9065.5499999999993</v>
      </c>
      <c r="AB45">
        <v>663.49699999999996</v>
      </c>
      <c r="AC45">
        <v>-3176.57</v>
      </c>
      <c r="AD45">
        <v>418.029</v>
      </c>
      <c r="AE45">
        <v>-5744.12</v>
      </c>
      <c r="AF45">
        <v>213.042</v>
      </c>
      <c r="AG45">
        <v>-2447.08</v>
      </c>
      <c r="AH45">
        <v>737.34100000000001</v>
      </c>
      <c r="AI45">
        <v>-7336.95</v>
      </c>
      <c r="AJ45">
        <v>592.56799999999998</v>
      </c>
      <c r="AK45">
        <v>-2674.39</v>
      </c>
      <c r="AL45">
        <v>363.322</v>
      </c>
      <c r="AM45">
        <v>-4920.8599999999997</v>
      </c>
      <c r="AN45">
        <v>-109.476</v>
      </c>
      <c r="AO45">
        <v>-1789.17</v>
      </c>
    </row>
    <row r="46" spans="1:41" x14ac:dyDescent="0.25">
      <c r="H46" s="44"/>
    </row>
    <row r="47" spans="1:41" x14ac:dyDescent="0.25">
      <c r="H47" t="s">
        <v>91</v>
      </c>
    </row>
    <row r="48" spans="1:41" x14ac:dyDescent="0.25">
      <c r="G48" s="55" t="s">
        <v>86</v>
      </c>
      <c r="H48" s="55"/>
    </row>
    <row r="49" spans="7:45" x14ac:dyDescent="0.25">
      <c r="G49" t="s">
        <v>81</v>
      </c>
      <c r="H49" t="s">
        <v>82</v>
      </c>
      <c r="L49" t="s">
        <v>36</v>
      </c>
      <c r="M49" t="s">
        <v>81</v>
      </c>
      <c r="O49" t="s">
        <v>36</v>
      </c>
      <c r="P49" t="s">
        <v>82</v>
      </c>
    </row>
    <row r="50" spans="7:45" x14ac:dyDescent="0.25">
      <c r="G50">
        <f t="shared" ref="G50" si="6">-M50</f>
        <v>0</v>
      </c>
      <c r="H50" s="44">
        <f>P50/500</f>
        <v>0</v>
      </c>
      <c r="L50">
        <v>0</v>
      </c>
      <c r="M50">
        <v>0</v>
      </c>
      <c r="O50">
        <v>0</v>
      </c>
      <c r="P50">
        <f>-SUM(R50:BU50)</f>
        <v>0</v>
      </c>
      <c r="R50" s="44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7:45" x14ac:dyDescent="0.25">
      <c r="G51">
        <f t="shared" ref="G51:G71" si="7">-M51</f>
        <v>1</v>
      </c>
      <c r="H51" s="44">
        <f>P51/500</f>
        <v>80.008417199999997</v>
      </c>
      <c r="L51">
        <v>0.05</v>
      </c>
      <c r="M51">
        <v>-1</v>
      </c>
      <c r="O51">
        <v>1</v>
      </c>
      <c r="P51">
        <f t="shared" ref="P51:P70" si="8">-SUM(R51:BU51)</f>
        <v>40004.208599999998</v>
      </c>
      <c r="R51">
        <v>-11.163</v>
      </c>
      <c r="S51">
        <v>-1472.67</v>
      </c>
      <c r="T51">
        <v>-11.392200000000001</v>
      </c>
      <c r="U51">
        <v>-1474.57</v>
      </c>
      <c r="V51">
        <v>22.285900000000002</v>
      </c>
      <c r="W51">
        <v>-3253.25</v>
      </c>
      <c r="X51">
        <v>22.479399999999998</v>
      </c>
      <c r="Y51">
        <v>-3256.54</v>
      </c>
      <c r="Z51">
        <v>37.422499999999999</v>
      </c>
      <c r="AA51">
        <v>-3566.89</v>
      </c>
      <c r="AB51">
        <v>37.638599999999997</v>
      </c>
      <c r="AC51">
        <v>-3570.24</v>
      </c>
      <c r="AD51">
        <v>41.336100000000002</v>
      </c>
      <c r="AE51">
        <v>-3544.25</v>
      </c>
      <c r="AF51">
        <v>40.922899999999998</v>
      </c>
      <c r="AG51">
        <v>-3548.44</v>
      </c>
      <c r="AH51">
        <v>37.422499999999999</v>
      </c>
      <c r="AI51">
        <v>-3566.89</v>
      </c>
      <c r="AJ51">
        <v>37.638599999999997</v>
      </c>
      <c r="AK51">
        <v>-3570.24</v>
      </c>
      <c r="AL51">
        <v>22.285900000000002</v>
      </c>
      <c r="AM51">
        <v>-3253.25</v>
      </c>
      <c r="AN51">
        <v>22.479399999999998</v>
      </c>
      <c r="AO51">
        <v>-3256.54</v>
      </c>
      <c r="AP51">
        <v>-11.163</v>
      </c>
      <c r="AQ51">
        <v>-1472.67</v>
      </c>
      <c r="AR51">
        <v>-11.392200000000001</v>
      </c>
      <c r="AS51">
        <v>-1474.57</v>
      </c>
    </row>
    <row r="52" spans="7:45" x14ac:dyDescent="0.25">
      <c r="G52">
        <f t="shared" si="7"/>
        <v>2</v>
      </c>
      <c r="H52" s="44">
        <f t="shared" ref="H52:H71" si="9">P52/500</f>
        <v>117.57473279999999</v>
      </c>
      <c r="L52">
        <v>0.1</v>
      </c>
      <c r="M52">
        <v>-2</v>
      </c>
      <c r="O52">
        <v>2</v>
      </c>
      <c r="P52">
        <f t="shared" si="8"/>
        <v>58787.366399999999</v>
      </c>
      <c r="R52">
        <v>-26.3002</v>
      </c>
      <c r="S52">
        <v>-2114.0700000000002</v>
      </c>
      <c r="T52">
        <v>-26.603300000000001</v>
      </c>
      <c r="U52">
        <v>-2122.64</v>
      </c>
      <c r="V52">
        <v>49.137500000000003</v>
      </c>
      <c r="W52">
        <v>-4873.79</v>
      </c>
      <c r="X52">
        <v>48.893999999999998</v>
      </c>
      <c r="Y52">
        <v>-4891.6400000000003</v>
      </c>
      <c r="Z52">
        <v>97.503100000000003</v>
      </c>
      <c r="AA52">
        <v>-5300.05</v>
      </c>
      <c r="AB52">
        <v>97.772900000000007</v>
      </c>
      <c r="AC52">
        <v>-5317.83</v>
      </c>
      <c r="AD52">
        <v>96.092600000000004</v>
      </c>
      <c r="AE52">
        <v>-5101.32</v>
      </c>
      <c r="AF52">
        <v>96.513099999999994</v>
      </c>
      <c r="AG52">
        <v>-5119.43</v>
      </c>
      <c r="AH52">
        <v>97.503100000000003</v>
      </c>
      <c r="AI52">
        <v>-5300.05</v>
      </c>
      <c r="AJ52">
        <v>97.772900000000007</v>
      </c>
      <c r="AK52">
        <v>-5317.83</v>
      </c>
      <c r="AL52">
        <v>49.137500000000003</v>
      </c>
      <c r="AM52">
        <v>-4873.78</v>
      </c>
      <c r="AN52">
        <v>48.893900000000002</v>
      </c>
      <c r="AO52">
        <v>-4891.6400000000003</v>
      </c>
      <c r="AP52">
        <v>-26.3002</v>
      </c>
      <c r="AQ52">
        <v>-2114.0700000000002</v>
      </c>
      <c r="AR52">
        <v>-26.603300000000001</v>
      </c>
      <c r="AS52">
        <v>-2122.64</v>
      </c>
    </row>
    <row r="53" spans="7:45" x14ac:dyDescent="0.25">
      <c r="G53">
        <f t="shared" si="7"/>
        <v>3</v>
      </c>
      <c r="H53" s="44">
        <f t="shared" si="9"/>
        <v>157.11572199999998</v>
      </c>
      <c r="L53">
        <v>0.15</v>
      </c>
      <c r="M53">
        <v>-3</v>
      </c>
      <c r="O53">
        <v>3</v>
      </c>
      <c r="P53">
        <f>-SUM(R53:BU53)</f>
        <v>78557.86099999999</v>
      </c>
      <c r="R53">
        <v>-52.217500000000001</v>
      </c>
      <c r="S53">
        <v>-2747.77</v>
      </c>
      <c r="T53">
        <v>-52.662999999999997</v>
      </c>
      <c r="U53">
        <v>-2771.42</v>
      </c>
      <c r="V53">
        <v>97.133399999999995</v>
      </c>
      <c r="W53">
        <v>-6488.74</v>
      </c>
      <c r="X53">
        <v>95.472399999999993</v>
      </c>
      <c r="Y53">
        <v>-6536.31</v>
      </c>
      <c r="Z53">
        <v>195.905</v>
      </c>
      <c r="AA53">
        <v>-7207.92</v>
      </c>
      <c r="AB53">
        <v>196.351</v>
      </c>
      <c r="AC53">
        <v>-7252.68</v>
      </c>
      <c r="AD53">
        <v>185.15100000000001</v>
      </c>
      <c r="AE53">
        <v>-6918.91</v>
      </c>
      <c r="AF53">
        <v>188.47399999999999</v>
      </c>
      <c r="AG53">
        <v>-6962.02</v>
      </c>
      <c r="AH53">
        <v>195.90799999999999</v>
      </c>
      <c r="AI53">
        <v>-7208.01</v>
      </c>
      <c r="AJ53">
        <v>196.35300000000001</v>
      </c>
      <c r="AK53">
        <v>-7252.77</v>
      </c>
      <c r="AL53">
        <v>97.138499999999993</v>
      </c>
      <c r="AM53">
        <v>-6488.93</v>
      </c>
      <c r="AN53">
        <v>95.477099999999993</v>
      </c>
      <c r="AO53">
        <v>-6536.51</v>
      </c>
      <c r="AP53">
        <v>-52.2194</v>
      </c>
      <c r="AQ53">
        <v>-2747.91</v>
      </c>
      <c r="AR53">
        <v>-52.664499999999997</v>
      </c>
      <c r="AS53">
        <v>-2771.56</v>
      </c>
    </row>
    <row r="54" spans="7:45" x14ac:dyDescent="0.25">
      <c r="G54">
        <f t="shared" si="7"/>
        <v>4</v>
      </c>
      <c r="H54" s="44">
        <f t="shared" si="9"/>
        <v>185.04852339999999</v>
      </c>
      <c r="L54">
        <v>0.2</v>
      </c>
      <c r="M54">
        <v>-4</v>
      </c>
      <c r="O54">
        <v>4</v>
      </c>
      <c r="P54">
        <f t="shared" ref="P54:P70" si="10">-SUM(R54:BU54)</f>
        <v>92524.261700000003</v>
      </c>
      <c r="R54">
        <v>-95.877099999999999</v>
      </c>
      <c r="S54">
        <v>-3002.67</v>
      </c>
      <c r="T54">
        <v>-93.984800000000007</v>
      </c>
      <c r="U54">
        <v>-3051.8</v>
      </c>
      <c r="V54">
        <v>174.684</v>
      </c>
      <c r="W54">
        <v>-7497.06</v>
      </c>
      <c r="X54">
        <v>163.77000000000001</v>
      </c>
      <c r="Y54">
        <v>-7601.32</v>
      </c>
      <c r="Z54">
        <v>373.19200000000001</v>
      </c>
      <c r="AA54">
        <v>-8779.5400000000009</v>
      </c>
      <c r="AB54">
        <v>371.37200000000001</v>
      </c>
      <c r="AC54">
        <v>-8873.89</v>
      </c>
      <c r="AD54">
        <v>317.19299999999998</v>
      </c>
      <c r="AE54">
        <v>-8641.64</v>
      </c>
      <c r="AF54">
        <v>339.16500000000002</v>
      </c>
      <c r="AG54">
        <v>-8712.7999999999993</v>
      </c>
      <c r="AH54">
        <v>373.19099999999997</v>
      </c>
      <c r="AI54">
        <v>-8779.51</v>
      </c>
      <c r="AJ54">
        <v>371.37099999999998</v>
      </c>
      <c r="AK54">
        <v>-8873.8700000000008</v>
      </c>
      <c r="AL54">
        <v>174.684</v>
      </c>
      <c r="AM54">
        <v>-7497.05</v>
      </c>
      <c r="AN54">
        <v>163.77000000000001</v>
      </c>
      <c r="AO54">
        <v>-7601.31</v>
      </c>
      <c r="AP54">
        <v>-95.877200000000002</v>
      </c>
      <c r="AQ54">
        <v>-3002.67</v>
      </c>
      <c r="AR54">
        <v>-93.9846</v>
      </c>
      <c r="AS54">
        <v>-3051.8</v>
      </c>
    </row>
    <row r="55" spans="7:45" x14ac:dyDescent="0.25">
      <c r="G55">
        <f t="shared" si="7"/>
        <v>5</v>
      </c>
      <c r="H55" s="44">
        <f t="shared" si="9"/>
        <v>186.39674199999999</v>
      </c>
      <c r="L55">
        <v>0.25</v>
      </c>
      <c r="M55">
        <v>-5</v>
      </c>
      <c r="O55">
        <v>5</v>
      </c>
      <c r="P55">
        <f t="shared" si="10"/>
        <v>93198.370999999999</v>
      </c>
      <c r="R55">
        <v>-126.77500000000001</v>
      </c>
      <c r="S55">
        <v>-3092.76</v>
      </c>
      <c r="T55">
        <v>-120.58199999999999</v>
      </c>
      <c r="U55">
        <v>-3170.85</v>
      </c>
      <c r="V55">
        <v>237.02099999999999</v>
      </c>
      <c r="W55">
        <v>-7577.57</v>
      </c>
      <c r="X55">
        <v>212.97399999999999</v>
      </c>
      <c r="Y55">
        <v>-7735.48</v>
      </c>
      <c r="Z55">
        <v>474.31700000000001</v>
      </c>
      <c r="AA55">
        <v>-8849.64</v>
      </c>
      <c r="AB55">
        <v>468.08199999999999</v>
      </c>
      <c r="AC55">
        <v>-8977.4699999999993</v>
      </c>
      <c r="AD55">
        <v>402.31700000000001</v>
      </c>
      <c r="AE55">
        <v>-8731.0400000000009</v>
      </c>
      <c r="AF55">
        <v>450.327</v>
      </c>
      <c r="AG55">
        <v>-8802.48</v>
      </c>
      <c r="AH55">
        <v>474.31700000000001</v>
      </c>
      <c r="AI55">
        <v>-8849.6299999999992</v>
      </c>
      <c r="AJ55">
        <v>468.08199999999999</v>
      </c>
      <c r="AK55">
        <v>-8977.4699999999993</v>
      </c>
      <c r="AL55">
        <v>237.02199999999999</v>
      </c>
      <c r="AM55">
        <v>-7577.58</v>
      </c>
      <c r="AN55">
        <v>212.976</v>
      </c>
      <c r="AO55">
        <v>-7735.49</v>
      </c>
      <c r="AP55">
        <v>-126.776</v>
      </c>
      <c r="AQ55">
        <v>-3092.77</v>
      </c>
      <c r="AR55">
        <v>-120.583</v>
      </c>
      <c r="AS55">
        <v>-3170.86</v>
      </c>
    </row>
    <row r="56" spans="7:45" x14ac:dyDescent="0.25">
      <c r="G56">
        <f t="shared" si="7"/>
        <v>6</v>
      </c>
      <c r="H56" s="44">
        <f t="shared" si="9"/>
        <v>185.48806999999999</v>
      </c>
      <c r="L56">
        <v>0.3</v>
      </c>
      <c r="M56">
        <v>-6</v>
      </c>
      <c r="O56">
        <v>6</v>
      </c>
      <c r="P56">
        <f t="shared" si="10"/>
        <v>92744.035000000003</v>
      </c>
      <c r="R56">
        <v>-139.874</v>
      </c>
      <c r="S56">
        <v>-3144.25</v>
      </c>
      <c r="T56">
        <v>-131.566</v>
      </c>
      <c r="U56">
        <v>-3240.03</v>
      </c>
      <c r="V56">
        <v>263.745</v>
      </c>
      <c r="W56">
        <v>-7570.62</v>
      </c>
      <c r="X56">
        <v>234.81700000000001</v>
      </c>
      <c r="Y56">
        <v>-7761.75</v>
      </c>
      <c r="Z56">
        <v>516.50699999999995</v>
      </c>
      <c r="AA56">
        <v>-8762.5400000000009</v>
      </c>
      <c r="AB56">
        <v>508.23700000000002</v>
      </c>
      <c r="AC56">
        <v>-8911.7900000000009</v>
      </c>
      <c r="AD56">
        <v>424.85899999999998</v>
      </c>
      <c r="AE56">
        <v>-8646.75</v>
      </c>
      <c r="AF56">
        <v>482.77100000000002</v>
      </c>
      <c r="AG56">
        <v>-8725.9599999999991</v>
      </c>
      <c r="AH56">
        <v>516.49800000000005</v>
      </c>
      <c r="AI56">
        <v>-8762.2800000000007</v>
      </c>
      <c r="AJ56">
        <v>508.23099999999999</v>
      </c>
      <c r="AK56">
        <v>-8911.5400000000009</v>
      </c>
      <c r="AL56">
        <v>263.779</v>
      </c>
      <c r="AM56">
        <v>-7570.88</v>
      </c>
      <c r="AN56">
        <v>234.87299999999999</v>
      </c>
      <c r="AO56">
        <v>-7762.03</v>
      </c>
      <c r="AP56">
        <v>-139.90899999999999</v>
      </c>
      <c r="AQ56">
        <v>-3144.59</v>
      </c>
      <c r="AR56">
        <v>-131.60300000000001</v>
      </c>
      <c r="AS56">
        <v>-3240.39</v>
      </c>
    </row>
    <row r="57" spans="7:45" x14ac:dyDescent="0.25">
      <c r="G57">
        <f t="shared" si="7"/>
        <v>7</v>
      </c>
      <c r="H57" s="44">
        <f t="shared" si="9"/>
        <v>191.09283600000001</v>
      </c>
      <c r="L57">
        <v>0.35</v>
      </c>
      <c r="M57">
        <v>-7</v>
      </c>
      <c r="O57">
        <v>7</v>
      </c>
      <c r="P57">
        <f t="shared" si="10"/>
        <v>95546.418000000005</v>
      </c>
      <c r="R57">
        <v>-162.03299999999999</v>
      </c>
      <c r="S57">
        <v>-3340.38</v>
      </c>
      <c r="T57">
        <v>-151.33500000000001</v>
      </c>
      <c r="U57">
        <v>-3464.01</v>
      </c>
      <c r="V57">
        <v>308.44</v>
      </c>
      <c r="W57">
        <v>-7869.96</v>
      </c>
      <c r="X57">
        <v>271.48700000000002</v>
      </c>
      <c r="Y57">
        <v>-8103.99</v>
      </c>
      <c r="Z57">
        <v>590.84</v>
      </c>
      <c r="AA57">
        <v>-9029.0300000000007</v>
      </c>
      <c r="AB57">
        <v>580.21699999999998</v>
      </c>
      <c r="AC57">
        <v>-9205.68</v>
      </c>
      <c r="AD57">
        <v>475.05399999999997</v>
      </c>
      <c r="AE57">
        <v>-8866.35</v>
      </c>
      <c r="AF57">
        <v>548.74199999999996</v>
      </c>
      <c r="AG57">
        <v>-8953.15</v>
      </c>
      <c r="AH57">
        <v>587.94500000000005</v>
      </c>
      <c r="AI57">
        <v>-8974.9599999999991</v>
      </c>
      <c r="AJ57">
        <v>577.29</v>
      </c>
      <c r="AK57">
        <v>-9151.15</v>
      </c>
      <c r="AL57">
        <v>303.29199999999997</v>
      </c>
      <c r="AM57">
        <v>-7775.89</v>
      </c>
      <c r="AN57">
        <v>266.54000000000002</v>
      </c>
      <c r="AO57">
        <v>-8009.79</v>
      </c>
      <c r="AP57">
        <v>-160.20500000000001</v>
      </c>
      <c r="AQ57">
        <v>-3282.42</v>
      </c>
      <c r="AR57">
        <v>-149.642</v>
      </c>
      <c r="AS57">
        <v>-3406.29</v>
      </c>
    </row>
    <row r="58" spans="7:45" x14ac:dyDescent="0.25">
      <c r="G58">
        <f t="shared" si="7"/>
        <v>8</v>
      </c>
      <c r="H58" s="44">
        <f t="shared" si="9"/>
        <v>188.840486</v>
      </c>
      <c r="L58">
        <v>0.4</v>
      </c>
      <c r="M58">
        <v>-8</v>
      </c>
      <c r="O58">
        <v>8</v>
      </c>
      <c r="P58">
        <f t="shared" si="10"/>
        <v>94420.243000000002</v>
      </c>
      <c r="R58">
        <v>-202.238</v>
      </c>
      <c r="S58">
        <v>-3460.33</v>
      </c>
      <c r="T58">
        <v>-193.57499999999999</v>
      </c>
      <c r="U58">
        <v>-3634.72</v>
      </c>
      <c r="V58">
        <v>397.74200000000002</v>
      </c>
      <c r="W58">
        <v>-7929.41</v>
      </c>
      <c r="X58">
        <v>352.78699999999998</v>
      </c>
      <c r="Y58">
        <v>-8232.5499999999993</v>
      </c>
      <c r="Z58">
        <v>722.99199999999996</v>
      </c>
      <c r="AA58">
        <v>-8897.4699999999993</v>
      </c>
      <c r="AB58">
        <v>713.45799999999997</v>
      </c>
      <c r="AC58">
        <v>-9098.9599999999991</v>
      </c>
      <c r="AD58">
        <v>565.66899999999998</v>
      </c>
      <c r="AE58">
        <v>-8556.24</v>
      </c>
      <c r="AF58">
        <v>658.26</v>
      </c>
      <c r="AG58">
        <v>-8649.77</v>
      </c>
      <c r="AH58">
        <v>718.38099999999997</v>
      </c>
      <c r="AI58">
        <v>-8795.9</v>
      </c>
      <c r="AJ58">
        <v>708.99599999999998</v>
      </c>
      <c r="AK58">
        <v>-8999.85</v>
      </c>
      <c r="AL58">
        <v>395.322</v>
      </c>
      <c r="AM58">
        <v>-7816.14</v>
      </c>
      <c r="AN58">
        <v>347.70800000000003</v>
      </c>
      <c r="AO58">
        <v>-8125.74</v>
      </c>
      <c r="AP58">
        <v>-201.58199999999999</v>
      </c>
      <c r="AQ58">
        <v>-3418.41</v>
      </c>
      <c r="AR58">
        <v>-191.303</v>
      </c>
      <c r="AS58">
        <v>-3597.37</v>
      </c>
    </row>
    <row r="59" spans="7:45" x14ac:dyDescent="0.25">
      <c r="G59">
        <f t="shared" si="7"/>
        <v>9</v>
      </c>
      <c r="H59" s="44">
        <f t="shared" si="9"/>
        <v>177.14928800000004</v>
      </c>
      <c r="L59">
        <v>0.45</v>
      </c>
      <c r="M59">
        <v>-9</v>
      </c>
      <c r="O59">
        <v>9</v>
      </c>
      <c r="P59">
        <f t="shared" si="10"/>
        <v>88574.644000000015</v>
      </c>
      <c r="R59">
        <v>-199.07900000000001</v>
      </c>
      <c r="S59">
        <v>-3365.43</v>
      </c>
      <c r="T59">
        <v>-199.85400000000001</v>
      </c>
      <c r="U59">
        <v>-3534.98</v>
      </c>
      <c r="V59">
        <v>396.959</v>
      </c>
      <c r="W59">
        <v>-7557.03</v>
      </c>
      <c r="X59">
        <v>365.62700000000001</v>
      </c>
      <c r="Y59">
        <v>-7798.95</v>
      </c>
      <c r="Z59">
        <v>712.07299999999998</v>
      </c>
      <c r="AA59">
        <v>-8286.91</v>
      </c>
      <c r="AB59">
        <v>704.63400000000001</v>
      </c>
      <c r="AC59">
        <v>-8410.27</v>
      </c>
      <c r="AD59">
        <v>640.86900000000003</v>
      </c>
      <c r="AE59">
        <v>-7841.23</v>
      </c>
      <c r="AF59">
        <v>714.47500000000002</v>
      </c>
      <c r="AG59">
        <v>-7870.35</v>
      </c>
      <c r="AH59">
        <v>696.82500000000005</v>
      </c>
      <c r="AI59">
        <v>-8331.3700000000008</v>
      </c>
      <c r="AJ59">
        <v>704.57100000000003</v>
      </c>
      <c r="AK59">
        <v>-8446.1</v>
      </c>
      <c r="AL59">
        <v>398.64400000000001</v>
      </c>
      <c r="AM59">
        <v>-7482.21</v>
      </c>
      <c r="AN59">
        <v>356.30700000000002</v>
      </c>
      <c r="AO59">
        <v>-7755.2</v>
      </c>
      <c r="AP59">
        <v>-198.56100000000001</v>
      </c>
      <c r="AQ59">
        <v>-3295.87</v>
      </c>
      <c r="AR59">
        <v>-198.154</v>
      </c>
      <c r="AS59">
        <v>-3494.08</v>
      </c>
    </row>
    <row r="60" spans="7:45" x14ac:dyDescent="0.25">
      <c r="G60">
        <f t="shared" si="7"/>
        <v>10</v>
      </c>
      <c r="H60" s="44">
        <f t="shared" si="9"/>
        <v>172.02368000000001</v>
      </c>
      <c r="L60">
        <v>0.5</v>
      </c>
      <c r="M60">
        <v>-10</v>
      </c>
      <c r="O60">
        <v>10</v>
      </c>
      <c r="P60">
        <f t="shared" si="10"/>
        <v>86011.840000000011</v>
      </c>
      <c r="R60">
        <v>-198.60300000000001</v>
      </c>
      <c r="S60">
        <v>-3231.98</v>
      </c>
      <c r="T60">
        <v>-209.905</v>
      </c>
      <c r="U60">
        <v>-3401.11</v>
      </c>
      <c r="V60">
        <v>389.50099999999998</v>
      </c>
      <c r="W60">
        <v>-7288.61</v>
      </c>
      <c r="X60">
        <v>373.76</v>
      </c>
      <c r="Y60">
        <v>-7505.58</v>
      </c>
      <c r="Z60">
        <v>751.54300000000001</v>
      </c>
      <c r="AA60">
        <v>-8059.31</v>
      </c>
      <c r="AB60">
        <v>756.78399999999999</v>
      </c>
      <c r="AC60">
        <v>-8144.58</v>
      </c>
      <c r="AD60">
        <v>680.52099999999996</v>
      </c>
      <c r="AE60">
        <v>-7677.49</v>
      </c>
      <c r="AF60">
        <v>722.77599999999995</v>
      </c>
      <c r="AG60">
        <v>-7706.12</v>
      </c>
      <c r="AH60">
        <v>748.77700000000004</v>
      </c>
      <c r="AI60">
        <v>-8202.98</v>
      </c>
      <c r="AJ60">
        <v>762.87599999999998</v>
      </c>
      <c r="AK60">
        <v>-8282.02</v>
      </c>
      <c r="AL60">
        <v>393.40699999999998</v>
      </c>
      <c r="AM60">
        <v>-7355.83</v>
      </c>
      <c r="AN60">
        <v>366.86599999999999</v>
      </c>
      <c r="AO60">
        <v>-7597.16</v>
      </c>
      <c r="AP60">
        <v>-200.62899999999999</v>
      </c>
      <c r="AQ60">
        <v>-3247.5</v>
      </c>
      <c r="AR60">
        <v>-208.69399999999999</v>
      </c>
      <c r="AS60">
        <v>-3440.55</v>
      </c>
    </row>
    <row r="61" spans="7:45" x14ac:dyDescent="0.25">
      <c r="G61">
        <f t="shared" si="7"/>
        <v>11</v>
      </c>
      <c r="H61" s="44">
        <f t="shared" si="9"/>
        <v>175.02396599999994</v>
      </c>
      <c r="L61">
        <v>0.55000000000000004</v>
      </c>
      <c r="M61">
        <v>-11</v>
      </c>
      <c r="O61">
        <v>11</v>
      </c>
      <c r="P61">
        <f t="shared" si="10"/>
        <v>87511.982999999978</v>
      </c>
      <c r="R61">
        <v>-205.79599999999999</v>
      </c>
      <c r="S61">
        <v>-3331.82</v>
      </c>
      <c r="T61">
        <v>-219.68700000000001</v>
      </c>
      <c r="U61">
        <v>-3501.01</v>
      </c>
      <c r="V61">
        <v>404.57100000000003</v>
      </c>
      <c r="W61">
        <v>-7445.03</v>
      </c>
      <c r="X61">
        <v>391.46699999999998</v>
      </c>
      <c r="Y61">
        <v>-7647.53</v>
      </c>
      <c r="Z61">
        <v>782.36800000000005</v>
      </c>
      <c r="AA61">
        <v>-8275.44</v>
      </c>
      <c r="AB61">
        <v>792.31399999999996</v>
      </c>
      <c r="AC61">
        <v>-8340.36</v>
      </c>
      <c r="AD61">
        <v>713.87</v>
      </c>
      <c r="AE61">
        <v>-7880.73</v>
      </c>
      <c r="AF61">
        <v>747.82600000000002</v>
      </c>
      <c r="AG61">
        <v>-7900.33</v>
      </c>
      <c r="AH61">
        <v>775.28</v>
      </c>
      <c r="AI61">
        <v>-8356.4599999999991</v>
      </c>
      <c r="AJ61">
        <v>791.78800000000001</v>
      </c>
      <c r="AK61">
        <v>-8417.14</v>
      </c>
      <c r="AL61">
        <v>401.01299999999998</v>
      </c>
      <c r="AM61">
        <v>-7381.75</v>
      </c>
      <c r="AN61">
        <v>380.38099999999997</v>
      </c>
      <c r="AO61">
        <v>-7605.73</v>
      </c>
      <c r="AP61">
        <v>-204.91800000000001</v>
      </c>
      <c r="AQ61">
        <v>-3283.76</v>
      </c>
      <c r="AR61">
        <v>-217.26</v>
      </c>
      <c r="AS61">
        <v>-3478.11</v>
      </c>
    </row>
    <row r="62" spans="7:45" x14ac:dyDescent="0.25">
      <c r="G62">
        <f t="shared" si="7"/>
        <v>12</v>
      </c>
      <c r="H62" s="44">
        <f t="shared" si="9"/>
        <v>175.86407399999996</v>
      </c>
      <c r="L62">
        <v>0.6</v>
      </c>
      <c r="M62">
        <v>-12</v>
      </c>
      <c r="O62">
        <v>12</v>
      </c>
      <c r="P62">
        <f t="shared" si="10"/>
        <v>87932.036999999982</v>
      </c>
      <c r="R62">
        <v>-207.14400000000001</v>
      </c>
      <c r="S62">
        <v>-3298.75</v>
      </c>
      <c r="T62">
        <v>-220.07900000000001</v>
      </c>
      <c r="U62">
        <v>-3462.33</v>
      </c>
      <c r="V62">
        <v>402.15300000000002</v>
      </c>
      <c r="W62">
        <v>-7454.16</v>
      </c>
      <c r="X62">
        <v>386.03300000000002</v>
      </c>
      <c r="Y62">
        <v>-7641.58</v>
      </c>
      <c r="Z62">
        <v>801.20100000000002</v>
      </c>
      <c r="AA62">
        <v>-8288.2900000000009</v>
      </c>
      <c r="AB62">
        <v>809.93200000000002</v>
      </c>
      <c r="AC62">
        <v>-8334.77</v>
      </c>
      <c r="AD62">
        <v>723.76099999999997</v>
      </c>
      <c r="AE62">
        <v>-7859.13</v>
      </c>
      <c r="AF62">
        <v>762.18899999999996</v>
      </c>
      <c r="AG62">
        <v>-7856.9</v>
      </c>
      <c r="AH62">
        <v>801.32399999999996</v>
      </c>
      <c r="AI62">
        <v>-8415.5499999999993</v>
      </c>
      <c r="AJ62">
        <v>817.51400000000001</v>
      </c>
      <c r="AK62">
        <v>-8457.06</v>
      </c>
      <c r="AL62">
        <v>420.79300000000001</v>
      </c>
      <c r="AM62">
        <v>-7554.34</v>
      </c>
      <c r="AN62">
        <v>398.33</v>
      </c>
      <c r="AO62">
        <v>-7761.14</v>
      </c>
      <c r="AP62">
        <v>-213.11699999999999</v>
      </c>
      <c r="AQ62">
        <v>-3407.38</v>
      </c>
      <c r="AR62">
        <v>-225.25700000000001</v>
      </c>
      <c r="AS62">
        <v>-3598.29</v>
      </c>
    </row>
    <row r="63" spans="7:45" x14ac:dyDescent="0.25">
      <c r="G63">
        <f t="shared" si="7"/>
        <v>13</v>
      </c>
      <c r="H63" s="44">
        <f t="shared" si="9"/>
        <v>177.24186399999999</v>
      </c>
      <c r="L63">
        <v>0.65</v>
      </c>
      <c r="M63">
        <v>-13</v>
      </c>
      <c r="O63">
        <v>13</v>
      </c>
      <c r="P63">
        <f t="shared" si="10"/>
        <v>88620.932000000001</v>
      </c>
      <c r="R63">
        <v>-211.29499999999999</v>
      </c>
      <c r="S63">
        <v>-3333.75</v>
      </c>
      <c r="T63">
        <v>-222.101</v>
      </c>
      <c r="U63">
        <v>-3486.94</v>
      </c>
      <c r="V63">
        <v>406.99799999999999</v>
      </c>
      <c r="W63">
        <v>-7537.17</v>
      </c>
      <c r="X63">
        <v>386.98899999999998</v>
      </c>
      <c r="Y63">
        <v>-7707.24</v>
      </c>
      <c r="Z63">
        <v>822.93</v>
      </c>
      <c r="AA63">
        <v>-8343.4500000000007</v>
      </c>
      <c r="AB63">
        <v>830.00300000000004</v>
      </c>
      <c r="AC63">
        <v>-8375.59</v>
      </c>
      <c r="AD63">
        <v>734.98500000000001</v>
      </c>
      <c r="AE63">
        <v>-7879.53</v>
      </c>
      <c r="AF63">
        <v>781.33399999999995</v>
      </c>
      <c r="AG63">
        <v>-7860.86</v>
      </c>
      <c r="AH63">
        <v>824.68299999999999</v>
      </c>
      <c r="AI63">
        <v>-8493.7800000000007</v>
      </c>
      <c r="AJ63">
        <v>838.04600000000005</v>
      </c>
      <c r="AK63">
        <v>-8521.2199999999993</v>
      </c>
      <c r="AL63">
        <v>427.91500000000002</v>
      </c>
      <c r="AM63">
        <v>-7687.7</v>
      </c>
      <c r="AN63">
        <v>401.584</v>
      </c>
      <c r="AO63">
        <v>-7875.97</v>
      </c>
      <c r="AP63">
        <v>-218.25200000000001</v>
      </c>
      <c r="AQ63">
        <v>-3456.13</v>
      </c>
      <c r="AR63">
        <v>-227.87100000000001</v>
      </c>
      <c r="AS63">
        <v>-3637.55</v>
      </c>
    </row>
    <row r="64" spans="7:45" x14ac:dyDescent="0.25">
      <c r="G64">
        <f t="shared" si="7"/>
        <v>14</v>
      </c>
      <c r="H64" s="44">
        <f t="shared" si="9"/>
        <v>169.88001800000001</v>
      </c>
      <c r="L64">
        <v>0.7</v>
      </c>
      <c r="M64">
        <v>-14</v>
      </c>
      <c r="O64">
        <v>14</v>
      </c>
      <c r="P64">
        <f t="shared" si="10"/>
        <v>84940.009000000005</v>
      </c>
      <c r="R64">
        <v>-209.441</v>
      </c>
      <c r="S64">
        <v>-3213.22</v>
      </c>
      <c r="T64">
        <v>-218.006</v>
      </c>
      <c r="U64">
        <v>-3354.94</v>
      </c>
      <c r="V64">
        <v>400.56299999999999</v>
      </c>
      <c r="W64">
        <v>-7286.82</v>
      </c>
      <c r="X64">
        <v>374.815</v>
      </c>
      <c r="Y64">
        <v>-7433.41</v>
      </c>
      <c r="Z64">
        <v>824.86099999999999</v>
      </c>
      <c r="AA64">
        <v>-7892.94</v>
      </c>
      <c r="AB64">
        <v>828.70899999999995</v>
      </c>
      <c r="AC64">
        <v>-7918.23</v>
      </c>
      <c r="AD64">
        <v>726.86900000000003</v>
      </c>
      <c r="AE64">
        <v>-7384.38</v>
      </c>
      <c r="AF64">
        <v>787.58</v>
      </c>
      <c r="AG64">
        <v>-7349.51</v>
      </c>
      <c r="AH64">
        <v>833.68399999999997</v>
      </c>
      <c r="AI64">
        <v>-8228.49</v>
      </c>
      <c r="AJ64">
        <v>844.08900000000006</v>
      </c>
      <c r="AK64">
        <v>-8248.51</v>
      </c>
      <c r="AL64">
        <v>432.113</v>
      </c>
      <c r="AM64">
        <v>-7553.23</v>
      </c>
      <c r="AN64">
        <v>397.13</v>
      </c>
      <c r="AO64">
        <v>-7724.91</v>
      </c>
      <c r="AP64">
        <v>-220.648</v>
      </c>
      <c r="AQ64">
        <v>-3376.64</v>
      </c>
      <c r="AR64">
        <v>-226.357</v>
      </c>
      <c r="AS64">
        <v>-3550.74</v>
      </c>
    </row>
    <row r="65" spans="7:45" x14ac:dyDescent="0.25">
      <c r="G65">
        <f t="shared" si="7"/>
        <v>15</v>
      </c>
      <c r="H65" s="44">
        <f t="shared" si="9"/>
        <v>169.12986599999999</v>
      </c>
      <c r="L65">
        <v>0.75</v>
      </c>
      <c r="M65">
        <v>-15</v>
      </c>
      <c r="O65">
        <v>15</v>
      </c>
      <c r="P65">
        <f t="shared" si="10"/>
        <v>84564.93299999999</v>
      </c>
      <c r="R65">
        <v>-222.62899999999999</v>
      </c>
      <c r="S65">
        <v>-3361.43</v>
      </c>
      <c r="T65">
        <v>-231.852</v>
      </c>
      <c r="U65">
        <v>-3485.88</v>
      </c>
      <c r="V65">
        <v>442.08600000000001</v>
      </c>
      <c r="W65">
        <v>-7238.49</v>
      </c>
      <c r="X65">
        <v>415.59300000000002</v>
      </c>
      <c r="Y65">
        <v>-7353.6</v>
      </c>
      <c r="Z65">
        <v>829.298</v>
      </c>
      <c r="AA65">
        <v>-7772.38</v>
      </c>
      <c r="AB65">
        <v>834.44799999999998</v>
      </c>
      <c r="AC65">
        <v>-7793.73</v>
      </c>
      <c r="AD65">
        <v>785.89700000000005</v>
      </c>
      <c r="AE65">
        <v>-7382.52</v>
      </c>
      <c r="AF65">
        <v>850.34699999999998</v>
      </c>
      <c r="AG65">
        <v>-7344.97</v>
      </c>
      <c r="AH65">
        <v>837.85</v>
      </c>
      <c r="AI65">
        <v>-8218.41</v>
      </c>
      <c r="AJ65">
        <v>845.72900000000004</v>
      </c>
      <c r="AK65">
        <v>-8238.9699999999993</v>
      </c>
      <c r="AL65">
        <v>458.81</v>
      </c>
      <c r="AM65">
        <v>-7504.8</v>
      </c>
      <c r="AN65">
        <v>420.83</v>
      </c>
      <c r="AO65">
        <v>-7652.59</v>
      </c>
      <c r="AP65">
        <v>-230.60499999999999</v>
      </c>
      <c r="AQ65">
        <v>-3427.89</v>
      </c>
      <c r="AR65">
        <v>-234.435</v>
      </c>
      <c r="AS65">
        <v>-3590.64</v>
      </c>
    </row>
    <row r="66" spans="7:45" x14ac:dyDescent="0.25">
      <c r="G66">
        <f t="shared" si="7"/>
        <v>16</v>
      </c>
      <c r="H66" s="44">
        <f t="shared" si="9"/>
        <v>157.98061999999996</v>
      </c>
      <c r="L66">
        <v>0.8</v>
      </c>
      <c r="M66">
        <v>-16</v>
      </c>
      <c r="O66">
        <v>16</v>
      </c>
      <c r="P66">
        <f t="shared" si="10"/>
        <v>78990.309999999983</v>
      </c>
      <c r="R66">
        <v>-209.86799999999999</v>
      </c>
      <c r="S66">
        <v>-3135.24</v>
      </c>
      <c r="T66">
        <v>-219.43100000000001</v>
      </c>
      <c r="U66">
        <v>-3233.34</v>
      </c>
      <c r="V66">
        <v>414.392</v>
      </c>
      <c r="W66">
        <v>-6782.7</v>
      </c>
      <c r="X66">
        <v>392.47300000000001</v>
      </c>
      <c r="Y66">
        <v>-6865.53</v>
      </c>
      <c r="Z66">
        <v>786.33799999999997</v>
      </c>
      <c r="AA66">
        <v>-7291.93</v>
      </c>
      <c r="AB66">
        <v>791.06899999999996</v>
      </c>
      <c r="AC66">
        <v>-7311.81</v>
      </c>
      <c r="AD66">
        <v>763.16200000000003</v>
      </c>
      <c r="AE66">
        <v>-6965.64</v>
      </c>
      <c r="AF66">
        <v>816.01499999999999</v>
      </c>
      <c r="AG66">
        <v>-6938.78</v>
      </c>
      <c r="AH66">
        <v>791.01</v>
      </c>
      <c r="AI66">
        <v>-7653.35</v>
      </c>
      <c r="AJ66">
        <v>802.80799999999999</v>
      </c>
      <c r="AK66">
        <v>-7667.48</v>
      </c>
      <c r="AL66">
        <v>441.61799999999999</v>
      </c>
      <c r="AM66">
        <v>-6975.43</v>
      </c>
      <c r="AN66">
        <v>410.58600000000001</v>
      </c>
      <c r="AO66">
        <v>-7084.34</v>
      </c>
      <c r="AP66">
        <v>-219.239</v>
      </c>
      <c r="AQ66">
        <v>-3241.29</v>
      </c>
      <c r="AR66">
        <v>-226.303</v>
      </c>
      <c r="AS66">
        <v>-3378.08</v>
      </c>
    </row>
    <row r="67" spans="7:45" x14ac:dyDescent="0.25">
      <c r="G67">
        <f t="shared" si="7"/>
        <v>17</v>
      </c>
      <c r="H67" s="44">
        <f t="shared" si="9"/>
        <v>171.32617000000002</v>
      </c>
      <c r="L67">
        <v>0.85</v>
      </c>
      <c r="M67">
        <v>-17</v>
      </c>
      <c r="O67">
        <v>17</v>
      </c>
      <c r="P67">
        <f t="shared" si="10"/>
        <v>85663.085000000006</v>
      </c>
      <c r="R67">
        <v>-225.642</v>
      </c>
      <c r="S67">
        <v>-3368.96</v>
      </c>
      <c r="T67">
        <v>-234.541</v>
      </c>
      <c r="U67">
        <v>-3457.66</v>
      </c>
      <c r="V67">
        <v>443.84</v>
      </c>
      <c r="W67">
        <v>-7268.24</v>
      </c>
      <c r="X67">
        <v>421.678</v>
      </c>
      <c r="Y67">
        <v>-7341.43</v>
      </c>
      <c r="Z67">
        <v>839.89200000000005</v>
      </c>
      <c r="AA67">
        <v>-7909.88</v>
      </c>
      <c r="AB67">
        <v>844.20799999999997</v>
      </c>
      <c r="AC67">
        <v>-7932.6</v>
      </c>
      <c r="AD67">
        <v>830.70500000000004</v>
      </c>
      <c r="AE67">
        <v>-7634.63</v>
      </c>
      <c r="AF67">
        <v>882.52599999999995</v>
      </c>
      <c r="AG67">
        <v>-7612.1</v>
      </c>
      <c r="AH67">
        <v>846.98099999999999</v>
      </c>
      <c r="AI67">
        <v>-8325.41</v>
      </c>
      <c r="AJ67">
        <v>859.38</v>
      </c>
      <c r="AK67">
        <v>-8341.32</v>
      </c>
      <c r="AL67">
        <v>484.51299999999998</v>
      </c>
      <c r="AM67">
        <v>-7542.44</v>
      </c>
      <c r="AN67">
        <v>454.85300000000001</v>
      </c>
      <c r="AO67">
        <v>-7639.92</v>
      </c>
      <c r="AP67">
        <v>-238.696</v>
      </c>
      <c r="AQ67">
        <v>-3560.71</v>
      </c>
      <c r="AR67">
        <v>-246.512</v>
      </c>
      <c r="AS67">
        <v>-3690.97</v>
      </c>
    </row>
    <row r="68" spans="7:45" x14ac:dyDescent="0.25">
      <c r="G68">
        <f t="shared" si="7"/>
        <v>18</v>
      </c>
      <c r="H68" s="44">
        <f t="shared" si="9"/>
        <v>176.84825199999997</v>
      </c>
      <c r="L68">
        <v>0.9</v>
      </c>
      <c r="M68">
        <v>-18</v>
      </c>
      <c r="O68">
        <v>18</v>
      </c>
      <c r="P68">
        <f t="shared" si="10"/>
        <v>88424.125999999989</v>
      </c>
      <c r="R68">
        <v>-240.92099999999999</v>
      </c>
      <c r="S68">
        <v>-3651.85</v>
      </c>
      <c r="T68">
        <v>-246.82599999999999</v>
      </c>
      <c r="U68">
        <v>-3721.15</v>
      </c>
      <c r="V68">
        <v>481.40300000000002</v>
      </c>
      <c r="W68">
        <v>-7728.13</v>
      </c>
      <c r="X68">
        <v>456.62400000000002</v>
      </c>
      <c r="Y68">
        <v>-7794.78</v>
      </c>
      <c r="Z68">
        <v>870.02300000000002</v>
      </c>
      <c r="AA68">
        <v>-8321.39</v>
      </c>
      <c r="AB68">
        <v>872.45299999999997</v>
      </c>
      <c r="AC68">
        <v>-8348.11</v>
      </c>
      <c r="AD68">
        <v>857.08199999999999</v>
      </c>
      <c r="AE68">
        <v>-7911.38</v>
      </c>
      <c r="AF68">
        <v>913.51499999999999</v>
      </c>
      <c r="AG68">
        <v>-7885.37</v>
      </c>
      <c r="AH68">
        <v>857.66700000000003</v>
      </c>
      <c r="AI68">
        <v>-8501.5400000000009</v>
      </c>
      <c r="AJ68">
        <v>865.40700000000004</v>
      </c>
      <c r="AK68">
        <v>-8523.26</v>
      </c>
      <c r="AL68">
        <v>472.85700000000003</v>
      </c>
      <c r="AM68">
        <v>-7515.37</v>
      </c>
      <c r="AN68">
        <v>441.11700000000002</v>
      </c>
      <c r="AO68">
        <v>-7604.08</v>
      </c>
      <c r="AP68">
        <v>-238.37299999999999</v>
      </c>
      <c r="AQ68">
        <v>-3462.65</v>
      </c>
      <c r="AR68">
        <v>-242.72399999999999</v>
      </c>
      <c r="AS68">
        <v>-3574.37</v>
      </c>
    </row>
    <row r="69" spans="7:45" x14ac:dyDescent="0.25">
      <c r="G69">
        <f t="shared" si="7"/>
        <v>19</v>
      </c>
      <c r="H69" s="44">
        <f t="shared" si="9"/>
        <v>169.77284</v>
      </c>
      <c r="L69">
        <v>0.95</v>
      </c>
      <c r="M69">
        <v>-19</v>
      </c>
      <c r="O69">
        <v>19</v>
      </c>
      <c r="P69">
        <f t="shared" si="10"/>
        <v>84886.42</v>
      </c>
      <c r="R69">
        <v>-228.89400000000001</v>
      </c>
      <c r="S69">
        <v>-3441.61</v>
      </c>
      <c r="T69">
        <v>-233.512</v>
      </c>
      <c r="U69">
        <v>-3487.06</v>
      </c>
      <c r="V69">
        <v>453.15699999999998</v>
      </c>
      <c r="W69">
        <v>-7345.14</v>
      </c>
      <c r="X69">
        <v>427.87</v>
      </c>
      <c r="Y69">
        <v>-7400.32</v>
      </c>
      <c r="Z69">
        <v>836.54399999999998</v>
      </c>
      <c r="AA69">
        <v>-7933.02</v>
      </c>
      <c r="AB69">
        <v>838.65599999999995</v>
      </c>
      <c r="AC69">
        <v>-7959.48</v>
      </c>
      <c r="AD69">
        <v>819.95899999999995</v>
      </c>
      <c r="AE69">
        <v>-7559.72</v>
      </c>
      <c r="AF69">
        <v>877.03</v>
      </c>
      <c r="AG69">
        <v>-7532.17</v>
      </c>
      <c r="AH69">
        <v>831.65099999999995</v>
      </c>
      <c r="AI69">
        <v>-8250.36</v>
      </c>
      <c r="AJ69">
        <v>836.48299999999995</v>
      </c>
      <c r="AK69">
        <v>-8275.3799999999992</v>
      </c>
      <c r="AL69">
        <v>457.13900000000001</v>
      </c>
      <c r="AM69">
        <v>-7338.24</v>
      </c>
      <c r="AN69">
        <v>425.37099999999998</v>
      </c>
      <c r="AO69">
        <v>-7413.13</v>
      </c>
      <c r="AP69">
        <v>-230.83199999999999</v>
      </c>
      <c r="AQ69">
        <v>-3372.75</v>
      </c>
      <c r="AR69">
        <v>-233.142</v>
      </c>
      <c r="AS69">
        <v>-3455.52</v>
      </c>
    </row>
    <row r="70" spans="7:45" x14ac:dyDescent="0.25">
      <c r="G70">
        <f t="shared" si="7"/>
        <v>20</v>
      </c>
      <c r="H70" s="44">
        <f t="shared" si="9"/>
        <v>173.62320800000001</v>
      </c>
      <c r="L70">
        <v>1</v>
      </c>
      <c r="M70">
        <v>-20</v>
      </c>
      <c r="O70">
        <v>20</v>
      </c>
      <c r="P70">
        <f t="shared" si="10"/>
        <v>86811.604000000007</v>
      </c>
      <c r="R70">
        <v>-230.459</v>
      </c>
      <c r="S70">
        <v>-3440.19</v>
      </c>
      <c r="T70">
        <v>-232.227</v>
      </c>
      <c r="U70">
        <v>-3469.78</v>
      </c>
      <c r="V70">
        <v>449.77600000000001</v>
      </c>
      <c r="W70">
        <v>-7467.87</v>
      </c>
      <c r="X70">
        <v>421.27199999999999</v>
      </c>
      <c r="Y70">
        <v>-7524.4</v>
      </c>
      <c r="Z70">
        <v>851.47199999999998</v>
      </c>
      <c r="AA70">
        <v>-8115.59</v>
      </c>
      <c r="AB70">
        <v>851.06</v>
      </c>
      <c r="AC70">
        <v>-8146.25</v>
      </c>
      <c r="AD70">
        <v>828.66099999999994</v>
      </c>
      <c r="AE70">
        <v>-7729.69</v>
      </c>
      <c r="AF70">
        <v>891.38599999999997</v>
      </c>
      <c r="AG70">
        <v>-7697.8</v>
      </c>
      <c r="AH70">
        <v>849.62800000000004</v>
      </c>
      <c r="AI70">
        <v>-8491.5400000000009</v>
      </c>
      <c r="AJ70">
        <v>850.86900000000003</v>
      </c>
      <c r="AK70">
        <v>-8522.0499999999993</v>
      </c>
      <c r="AL70">
        <v>463.88600000000002</v>
      </c>
      <c r="AM70">
        <v>-7562.44</v>
      </c>
      <c r="AN70">
        <v>429.49700000000001</v>
      </c>
      <c r="AO70">
        <v>-7631.94</v>
      </c>
      <c r="AP70">
        <v>-235.68299999999999</v>
      </c>
      <c r="AQ70">
        <v>-3453.87</v>
      </c>
      <c r="AR70">
        <v>-234.91200000000001</v>
      </c>
      <c r="AS70">
        <v>-3512.42</v>
      </c>
    </row>
    <row r="71" spans="7:45" x14ac:dyDescent="0.25">
      <c r="G71">
        <f t="shared" si="7"/>
        <v>0</v>
      </c>
      <c r="H71" s="44">
        <f t="shared" si="9"/>
        <v>0</v>
      </c>
    </row>
    <row r="73" spans="7:45" x14ac:dyDescent="0.25">
      <c r="M73">
        <f>N73*90</f>
        <v>225000</v>
      </c>
      <c r="N73">
        <v>2500</v>
      </c>
      <c r="O73">
        <v>1</v>
      </c>
      <c r="P73">
        <f>PRODUCT(N73:O73)</f>
        <v>2500</v>
      </c>
    </row>
    <row r="74" spans="7:45" x14ac:dyDescent="0.25">
      <c r="M74">
        <f t="shared" ref="M74:M75" si="11">N74*90</f>
        <v>2673900</v>
      </c>
      <c r="N74">
        <v>29710</v>
      </c>
      <c r="O74">
        <v>2</v>
      </c>
      <c r="P74">
        <f t="shared" ref="P74:P75" si="12">PRODUCT(N74:O74)</f>
        <v>59420</v>
      </c>
    </row>
    <row r="75" spans="7:45" x14ac:dyDescent="0.25">
      <c r="M75">
        <f t="shared" si="11"/>
        <v>4331250</v>
      </c>
      <c r="N75">
        <v>48125</v>
      </c>
      <c r="O75">
        <v>2</v>
      </c>
      <c r="P75">
        <f t="shared" si="12"/>
        <v>96250</v>
      </c>
    </row>
    <row r="76" spans="7:45" x14ac:dyDescent="0.25">
      <c r="P76">
        <f>SUM(P73:P75)</f>
        <v>158170</v>
      </c>
    </row>
    <row r="78" spans="7:45" x14ac:dyDescent="0.25">
      <c r="M78">
        <f t="shared" ref="M78:M79" si="13">N78*90</f>
        <v>3960000</v>
      </c>
      <c r="N78">
        <v>44000</v>
      </c>
      <c r="O78">
        <v>2</v>
      </c>
      <c r="P78">
        <f t="shared" ref="P78:P79" si="14">PRODUCT(N78:O78)</f>
        <v>88000</v>
      </c>
    </row>
    <row r="79" spans="7:45" x14ac:dyDescent="0.25">
      <c r="M79">
        <f t="shared" si="13"/>
        <v>6930000</v>
      </c>
      <c r="N79">
        <v>77000</v>
      </c>
      <c r="O79">
        <v>1</v>
      </c>
      <c r="P79">
        <f t="shared" si="14"/>
        <v>77000</v>
      </c>
    </row>
    <row r="80" spans="7:45" x14ac:dyDescent="0.25">
      <c r="P80">
        <f>SUM(P78:P79)</f>
        <v>165000</v>
      </c>
    </row>
  </sheetData>
  <mergeCells count="3">
    <mergeCell ref="A3:B3"/>
    <mergeCell ref="G3:H3"/>
    <mergeCell ref="G23:H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info</vt:lpstr>
      <vt:lpstr>md</vt:lpstr>
      <vt:lpstr>Sheet2</vt:lpstr>
      <vt:lpstr>info!Print_Area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 Gautam</dc:creator>
  <cp:lastModifiedBy>Sudip Gautam</cp:lastModifiedBy>
  <dcterms:created xsi:type="dcterms:W3CDTF">2015-06-05T18:17:20Z</dcterms:created>
  <dcterms:modified xsi:type="dcterms:W3CDTF">2025-08-28T12:02:36Z</dcterms:modified>
</cp:coreProperties>
</file>