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sdell\projects\UniRentHub\Documents\Management\ManagementDocs\Iniziation\"/>
    </mc:Choice>
  </mc:AlternateContent>
  <xr:revisionPtr revIDLastSave="0" documentId="8_{E0F14031-5636-4D3A-9429-FF2965E114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ibit" sheetId="1" r:id="rId1"/>
    <sheet name="font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D24" i="1"/>
  <c r="E24" i="1" s="1"/>
  <c r="F24" i="1" s="1"/>
  <c r="D25" i="1"/>
  <c r="E25" i="1" s="1"/>
  <c r="F25" i="1" s="1"/>
  <c r="D26" i="1"/>
  <c r="E26" i="1"/>
  <c r="F26" i="1" s="1"/>
  <c r="D34" i="1"/>
  <c r="D33" i="1"/>
  <c r="E33" i="1"/>
  <c r="F33" i="1"/>
  <c r="F36" i="1"/>
  <c r="E36" i="1"/>
  <c r="F35" i="1"/>
  <c r="E35" i="1"/>
  <c r="F34" i="1"/>
  <c r="D36" i="1"/>
  <c r="E34" i="1"/>
  <c r="D35" i="1"/>
  <c r="D32" i="1"/>
  <c r="C31" i="1"/>
  <c r="C30" i="1"/>
  <c r="F32" i="1"/>
  <c r="E32" i="1"/>
  <c r="C37" i="1"/>
  <c r="E13" i="1"/>
  <c r="D13" i="1"/>
  <c r="C13" i="1"/>
  <c r="B13" i="1"/>
  <c r="B14" i="1" s="1"/>
  <c r="D9" i="1"/>
  <c r="E9" i="1"/>
  <c r="C9" i="1"/>
  <c r="B9" i="1"/>
  <c r="F45" i="1" l="1"/>
  <c r="E12" i="1" s="1"/>
  <c r="E14" i="1" s="1"/>
  <c r="E16" i="1" s="1"/>
  <c r="D45" i="1"/>
  <c r="C12" i="1" s="1"/>
  <c r="C14" i="1" s="1"/>
  <c r="C16" i="1" s="1"/>
  <c r="E45" i="1"/>
  <c r="D12" i="1" s="1"/>
  <c r="D14" i="1" s="1"/>
  <c r="E8" i="1"/>
  <c r="D8" i="1"/>
  <c r="C8" i="1"/>
  <c r="C10" i="1" s="1"/>
  <c r="F10" i="1"/>
  <c r="D10" i="1"/>
  <c r="E10" i="1"/>
  <c r="B16" i="1" l="1"/>
  <c r="B17" i="1" s="1"/>
  <c r="C17" i="1" s="1"/>
  <c r="F14" i="1"/>
  <c r="D16" i="1"/>
  <c r="F16" i="1" l="1"/>
  <c r="B19" i="1"/>
  <c r="D17" i="1"/>
  <c r="E17" i="1" s="1"/>
</calcChain>
</file>

<file path=xl/sharedStrings.xml><?xml version="1.0" encoding="utf-8"?>
<sst xmlns="http://schemas.openxmlformats.org/spreadsheetml/2006/main" count="87" uniqueCount="78">
  <si>
    <t>Date:</t>
  </si>
  <si>
    <t>Discount rate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</si>
  <si>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</si>
  <si>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</si>
  <si>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</si>
  <si>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</si>
  <si>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</si>
  <si>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</si>
  <si>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</si>
  <si>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</si>
  <si>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</si>
  <si>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</si>
  <si>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</si>
  <si>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Assumptions</t>
  </si>
  <si>
    <t>Fonti</t>
  </si>
  <si>
    <t>https://colab.research.google.com/signup</t>
  </si>
  <si>
    <t>Screen telefono</t>
  </si>
  <si>
    <t>Manutenzione</t>
  </si>
  <si>
    <t>https://it.talent.com/salary?job=project+manager</t>
  </si>
  <si>
    <t>Stipendi TMs</t>
  </si>
  <si>
    <t>Stipendi PMs</t>
  </si>
  <si>
    <t>Pubblicità IG</t>
  </si>
  <si>
    <t>https://www.hostinger.com/tutorials/website-maintenance-cost</t>
  </si>
  <si>
    <t>1500 per month</t>
  </si>
  <si>
    <t>https://www.glassdoor.it/Stipendi/software-engineer-stipendio-SRCH_KO0,17.htm</t>
  </si>
  <si>
    <t>https://www.jobbydoo.it/stipendio/software-engineer</t>
  </si>
  <si>
    <t>Colab Pro +</t>
  </si>
  <si>
    <t>Created by: Rocco Iuliano, Simone Della Porta</t>
  </si>
  <si>
    <t>SQL Server</t>
  </si>
  <si>
    <t>https://www.microsoft.com/en-us/sql-server/sql-server-2022-pricing</t>
  </si>
  <si>
    <t>standard server</t>
  </si>
  <si>
    <t>Web Server</t>
  </si>
  <si>
    <t>https://azure.microsoft.com/en-us/pricing/details/app-service/windows/</t>
  </si>
  <si>
    <t>premium</t>
  </si>
  <si>
    <t>Assume the project is completed in
about 1 year</t>
  </si>
  <si>
    <t>Financial Analysis for UniRentHub</t>
  </si>
  <si>
    <t>https://www.studenti.it/affitti-studenti-fuori-sede-costi.html#:~:text=Affitti%20per%20studenti%3A%20il%20prezzo%20dipende%20dalla%20citt%C3%A0,-Secondo%20il%20centro&amp;text=Nella%20Capitale%2C%20infatti%2C%20per%20una,quinta%20posizione%20con%20447%20euro.</t>
  </si>
  <si>
    <t>Payback in Year 1</t>
  </si>
  <si>
    <t>https://www.glassdoor.it/Stipendi/web-developer-stipendio-SRCH_KO0,13.htm</t>
  </si>
  <si>
    <t>Numero studenti fuori sede 2022</t>
  </si>
  <si>
    <t>https://www.skuola.net/news/inchiesta/universita-alloggi-affitti-fuori-sede.html</t>
  </si>
  <si>
    <t>Cost</t>
  </si>
  <si>
    <t>Total salary</t>
  </si>
  <si>
    <t>Monthly salary</t>
  </si>
  <si>
    <t>Hours per month</t>
  </si>
  <si>
    <t>People</t>
  </si>
  <si>
    <t>PM</t>
  </si>
  <si>
    <t>Staff</t>
  </si>
  <si>
    <t>Hourly wage</t>
  </si>
  <si>
    <t>Price</t>
  </si>
  <si>
    <t>Total cost</t>
  </si>
  <si>
    <t>Web server (euro/month)</t>
  </si>
  <si>
    <t>SQL server (euro/year)</t>
  </si>
  <si>
    <t>Google Colab (euro/month)</t>
  </si>
  <si>
    <t>Instagram advertisement (euro/days)</t>
  </si>
  <si>
    <t>Maintenance (euro/month)</t>
  </si>
  <si>
    <t>First year</t>
  </si>
  <si>
    <t>Second year</t>
  </si>
  <si>
    <t>Third year</t>
  </si>
  <si>
    <t>Landlord subscription (euro/month)</t>
  </si>
  <si>
    <t>Student subscription (euro/month)</t>
  </si>
  <si>
    <t>Rental price (5% retained on the first month)</t>
  </si>
  <si>
    <t>Monthly subscription</t>
  </si>
  <si>
    <t>Napoli advertisement (euro/14 days)</t>
  </si>
  <si>
    <t>Milano advertisement (euro/14 days)</t>
  </si>
  <si>
    <t>Affissioni Campania - Affissioni pubblicitarie Italia (affissionitalia.com)</t>
  </si>
  <si>
    <t>Roma advertisement (euro/14 days)</t>
  </si>
  <si>
    <t>Napoli pubblicià (Totem)</t>
  </si>
  <si>
    <t>Roma pubblicità (Totem digitale)</t>
  </si>
  <si>
    <t>Affissioni ROMA - Affissioni pubblicitarie Italia Spotmap® Google Maps (affissionitalia.com)</t>
  </si>
  <si>
    <t>Affissioni Milano Archivi - Affissioni pubblicitarie Italia (affissionitalia.com)</t>
  </si>
  <si>
    <t>Milano pubblicità (Totem digitale)</t>
  </si>
  <si>
    <t>TikTok advertisement (euro/days)</t>
  </si>
  <si>
    <t>https://www.glassdoor.it/Stipendi/milano-agente-immobiliare-stipendio-SRCH_IL.0,6_IM1058_KO7,25.htm</t>
  </si>
  <si>
    <t>Prezzo affitto
(media prezzi Napoli-Roma-Milano)</t>
  </si>
  <si>
    <t>Home checker</t>
  </si>
  <si>
    <t>Stipendi HCs</t>
  </si>
  <si>
    <t>Pubblicità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</si>
</sst>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b/>
      <sz val="22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4"/>
    <xf numFmtId="0" fontId="9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5">
    <cellStyle name="Collegamento ipertestuale" xfId="4" builtinId="8"/>
    <cellStyle name="Migliaia" xfId="1" builtinId="3"/>
    <cellStyle name="Normale" xfId="0" builtinId="0"/>
    <cellStyle name="Percentuale" xfId="3" builtinId="5"/>
    <cellStyle name="Valuta" xfId="2" builtinId="4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17</xdr:row>
      <xdr:rowOff>38100</xdr:rowOff>
    </xdr:from>
    <xdr:to>
      <xdr:col>2</xdr:col>
      <xdr:colOff>352425</xdr:colOff>
      <xdr:row>19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7A7E9-7DFD-4020-A270-1065BD2F57E8}" name="Tabella1" displayName="Tabella1" ref="A23:F26" totalsRowShown="0" headerRowDxfId="27" dataDxfId="26">
  <autoFilter ref="A23:F26" xr:uid="{EA87A7E9-7DFD-4020-A270-1065BD2F57E8}"/>
  <tableColumns count="6">
    <tableColumn id="1" xr3:uid="{8BA09593-D93E-497F-88FE-1C6F2FF17D9C}" name="Cost" dataDxfId="25"/>
    <tableColumn id="2" xr3:uid="{61331D10-CF2B-44D5-894E-3FB1ABEEFEF2}" name="People" dataDxfId="24"/>
    <tableColumn id="3" xr3:uid="{7DBEEF48-AA27-47B7-AB03-CFE6B3C764BA}" name="Hourly wage" dataDxfId="23"/>
    <tableColumn id="4" xr3:uid="{F5166F56-AC68-463A-ACD8-F7359DD36B3A}" name="Hours per month" dataDxfId="22">
      <calculatedColumnFormula>PRODUCT(8,5,4)</calculatedColumnFormula>
    </tableColumn>
    <tableColumn id="5" xr3:uid="{82315B77-4E44-4E44-96F2-404661125470}" name="Monthly salary" dataDxfId="21">
      <calculatedColumnFormula>PRODUCT(C24,D24)</calculatedColumnFormula>
    </tableColumn>
    <tableColumn id="6" xr3:uid="{CA830B4C-D477-40A3-B4AC-D2DB7D7BD96B}" name="Total salary" dataDxfId="20">
      <calculatedColumnFormula>PRODUCT(PRODUCT(Tabella1[[#This Row],[Monthly salary]],12),Tabella1[[#This Row],[People]])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166C8-83BB-4D0D-BD8D-027A08DF4A42}" name="Tabella2" displayName="Tabella2" ref="A28:C37" totalsRowShown="0" headerRowDxfId="19" dataDxfId="18">
  <autoFilter ref="A28:C37" xr:uid="{10A166C8-83BB-4D0D-BD8D-027A08DF4A42}"/>
  <tableColumns count="3">
    <tableColumn id="1" xr3:uid="{441C5D47-F572-4A6D-8892-68F953A6752F}" name="Cost" dataDxfId="17"/>
    <tableColumn id="2" xr3:uid="{D89530A7-38D8-441A-8BDB-7FD882211581}" name="Price" dataDxfId="16"/>
    <tableColumn id="3" xr3:uid="{9D911918-A806-4249-B0CA-38198ACD0462}" name="Total cost" dataDxfId="1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2EDE0A-F97B-45E0-B0AD-F537274B5522}" name="Tabella4" displayName="Tabella4" ref="D31:F36" totalsRowShown="0" headerRowDxfId="14" dataDxfId="13">
  <autoFilter ref="D31:F36" xr:uid="{DD2EDE0A-F97B-45E0-B0AD-F537274B5522}"/>
  <tableColumns count="3">
    <tableColumn id="1" xr3:uid="{1320C714-27F9-4DAB-9FD8-7E9BF6A153B7}" name="First year" dataDxfId="12">
      <calculatedColumnFormula>PRODUCT(Tabella2[[#This Row],[Price]],30,3)</calculatedColumnFormula>
    </tableColumn>
    <tableColumn id="2" xr3:uid="{72B7F8C6-D8EB-4ED4-840A-D9CD11A8857A}" name="Second year" dataDxfId="11">
      <calculatedColumnFormula>PRODUCT(Tabella2[[#This Row],[Price]],30,2)</calculatedColumnFormula>
    </tableColumn>
    <tableColumn id="3" xr3:uid="{980705E8-C19F-428B-93D0-EE4EA23CB0B2}" name="Third year" dataDxfId="10">
      <calculatedColumnFormula>PRODUCT(Tabella2[[#This Row],[Price]],30)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42F39B-B476-40FF-A245-025F1F7B3466}" name="Tabella46" displayName="Tabella46" ref="D44:F45" totalsRowShown="0" headerRowDxfId="9" dataDxfId="8">
  <autoFilter ref="D44:F45" xr:uid="{4042F39B-B476-40FF-A245-025F1F7B3466}"/>
  <tableColumns count="3">
    <tableColumn id="1" xr3:uid="{5200E886-1F74-449D-A606-A3927563D96B}" name="First year" dataDxfId="7">
      <calculatedColumnFormula>PRODUCT(Tabella6[[#This Row],[Price]],0.05,12000)</calculatedColumnFormula>
    </tableColumn>
    <tableColumn id="2" xr3:uid="{922784AF-0ACA-41CC-ACAE-6C96734FC0EE}" name="Second year" dataDxfId="6">
      <calculatedColumnFormula>PRODUCT(Tabella6[[#This Row],[Price]],0.05,24000)</calculatedColumnFormula>
    </tableColumn>
    <tableColumn id="3" xr3:uid="{F2BE196B-547B-4D59-8E50-1E41F3907E1B}" name="Third year" dataDxfId="5">
      <calculatedColumnFormula>PRODUCT(Tabella6[[#This Row],[Price]],0.05,36000)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8FEF43-E6BE-47B6-8840-D26FCD1DE78E}" name="Tabella6" displayName="Tabella6" ref="A42:C45" totalsRowShown="0" headerRowDxfId="4" dataDxfId="3">
  <autoFilter ref="A42:C45" xr:uid="{AA8FEF43-E6BE-47B6-8840-D26FCD1DE78E}"/>
  <tableColumns count="3">
    <tableColumn id="1" xr3:uid="{D30A4F11-9B21-4A79-A5AC-5DEBD1CE5D1D}" name="Benefits" dataDxfId="2"/>
    <tableColumn id="2" xr3:uid="{83CB6D05-B386-4183-860C-24A9F6535DAB}" name="Price" dataDxfId="1"/>
    <tableColumn id="3" xr3:uid="{BE9B4279-979E-4310-99B9-70474AC9D433}" name="Monthly subscription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stinger.com/tutorials/website-maintenance-cost" TargetMode="External"/><Relationship Id="rId13" Type="http://schemas.openxmlformats.org/officeDocument/2006/relationships/hyperlink" Target="https://www.glassdoor.it/Stipendi/software-engineer-stipendio-SRCH_KO0,17.htm" TargetMode="External"/><Relationship Id="rId3" Type="http://schemas.openxmlformats.org/officeDocument/2006/relationships/hyperlink" Target="https://colab.research.google.com/signup" TargetMode="External"/><Relationship Id="rId7" Type="http://schemas.openxmlformats.org/officeDocument/2006/relationships/hyperlink" Target="https://www.glassdoor.it/Stipendi/web-developer-stipendio-SRCH_KO0,13.htm" TargetMode="External"/><Relationship Id="rId12" Type="http://schemas.openxmlformats.org/officeDocument/2006/relationships/hyperlink" Target="https://www.affissionitalia.com/categoria-prodotto/affissioni-lombardia/affissioni-milano-affissioni-lombardia/" TargetMode="External"/><Relationship Id="rId2" Type="http://schemas.openxmlformats.org/officeDocument/2006/relationships/hyperlink" Target="https://www.jobbydoo.it/stipendio/software-engineer" TargetMode="External"/><Relationship Id="rId1" Type="http://schemas.openxmlformats.org/officeDocument/2006/relationships/hyperlink" Target="https://it.talent.com/salary?job=project+manager" TargetMode="External"/><Relationship Id="rId6" Type="http://schemas.openxmlformats.org/officeDocument/2006/relationships/hyperlink" Target="https://www.studenti.it/affitti-studenti-fuori-sede-costi.html" TargetMode="External"/><Relationship Id="rId11" Type="http://schemas.openxmlformats.org/officeDocument/2006/relationships/hyperlink" Target="https://www.affissionitalia.com/categoria-prodotto/affissioni-lazio/affissioni-roma/" TargetMode="External"/><Relationship Id="rId5" Type="http://schemas.openxmlformats.org/officeDocument/2006/relationships/hyperlink" Target="https://azure.microsoft.com/en-us/pricing/details/app-service/windows/" TargetMode="External"/><Relationship Id="rId10" Type="http://schemas.openxmlformats.org/officeDocument/2006/relationships/hyperlink" Target="https://www.affissionitalia.com/categoria-prodotto/affissioni-campania/" TargetMode="External"/><Relationship Id="rId4" Type="http://schemas.openxmlformats.org/officeDocument/2006/relationships/hyperlink" Target="https://www.microsoft.com/en-us/sql-server/sql-server-2022-pricing" TargetMode="External"/><Relationship Id="rId9" Type="http://schemas.openxmlformats.org/officeDocument/2006/relationships/hyperlink" Target="https://www.skuola.net/news/inchiesta/universita-alloggi-affitti-fuori-se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topLeftCell="A23" zoomScaleNormal="100" workbookViewId="0">
      <selection activeCell="C25" sqref="C25"/>
    </sheetView>
  </sheetViews>
  <sheetFormatPr defaultRowHeight="13.2" x14ac:dyDescent="0.25"/>
  <cols>
    <col min="1" max="1" width="52.44140625" customWidth="1"/>
    <col min="2" max="2" width="11.6640625" customWidth="1"/>
    <col min="3" max="3" width="23.88671875" customWidth="1"/>
    <col min="4" max="4" width="21.33203125" customWidth="1"/>
    <col min="5" max="5" width="20" customWidth="1"/>
    <col min="6" max="6" width="16" customWidth="1"/>
    <col min="8" max="8" width="38.44140625" customWidth="1"/>
    <col min="9" max="9" width="13.5546875" customWidth="1"/>
    <col min="10" max="10" width="12.5546875" customWidth="1"/>
    <col min="11" max="11" width="18.109375" customWidth="1"/>
    <col min="12" max="12" width="16.33203125" customWidth="1"/>
    <col min="13" max="13" width="13.6640625" customWidth="1"/>
  </cols>
  <sheetData>
    <row r="1" spans="1:7" ht="22.8" x14ac:dyDescent="0.4">
      <c r="A1" s="28" t="s">
        <v>35</v>
      </c>
      <c r="B1" s="28"/>
      <c r="C1" s="28"/>
      <c r="D1" s="28"/>
      <c r="E1" s="28"/>
      <c r="F1" s="28"/>
      <c r="G1" s="28"/>
    </row>
    <row r="2" spans="1:7" ht="22.8" x14ac:dyDescent="0.4">
      <c r="A2" s="29" t="s">
        <v>27</v>
      </c>
      <c r="B2" s="29"/>
      <c r="C2" s="12" t="s">
        <v>0</v>
      </c>
      <c r="D2" s="30">
        <v>45230</v>
      </c>
      <c r="E2" s="30"/>
      <c r="F2" s="30"/>
      <c r="G2" s="30"/>
    </row>
    <row r="3" spans="1:7" x14ac:dyDescent="0.25">
      <c r="A3" s="11"/>
      <c r="B3" s="11"/>
      <c r="C3" s="11"/>
      <c r="D3" s="11"/>
      <c r="E3" s="11"/>
      <c r="F3" s="11"/>
      <c r="G3" s="11"/>
    </row>
    <row r="4" spans="1:7" x14ac:dyDescent="0.25">
      <c r="A4" s="2" t="s">
        <v>1</v>
      </c>
      <c r="B4" s="13">
        <v>0.08</v>
      </c>
    </row>
    <row r="5" spans="1:7" x14ac:dyDescent="0.25">
      <c r="A5" s="2"/>
      <c r="B5" s="8"/>
    </row>
    <row r="6" spans="1:7" ht="26.4" x14ac:dyDescent="0.25">
      <c r="A6" s="11" t="s">
        <v>34</v>
      </c>
      <c r="D6" s="2" t="s">
        <v>2</v>
      </c>
      <c r="F6" s="2"/>
    </row>
    <row r="7" spans="1:7" x14ac:dyDescent="0.25">
      <c r="B7" s="15">
        <v>0</v>
      </c>
      <c r="C7" s="16">
        <v>1</v>
      </c>
      <c r="D7" s="16">
        <v>2</v>
      </c>
      <c r="E7" s="16">
        <v>3</v>
      </c>
      <c r="F7" s="2" t="s">
        <v>3</v>
      </c>
    </row>
    <row r="8" spans="1:7" x14ac:dyDescent="0.25">
      <c r="A8" t="s">
        <v>4</v>
      </c>
      <c r="B8" s="17">
        <f>SUM(F24:F25,C29:C31)</f>
        <v>246376.44</v>
      </c>
      <c r="C8" s="17">
        <f>SUM(F26,C29:C30,Tabella4[First year],C37)</f>
        <v>126051</v>
      </c>
      <c r="D8" s="17">
        <f>SUM(F26,C29:C30,Tabella4[Second year],C37)</f>
        <v>122021</v>
      </c>
      <c r="E8" s="17">
        <f>SUM(F26,C29:C30,Tabella4[Third year],C37)</f>
        <v>117991</v>
      </c>
    </row>
    <row r="9" spans="1:7" x14ac:dyDescent="0.25">
      <c r="A9" t="s">
        <v>5</v>
      </c>
      <c r="B9" s="10">
        <f>ROUND(1/(1+$B$4)^B$7,2)</f>
        <v>1</v>
      </c>
      <c r="C9" s="10">
        <f>ROUND(1/(1+$B$4)^C$7,2)</f>
        <v>0.93</v>
      </c>
      <c r="D9" s="10">
        <f>ROUND(1/(1+$B$4)^D$7,2)</f>
        <v>0.86</v>
      </c>
      <c r="E9" s="10">
        <f>ROUND(1/(1+$B$4)^E$7,2)</f>
        <v>0.79</v>
      </c>
    </row>
    <row r="10" spans="1:7" x14ac:dyDescent="0.25">
      <c r="A10" s="2" t="s">
        <v>6</v>
      </c>
      <c r="B10" s="3">
        <f>B8*B9</f>
        <v>246376.44</v>
      </c>
      <c r="C10" s="3">
        <f>C8*C9</f>
        <v>117227.43000000001</v>
      </c>
      <c r="D10" s="3">
        <f>D8*D9</f>
        <v>104938.06</v>
      </c>
      <c r="E10" s="3">
        <f>E8*E9</f>
        <v>93212.89</v>
      </c>
      <c r="F10" s="4">
        <f>SUM(B10:E10)</f>
        <v>561754.81999999995</v>
      </c>
    </row>
    <row r="12" spans="1:7" x14ac:dyDescent="0.25">
      <c r="A12" t="s">
        <v>7</v>
      </c>
      <c r="B12" s="14">
        <v>0</v>
      </c>
      <c r="C12" s="14">
        <f>SUM(PRODUCT(B43,C43,12),PRODUCT(B44,C44,12),Tabella46[First year])</f>
        <v>404400.00000000006</v>
      </c>
      <c r="D12" s="14">
        <f>SUM(PRODUCT(B43,C43,12,2),PRODUCT(B44,C44,12,2),Tabella46[Second year])</f>
        <v>808800.00000000012</v>
      </c>
      <c r="E12" s="14">
        <f>SUM(PRODUCT(B43,C43,12,3),PRODUCT(B44,C44,12,3),Tabella46[Third year])</f>
        <v>1213200</v>
      </c>
    </row>
    <row r="13" spans="1:7" x14ac:dyDescent="0.25">
      <c r="A13" t="s">
        <v>5</v>
      </c>
      <c r="B13" s="10">
        <f>ROUND(1/(1+$B$4)^B$7,2)</f>
        <v>1</v>
      </c>
      <c r="C13" s="10">
        <f>ROUND(1/(1+$B$4)^C$7,2)</f>
        <v>0.93</v>
      </c>
      <c r="D13" s="10">
        <f>ROUND(1/(1+$B$4)^D$7,2)</f>
        <v>0.86</v>
      </c>
      <c r="E13" s="10">
        <f>ROUND(1/(1+$B$4)^E$7,2)</f>
        <v>0.79</v>
      </c>
    </row>
    <row r="14" spans="1:7" x14ac:dyDescent="0.25">
      <c r="A14" s="2" t="s">
        <v>8</v>
      </c>
      <c r="B14" s="5">
        <f>B12*B13</f>
        <v>0</v>
      </c>
      <c r="C14" s="3">
        <f>C12*C13</f>
        <v>376092.00000000006</v>
      </c>
      <c r="D14" s="3">
        <f>D12*D13</f>
        <v>695568.00000000012</v>
      </c>
      <c r="E14" s="3">
        <f>E12*E13</f>
        <v>958428</v>
      </c>
      <c r="F14" s="3">
        <f>SUM(B14:E14)</f>
        <v>2030088.0000000002</v>
      </c>
    </row>
    <row r="16" spans="1:7" x14ac:dyDescent="0.25">
      <c r="A16" t="s">
        <v>9</v>
      </c>
      <c r="B16" s="1">
        <f>B14-B10</f>
        <v>-246376.44</v>
      </c>
      <c r="C16" s="1">
        <f>C14-C10</f>
        <v>258864.57000000007</v>
      </c>
      <c r="D16" s="1">
        <f>D14-D10</f>
        <v>590629.94000000018</v>
      </c>
      <c r="E16" s="1">
        <f>E14-E10</f>
        <v>865215.11</v>
      </c>
      <c r="F16" s="4">
        <f>F14-F10</f>
        <v>1468333.1800000002</v>
      </c>
      <c r="G16" s="6" t="s">
        <v>10</v>
      </c>
    </row>
    <row r="17" spans="1:6" x14ac:dyDescent="0.25">
      <c r="A17" t="s">
        <v>11</v>
      </c>
      <c r="B17" s="1">
        <f>B16</f>
        <v>-246376.44</v>
      </c>
      <c r="C17" s="1">
        <f>B17+C16</f>
        <v>12488.130000000063</v>
      </c>
      <c r="D17" s="1">
        <f>C17+D16</f>
        <v>603118.0700000003</v>
      </c>
      <c r="E17" s="9">
        <f>D17+E16</f>
        <v>1468333.1800000002</v>
      </c>
    </row>
    <row r="19" spans="1:6" x14ac:dyDescent="0.25">
      <c r="A19" s="2" t="s">
        <v>12</v>
      </c>
      <c r="B19" s="7">
        <f>(F14-F10)/F10</f>
        <v>2.6138328105489159</v>
      </c>
    </row>
    <row r="20" spans="1:6" x14ac:dyDescent="0.25">
      <c r="B20" s="27" t="s">
        <v>37</v>
      </c>
      <c r="C20" s="27"/>
      <c r="D20" s="27"/>
    </row>
    <row r="21" spans="1:6" x14ac:dyDescent="0.25">
      <c r="A21" s="2" t="s">
        <v>13</v>
      </c>
      <c r="D21" s="22"/>
    </row>
    <row r="23" spans="1:6" x14ac:dyDescent="0.25">
      <c r="A23" s="23" t="s">
        <v>41</v>
      </c>
      <c r="B23" s="23" t="s">
        <v>45</v>
      </c>
      <c r="C23" s="23" t="s">
        <v>48</v>
      </c>
      <c r="D23" s="23" t="s">
        <v>44</v>
      </c>
      <c r="E23" s="23" t="s">
        <v>43</v>
      </c>
      <c r="F23" s="23" t="s">
        <v>42</v>
      </c>
    </row>
    <row r="24" spans="1:6" x14ac:dyDescent="0.25">
      <c r="A24" s="20" t="s">
        <v>46</v>
      </c>
      <c r="B24" s="23">
        <v>2</v>
      </c>
      <c r="C24" s="23">
        <v>24</v>
      </c>
      <c r="D24" s="23">
        <f>PRODUCT(8,5,4)</f>
        <v>160</v>
      </c>
      <c r="E24" s="23">
        <f t="shared" ref="E24:E25" si="0">PRODUCT(C24,D24)</f>
        <v>3840</v>
      </c>
      <c r="F24" s="23">
        <f>PRODUCT(PRODUCT(Tabella1[[#This Row],[Monthly salary]],12),Tabella1[[#This Row],[People]])</f>
        <v>92160</v>
      </c>
    </row>
    <row r="25" spans="1:6" x14ac:dyDescent="0.25">
      <c r="A25" s="20" t="s">
        <v>47</v>
      </c>
      <c r="B25" s="23">
        <v>6</v>
      </c>
      <c r="C25" s="23">
        <v>13</v>
      </c>
      <c r="D25" s="23">
        <f>PRODUCT(8,5,4)</f>
        <v>160</v>
      </c>
      <c r="E25" s="23">
        <f t="shared" si="0"/>
        <v>2080</v>
      </c>
      <c r="F25" s="23">
        <f>PRODUCT(PRODUCT(Tabella1[[#This Row],[Monthly salary]],12),Tabella1[[#This Row],[People]])</f>
        <v>149760</v>
      </c>
    </row>
    <row r="26" spans="1:6" x14ac:dyDescent="0.25">
      <c r="A26" s="25" t="s">
        <v>75</v>
      </c>
      <c r="B26" s="23">
        <v>6</v>
      </c>
      <c r="C26" s="23">
        <v>11</v>
      </c>
      <c r="D26" s="23">
        <f>PRODUCT(4,5,4)</f>
        <v>80</v>
      </c>
      <c r="E26" s="23">
        <f>PRODUCT(C26,D26)</f>
        <v>880</v>
      </c>
      <c r="F26" s="23">
        <f>PRODUCT(PRODUCT(Tabella1[[#This Row],[Monthly salary]],12),Tabella1[[#This Row],[People]])</f>
        <v>63360</v>
      </c>
    </row>
    <row r="28" spans="1:6" x14ac:dyDescent="0.25">
      <c r="A28" s="23" t="s">
        <v>41</v>
      </c>
      <c r="B28" s="23" t="s">
        <v>49</v>
      </c>
      <c r="C28" s="23" t="s">
        <v>50</v>
      </c>
    </row>
    <row r="29" spans="1:6" x14ac:dyDescent="0.25">
      <c r="A29" s="20" t="s">
        <v>52</v>
      </c>
      <c r="B29" s="23">
        <v>934</v>
      </c>
      <c r="C29" s="23">
        <v>934</v>
      </c>
    </row>
    <row r="30" spans="1:6" x14ac:dyDescent="0.25">
      <c r="A30" s="20" t="s">
        <v>51</v>
      </c>
      <c r="B30" s="23">
        <v>138.89599999999999</v>
      </c>
      <c r="C30" s="23">
        <f>ROUND(PRODUCT(Tabella2[[#This Row],[Price]],12),0)</f>
        <v>1667</v>
      </c>
    </row>
    <row r="31" spans="1:6" x14ac:dyDescent="0.25">
      <c r="A31" s="20" t="s">
        <v>53</v>
      </c>
      <c r="B31" s="23">
        <v>51.54</v>
      </c>
      <c r="C31" s="23">
        <f>PRODUCT(Tabella2[[#This Row],[Price]],12,3)</f>
        <v>1855.44</v>
      </c>
      <c r="D31" s="23" t="s">
        <v>56</v>
      </c>
      <c r="E31" s="23" t="s">
        <v>57</v>
      </c>
      <c r="F31" s="23" t="s">
        <v>58</v>
      </c>
    </row>
    <row r="32" spans="1:6" x14ac:dyDescent="0.25">
      <c r="A32" s="24" t="s">
        <v>54</v>
      </c>
      <c r="B32" s="23">
        <v>20</v>
      </c>
      <c r="C32" s="23"/>
      <c r="D32" s="23">
        <f>PRODUCT(Tabella2[[#This Row],[Price]],30,3)</f>
        <v>1800</v>
      </c>
      <c r="E32" s="23">
        <f>PRODUCT(Tabella2[[#This Row],[Price]],30,2)</f>
        <v>1200</v>
      </c>
      <c r="F32" s="23">
        <f>PRODUCT(Tabella2[[#This Row],[Price]],30)</f>
        <v>600</v>
      </c>
    </row>
    <row r="33" spans="1:6" x14ac:dyDescent="0.25">
      <c r="A33" s="24" t="s">
        <v>72</v>
      </c>
      <c r="B33" s="23">
        <v>20</v>
      </c>
      <c r="C33" s="23"/>
      <c r="D33" s="23">
        <f>PRODUCT(Tabella2[[#This Row],[Price]],30,3)</f>
        <v>1800</v>
      </c>
      <c r="E33" s="23">
        <f>PRODUCT(Tabella2[[#This Row],[Price]],30,2)</f>
        <v>1200</v>
      </c>
      <c r="F33" s="23">
        <f>PRODUCT(Tabella2[[#This Row],[Price]],30)</f>
        <v>600</v>
      </c>
    </row>
    <row r="34" spans="1:6" x14ac:dyDescent="0.25">
      <c r="A34" s="24" t="s">
        <v>63</v>
      </c>
      <c r="B34" s="23">
        <v>170</v>
      </c>
      <c r="C34" s="23"/>
      <c r="D34" s="23">
        <f>PRODUCT(Tabella2[[#This Row],[Price]],2,3)</f>
        <v>1020</v>
      </c>
      <c r="E34" s="23">
        <f>PRODUCT(Tabella2[[#This Row],[Price]],2,2)</f>
        <v>680</v>
      </c>
      <c r="F34" s="23">
        <f>PRODUCT(Tabella2[[#This Row],[Price]],2,1)</f>
        <v>340</v>
      </c>
    </row>
    <row r="35" spans="1:6" x14ac:dyDescent="0.25">
      <c r="A35" s="24" t="s">
        <v>66</v>
      </c>
      <c r="B35" s="23">
        <v>1000</v>
      </c>
      <c r="C35" s="23"/>
      <c r="D35" s="23">
        <f>PRODUCT(Tabella2[[#This Row],[Price]],2,3)</f>
        <v>6000</v>
      </c>
      <c r="E35" s="23">
        <f>PRODUCT(Tabella2[[#This Row],[Price]],2,2)</f>
        <v>4000</v>
      </c>
      <c r="F35" s="23">
        <f>PRODUCT(Tabella2[[#This Row],[Price]],2)</f>
        <v>2000</v>
      </c>
    </row>
    <row r="36" spans="1:6" x14ac:dyDescent="0.25">
      <c r="A36" s="24" t="s">
        <v>64</v>
      </c>
      <c r="B36" s="23">
        <v>245</v>
      </c>
      <c r="C36" s="23"/>
      <c r="D36" s="23">
        <f>PRODUCT(Tabella2[[#This Row],[Price]],2,3)</f>
        <v>1470</v>
      </c>
      <c r="E36" s="23">
        <f>PRODUCT(Tabella2[[#This Row],[Price]],2,2)</f>
        <v>980</v>
      </c>
      <c r="F36" s="23">
        <f>PRODUCT(Tabella2[[#This Row],[Price]],2)</f>
        <v>490</v>
      </c>
    </row>
    <row r="37" spans="1:6" x14ac:dyDescent="0.25">
      <c r="A37" s="20" t="s">
        <v>55</v>
      </c>
      <c r="B37" s="23">
        <v>4000</v>
      </c>
      <c r="C37" s="23">
        <f>PRODUCT(Tabella2[[#This Row],[Price]],12)</f>
        <v>48000</v>
      </c>
    </row>
    <row r="40" spans="1:6" x14ac:dyDescent="0.25">
      <c r="A40" s="2" t="s">
        <v>7</v>
      </c>
    </row>
    <row r="42" spans="1:6" x14ac:dyDescent="0.25">
      <c r="A42" s="23" t="s">
        <v>7</v>
      </c>
      <c r="B42" s="23" t="s">
        <v>49</v>
      </c>
      <c r="C42" s="23" t="s">
        <v>62</v>
      </c>
    </row>
    <row r="43" spans="1:6" x14ac:dyDescent="0.25">
      <c r="A43" s="20" t="s">
        <v>59</v>
      </c>
      <c r="B43" s="23">
        <v>10</v>
      </c>
      <c r="C43" s="23">
        <v>500</v>
      </c>
    </row>
    <row r="44" spans="1:6" x14ac:dyDescent="0.25">
      <c r="A44" s="20" t="s">
        <v>60</v>
      </c>
      <c r="B44" s="23">
        <v>2.5</v>
      </c>
      <c r="C44" s="23">
        <v>2000</v>
      </c>
      <c r="D44" s="23" t="s">
        <v>56</v>
      </c>
      <c r="E44" s="23" t="s">
        <v>57</v>
      </c>
      <c r="F44" s="23" t="s">
        <v>58</v>
      </c>
    </row>
    <row r="45" spans="1:6" x14ac:dyDescent="0.25">
      <c r="A45" s="20" t="s">
        <v>61</v>
      </c>
      <c r="B45" s="23">
        <v>474</v>
      </c>
      <c r="C45" s="23"/>
      <c r="D45" s="23">
        <f>PRODUCT(Tabella6[[#This Row],[Price]],0.05,12000)</f>
        <v>284400.00000000006</v>
      </c>
      <c r="E45" s="23">
        <f>PRODUCT(Tabella6[[#This Row],[Price]],0.05,24000)</f>
        <v>568800.00000000012</v>
      </c>
      <c r="F45" s="23">
        <f>PRODUCT(Tabella6[[#This Row],[Price]],0.05,36000)</f>
        <v>853200.00000000012</v>
      </c>
    </row>
  </sheetData>
  <mergeCells count="4">
    <mergeCell ref="B20:D20"/>
    <mergeCell ref="A1:G1"/>
    <mergeCell ref="A2:B2"/>
    <mergeCell ref="D2:G2"/>
  </mergeCells>
  <phoneticPr fontId="0" type="noConversion"/>
  <printOptions gridLines="1"/>
  <pageMargins left="0.75" right="0.75" top="1" bottom="1" header="0.5" footer="0.5"/>
  <pageSetup scale="59" orientation="portrait" r:id="rId1"/>
  <headerFooter alignWithMargins="0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6"/>
  <sheetViews>
    <sheetView workbookViewId="0">
      <selection activeCell="R2" sqref="R2"/>
    </sheetView>
  </sheetViews>
  <sheetFormatPr defaultRowHeight="13.2" x14ac:dyDescent="0.25"/>
  <cols>
    <col min="1" max="1" width="27.6640625" customWidth="1"/>
  </cols>
  <sheetData>
    <row r="2" spans="1:20" ht="28.2" x14ac:dyDescent="0.5">
      <c r="A2" s="19" t="s">
        <v>14</v>
      </c>
    </row>
    <row r="3" spans="1:20" x14ac:dyDescent="0.25">
      <c r="A3" s="20" t="s">
        <v>28</v>
      </c>
      <c r="B3" s="21" t="s">
        <v>29</v>
      </c>
      <c r="I3" t="s">
        <v>30</v>
      </c>
    </row>
    <row r="4" spans="1:20" x14ac:dyDescent="0.25">
      <c r="A4" s="20" t="s">
        <v>31</v>
      </c>
      <c r="B4" s="21" t="s">
        <v>32</v>
      </c>
      <c r="I4" t="s">
        <v>33</v>
      </c>
    </row>
    <row r="5" spans="1:20" x14ac:dyDescent="0.25">
      <c r="A5" s="20" t="s">
        <v>26</v>
      </c>
      <c r="B5" s="21" t="s">
        <v>15</v>
      </c>
    </row>
    <row r="6" spans="1:20" x14ac:dyDescent="0.25">
      <c r="A6" s="20" t="s">
        <v>21</v>
      </c>
      <c r="B6" s="18" t="s">
        <v>16</v>
      </c>
    </row>
    <row r="7" spans="1:20" x14ac:dyDescent="0.25">
      <c r="A7" s="20" t="s">
        <v>77</v>
      </c>
      <c r="B7" s="18" t="s">
        <v>16</v>
      </c>
    </row>
    <row r="8" spans="1:20" x14ac:dyDescent="0.25">
      <c r="A8" s="20" t="s">
        <v>20</v>
      </c>
      <c r="B8" s="21" t="s">
        <v>18</v>
      </c>
      <c r="G8" s="21" t="s">
        <v>24</v>
      </c>
      <c r="O8" s="21" t="s">
        <v>25</v>
      </c>
      <c r="T8" s="21"/>
    </row>
    <row r="9" spans="1:20" x14ac:dyDescent="0.25">
      <c r="A9" s="20" t="s">
        <v>19</v>
      </c>
      <c r="B9" s="21" t="s">
        <v>38</v>
      </c>
    </row>
    <row r="10" spans="1:20" x14ac:dyDescent="0.25">
      <c r="A10" s="25" t="s">
        <v>76</v>
      </c>
      <c r="B10" s="21" t="s">
        <v>73</v>
      </c>
    </row>
    <row r="11" spans="1:20" x14ac:dyDescent="0.25">
      <c r="A11" s="20" t="s">
        <v>17</v>
      </c>
      <c r="B11" s="21" t="s">
        <v>22</v>
      </c>
      <c r="H11" s="18" t="s">
        <v>23</v>
      </c>
    </row>
    <row r="12" spans="1:20" ht="39.6" x14ac:dyDescent="0.25">
      <c r="A12" s="26" t="s">
        <v>74</v>
      </c>
      <c r="B12" s="21" t="s">
        <v>36</v>
      </c>
    </row>
    <row r="13" spans="1:20" x14ac:dyDescent="0.25">
      <c r="A13" s="20" t="s">
        <v>39</v>
      </c>
      <c r="B13" s="21" t="s">
        <v>40</v>
      </c>
    </row>
    <row r="14" spans="1:20" x14ac:dyDescent="0.25">
      <c r="A14" s="20" t="s">
        <v>67</v>
      </c>
      <c r="B14" s="21" t="s">
        <v>65</v>
      </c>
    </row>
    <row r="15" spans="1:20" x14ac:dyDescent="0.25">
      <c r="A15" s="20" t="s">
        <v>68</v>
      </c>
      <c r="B15" s="21" t="s">
        <v>69</v>
      </c>
    </row>
    <row r="16" spans="1:20" x14ac:dyDescent="0.25">
      <c r="A16" s="20" t="s">
        <v>71</v>
      </c>
      <c r="B16" s="21" t="s">
        <v>70</v>
      </c>
    </row>
  </sheetData>
  <phoneticPr fontId="0" type="noConversion"/>
  <hyperlinks>
    <hyperlink ref="B8" r:id="rId1" xr:uid="{527B1321-1F9F-4676-9636-E251E8D25623}"/>
    <hyperlink ref="O8" r:id="rId2" xr:uid="{48C3DBBC-D077-4C57-9E21-BD5C4BA9C379}"/>
    <hyperlink ref="B5" r:id="rId3" xr:uid="{2FDF942B-1E38-4994-8F79-B50599473D11}"/>
    <hyperlink ref="B3" r:id="rId4" xr:uid="{FBB8B01A-CC7E-48F8-A189-AC3BFA7E6DA9}"/>
    <hyperlink ref="B4" r:id="rId5" xr:uid="{D46E2020-1624-41A3-840C-76CBE2E60ABB}"/>
    <hyperlink ref="B12" r:id="rId6" location=":~:text=Affitti%20per%20studenti%3A%20il%20prezzo%20dipende%20dalla%20citt%C3%A0,-Secondo%20il%20centro&amp;text=Nella%20Capitale%2C%20infatti%2C%20per%20una,quinta%20posizione%20con%20447%20euro." xr:uid="{6B7DC9CD-989E-4460-A5D4-03CA0DDD6FCC}"/>
    <hyperlink ref="B9" r:id="rId7" xr:uid="{02E2B4CC-AD52-445C-8CA0-598F2897B67F}"/>
    <hyperlink ref="B11" r:id="rId8" xr:uid="{F5FB9113-5952-48D6-A6A8-0E6045389D84}"/>
    <hyperlink ref="B13" r:id="rId9" xr:uid="{FD6C4BEE-48BC-4195-9F15-7CF11A7B51E7}"/>
    <hyperlink ref="B14" r:id="rId10" display="https://www.affissionitalia.com/categoria-prodotto/affissioni-campania/" xr:uid="{AD599595-5157-43DA-8CB9-0038393C145F}"/>
    <hyperlink ref="B15" r:id="rId11" display="https://www.affissionitalia.com/categoria-prodotto/affissioni-lazio/affissioni-roma/" xr:uid="{E8AEEF6C-4A85-4E2C-99DD-ABB819383A1F}"/>
    <hyperlink ref="B16" r:id="rId12" display="https://www.affissionitalia.com/categoria-prodotto/affissioni-lombardia/affissioni-milano-affissioni-lombardia/" xr:uid="{8C124C3D-9497-493A-AF07-04D458846537}"/>
    <hyperlink ref="G8" r:id="rId13" xr:uid="{28ACAA9B-F0DC-4397-9080-29FFACFED15B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exibit</vt:lpstr>
      <vt:lpstr>fonti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r.iuliano13@studenti.unisa.it;s.dellaporta6@studenti.unisa.it</dc:creator>
  <cp:keywords/>
  <dc:description/>
  <cp:lastModifiedBy>SIMONE DELLA PORTA</cp:lastModifiedBy>
  <cp:revision/>
  <cp:lastPrinted>2023-12-11T09:34:39Z</cp:lastPrinted>
  <dcterms:created xsi:type="dcterms:W3CDTF">2003-02-20T16:30:31Z</dcterms:created>
  <dcterms:modified xsi:type="dcterms:W3CDTF">2023-12-11T09:35:50Z</dcterms:modified>
  <cp:category/>
  <cp:contentStatus/>
</cp:coreProperties>
</file>