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-t\Documents\002_税務処理参考資料\自作資料\"/>
    </mc:Choice>
  </mc:AlternateContent>
  <xr:revisionPtr revIDLastSave="0" documentId="13_ncr:1_{4AB3C96A-657A-4E9A-8468-8EC02FA1AEC6}" xr6:coauthVersionLast="47" xr6:coauthVersionMax="47" xr10:uidLastSave="{00000000-0000-0000-0000-000000000000}"/>
  <bookViews>
    <workbookView xWindow="-120" yWindow="-120" windowWidth="15990" windowHeight="24720" xr2:uid="{725DDE4D-8043-473F-BC45-F6288B9EE9AC}"/>
  </bookViews>
  <sheets>
    <sheet name="測量データ" sheetId="2" r:id="rId1"/>
    <sheet name="自己測定データ" sheetId="7" r:id="rId2"/>
  </sheets>
  <definedNames>
    <definedName name="AX" localSheetId="1">自己測定データ!$C$31</definedName>
    <definedName name="AX">測量データ!$C$31</definedName>
    <definedName name="AY" localSheetId="1">自己測定データ!$C$32</definedName>
    <definedName name="AY">測量データ!$C$32</definedName>
    <definedName name="奥行距離" localSheetId="1">自己測定データ!$B$37</definedName>
    <definedName name="奥行距離">測量データ!$C$39</definedName>
    <definedName name="間口距離" localSheetId="1">自己測定データ!$C$29</definedName>
    <definedName name="間口距離">測量データ!$C$29</definedName>
    <definedName name="傾き" localSheetId="1">自己測定データ!$C$30</definedName>
    <definedName name="傾き">測量データ!$C$30</definedName>
    <definedName name="最後Ｘ" localSheetId="1">自己測定データ!$C$13</definedName>
    <definedName name="最後Ｘ">測量データ!$C$13</definedName>
    <definedName name="最後Ｙ" localSheetId="1">自己測定データ!$D$13</definedName>
    <definedName name="最後Ｙ">測量データ!$D$13</definedName>
    <definedName name="最初Ｘ" localSheetId="1">自己測定データ!$C$6</definedName>
    <definedName name="最初Ｘ">測量データ!$C$6</definedName>
    <definedName name="最初Ｙ" localSheetId="1">自己測定データ!$D$6</definedName>
    <definedName name="最初Ｙ">測量データ!$D$6</definedName>
    <definedName name="実際の距離" localSheetId="1">自己測定データ!$C$20</definedName>
    <definedName name="実際の距離">測量データ!$C$20</definedName>
    <definedName name="縮尺" localSheetId="1">自己測定データ!$B$19</definedName>
    <definedName name="縮尺">測量データ!$B$19</definedName>
    <definedName name="図上の距離" localSheetId="1">自己測定データ!$C$21</definedName>
    <definedName name="図上の距離">測量データ!$C$21</definedName>
    <definedName name="直交点のＸ最小" localSheetId="1">自己測定データ!$J$17</definedName>
    <definedName name="直交点のＸ最小">測量データ!$J$17</definedName>
    <definedName name="直交点のＸ最大" localSheetId="1">自己測定データ!$J$16</definedName>
    <definedName name="直交点のＸ最大">測量データ!$J$16</definedName>
    <definedName name="直交点のＹ最小" localSheetId="1">自己測定データ!$K$17</definedName>
    <definedName name="直交点のＹ最小">測量データ!$K$17</definedName>
    <definedName name="直交点のＹ最大" localSheetId="1">自己測定データ!$K$16</definedName>
    <definedName name="直交点のＹ最大">測量データ!$K$16</definedName>
    <definedName name="面積" localSheetId="1">自己測定データ!$B$26</definedName>
    <definedName name="面積">測量データ!$B$26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7" l="1"/>
  <c r="G14" i="7"/>
  <c r="G5" i="2"/>
  <c r="G14" i="2"/>
  <c r="D24" i="7" l="1"/>
  <c r="C24" i="7"/>
  <c r="D23" i="7"/>
  <c r="C23" i="7"/>
  <c r="H14" i="7"/>
  <c r="D14" i="7"/>
  <c r="C14" i="7" a="1"/>
  <c r="C14" i="7" s="1"/>
  <c r="H5" i="7"/>
  <c r="D5" i="7"/>
  <c r="C5" i="7"/>
  <c r="C21" i="7" l="1"/>
  <c r="B19" i="7" s="1"/>
  <c r="E13" i="7" s="1"/>
  <c r="F10" i="7"/>
  <c r="E14" i="7"/>
  <c r="F14" i="7"/>
  <c r="E11" i="7"/>
  <c r="F7" i="7"/>
  <c r="E8" i="7"/>
  <c r="E7" i="7"/>
  <c r="F5" i="7"/>
  <c r="G6" i="7" s="1"/>
  <c r="E12" i="7"/>
  <c r="E9" i="7"/>
  <c r="F9" i="7"/>
  <c r="G10" i="7" s="1"/>
  <c r="F11" i="7"/>
  <c r="G12" i="7" s="1"/>
  <c r="F8" i="7"/>
  <c r="G9" i="7" s="1"/>
  <c r="F12" i="7"/>
  <c r="G13" i="7" s="1"/>
  <c r="F13" i="7"/>
  <c r="E5" i="7"/>
  <c r="E6" i="7"/>
  <c r="F6" i="7"/>
  <c r="D14" i="2"/>
  <c r="H5" i="2"/>
  <c r="H14" i="2"/>
  <c r="D5" i="2"/>
  <c r="C14" i="2" a="1"/>
  <c r="C14" i="2" s="1"/>
  <c r="C5" i="2"/>
  <c r="D24" i="2"/>
  <c r="C24" i="2"/>
  <c r="D23" i="2"/>
  <c r="C23" i="2"/>
  <c r="D34" i="7" l="1"/>
  <c r="C32" i="7" s="1"/>
  <c r="G7" i="7"/>
  <c r="G11" i="7"/>
  <c r="H11" i="7" s="1"/>
  <c r="G8" i="7"/>
  <c r="H8" i="7" s="1"/>
  <c r="E10" i="7"/>
  <c r="H6" i="7"/>
  <c r="C34" i="7"/>
  <c r="C31" i="7" s="1"/>
  <c r="H12" i="7"/>
  <c r="C35" i="7"/>
  <c r="H9" i="7"/>
  <c r="D35" i="7"/>
  <c r="H7" i="7"/>
  <c r="H13" i="7"/>
  <c r="H10" i="7"/>
  <c r="C21" i="2"/>
  <c r="B19" i="2" s="1"/>
  <c r="C30" i="7" l="1"/>
  <c r="H15" i="7"/>
  <c r="B26" i="7" s="1"/>
  <c r="K5" i="7"/>
  <c r="K8" i="7"/>
  <c r="J14" i="7"/>
  <c r="K12" i="7"/>
  <c r="K13" i="7"/>
  <c r="J12" i="7"/>
  <c r="J7" i="7"/>
  <c r="K10" i="7"/>
  <c r="J10" i="7"/>
  <c r="J5" i="7"/>
  <c r="K11" i="7"/>
  <c r="J8" i="7"/>
  <c r="I8" i="7" s="1"/>
  <c r="K14" i="7"/>
  <c r="J11" i="7"/>
  <c r="K6" i="7"/>
  <c r="J6" i="7"/>
  <c r="K9" i="7"/>
  <c r="J9" i="7"/>
  <c r="K7" i="7"/>
  <c r="J13" i="7"/>
  <c r="I13" i="7" s="1"/>
  <c r="C29" i="7"/>
  <c r="F5" i="2"/>
  <c r="G6" i="2" s="1"/>
  <c r="F8" i="2"/>
  <c r="F9" i="2"/>
  <c r="G10" i="2" s="1"/>
  <c r="F10" i="2"/>
  <c r="F14" i="2"/>
  <c r="F6" i="2"/>
  <c r="G7" i="2" s="1"/>
  <c r="F7" i="2"/>
  <c r="G8" i="2" s="1"/>
  <c r="F11" i="2"/>
  <c r="F12" i="2"/>
  <c r="G13" i="2" s="1"/>
  <c r="F13" i="2"/>
  <c r="E5" i="2"/>
  <c r="E10" i="2"/>
  <c r="E6" i="2"/>
  <c r="E8" i="2"/>
  <c r="E7" i="2"/>
  <c r="E9" i="2"/>
  <c r="E11" i="2"/>
  <c r="E12" i="2"/>
  <c r="E13" i="2"/>
  <c r="E14" i="2"/>
  <c r="G11" i="2" l="1"/>
  <c r="H11" i="2" s="1"/>
  <c r="G12" i="2"/>
  <c r="H12" i="2" s="1"/>
  <c r="G9" i="2"/>
  <c r="H9" i="2" s="1"/>
  <c r="J16" i="7"/>
  <c r="I6" i="7"/>
  <c r="I12" i="7"/>
  <c r="D35" i="2"/>
  <c r="I11" i="7"/>
  <c r="I9" i="7"/>
  <c r="J17" i="7"/>
  <c r="J15" i="7"/>
  <c r="I5" i="7"/>
  <c r="I7" i="7"/>
  <c r="K17" i="7"/>
  <c r="K16" i="7"/>
  <c r="K15" i="7"/>
  <c r="I10" i="7"/>
  <c r="I14" i="7"/>
  <c r="H10" i="2"/>
  <c r="C35" i="2"/>
  <c r="H7" i="2"/>
  <c r="H13" i="2"/>
  <c r="D34" i="2"/>
  <c r="C32" i="2" s="1"/>
  <c r="H6" i="2"/>
  <c r="C34" i="2"/>
  <c r="C31" i="2" s="1"/>
  <c r="H8" i="2"/>
  <c r="B44" i="7" l="1"/>
  <c r="B43" i="7"/>
  <c r="I15" i="7"/>
  <c r="B37" i="7" s="1"/>
  <c r="C41" i="7" s="1"/>
  <c r="C29" i="2"/>
  <c r="H15" i="2"/>
  <c r="B26" i="2" s="1"/>
  <c r="C30" i="2"/>
  <c r="C43" i="7" l="1"/>
  <c r="D43" i="7"/>
  <c r="D44" i="7"/>
  <c r="C44" i="7"/>
  <c r="C40" i="7" s="1"/>
  <c r="J5" i="2"/>
  <c r="J6" i="2"/>
  <c r="J8" i="2"/>
  <c r="J7" i="2"/>
  <c r="J9" i="2"/>
  <c r="J11" i="2"/>
  <c r="J12" i="2"/>
  <c r="J14" i="2"/>
  <c r="J10" i="2"/>
  <c r="J13" i="2"/>
  <c r="K5" i="2"/>
  <c r="K6" i="2"/>
  <c r="K7" i="2"/>
  <c r="K8" i="2"/>
  <c r="K9" i="2"/>
  <c r="K10" i="2"/>
  <c r="K11" i="2"/>
  <c r="K12" i="2"/>
  <c r="K13" i="2"/>
  <c r="K14" i="2"/>
  <c r="K16" i="2" l="1"/>
  <c r="J16" i="2"/>
  <c r="J17" i="2"/>
  <c r="K15" i="2"/>
  <c r="J15" i="2"/>
  <c r="K17" i="2"/>
  <c r="I6" i="2"/>
  <c r="I11" i="2"/>
  <c r="I10" i="2"/>
  <c r="I13" i="2"/>
  <c r="I14" i="2"/>
  <c r="I12" i="2"/>
  <c r="I9" i="2"/>
  <c r="I7" i="2"/>
  <c r="I8" i="2"/>
  <c r="I5" i="2"/>
  <c r="B46" i="2" l="1"/>
  <c r="B45" i="2"/>
  <c r="I15" i="2"/>
  <c r="C39" i="2" l="1"/>
  <c r="C43" i="2" s="1"/>
  <c r="B38" i="2"/>
  <c r="C45" i="2"/>
  <c r="D45" i="2"/>
  <c r="D46" i="2"/>
  <c r="C46" i="2"/>
  <c r="C4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<sst xmlns="http://schemas.openxmlformats.org/spreadsheetml/2006/main" count="143" uniqueCount="64">
  <si>
    <t>Ｘ</t>
    <phoneticPr fontId="2"/>
  </si>
  <si>
    <t>Ｙ</t>
    <phoneticPr fontId="2"/>
  </si>
  <si>
    <t>傾き</t>
    <rPh sb="0" eb="1">
      <t>カタム</t>
    </rPh>
    <phoneticPr fontId="2"/>
  </si>
  <si>
    <t>奥行距離</t>
    <rPh sb="0" eb="2">
      <t>オクユキ</t>
    </rPh>
    <rPh sb="2" eb="4">
      <t>キョリ</t>
    </rPh>
    <phoneticPr fontId="2"/>
  </si>
  <si>
    <t>間口</t>
    <rPh sb="0" eb="2">
      <t>マグチ</t>
    </rPh>
    <phoneticPr fontId="2"/>
  </si>
  <si>
    <t>間口距離</t>
    <rPh sb="0" eb="2">
      <t>マグチ</t>
    </rPh>
    <rPh sb="2" eb="4">
      <t>キョリ</t>
    </rPh>
    <phoneticPr fontId="2"/>
  </si>
  <si>
    <t>面積</t>
    <rPh sb="0" eb="2">
      <t>メンセキ</t>
    </rPh>
    <phoneticPr fontId="2"/>
  </si>
  <si>
    <t>x</t>
    <phoneticPr fontId="2"/>
  </si>
  <si>
    <t>y</t>
    <phoneticPr fontId="2"/>
  </si>
  <si>
    <t>点</t>
    <rPh sb="0" eb="1">
      <t>テン</t>
    </rPh>
    <phoneticPr fontId="2"/>
  </si>
  <si>
    <t>Yn+1-Yn-1</t>
    <phoneticPr fontId="2"/>
  </si>
  <si>
    <t>Xn*(Yn+1-Yn-1)</t>
    <phoneticPr fontId="2"/>
  </si>
  <si>
    <t>間口Ａ</t>
    <rPh sb="0" eb="2">
      <t>マグチ</t>
    </rPh>
    <phoneticPr fontId="2"/>
  </si>
  <si>
    <t>間口Ｂ</t>
    <rPh sb="0" eb="2">
      <t>マグチ</t>
    </rPh>
    <phoneticPr fontId="2"/>
  </si>
  <si>
    <t>縮尺</t>
    <rPh sb="0" eb="2">
      <t>シュクシャク</t>
    </rPh>
    <phoneticPr fontId="2"/>
  </si>
  <si>
    <t>点Ｌ</t>
    <rPh sb="0" eb="1">
      <t>テン</t>
    </rPh>
    <phoneticPr fontId="2"/>
  </si>
  <si>
    <t>点Ｍ</t>
    <rPh sb="0" eb="1">
      <t>テン</t>
    </rPh>
    <phoneticPr fontId="2"/>
  </si>
  <si>
    <t>実際の距離</t>
    <rPh sb="0" eb="2">
      <t>ジッサイ</t>
    </rPh>
    <rPh sb="3" eb="5">
      <t>キョリ</t>
    </rPh>
    <phoneticPr fontId="2"/>
  </si>
  <si>
    <t>図上の距離</t>
    <rPh sb="0" eb="1">
      <t>ズ</t>
    </rPh>
    <rPh sb="1" eb="2">
      <t>ジョウ</t>
    </rPh>
    <rPh sb="3" eb="5">
      <t>キョリ</t>
    </rPh>
    <phoneticPr fontId="2"/>
  </si>
  <si>
    <t>間口α</t>
    <rPh sb="0" eb="2">
      <t>マグチ</t>
    </rPh>
    <phoneticPr fontId="2"/>
  </si>
  <si>
    <t>間口β</t>
    <rPh sb="0" eb="2">
      <t>マグチ</t>
    </rPh>
    <phoneticPr fontId="2"/>
  </si>
  <si>
    <t>想定整形地</t>
    <rPh sb="0" eb="2">
      <t>ソウテイ</t>
    </rPh>
    <rPh sb="2" eb="4">
      <t>セイケイ</t>
    </rPh>
    <rPh sb="4" eb="5">
      <t>チ</t>
    </rPh>
    <phoneticPr fontId="2"/>
  </si>
  <si>
    <t>P1</t>
    <phoneticPr fontId="2"/>
  </si>
  <si>
    <t>P2</t>
  </si>
  <si>
    <t>P3</t>
  </si>
  <si>
    <t>P4</t>
  </si>
  <si>
    <t>P5</t>
  </si>
  <si>
    <t>P6</t>
  </si>
  <si>
    <t>P7</t>
  </si>
  <si>
    <t>P8</t>
  </si>
  <si>
    <t>集計</t>
  </si>
  <si>
    <t>ダミー</t>
    <phoneticPr fontId="2"/>
  </si>
  <si>
    <t>P2</t>
    <phoneticPr fontId="2"/>
  </si>
  <si>
    <t>最初</t>
    <rPh sb="0" eb="2">
      <t>サイショ</t>
    </rPh>
    <phoneticPr fontId="2"/>
  </si>
  <si>
    <t>最後</t>
    <rPh sb="0" eb="2">
      <t>サイゴ</t>
    </rPh>
    <phoneticPr fontId="2"/>
  </si>
  <si>
    <t>最初ダミー</t>
    <rPh sb="0" eb="2">
      <t>サイショ</t>
    </rPh>
    <phoneticPr fontId="2"/>
  </si>
  <si>
    <t>最後ダミー</t>
    <rPh sb="0" eb="2">
      <t>サイゴ</t>
    </rPh>
    <phoneticPr fontId="2"/>
  </si>
  <si>
    <t>xn</t>
    <phoneticPr fontId="2"/>
  </si>
  <si>
    <t>yn</t>
    <phoneticPr fontId="2"/>
  </si>
  <si>
    <t>Xn2</t>
    <phoneticPr fontId="2"/>
  </si>
  <si>
    <t>Yn2</t>
    <phoneticPr fontId="2"/>
  </si>
  <si>
    <t>P8</t>
    <phoneticPr fontId="2"/>
  </si>
  <si>
    <t>AX</t>
    <phoneticPr fontId="2"/>
  </si>
  <si>
    <t>AY</t>
    <phoneticPr fontId="2"/>
  </si>
  <si>
    <t>直交点Ｘ</t>
    <rPh sb="0" eb="2">
      <t>チョッコウ</t>
    </rPh>
    <rPh sb="2" eb="3">
      <t>テン</t>
    </rPh>
    <phoneticPr fontId="2"/>
  </si>
  <si>
    <t>直交点Ｙ</t>
    <rPh sb="0" eb="2">
      <t>チョッコウ</t>
    </rPh>
    <phoneticPr fontId="2"/>
  </si>
  <si>
    <t>P7</t>
    <phoneticPr fontId="2"/>
  </si>
  <si>
    <t>直交点の最小</t>
    <rPh sb="0" eb="2">
      <t>チョッコウ</t>
    </rPh>
    <rPh sb="2" eb="3">
      <t>テン</t>
    </rPh>
    <rPh sb="4" eb="6">
      <t>サイショウ</t>
    </rPh>
    <phoneticPr fontId="2"/>
  </si>
  <si>
    <t>直行点Ｘが最小の点または直交点Ｙが最小の点</t>
    <rPh sb="0" eb="2">
      <t>チョッコウ</t>
    </rPh>
    <rPh sb="2" eb="3">
      <t>テン</t>
    </rPh>
    <rPh sb="5" eb="7">
      <t>サイショウ</t>
    </rPh>
    <rPh sb="8" eb="9">
      <t>テン</t>
    </rPh>
    <rPh sb="12" eb="14">
      <t>チョッコウ</t>
    </rPh>
    <rPh sb="14" eb="15">
      <t>テン</t>
    </rPh>
    <rPh sb="17" eb="19">
      <t>サイショウ</t>
    </rPh>
    <rPh sb="20" eb="21">
      <t>テン</t>
    </rPh>
    <phoneticPr fontId="2"/>
  </si>
  <si>
    <t>直行点Ｘが最大の点または直交点Ｙが最大の点</t>
    <rPh sb="0" eb="2">
      <t>チョッコウ</t>
    </rPh>
    <rPh sb="2" eb="3">
      <t>テン</t>
    </rPh>
    <rPh sb="5" eb="7">
      <t>サイダイ</t>
    </rPh>
    <rPh sb="8" eb="9">
      <t>テン</t>
    </rPh>
    <rPh sb="18" eb="19">
      <t>ダイ</t>
    </rPh>
    <phoneticPr fontId="2"/>
  </si>
  <si>
    <t>道路に面している点の両端の一方の点</t>
    <rPh sb="0" eb="2">
      <t>ドウロ</t>
    </rPh>
    <rPh sb="3" eb="4">
      <t>メン</t>
    </rPh>
    <rPh sb="8" eb="9">
      <t>テン</t>
    </rPh>
    <rPh sb="10" eb="12">
      <t>リョウタン</t>
    </rPh>
    <rPh sb="13" eb="15">
      <t>イッポウ</t>
    </rPh>
    <rPh sb="16" eb="17">
      <t>テン</t>
    </rPh>
    <phoneticPr fontId="2"/>
  </si>
  <si>
    <t>道路に面している点の両端のもう一方の点</t>
    <rPh sb="0" eb="2">
      <t>ドウロ</t>
    </rPh>
    <rPh sb="3" eb="4">
      <t>メン</t>
    </rPh>
    <rPh sb="8" eb="9">
      <t>テン</t>
    </rPh>
    <rPh sb="10" eb="12">
      <t>リョウタン</t>
    </rPh>
    <rPh sb="15" eb="17">
      <t>イッポウ</t>
    </rPh>
    <rPh sb="18" eb="19">
      <t>テン</t>
    </rPh>
    <phoneticPr fontId="2"/>
  </si>
  <si>
    <t>距離が分かっている2点</t>
    <rPh sb="0" eb="2">
      <t>キョリ</t>
    </rPh>
    <rPh sb="3" eb="4">
      <t>ワ</t>
    </rPh>
    <rPh sb="10" eb="11">
      <t>テン</t>
    </rPh>
    <phoneticPr fontId="2"/>
  </si>
  <si>
    <t>点の座標が測量などによる正確なものならば、「0」を入力</t>
    <rPh sb="0" eb="1">
      <t>テン</t>
    </rPh>
    <rPh sb="2" eb="4">
      <t>ザヒョウ</t>
    </rPh>
    <rPh sb="5" eb="7">
      <t>ソクリョウ</t>
    </rPh>
    <rPh sb="12" eb="14">
      <t>セイカク</t>
    </rPh>
    <rPh sb="25" eb="27">
      <t>ニュウリョク</t>
    </rPh>
    <phoneticPr fontId="2"/>
  </si>
  <si>
    <t>点の座標が測量などによる正確なものならば、1になる</t>
    <rPh sb="0" eb="1">
      <t>テン</t>
    </rPh>
    <rPh sb="2" eb="4">
      <t>ザヒョウ</t>
    </rPh>
    <rPh sb="5" eb="7">
      <t>ソクリョウ</t>
    </rPh>
    <rPh sb="12" eb="14">
      <t>セイカク</t>
    </rPh>
    <phoneticPr fontId="2"/>
  </si>
  <si>
    <t>各点の座標を入力　（面積の計算が不要ならば、外側に位置すると思われる主な点だけの入力でＯＫ）</t>
    <rPh sb="0" eb="2">
      <t>カクテン</t>
    </rPh>
    <rPh sb="3" eb="5">
      <t>ザヒョウ</t>
    </rPh>
    <rPh sb="6" eb="8">
      <t>ニュウリョク</t>
    </rPh>
    <rPh sb="10" eb="12">
      <t>メンセキ</t>
    </rPh>
    <rPh sb="13" eb="15">
      <t>ケイサン</t>
    </rPh>
    <rPh sb="16" eb="18">
      <t>フヨウ</t>
    </rPh>
    <rPh sb="22" eb="24">
      <t>ソトガワ</t>
    </rPh>
    <rPh sb="25" eb="27">
      <t>イチ</t>
    </rPh>
    <rPh sb="30" eb="31">
      <t>オモ</t>
    </rPh>
    <rPh sb="34" eb="35">
      <t>オモ</t>
    </rPh>
    <rPh sb="36" eb="37">
      <t>テン</t>
    </rPh>
    <rPh sb="40" eb="42">
      <t>ニュウリョク</t>
    </rPh>
    <phoneticPr fontId="2"/>
  </si>
  <si>
    <t>参考</t>
    <rPh sb="0" eb="2">
      <t>サンコウ</t>
    </rPh>
    <phoneticPr fontId="2"/>
  </si>
  <si>
    <t>（面積の計算が不要ならば、外側に位置すると思われる主な点だけの入力でＯＫ）</t>
  </si>
  <si>
    <t>土地Ａ</t>
    <rPh sb="0" eb="2">
      <t>トチ</t>
    </rPh>
    <phoneticPr fontId="2"/>
  </si>
  <si>
    <t>P6</t>
    <phoneticPr fontId="2"/>
  </si>
  <si>
    <t>P4</t>
    <phoneticPr fontId="2"/>
  </si>
  <si>
    <t>P3</t>
    <phoneticPr fontId="2"/>
  </si>
  <si>
    <t>直交点の最大</t>
    <rPh sb="0" eb="2">
      <t>チョッコウ</t>
    </rPh>
    <rPh sb="2" eb="3">
      <t>テン</t>
    </rPh>
    <rPh sb="4" eb="6">
      <t>サイダイ</t>
    </rPh>
    <phoneticPr fontId="2"/>
  </si>
  <si>
    <t>奥行</t>
    <rPh sb="0" eb="2">
      <t>オクユキ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</si>
</sst>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;[Red]\-#,##0.000"/>
    <numFmt numFmtId="177" formatCode="0.0000"/>
    <numFmt numFmtId="185" formatCode="#,##0.0000;[Red]\-#,##0.00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  <xf numFmtId="177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7" fontId="0" fillId="0" borderId="0" xfId="0" applyNumberFormat="1" applyAlignment="1">
      <alignment horizontal="right" vertical="center"/>
    </xf>
    <xf numFmtId="185" fontId="0" fillId="0" borderId="0" xfId="1" applyNumberFormat="1" applyFont="1" applyAlignment="1">
      <alignment horizontal="right" vertical="center"/>
    </xf>
    <xf numFmtId="185" fontId="0" fillId="0" borderId="0" xfId="1" applyNumberFormat="1" applyFont="1">
      <alignment vertical="center"/>
    </xf>
    <xf numFmtId="177" fontId="0" fillId="2" borderId="0" xfId="0" applyNumberFormat="1" applyFill="1">
      <alignment vertical="center"/>
    </xf>
  </cellXfs>
  <cellStyles count="2">
    <cellStyle name="桁区切り" xfId="1" builtinId="6"/>
    <cellStyle name="標準" xfId="0" builtinId="0"/>
  </cellStyles>
  <dxfs count="26"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85" formatCode="#,##0.0000;[Red]\-#,##0.0000"/>
    </dxf>
    <dxf>
      <numFmt numFmtId="185" formatCode="#,##0.0000;[Red]\-#,##0.0000"/>
    </dxf>
    <dxf>
      <numFmt numFmtId="185" formatCode="#,##0.0000;[Red]\-#,##0.0000"/>
    </dxf>
    <dxf>
      <numFmt numFmtId="177" formatCode="0.00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5359E-7FA2-4FD7-868E-C3E90AF66E96}" name="点群" displayName="点群" ref="A4:K15" totalsRowCount="1" headerRowDxfId="25">
  <autoFilter ref="A4:K14" xr:uid="{8335359E-7FA2-4FD7-868E-C3E90AF66E96}"/>
  <tableColumns count="11">
    <tableColumn id="1" xr3:uid="{92159015-0C87-4F84-A705-F5E7D1AFFF53}" name="点" totalsRowLabel="集計"/>
    <tableColumn id="9" xr3:uid="{75359661-09E5-40CE-B0BE-A2881CFB2911}" name="参考"/>
    <tableColumn id="2" xr3:uid="{89E83463-5982-4EAF-94B1-8950479904C3}" name="xn" dataDxfId="12"/>
    <tableColumn id="3" xr3:uid="{5E9FF522-2DDD-4724-8106-B3F363103929}" name="yn" dataDxfId="11"/>
    <tableColumn id="10" xr3:uid="{E7E12EAA-9227-45C3-8E29-6634F318C9E1}" name="Xn2" dataDxfId="10">
      <calculatedColumnFormula>点群[[#This Row],[xn]]*縮尺</calculatedColumnFormula>
    </tableColumn>
    <tableColumn id="11" xr3:uid="{22551E52-20CC-4EB5-9304-8593B2B855A8}" name="Yn2" dataDxfId="9">
      <calculatedColumnFormula>点群[[#This Row],[yn]]*縮尺</calculatedColumnFormula>
    </tableColumn>
    <tableColumn id="4" xr3:uid="{4ADC5F00-47DC-4861-94DA-11CA3EC8BBDD}" name="Yn+1-Yn-1" dataDxfId="8">
      <calculatedColumnFormula>IF(点群[[#This Row],[点]]="ダミー",0,OFFSET(F5,-1,0)-OFFSET(F5,1,0))</calculatedColumnFormula>
    </tableColumn>
    <tableColumn id="5" xr3:uid="{1BA30C73-4F9E-4AC0-9687-B4060C3A73EB}" name="Xn*(Yn+1-Yn-1)" totalsRowFunction="sum" dataDxfId="7" totalsRowDxfId="3">
      <calculatedColumnFormula>IF(点群[[#This Row],[点]]="ダミー",0,点群[[#This Row],[Xn2]]*点群[[#This Row],[Yn+1-Yn-1]])</calculatedColumnFormula>
    </tableColumn>
    <tableColumn id="6" xr3:uid="{464E25FF-3E33-4670-8AAB-19F54987509E}" name="奥行距離" totalsRowFunction="max" dataDxfId="6" totalsRowDxfId="2">
      <calculatedColumnFormula>SQRT((点群[[#This Row],[Xn2]]-点群[[#This Row],[直交点Ｘ]])^2+(点群[[#This Row],[Yn2]]-点群[[#This Row],[直交点Ｙ]])^2)</calculatedColumnFormula>
    </tableColumn>
    <tableColumn id="12" xr3:uid="{F74BCFCA-0854-46DE-B235-A693E794BBF2}" name="直交点Ｘ" totalsRowFunction="max" dataDxfId="5" totalsRowDxfId="1">
      <calculatedColumnFormula>1/(傾き^2+1)*(点群[[#This Row],[Xn2]]+傾き^2*AX+傾き*(点群[[#This Row],[Yn2]]-AY))</calculatedColumnFormula>
    </tableColumn>
    <tableColumn id="13" xr3:uid="{04612C99-EBFA-4792-B045-C0E1E9951CDB}" name="直交点Ｙ" totalsRowFunction="max" dataDxfId="4" totalsRowDxfId="0">
      <calculatedColumnFormula>1/(傾き^2+1)*(AY+傾き^2*点群[[#This Row],[Yn2]]+傾き*(点群[[#This Row],[Xn2]]-AX))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1914CD-D37A-4122-8A12-7408F299712E}" name="点群_9" displayName="点群_9" ref="A4:K15" totalsRowCount="1" headerRowDxfId="24">
  <autoFilter ref="A4:K14" xr:uid="{8335359E-7FA2-4FD7-868E-C3E90AF66E96}"/>
  <tableColumns count="11">
    <tableColumn id="1" xr3:uid="{3B237FE9-7CA1-46B2-AEC5-F75CBAFFB1AF}" name="点" totalsRowLabel="集計"/>
    <tableColumn id="9" xr3:uid="{C5928AD2-2559-49ED-85F0-0E62215D4CA8}" name="参考"/>
    <tableColumn id="2" xr3:uid="{3D4731E7-B019-43B8-925B-97F943F3A45B}" name="xn"/>
    <tableColumn id="3" xr3:uid="{C41A0596-E853-4B10-87B7-CE3FCB5586AB}" name="yn"/>
    <tableColumn id="10" xr3:uid="{C646458B-CE23-4E6E-BD1F-B842B92E263F}" name="Xn2" dataDxfId="19">
      <calculatedColumnFormula>点群_9[[#This Row],[xn]]*縮尺</calculatedColumnFormula>
    </tableColumn>
    <tableColumn id="11" xr3:uid="{4D3CAF0D-80E6-47D8-A2D9-FE79A1A2659A}" name="Yn2" dataDxfId="17">
      <calculatedColumnFormula>点群_9[[#This Row],[yn]]*縮尺</calculatedColumnFormula>
    </tableColumn>
    <tableColumn id="4" xr3:uid="{CF7006A4-6C5F-4D57-97D8-821AD4DCB6BF}" name="Yn+1-Yn-1" dataDxfId="18">
      <calculatedColumnFormula>IF(点群[[#This Row],[点]]="ダミー",0,OFFSET(F5,-1,0)-OFFSET(F5,1,0))</calculatedColumnFormula>
    </tableColumn>
    <tableColumn id="5" xr3:uid="{CEA6EB86-E39B-4B18-A84C-86865FCD7AE8}" name="Xn*(Yn+1-Yn-1)" totalsRowFunction="sum" dataDxfId="23" totalsRowDxfId="16">
      <calculatedColumnFormula>IF(点群_9[[#This Row],[点]]="ダミー",0,点群_9[[#This Row],[Xn2]]*点群_9[[#This Row],[Yn+1-Yn-1]])</calculatedColumnFormula>
    </tableColumn>
    <tableColumn id="6" xr3:uid="{D6B92A65-F6E6-4626-8332-0353F301CC10}" name="奥行距離" totalsRowFunction="max" dataDxfId="22" totalsRowDxfId="15" dataCellStyle="桁区切り">
      <calculatedColumnFormula>SQRT((点群_9[[#This Row],[Xn2]]-点群_9[[#This Row],[直交点Ｘ]])^2+(点群_9[[#This Row],[Yn2]]-点群_9[[#This Row],[直交点Ｙ]])^2)</calculatedColumnFormula>
    </tableColumn>
    <tableColumn id="12" xr3:uid="{B6CE833C-CA19-4DD2-9B03-3981DFAC11C5}" name="直交点Ｘ" totalsRowFunction="max" dataDxfId="21" totalsRowDxfId="14" dataCellStyle="桁区切り">
      <calculatedColumnFormula>1/(傾き^2+1)*(点群_9[[#This Row],[Xn2]]+傾き^2*AX+傾き*(点群_9[[#This Row],[Yn2]]-AY))</calculatedColumnFormula>
    </tableColumn>
    <tableColumn id="13" xr3:uid="{EA72CDA9-1637-4344-B418-0C3CF5C32118}" name="直交点Ｙ" totalsRowFunction="max" dataDxfId="20" totalsRowDxfId="13" dataCellStyle="桁区切り">
      <calculatedColumnFormula>1/(傾き^2+1)*(AY+傾き^2*点群_9[[#This Row],[Yn2]]+傾き*(点群_9[[#This Row],[Xn2]]-AX))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C77A-5B82-4ECB-A3B7-6028FE54B3B5}">
  <sheetPr>
    <pageSetUpPr fitToPage="1"/>
  </sheetPr>
  <dimension ref="A1:K46"/>
  <sheetViews>
    <sheetView tabSelected="1" workbookViewId="0">
      <selection activeCell="D19" sqref="D19"/>
    </sheetView>
  </sheetViews>
  <sheetFormatPr defaultRowHeight="18.75" x14ac:dyDescent="0.4"/>
  <cols>
    <col min="2" max="2" width="12.375" customWidth="1"/>
    <col min="3" max="11" width="10.125" customWidth="1"/>
  </cols>
  <sheetData>
    <row r="1" spans="1:11" x14ac:dyDescent="0.4">
      <c r="A1" s="4" t="s">
        <v>58</v>
      </c>
    </row>
    <row r="2" spans="1:11" x14ac:dyDescent="0.4">
      <c r="A2" s="4"/>
    </row>
    <row r="3" spans="1:11" x14ac:dyDescent="0.4">
      <c r="A3" t="s">
        <v>55</v>
      </c>
    </row>
    <row r="4" spans="1:11" x14ac:dyDescent="0.4">
      <c r="A4" s="1" t="s">
        <v>9</v>
      </c>
      <c r="B4" s="1" t="s">
        <v>56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10</v>
      </c>
      <c r="H4" s="1" t="s">
        <v>11</v>
      </c>
      <c r="I4" s="1" t="s">
        <v>3</v>
      </c>
      <c r="J4" s="1" t="s">
        <v>44</v>
      </c>
      <c r="K4" s="1" t="s">
        <v>45</v>
      </c>
    </row>
    <row r="5" spans="1:11" x14ac:dyDescent="0.4">
      <c r="A5" s="1" t="s">
        <v>31</v>
      </c>
      <c r="B5" s="1" t="s">
        <v>35</v>
      </c>
      <c r="C5" s="6">
        <f>最後Ｘ</f>
        <v>121.251</v>
      </c>
      <c r="D5" s="6">
        <f>最後Ｙ</f>
        <v>98.497</v>
      </c>
      <c r="E5" s="6">
        <f>点群[[#This Row],[xn]]*縮尺</f>
        <v>121.251</v>
      </c>
      <c r="F5" s="6">
        <f>点群[[#This Row],[yn]]*縮尺</f>
        <v>98.497</v>
      </c>
      <c r="G5" s="9">
        <f ca="1">IF(点群[[#This Row],[点]]="ダミー",0,OFFSET(F5,-1,0)-OFFSET(F5,1,0))</f>
        <v>0</v>
      </c>
      <c r="H5" s="9">
        <f>IF(点群[[#This Row],[点]]="ダミー",0,点群[[#This Row],[Xn2]]*点群[[#This Row],[Yn+1-Yn-1]])</f>
        <v>0</v>
      </c>
      <c r="I5" s="9">
        <f>SQRT((点群[[#This Row],[Xn2]]-点群[[#This Row],[直交点Ｘ]])^2+(点群[[#This Row],[Yn2]]-点群[[#This Row],[直交点Ｙ]])^2)</f>
        <v>15.564723091216516</v>
      </c>
      <c r="J5" s="6">
        <f>1/(傾き^2+1)*(点群[[#This Row],[Xn2]]+傾き^2*AX+傾き*(点群[[#This Row],[Yn2]]-AY))</f>
        <v>105.68631719489592</v>
      </c>
      <c r="K5" s="6">
        <f>1/(傾き^2+1)*(AY+傾き^2*点群[[#This Row],[Yn2]]+傾き*(点群[[#This Row],[Xn2]]-AX))</f>
        <v>98.532413030735455</v>
      </c>
    </row>
    <row r="6" spans="1:11" x14ac:dyDescent="0.4">
      <c r="A6" s="3" t="s">
        <v>22</v>
      </c>
      <c r="B6" t="s">
        <v>33</v>
      </c>
      <c r="C6" s="12">
        <v>105.68600000000001</v>
      </c>
      <c r="D6" s="12">
        <v>98.393000000000001</v>
      </c>
      <c r="E6" s="6">
        <f>点群[[#This Row],[xn]]*縮尺</f>
        <v>105.68600000000001</v>
      </c>
      <c r="F6" s="6">
        <f>点群[[#This Row],[yn]]*縮尺</f>
        <v>98.393000000000001</v>
      </c>
      <c r="G6" s="6">
        <f ca="1">IF(点群[[#This Row],[点]]="ダミー",0,OFFSET(F6,-1,0)-OFFSET(F6,1,0))</f>
        <v>-2.7339999999999947</v>
      </c>
      <c r="H6" s="6">
        <f ca="1">IF(点群[[#This Row],[点]]="ダミー",0,点群[[#This Row],[Xn2]]*点群[[#This Row],[Yn+1-Yn-1]])</f>
        <v>-288.94552399999947</v>
      </c>
      <c r="I6" s="6">
        <f>SQRT((点群[[#This Row],[Xn2]]-点群[[#This Row],[直交点Ｘ]])^2+(点群[[#This Row],[Yn2]]-点群[[#This Row],[直交点Ｙ]])^2)</f>
        <v>1.4210854715202004E-14</v>
      </c>
      <c r="J6" s="6">
        <f>1/(傾き^2+1)*(点群[[#This Row],[Xn2]]+傾き^2*AX+傾き*(点群[[#This Row],[Yn2]]-AY))</f>
        <v>105.68600000000001</v>
      </c>
      <c r="K6" s="6">
        <f>1/(傾き^2+1)*(AY+傾き^2*点群[[#This Row],[Yn2]]+傾き*(点群[[#This Row],[Xn2]]-AX))</f>
        <v>98.392999999999986</v>
      </c>
    </row>
    <row r="7" spans="1:11" x14ac:dyDescent="0.4">
      <c r="A7" s="3" t="s">
        <v>41</v>
      </c>
      <c r="C7" s="12">
        <v>105.69199999999999</v>
      </c>
      <c r="D7" s="12">
        <v>101.23099999999999</v>
      </c>
      <c r="E7" s="6">
        <f>点群[[#This Row],[xn]]*縮尺</f>
        <v>105.69199999999999</v>
      </c>
      <c r="F7" s="6">
        <f>点群[[#This Row],[yn]]*縮尺</f>
        <v>101.23099999999999</v>
      </c>
      <c r="G7" s="6">
        <f ca="1">IF(点群[[#This Row],[点]]="ダミー",0,OFFSET(F7,-1,0)-OFFSET(F7,1,0))</f>
        <v>-11.867000000000004</v>
      </c>
      <c r="H7" s="6">
        <f ca="1">IF(点群[[#This Row],[点]]="ダミー",0,点群[[#This Row],[Xn2]]*点群[[#This Row],[Yn+1-Yn-1]])</f>
        <v>-1254.2469640000004</v>
      </c>
      <c r="I7" s="6">
        <f>SQRT((点群[[#This Row],[Xn2]]-点群[[#This Row],[直交点Ｘ]])^2+(点群[[#This Row],[Yn2]]-点群[[#This Row],[直交点Ｙ]])^2)</f>
        <v>4.5706462976416706E-4</v>
      </c>
      <c r="J7" s="6">
        <f>1/(傾き^2+1)*(点群[[#This Row],[Xn2]]+傾き^2*AX+傾き*(点群[[#This Row],[Yn2]]-AY))</f>
        <v>105.69245706344674</v>
      </c>
      <c r="K7" s="6">
        <f>1/(傾き^2+1)*(AY+傾き^2*点群[[#This Row],[Yn2]]+傾き*(点群[[#This Row],[Xn2]]-AX))</f>
        <v>101.23099896008148</v>
      </c>
    </row>
    <row r="8" spans="1:11" x14ac:dyDescent="0.4">
      <c r="A8" s="3" t="s">
        <v>46</v>
      </c>
      <c r="C8" s="12">
        <v>105.71299999999999</v>
      </c>
      <c r="D8" s="12">
        <v>110.26</v>
      </c>
      <c r="E8" s="6">
        <f>点群[[#This Row],[xn]]*縮尺</f>
        <v>105.71299999999999</v>
      </c>
      <c r="F8" s="6">
        <f>点群[[#This Row],[yn]]*縮尺</f>
        <v>110.26</v>
      </c>
      <c r="G8" s="6">
        <f ca="1">IF(点群[[#This Row],[点]]="ダミー",0,OFFSET(F8,-1,0)-OFFSET(F8,1,0))</f>
        <v>-8.8830000000000098</v>
      </c>
      <c r="H8" s="6">
        <f ca="1">IF(点群[[#This Row],[点]]="ダミー",0,点群[[#This Row],[Xn2]]*点群[[#This Row],[Yn+1-Yn-1]])</f>
        <v>-939.04857900000093</v>
      </c>
      <c r="I8" s="6">
        <f>SQRT((点群[[#This Row],[Xn2]]-点群[[#This Row],[直交点Ｘ]])^2+(点群[[#This Row],[Yn2]]-点群[[#This Row],[直交点Ｙ]])^2)</f>
        <v>0</v>
      </c>
      <c r="J8" s="6">
        <f>1/(傾き^2+1)*(点群[[#This Row],[Xn2]]+傾き^2*AX+傾き*(点群[[#This Row],[Yn2]]-AY))</f>
        <v>105.71299999999999</v>
      </c>
      <c r="K8" s="6">
        <f>1/(傾き^2+1)*(AY+傾き^2*点群[[#This Row],[Yn2]]+傾き*(点群[[#This Row],[Xn2]]-AX))</f>
        <v>110.26</v>
      </c>
    </row>
    <row r="9" spans="1:11" x14ac:dyDescent="0.4">
      <c r="A9" s="3" t="s">
        <v>59</v>
      </c>
      <c r="C9" s="12">
        <v>121.211</v>
      </c>
      <c r="D9" s="12">
        <v>110.114</v>
      </c>
      <c r="E9" s="6">
        <f>点群[[#This Row],[xn]]*縮尺</f>
        <v>121.211</v>
      </c>
      <c r="F9" s="6">
        <f>点群[[#This Row],[yn]]*縮尺</f>
        <v>110.114</v>
      </c>
      <c r="G9" s="6">
        <f ca="1">IF(点群[[#This Row],[点]]="ダミー",0,OFFSET(F9,-1,0)-OFFSET(F9,1,0))</f>
        <v>8.5999999999998522E-2</v>
      </c>
      <c r="H9" s="6">
        <f ca="1">IF(点群[[#This Row],[点]]="ダミー",0,点群[[#This Row],[Xn2]]*点群[[#This Row],[Yn+1-Yn-1]])</f>
        <v>10.424145999999821</v>
      </c>
      <c r="I9" s="6">
        <f>SQRT((点群[[#This Row],[Xn2]]-点群[[#This Row],[直交点Ｘ]])^2+(点群[[#This Row],[Yn2]]-点群[[#This Row],[直交点Ｙ]])^2)</f>
        <v>15.498292067407196</v>
      </c>
      <c r="J9" s="6">
        <f>1/(傾き^2+1)*(点群[[#This Row],[Xn2]]+傾き^2*AX+傾き*(点群[[#This Row],[Yn2]]-AY))</f>
        <v>105.71274804676207</v>
      </c>
      <c r="K9" s="6">
        <f>1/(傾き^2+1)*(AY+傾き^2*点群[[#This Row],[Yn2]]+傾き*(点群[[#This Row],[Xn2]]-AX))</f>
        <v>110.14926188613275</v>
      </c>
    </row>
    <row r="10" spans="1:11" x14ac:dyDescent="0.4">
      <c r="A10" s="3" t="s">
        <v>26</v>
      </c>
      <c r="C10" s="12">
        <v>123.61</v>
      </c>
      <c r="D10" s="12">
        <v>110.17400000000001</v>
      </c>
      <c r="E10" s="6">
        <f>点群[[#This Row],[xn]]*縮尺</f>
        <v>123.61</v>
      </c>
      <c r="F10" s="6">
        <f>点群[[#This Row],[yn]]*縮尺</f>
        <v>110.17400000000001</v>
      </c>
      <c r="G10" s="6">
        <f ca="1">IF(点群[[#This Row],[点]]="ダミー",0,OFFSET(F10,-1,0)-OFFSET(F10,1,0))</f>
        <v>-1.2999999999991019E-2</v>
      </c>
      <c r="H10" s="6">
        <f ca="1">IF(点群[[#This Row],[点]]="ダミー",0,点群[[#This Row],[Xn2]]*点群[[#This Row],[Yn+1-Yn-1]])</f>
        <v>-1.6069299999988897</v>
      </c>
      <c r="I10" s="6">
        <f>SQRT((点群[[#This Row],[Xn2]]-点群[[#This Row],[直交点Ｘ]])^2+(点群[[#This Row],[Yn2]]-点群[[#This Row],[直交点Ｙ]])^2)</f>
        <v>17.897149345418825</v>
      </c>
      <c r="J10" s="6">
        <f>1/(傾き^2+1)*(点群[[#This Row],[Xn2]]+傾き^2*AX+傾き*(点群[[#This Row],[Yn2]]-AY))</f>
        <v>105.71289697770344</v>
      </c>
      <c r="K10" s="6">
        <f>1/(傾き^2+1)*(AY+傾き^2*点群[[#This Row],[Yn2]]+傾き*(点群[[#This Row],[Xn2]]-AX))</f>
        <v>110.21471979283744</v>
      </c>
    </row>
    <row r="11" spans="1:11" x14ac:dyDescent="0.4">
      <c r="A11" s="3" t="s">
        <v>60</v>
      </c>
      <c r="C11" s="12">
        <v>128.535</v>
      </c>
      <c r="D11" s="12">
        <v>110.127</v>
      </c>
      <c r="E11" s="6">
        <f>点群[[#This Row],[xn]]*縮尺</f>
        <v>128.535</v>
      </c>
      <c r="F11" s="6">
        <f>点群[[#This Row],[yn]]*縮尺</f>
        <v>110.127</v>
      </c>
      <c r="G11" s="6">
        <f ca="1">IF(点群[[#This Row],[点]]="ダミー",0,OFFSET(F11,-1,0)-OFFSET(F11,1,0))</f>
        <v>11.52300000000001</v>
      </c>
      <c r="H11" s="6">
        <f ca="1">IF(点群[[#This Row],[点]]="ダミー",0,点群[[#This Row],[Xn2]]*点群[[#This Row],[Yn+1-Yn-1]])</f>
        <v>1481.1088050000012</v>
      </c>
      <c r="I11" s="6">
        <f>SQRT((点群[[#This Row],[Xn2]]-点群[[#This Row],[直交点Ｘ]])^2+(点群[[#This Row],[Yn2]]-点群[[#This Row],[直交点Ｙ]])^2)</f>
        <v>22.822243532982103</v>
      </c>
      <c r="J11" s="6">
        <f>1/(傾き^2+1)*(点群[[#This Row],[Xn2]]+傾き^2*AX+傾き*(点群[[#This Row],[Yn2]]-AY))</f>
        <v>105.71281553774234</v>
      </c>
      <c r="K11" s="6">
        <f>1/(傾き^2+1)*(AY+傾き^2*点群[[#This Row],[Yn2]]+傾き*(点群[[#This Row],[Xn2]]-AX))</f>
        <v>110.17892542179833</v>
      </c>
    </row>
    <row r="12" spans="1:11" x14ac:dyDescent="0.4">
      <c r="A12" s="3" t="s">
        <v>61</v>
      </c>
      <c r="C12" s="12">
        <v>128.33099999999999</v>
      </c>
      <c r="D12" s="12">
        <v>98.650999999999996</v>
      </c>
      <c r="E12" s="6">
        <f>点群[[#This Row],[xn]]*縮尺</f>
        <v>128.33099999999999</v>
      </c>
      <c r="F12" s="6">
        <f>点群[[#This Row],[yn]]*縮尺</f>
        <v>98.650999999999996</v>
      </c>
      <c r="G12" s="6">
        <f ca="1">IF(点群[[#This Row],[点]]="ダミー",0,OFFSET(F12,-1,0)-OFFSET(F12,1,0))</f>
        <v>11.629999999999995</v>
      </c>
      <c r="H12" s="6">
        <f ca="1">IF(点群[[#This Row],[点]]="ダミー",0,点群[[#This Row],[Xn2]]*点群[[#This Row],[Yn+1-Yn-1]])</f>
        <v>1492.4895299999994</v>
      </c>
      <c r="I12" s="6">
        <f>SQRT((点群[[#This Row],[Xn2]]-点群[[#This Row],[直交点Ｘ]])^2+(点群[[#This Row],[Yn2]]-点群[[#This Row],[直交点Ｙ]])^2)</f>
        <v>22.644354383570644</v>
      </c>
      <c r="J12" s="6">
        <f>1/(傾き^2+1)*(点群[[#This Row],[Xn2]]+傾き^2*AX+傾き*(点群[[#This Row],[Yn2]]-AY))</f>
        <v>105.686704226724</v>
      </c>
      <c r="K12" s="6">
        <f>1/(傾き^2+1)*(AY+傾き^2*点群[[#This Row],[Yn2]]+傾き*(点群[[#This Row],[Xn2]]-AX))</f>
        <v>98.702520686431114</v>
      </c>
    </row>
    <row r="13" spans="1:11" x14ac:dyDescent="0.4">
      <c r="A13" s="3" t="s">
        <v>32</v>
      </c>
      <c r="B13" t="s">
        <v>34</v>
      </c>
      <c r="C13" s="12">
        <v>121.251</v>
      </c>
      <c r="D13" s="12">
        <v>98.497</v>
      </c>
      <c r="E13" s="6">
        <f>点群[[#This Row],[xn]]*縮尺</f>
        <v>121.251</v>
      </c>
      <c r="F13" s="6">
        <f>点群[[#This Row],[yn]]*縮尺</f>
        <v>98.497</v>
      </c>
      <c r="G13" s="6">
        <f ca="1">IF(点群[[#This Row],[点]]="ダミー",0,OFFSET(F13,-1,0)-OFFSET(F13,1,0))</f>
        <v>0.25799999999999557</v>
      </c>
      <c r="H13" s="6">
        <f ca="1">IF(点群[[#This Row],[点]]="ダミー",0,点群[[#This Row],[Xn2]]*点群[[#This Row],[Yn+1-Yn-1]])</f>
        <v>31.282757999999465</v>
      </c>
      <c r="I13" s="6">
        <f>SQRT((点群[[#This Row],[Xn2]]-点群[[#This Row],[直交点Ｘ]])^2+(点群[[#This Row],[Yn2]]-点群[[#This Row],[直交点Ｙ]])^2)</f>
        <v>15.564723091216516</v>
      </c>
      <c r="J13" s="6">
        <f>1/(傾き^2+1)*(点群[[#This Row],[Xn2]]+傾き^2*AX+傾き*(点群[[#This Row],[Yn2]]-AY))</f>
        <v>105.68631719489592</v>
      </c>
      <c r="K13" s="6">
        <f>1/(傾き^2+1)*(AY+傾き^2*点群[[#This Row],[Yn2]]+傾き*(点群[[#This Row],[Xn2]]-AX))</f>
        <v>98.532413030735455</v>
      </c>
    </row>
    <row r="14" spans="1:11" x14ac:dyDescent="0.4">
      <c r="A14" s="1" t="s">
        <v>31</v>
      </c>
      <c r="B14" s="1" t="s">
        <v>36</v>
      </c>
      <c r="C14" s="6" cm="1">
        <f t="array" ref="C14">最初Ｘ</f>
        <v>105.68600000000001</v>
      </c>
      <c r="D14" s="6">
        <f>最初Ｙ</f>
        <v>98.393000000000001</v>
      </c>
      <c r="E14" s="6">
        <f>点群[[#This Row],[xn]]*縮尺</f>
        <v>105.68600000000001</v>
      </c>
      <c r="F14" s="6">
        <f>点群[[#This Row],[yn]]*縮尺</f>
        <v>98.393000000000001</v>
      </c>
      <c r="G14" s="6">
        <f ca="1">IF(点群[[#This Row],[点]]="ダミー",0,OFFSET(F14,-1,0)-OFFSET(F14,1,0))</f>
        <v>0</v>
      </c>
      <c r="H14" s="6">
        <f>IF(点群[[#This Row],[点]]="ダミー",0,点群[[#This Row],[Xn2]]*点群[[#This Row],[Yn+1-Yn-1]])</f>
        <v>0</v>
      </c>
      <c r="I14" s="6">
        <f>SQRT((点群[[#This Row],[Xn2]]-点群[[#This Row],[直交点Ｘ]])^2+(点群[[#This Row],[Yn2]]-点群[[#This Row],[直交点Ｙ]])^2)</f>
        <v>1.4210854715202004E-14</v>
      </c>
      <c r="J14" s="6">
        <f>1/(傾き^2+1)*(点群[[#This Row],[Xn2]]+傾き^2*AX+傾き*(点群[[#This Row],[Yn2]]-AY))</f>
        <v>105.68600000000001</v>
      </c>
      <c r="K14" s="6">
        <f>1/(傾き^2+1)*(AY+傾き^2*点群[[#This Row],[Yn2]]+傾き*(点群[[#This Row],[Xn2]]-AX))</f>
        <v>98.392999999999986</v>
      </c>
    </row>
    <row r="15" spans="1:11" x14ac:dyDescent="0.4">
      <c r="A15" t="s">
        <v>30</v>
      </c>
      <c r="H15" s="6">
        <f ca="1">SUBTOTAL(109,点群[Xn*(Yn+1-Yn-1)])</f>
        <v>531.45724200000006</v>
      </c>
      <c r="I15" s="6">
        <f>SUBTOTAL(104,点群[奥行距離])</f>
        <v>22.822243532982103</v>
      </c>
      <c r="J15" s="6">
        <f>SUBTOTAL(104,点群[直交点Ｘ])</f>
        <v>105.71299999999999</v>
      </c>
      <c r="K15" s="6">
        <f>SUBTOTAL(104,点群[直交点Ｙ])</f>
        <v>110.26</v>
      </c>
    </row>
    <row r="16" spans="1:11" x14ac:dyDescent="0.4">
      <c r="H16" s="6"/>
      <c r="I16" s="9" t="s">
        <v>62</v>
      </c>
      <c r="J16" s="6">
        <f>MAX(点群[直交点Ｘ])</f>
        <v>105.71299999999999</v>
      </c>
      <c r="K16" s="6">
        <f>MAX(点群[直交点Ｙ])</f>
        <v>110.26</v>
      </c>
    </row>
    <row r="17" spans="1:11" x14ac:dyDescent="0.4">
      <c r="H17" s="6"/>
      <c r="I17" s="9" t="s">
        <v>47</v>
      </c>
      <c r="J17" s="6">
        <f>MIN(点群[直交点Ｘ])</f>
        <v>105.68600000000001</v>
      </c>
      <c r="K17" s="6">
        <f>MIN(点群[直交点Ｙ])</f>
        <v>98.392999999999986</v>
      </c>
    </row>
    <row r="19" spans="1:11" x14ac:dyDescent="0.4">
      <c r="A19" t="s">
        <v>14</v>
      </c>
      <c r="B19">
        <f>IF(実際の距離=0,1,実際の距離/図上の距離)</f>
        <v>1</v>
      </c>
      <c r="D19" t="s">
        <v>54</v>
      </c>
    </row>
    <row r="20" spans="1:11" x14ac:dyDescent="0.4">
      <c r="B20" t="s">
        <v>17</v>
      </c>
      <c r="C20" s="7">
        <v>0</v>
      </c>
      <c r="D20" t="s">
        <v>53</v>
      </c>
    </row>
    <row r="21" spans="1:11" x14ac:dyDescent="0.4">
      <c r="B21" t="s">
        <v>18</v>
      </c>
      <c r="C21">
        <f>SQRT((C24-C23)^2+(D24-D23)^2)</f>
        <v>15.565347442315572</v>
      </c>
    </row>
    <row r="22" spans="1:11" x14ac:dyDescent="0.4">
      <c r="B22" s="1" t="s">
        <v>9</v>
      </c>
      <c r="C22" s="1" t="s">
        <v>7</v>
      </c>
      <c r="D22" s="1" t="s">
        <v>8</v>
      </c>
      <c r="E22" s="1"/>
      <c r="F22" s="1"/>
    </row>
    <row r="23" spans="1:11" x14ac:dyDescent="0.4">
      <c r="A23" t="s">
        <v>15</v>
      </c>
      <c r="B23" s="7" t="s">
        <v>22</v>
      </c>
      <c r="C23">
        <f>VLOOKUP(B23,点群[],MATCH(点群[[#Headers],[xn]],点群[#Headers],0),0)</f>
        <v>105.68600000000001</v>
      </c>
      <c r="D23">
        <f>VLOOKUP(B23,点群[],MATCH(点群[[#Headers],[yn]],点群[#Headers],0),0)</f>
        <v>98.393000000000001</v>
      </c>
      <c r="E23" t="s">
        <v>52</v>
      </c>
    </row>
    <row r="24" spans="1:11" x14ac:dyDescent="0.4">
      <c r="A24" t="s">
        <v>16</v>
      </c>
      <c r="B24" s="7" t="s">
        <v>32</v>
      </c>
      <c r="C24">
        <f>VLOOKUP(B24,点群[],MATCH(点群[[#Headers],[xn]],点群[#Headers],0),0)</f>
        <v>121.251</v>
      </c>
      <c r="D24">
        <f>VLOOKUP(B24,点群[],MATCH(点群[[#Headers],[yn]],点群[#Headers],0),0)</f>
        <v>98.497</v>
      </c>
      <c r="E24" t="s">
        <v>52</v>
      </c>
    </row>
    <row r="26" spans="1:11" x14ac:dyDescent="0.4">
      <c r="A26" s="4" t="s">
        <v>6</v>
      </c>
      <c r="B26" s="5">
        <f ca="1">ABS(点群[[#Totals],[Xn*(Yn+1-Yn-1)]]/2)</f>
        <v>265.72862100000003</v>
      </c>
      <c r="C26" t="s">
        <v>57</v>
      </c>
    </row>
    <row r="28" spans="1:11" x14ac:dyDescent="0.4">
      <c r="A28" s="4" t="s">
        <v>4</v>
      </c>
    </row>
    <row r="29" spans="1:11" x14ac:dyDescent="0.4">
      <c r="B29" s="4" t="s">
        <v>5</v>
      </c>
      <c r="C29" s="4">
        <f>SQRT((C35-C34)^2+(D35-D34)^2)</f>
        <v>11.867030715389596</v>
      </c>
    </row>
    <row r="30" spans="1:11" x14ac:dyDescent="0.4">
      <c r="B30" t="s">
        <v>2</v>
      </c>
      <c r="C30">
        <f>(D35-D34)/(C35-C34)</f>
        <v>439.51851851873334</v>
      </c>
    </row>
    <row r="31" spans="1:11" x14ac:dyDescent="0.4">
      <c r="B31" t="s">
        <v>42</v>
      </c>
      <c r="C31">
        <f>C34</f>
        <v>105.68600000000001</v>
      </c>
    </row>
    <row r="32" spans="1:11" x14ac:dyDescent="0.4">
      <c r="B32" t="s">
        <v>43</v>
      </c>
      <c r="C32">
        <f>D34</f>
        <v>98.393000000000001</v>
      </c>
    </row>
    <row r="33" spans="1:6" x14ac:dyDescent="0.4">
      <c r="B33" s="1" t="s">
        <v>9</v>
      </c>
      <c r="C33" s="1" t="s">
        <v>0</v>
      </c>
      <c r="D33" s="1" t="s">
        <v>1</v>
      </c>
      <c r="E33" s="1"/>
      <c r="F33" s="1"/>
    </row>
    <row r="34" spans="1:6" x14ac:dyDescent="0.4">
      <c r="A34" t="s">
        <v>12</v>
      </c>
      <c r="B34" s="3" t="s">
        <v>22</v>
      </c>
      <c r="C34">
        <f>VLOOKUP(B34,点群[],MATCH(点群[[#Headers],[Xn2]],点群[#Headers],0),0)</f>
        <v>105.68600000000001</v>
      </c>
      <c r="D34">
        <f>VLOOKUP(B34,点群[],MATCH(点群[[#Headers],[Yn2]],点群[#Headers],0),0)</f>
        <v>98.393000000000001</v>
      </c>
      <c r="E34" t="s">
        <v>50</v>
      </c>
    </row>
    <row r="35" spans="1:6" x14ac:dyDescent="0.4">
      <c r="A35" t="s">
        <v>13</v>
      </c>
      <c r="B35" s="3" t="s">
        <v>46</v>
      </c>
      <c r="C35">
        <f>VLOOKUP(B35,点群[],MATCH(点群[[#Headers],[Xn2]],点群[#Headers],0),0)</f>
        <v>105.71299999999999</v>
      </c>
      <c r="D35">
        <f>VLOOKUP(B35,点群[],MATCH(点群[[#Headers],[Yn2]],点群[#Headers],0),0)</f>
        <v>110.26</v>
      </c>
      <c r="E35" t="s">
        <v>51</v>
      </c>
    </row>
    <row r="37" spans="1:6" x14ac:dyDescent="0.4">
      <c r="A37" s="4" t="s">
        <v>63</v>
      </c>
    </row>
    <row r="38" spans="1:6" x14ac:dyDescent="0.4">
      <c r="B38" t="str">
        <f>INDEX(点群[点],MATCH(点群[[#Totals],[奥行距離]],点群[奥行距離],0),1)</f>
        <v>P4</v>
      </c>
    </row>
    <row r="39" spans="1:6" x14ac:dyDescent="0.4">
      <c r="B39" s="4" t="s">
        <v>3</v>
      </c>
      <c r="C39" s="4">
        <f>点群[[#Totals],[奥行距離]]</f>
        <v>22.822243532982103</v>
      </c>
    </row>
    <row r="41" spans="1:6" x14ac:dyDescent="0.4">
      <c r="A41" s="4" t="s">
        <v>21</v>
      </c>
    </row>
    <row r="42" spans="1:6" x14ac:dyDescent="0.4">
      <c r="B42" s="4" t="s">
        <v>5</v>
      </c>
      <c r="C42" s="4">
        <f>SQRT((C46-C45)^2+(D46-D45)^2)</f>
        <v>11.86703071538961</v>
      </c>
    </row>
    <row r="43" spans="1:6" x14ac:dyDescent="0.4">
      <c r="B43" s="4" t="s">
        <v>3</v>
      </c>
      <c r="C43" s="4">
        <f>奥行距離</f>
        <v>22.822243532982103</v>
      </c>
    </row>
    <row r="44" spans="1:6" x14ac:dyDescent="0.4">
      <c r="B44" s="1" t="s">
        <v>9</v>
      </c>
      <c r="C44" s="1" t="s">
        <v>0</v>
      </c>
      <c r="D44" s="1" t="s">
        <v>1</v>
      </c>
      <c r="E44" s="1"/>
      <c r="F44" s="1"/>
    </row>
    <row r="45" spans="1:6" x14ac:dyDescent="0.4">
      <c r="A45" t="s">
        <v>19</v>
      </c>
      <c r="B45" s="8" t="str">
        <f>IF(直交点のＸ最大&lt;&gt;直交点のＸ最小,INDEX(点群[点],MATCH(直交点のＸ最小,点群[直交点Ｘ],0),1),INDEX(点群[点],MATCH(直交点のＹ最小,点群[直交点Ｙ],0),1))</f>
        <v>P1</v>
      </c>
      <c r="C45">
        <f>VLOOKUP(B45,点群[],MATCH(点群[[#Headers],[直交点Ｘ]],点群[#Headers],0),0)</f>
        <v>105.68600000000001</v>
      </c>
      <c r="D45">
        <f>VLOOKUP(B45,点群[],MATCH(点群[[#Headers],[直交点Ｙ]],点群[#Headers],0),0)</f>
        <v>98.392999999999986</v>
      </c>
      <c r="E45" t="s">
        <v>48</v>
      </c>
    </row>
    <row r="46" spans="1:6" x14ac:dyDescent="0.4">
      <c r="A46" t="s">
        <v>20</v>
      </c>
      <c r="B46" s="8" t="str">
        <f>IF(直交点のＸ最大&lt;&gt;直交点のＸ最小,INDEX(点群[点],MATCH(直交点のＸ最大,点群[直交点Ｘ],0),1),INDEX(点群[点],MATCH(直交点のＹ最大,点群[直交点Ｙ],0),1))</f>
        <v>P7</v>
      </c>
      <c r="C46">
        <f>VLOOKUP(B46,点群[],MATCH(点群[[#Headers],[直交点Ｘ]],点群[#Headers],0),0)</f>
        <v>105.71299999999999</v>
      </c>
      <c r="D46">
        <f>VLOOKUP(B46,点群[],MATCH(点群[[#Headers],[直交点Ｙ]],点群[#Headers],0),0)</f>
        <v>110.26</v>
      </c>
      <c r="E46" t="s">
        <v>49</v>
      </c>
    </row>
  </sheetData>
  <phoneticPr fontId="2"/>
  <pageMargins left="0.7" right="0.7" top="0.75" bottom="0.75" header="0.3" footer="0.3"/>
  <pageSetup paperSize="9" scale="7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E5FD-5567-4648-9B25-37E4291B0D72}">
  <sheetPr>
    <pageSetUpPr fitToPage="1"/>
  </sheetPr>
  <dimension ref="A1:K44"/>
  <sheetViews>
    <sheetView workbookViewId="0">
      <selection activeCell="B17" sqref="B17"/>
    </sheetView>
  </sheetViews>
  <sheetFormatPr defaultRowHeight="18.75" x14ac:dyDescent="0.4"/>
  <cols>
    <col min="2" max="2" width="12.375" customWidth="1"/>
    <col min="4" max="4" width="9.125" customWidth="1"/>
    <col min="5" max="8" width="9.25" customWidth="1"/>
    <col min="9" max="9" width="10.625" customWidth="1"/>
    <col min="10" max="11" width="9.25" customWidth="1"/>
  </cols>
  <sheetData>
    <row r="1" spans="1:11" x14ac:dyDescent="0.4">
      <c r="A1" s="4" t="s">
        <v>58</v>
      </c>
    </row>
    <row r="2" spans="1:11" x14ac:dyDescent="0.4">
      <c r="A2" s="4"/>
    </row>
    <row r="3" spans="1:11" x14ac:dyDescent="0.4">
      <c r="A3" t="s">
        <v>55</v>
      </c>
    </row>
    <row r="4" spans="1:11" x14ac:dyDescent="0.4">
      <c r="A4" s="1" t="s">
        <v>9</v>
      </c>
      <c r="B4" s="1" t="s">
        <v>56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10</v>
      </c>
      <c r="H4" s="1" t="s">
        <v>11</v>
      </c>
      <c r="I4" s="1" t="s">
        <v>3</v>
      </c>
      <c r="J4" s="1" t="s">
        <v>44</v>
      </c>
      <c r="K4" s="1" t="s">
        <v>45</v>
      </c>
    </row>
    <row r="5" spans="1:11" x14ac:dyDescent="0.4">
      <c r="A5" s="1" t="s">
        <v>31</v>
      </c>
      <c r="B5" s="1" t="s">
        <v>35</v>
      </c>
      <c r="C5">
        <f>最後Ｘ</f>
        <v>859</v>
      </c>
      <c r="D5">
        <f>最後Ｙ</f>
        <v>385</v>
      </c>
      <c r="E5" s="6">
        <f>点群_9[[#This Row],[xn]]*縮尺</f>
        <v>20.539220363836826</v>
      </c>
      <c r="F5" s="6">
        <f>点群_9[[#This Row],[yn]]*縮尺</f>
        <v>9.2055877067254688</v>
      </c>
      <c r="G5" s="9">
        <f ca="1">IF(点群[[#This Row],[点]]="ダミー",0,OFFSET(F5,-1,0)-OFFSET(F5,1,0))</f>
        <v>0</v>
      </c>
      <c r="H5" s="9">
        <f>IF(点群_9[[#This Row],[点]]="ダミー",0,点群_9[[#This Row],[Xn2]]*点群_9[[#This Row],[Yn+1-Yn-1]])</f>
        <v>0</v>
      </c>
      <c r="I5" s="10">
        <f>SQRT((点群_9[[#This Row],[Xn2]]-点群_9[[#This Row],[直交点Ｘ]])^2+(点群_9[[#This Row],[Yn2]]-点群_9[[#This Row],[直交点Ｙ]])^2)</f>
        <v>1.7763568394002505E-15</v>
      </c>
      <c r="J5" s="11">
        <f>1/(傾き^2+1)*(点群_9[[#This Row],[Xn2]]+傾き^2*AX+傾き*(点群_9[[#This Row],[Yn2]]-AY))</f>
        <v>20.539220363836826</v>
      </c>
      <c r="K5" s="11">
        <f>1/(傾き^2+1)*(AY+傾き^2*点群_9[[#This Row],[Yn2]]+傾き*(点群_9[[#This Row],[Xn2]]-AX))</f>
        <v>9.205587706725467</v>
      </c>
    </row>
    <row r="6" spans="1:11" x14ac:dyDescent="0.4">
      <c r="A6" s="3" t="s">
        <v>22</v>
      </c>
      <c r="B6" t="s">
        <v>33</v>
      </c>
      <c r="C6" s="3">
        <v>371</v>
      </c>
      <c r="D6" s="3">
        <v>383</v>
      </c>
      <c r="E6" s="6">
        <f>点群_9[[#This Row],[xn]]*縮尺</f>
        <v>8.8708390628445439</v>
      </c>
      <c r="F6" s="6">
        <f>点群_9[[#This Row],[yn]]*縮尺</f>
        <v>9.1577664718853367</v>
      </c>
      <c r="G6" s="6">
        <f ca="1">IF(点群[[#This Row],[点]]="ダミー",0,OFFSET(F6,-1,0)-OFFSET(F6,1,0))</f>
        <v>-21.639108765159868</v>
      </c>
      <c r="H6" s="6">
        <f ca="1">IF(点群_9[[#This Row],[点]]="ダミー",0,点群_9[[#This Row],[Xn2]]*点群_9[[#This Row],[Yn+1-Yn-1]])</f>
        <v>-191.95705131912192</v>
      </c>
      <c r="I6" s="11">
        <f>SQRT((点群_9[[#This Row],[Xn2]]-点群_9[[#This Row],[直交点Ｘ]])^2+(点群_9[[#This Row],[Yn2]]-点群_9[[#This Row],[直交点Ｙ]])^2)</f>
        <v>2.5121479338940403E-15</v>
      </c>
      <c r="J6" s="11">
        <f>1/(傾き^2+1)*(点群_9[[#This Row],[Xn2]]+傾き^2*AX+傾き*(点群_9[[#This Row],[Yn2]]-AY))</f>
        <v>8.8708390628445422</v>
      </c>
      <c r="K6" s="11">
        <f>1/(傾き^2+1)*(AY+傾き^2*点群_9[[#This Row],[Yn2]]+傾き*(点群_9[[#This Row],[Xn2]]-AX))</f>
        <v>9.1577664718853349</v>
      </c>
    </row>
    <row r="7" spans="1:11" x14ac:dyDescent="0.4">
      <c r="A7" s="3" t="s">
        <v>23</v>
      </c>
      <c r="C7" s="3">
        <v>371</v>
      </c>
      <c r="D7" s="3">
        <v>1290</v>
      </c>
      <c r="E7" s="6">
        <f>点群_9[[#This Row],[xn]]*縮尺</f>
        <v>8.8708390628445439</v>
      </c>
      <c r="F7" s="6">
        <f>点群_9[[#This Row],[yn]]*縮尺</f>
        <v>30.844696471885339</v>
      </c>
      <c r="G7" s="6">
        <f ca="1">IF(点群[[#This Row],[点]]="ダミー",0,OFFSET(F7,-1,0)-OFFSET(F7,1,0))</f>
        <v>-21.663019382579932</v>
      </c>
      <c r="H7" s="6">
        <f ca="1">IF(点群_9[[#This Row],[点]]="ダミー",0,点群_9[[#This Row],[Xn2]]*点群_9[[#This Row],[Yn+1-Yn-1]])</f>
        <v>-192.16915855814855</v>
      </c>
      <c r="I7" s="11">
        <f>SQRT((点群_9[[#This Row],[Xn2]]-点群_9[[#This Row],[直交点Ｘ]])^2+(点群_9[[#This Row],[Yn2]]-点群_9[[#This Row],[直交点Ｙ]])^2)</f>
        <v>21.686747869383197</v>
      </c>
      <c r="J7" s="11">
        <f>1/(傾き^2+1)*(点群_9[[#This Row],[Xn2]]+傾き^2*AX+傾き*(点群_9[[#This Row],[Yn2]]-AY))</f>
        <v>8.9597184306326394</v>
      </c>
      <c r="K7" s="11">
        <f>1/(傾き^2+1)*(AY+傾き^2*点群_9[[#This Row],[Yn2]]+傾き*(点群_9[[#This Row],[Xn2]]-AX))</f>
        <v>9.1581307315893863</v>
      </c>
    </row>
    <row r="8" spans="1:11" x14ac:dyDescent="0.4">
      <c r="A8" s="3" t="s">
        <v>24</v>
      </c>
      <c r="C8" s="3">
        <v>405</v>
      </c>
      <c r="D8" s="3">
        <v>1289</v>
      </c>
      <c r="E8" s="6">
        <f>点群_9[[#This Row],[xn]]*縮尺</f>
        <v>9.6838000551267918</v>
      </c>
      <c r="F8" s="6">
        <f>点群_9[[#This Row],[yn]]*縮尺</f>
        <v>30.820785854465271</v>
      </c>
      <c r="G8" s="6">
        <f ca="1">IF(点群[[#This Row],[点]]="ダミー",0,OFFSET(F8,-1,0)-OFFSET(F8,1,0))</f>
        <v>-4.3995536052921729</v>
      </c>
      <c r="H8" s="6">
        <f ca="1">IF(点群_9[[#This Row],[点]]="ダミー",0,点群_9[[#This Row],[Xn2]]*点群_9[[#This Row],[Yn+1-Yn-1]])</f>
        <v>-42.604397445461622</v>
      </c>
      <c r="I8" s="11">
        <f>SQRT((点群_9[[#This Row],[Xn2]]-点群_9[[#This Row],[直交点Ｘ]])^2+(点群_9[[#This Row],[Yn2]]-点群_9[[#This Row],[直交点Ｙ]])^2)</f>
        <v>21.65950567340434</v>
      </c>
      <c r="J8" s="11">
        <f>1/(傾き^2+1)*(点群_9[[#This Row],[Xn2]]+傾き^2*AX+傾き*(点群_9[[#This Row],[Yn2]]-AY))</f>
        <v>9.7725677755083549</v>
      </c>
      <c r="K8" s="11">
        <f>1/(傾き^2+1)*(AY+傾き^2*点群_9[[#This Row],[Yn2]]+傾き*(点群_9[[#This Row],[Xn2]]-AX))</f>
        <v>9.1614620813634655</v>
      </c>
    </row>
    <row r="9" spans="1:11" x14ac:dyDescent="0.4">
      <c r="A9" s="3" t="s">
        <v>25</v>
      </c>
      <c r="C9" s="3">
        <v>410</v>
      </c>
      <c r="D9" s="3">
        <v>1474</v>
      </c>
      <c r="E9" s="6">
        <f>点群_9[[#This Row],[xn]]*縮尺</f>
        <v>9.8033531422271238</v>
      </c>
      <c r="F9" s="6">
        <f>点群_9[[#This Row],[yn]]*縮尺</f>
        <v>35.244250077177512</v>
      </c>
      <c r="G9" s="6">
        <f ca="1">IF(点群[[#This Row],[点]]="ダミー",0,OFFSET(F9,-1,0)-OFFSET(F9,1,0))</f>
        <v>-4.3278217530319765</v>
      </c>
      <c r="H9" s="6">
        <f ca="1">IF(点群_9[[#This Row],[点]]="ダミー",0,点群_9[[#This Row],[Xn2]]*点群_9[[#This Row],[Yn+1-Yn-1]])</f>
        <v>-42.427164981584923</v>
      </c>
      <c r="I9" s="11">
        <f>SQRT((点群_9[[#This Row],[Xn2]]-点群_9[[#This Row],[直交点Ｘ]])^2+(点群_9[[#This Row],[Yn2]]-点群_9[[#This Row],[直交点Ｙ]])^2)</f>
        <v>26.082442779539729</v>
      </c>
      <c r="J9" s="11">
        <f>1/(傾き^2+1)*(点群_9[[#This Row],[Xn2]]+傾き^2*AX+傾き*(点群_9[[#This Row],[Yn2]]-AY))</f>
        <v>9.9102475017953218</v>
      </c>
      <c r="K9" s="11">
        <f>1/(傾き^2+1)*(AY+傾き^2*点群_9[[#This Row],[Yn2]]+傾き*(点群_9[[#This Row],[Xn2]]-AX))</f>
        <v>9.1620263425367732</v>
      </c>
    </row>
    <row r="10" spans="1:11" x14ac:dyDescent="0.4">
      <c r="A10" s="3" t="s">
        <v>26</v>
      </c>
      <c r="C10" s="3">
        <v>860</v>
      </c>
      <c r="D10" s="3">
        <v>1470</v>
      </c>
      <c r="E10" s="6">
        <f>点群_9[[#This Row],[xn]]*縮尺</f>
        <v>20.563130981256894</v>
      </c>
      <c r="F10" s="6">
        <f>点群_9[[#This Row],[yn]]*縮尺</f>
        <v>35.148607607497247</v>
      </c>
      <c r="G10" s="6">
        <f ca="1">IF(点群[[#This Row],[点]]="ダミー",0,OFFSET(F10,-1,0)-OFFSET(F10,1,0))</f>
        <v>2.9410059426681343</v>
      </c>
      <c r="H10" s="6">
        <f ca="1">IF(点群_9[[#This Row],[点]]="ダミー",0,点群_9[[#This Row],[Xn2]]*点群_9[[#This Row],[Yn+1-Yn-1]])</f>
        <v>60.476290415739747</v>
      </c>
      <c r="I10" s="11">
        <f>SQRT((点群_9[[#This Row],[Xn2]]-点群_9[[#This Row],[直交点Ｘ]])^2+(点群_9[[#This Row],[Yn2]]-点群_9[[#This Row],[直交点Ｙ]])^2)</f>
        <v>25.942704033259702</v>
      </c>
      <c r="J10" s="11">
        <f>1/(傾き^2+1)*(点群_9[[#This Row],[Xn2]]+傾き^2*AX+傾き*(点群_9[[#This Row],[Yn2]]-AY))</f>
        <v>20.669452645854886</v>
      </c>
      <c r="K10" s="11">
        <f>1/(傾き^2+1)*(AY+傾き^2*点群_9[[#This Row],[Yn2]]+傾き*(点群_9[[#This Row],[Xn2]]-AX))</f>
        <v>9.2061214455861986</v>
      </c>
    </row>
    <row r="11" spans="1:11" x14ac:dyDescent="0.4">
      <c r="A11" s="3" t="s">
        <v>27</v>
      </c>
      <c r="C11" s="3">
        <v>857</v>
      </c>
      <c r="D11" s="3">
        <v>1351</v>
      </c>
      <c r="E11" s="6">
        <f>点群_9[[#This Row],[xn]]*縮尺</f>
        <v>20.491399128996694</v>
      </c>
      <c r="F11" s="6">
        <f>点群_9[[#This Row],[yn]]*縮尺</f>
        <v>32.303244134509377</v>
      </c>
      <c r="G11" s="6">
        <f ca="1">IF(点群[[#This Row],[点]]="ダミー",0,OFFSET(F11,-1,0)-OFFSET(F11,1,0))</f>
        <v>2.8692740904079415</v>
      </c>
      <c r="H11" s="6">
        <f ca="1">IF(点群_9[[#This Row],[点]]="ダミー",0,点群_9[[#This Row],[Xn2]]*点群_9[[#This Row],[Yn+1-Yn-1]])</f>
        <v>58.795440597038073</v>
      </c>
      <c r="I11" s="11">
        <f>SQRT((点群_9[[#This Row],[Xn2]]-点群_9[[#This Row],[直交点Ｘ]])^2+(点群_9[[#This Row],[Yn2]]-点群_9[[#This Row],[直交点Ｙ]])^2)</f>
        <v>23.09765843666219</v>
      </c>
      <c r="J11" s="11">
        <f>1/(傾き^2+1)*(点群_9[[#This Row],[Xn2]]+傾き^2*AX+傾き*(点群_9[[#This Row],[Yn2]]-AY))</f>
        <v>20.586060868580716</v>
      </c>
      <c r="K11" s="11">
        <f>1/(傾き^2+1)*(AY+傾き^2*点群_9[[#This Row],[Yn2]]+傾き*(点群_9[[#This Row],[Xn2]]-AX))</f>
        <v>9.2057796760072055</v>
      </c>
    </row>
    <row r="12" spans="1:11" x14ac:dyDescent="0.4">
      <c r="A12" s="3" t="s">
        <v>28</v>
      </c>
      <c r="C12" s="3">
        <v>894</v>
      </c>
      <c r="D12" s="3">
        <v>1350</v>
      </c>
      <c r="E12" s="6">
        <f>点群_9[[#This Row],[xn]]*縮尺</f>
        <v>21.376091973539143</v>
      </c>
      <c r="F12" s="6">
        <f>点群_9[[#This Row],[yn]]*縮尺</f>
        <v>32.279333517089306</v>
      </c>
      <c r="G12" s="6">
        <f ca="1">IF(点群[[#This Row],[点]]="ダミー",0,OFFSET(F12,-1,0)-OFFSET(F12,1,0))</f>
        <v>23.09765642778391</v>
      </c>
      <c r="H12" s="6">
        <f ca="1">IF(点群_9[[#This Row],[点]]="ダミー",0,点群_9[[#This Row],[Xn2]]*点群_9[[#This Row],[Yn+1-Yn-1]])</f>
        <v>493.73762817351644</v>
      </c>
      <c r="I12" s="11">
        <f>SQRT((点群_9[[#This Row],[Xn2]]-点群_9[[#This Row],[直交点Ｘ]])^2+(点群_9[[#This Row],[Yn2]]-点群_9[[#This Row],[直交点Ｙ]])^2)</f>
        <v>23.070122260151187</v>
      </c>
      <c r="J12" s="11">
        <f>1/(傾き^2+1)*(点群_9[[#This Row],[Xn2]]+傾き^2*AX+傾き*(点群_9[[#This Row],[Yn2]]-AY))</f>
        <v>21.470640860888508</v>
      </c>
      <c r="K12" s="11">
        <f>1/(傾き^2+1)*(AY+傾き^2*点群_9[[#This Row],[Yn2]]+傾き*(点群_9[[#This Row],[Xn2]]-AX))</f>
        <v>9.2094050038445321</v>
      </c>
    </row>
    <row r="13" spans="1:11" x14ac:dyDescent="0.4">
      <c r="A13" s="3" t="s">
        <v>29</v>
      </c>
      <c r="B13" t="s">
        <v>34</v>
      </c>
      <c r="C13" s="3">
        <v>859</v>
      </c>
      <c r="D13" s="3">
        <v>385</v>
      </c>
      <c r="E13" s="6">
        <f>点群_9[[#This Row],[xn]]*縮尺</f>
        <v>20.539220363836826</v>
      </c>
      <c r="F13" s="6">
        <f>点群_9[[#This Row],[yn]]*縮尺</f>
        <v>9.2055877067254688</v>
      </c>
      <c r="G13" s="6">
        <f ca="1">IF(点群[[#This Row],[点]]="ダミー",0,OFFSET(F13,-1,0)-OFFSET(F13,1,0))</f>
        <v>23.121567045203967</v>
      </c>
      <c r="H13" s="6">
        <f ca="1">IF(点群_9[[#This Row],[点]]="ダミー",0,点群_9[[#This Row],[Xn2]]*点群_9[[#This Row],[Yn+1-Yn-1]])</f>
        <v>474.89896069867177</v>
      </c>
      <c r="I13" s="11">
        <f>SQRT((点群_9[[#This Row],[Xn2]]-点群_9[[#This Row],[直交点Ｘ]])^2+(点群_9[[#This Row],[Yn2]]-点群_9[[#This Row],[直交点Ｙ]])^2)</f>
        <v>1.7763568394002505E-15</v>
      </c>
      <c r="J13" s="11">
        <f>1/(傾き^2+1)*(点群_9[[#This Row],[Xn2]]+傾き^2*AX+傾き*(点群_9[[#This Row],[Yn2]]-AY))</f>
        <v>20.539220363836826</v>
      </c>
      <c r="K13" s="11">
        <f>1/(傾き^2+1)*(AY+傾き^2*点群_9[[#This Row],[Yn2]]+傾き*(点群_9[[#This Row],[Xn2]]-AX))</f>
        <v>9.205587706725467</v>
      </c>
    </row>
    <row r="14" spans="1:11" x14ac:dyDescent="0.4">
      <c r="A14" s="1" t="s">
        <v>31</v>
      </c>
      <c r="B14" s="1" t="s">
        <v>36</v>
      </c>
      <c r="C14" cm="1">
        <f t="array" ref="C14">最初Ｘ</f>
        <v>371</v>
      </c>
      <c r="D14">
        <f>最初Ｙ</f>
        <v>383</v>
      </c>
      <c r="E14" s="6">
        <f>点群_9[[#This Row],[xn]]*縮尺</f>
        <v>8.8708390628445439</v>
      </c>
      <c r="F14" s="6">
        <f>点群_9[[#This Row],[yn]]*縮尺</f>
        <v>9.1577664718853367</v>
      </c>
      <c r="G14" s="6">
        <f ca="1">IF(点群[[#This Row],[点]]="ダミー",0,OFFSET(F14,-1,0)-OFFSET(F14,1,0))</f>
        <v>0</v>
      </c>
      <c r="H14" s="6">
        <f>IF(点群_9[[#This Row],[点]]="ダミー",0,点群_9[[#This Row],[Xn2]]*点群_9[[#This Row],[Yn+1-Yn-1]])</f>
        <v>0</v>
      </c>
      <c r="I14" s="11">
        <f>SQRT((点群_9[[#This Row],[Xn2]]-点群_9[[#This Row],[直交点Ｘ]])^2+(点群_9[[#This Row],[Yn2]]-点群_9[[#This Row],[直交点Ｙ]])^2)</f>
        <v>2.5121479338940403E-15</v>
      </c>
      <c r="J14" s="11">
        <f>1/(傾き^2+1)*(点群_9[[#This Row],[Xn2]]+傾き^2*AX+傾き*(点群_9[[#This Row],[Yn2]]-AY))</f>
        <v>8.8708390628445422</v>
      </c>
      <c r="K14" s="11">
        <f>1/(傾き^2+1)*(AY+傾き^2*点群_9[[#This Row],[Yn2]]+傾き*(点群_9[[#This Row],[Xn2]]-AX))</f>
        <v>9.1577664718853349</v>
      </c>
    </row>
    <row r="15" spans="1:11" x14ac:dyDescent="0.4">
      <c r="A15" t="s">
        <v>30</v>
      </c>
      <c r="H15" s="6">
        <f ca="1">SUBTOTAL(109,点群_9[Xn*(Yn+1-Yn-1)])</f>
        <v>618.75054758064903</v>
      </c>
      <c r="I15" s="6">
        <f>SUBTOTAL(104,点群_9[奥行距離])</f>
        <v>26.082442779539729</v>
      </c>
      <c r="J15" s="6">
        <f>SUBTOTAL(104,点群_9[直交点Ｘ])</f>
        <v>21.470640860888508</v>
      </c>
      <c r="K15" s="6">
        <f>SUBTOTAL(104,点群_9[直交点Ｙ])</f>
        <v>9.2094050038445321</v>
      </c>
    </row>
    <row r="16" spans="1:11" x14ac:dyDescent="0.4">
      <c r="I16" s="2" t="s">
        <v>62</v>
      </c>
      <c r="J16" s="6">
        <f>MAX(点群_9[直交点Ｘ])</f>
        <v>21.470640860888508</v>
      </c>
      <c r="K16" s="6">
        <f>MAX(点群_9[直交点Ｙ])</f>
        <v>9.2094050038445321</v>
      </c>
    </row>
    <row r="17" spans="1:11" x14ac:dyDescent="0.4">
      <c r="I17" s="2" t="s">
        <v>47</v>
      </c>
      <c r="J17" s="6">
        <f>MIN(点群_9[直交点Ｘ])</f>
        <v>8.8708390628445422</v>
      </c>
      <c r="K17" s="6">
        <f>MIN(点群_9[直交点Ｙ])</f>
        <v>9.1577664718853349</v>
      </c>
    </row>
    <row r="19" spans="1:11" x14ac:dyDescent="0.4">
      <c r="A19" t="s">
        <v>14</v>
      </c>
      <c r="B19">
        <f>IF(実際の距離=0,1,実際の距離/図上の距離)</f>
        <v>2.3910617420066154E-2</v>
      </c>
      <c r="D19" t="s">
        <v>54</v>
      </c>
    </row>
    <row r="20" spans="1:11" x14ac:dyDescent="0.4">
      <c r="B20" t="s">
        <v>17</v>
      </c>
      <c r="C20" s="7">
        <v>21.68693</v>
      </c>
      <c r="D20" t="s">
        <v>53</v>
      </c>
    </row>
    <row r="21" spans="1:11" x14ac:dyDescent="0.4">
      <c r="B21" t="s">
        <v>18</v>
      </c>
      <c r="C21">
        <f>SQRT((C24-C23)^2+(D24-D23)^2)</f>
        <v>907</v>
      </c>
    </row>
    <row r="22" spans="1:11" x14ac:dyDescent="0.4">
      <c r="B22" s="1" t="s">
        <v>9</v>
      </c>
      <c r="C22" s="1" t="s">
        <v>7</v>
      </c>
      <c r="D22" s="1" t="s">
        <v>8</v>
      </c>
      <c r="E22" s="1"/>
      <c r="F22" s="1"/>
    </row>
    <row r="23" spans="1:11" x14ac:dyDescent="0.4">
      <c r="A23" t="s">
        <v>15</v>
      </c>
      <c r="B23" s="7" t="s">
        <v>22</v>
      </c>
      <c r="C23">
        <f>VLOOKUP(B23,点群_9[],MATCH(点群_9[[#Headers],[xn]],点群_9[#Headers],0),0)</f>
        <v>371</v>
      </c>
      <c r="D23">
        <f>VLOOKUP(B23,点群_9[],MATCH(点群_9[[#Headers],[yn]],点群_9[#Headers],0),0)</f>
        <v>383</v>
      </c>
      <c r="E23" t="s">
        <v>52</v>
      </c>
    </row>
    <row r="24" spans="1:11" x14ac:dyDescent="0.4">
      <c r="A24" t="s">
        <v>16</v>
      </c>
      <c r="B24" s="7" t="s">
        <v>32</v>
      </c>
      <c r="C24">
        <f>VLOOKUP(B24,点群_9[],MATCH(点群_9[[#Headers],[xn]],点群_9[#Headers],0),0)</f>
        <v>371</v>
      </c>
      <c r="D24">
        <f>VLOOKUP(B24,点群_9[],MATCH(点群_9[[#Headers],[yn]],点群_9[#Headers],0),0)</f>
        <v>1290</v>
      </c>
      <c r="E24" t="s">
        <v>52</v>
      </c>
    </row>
    <row r="26" spans="1:11" x14ac:dyDescent="0.4">
      <c r="A26" s="4" t="s">
        <v>6</v>
      </c>
      <c r="B26" s="5">
        <f ca="1">ABS(点群_9[[#Totals],[Xn*(Yn+1-Yn-1)]]/2)</f>
        <v>309.37527379032451</v>
      </c>
      <c r="C26" t="s">
        <v>57</v>
      </c>
    </row>
    <row r="28" spans="1:11" x14ac:dyDescent="0.4">
      <c r="A28" s="4" t="s">
        <v>4</v>
      </c>
    </row>
    <row r="29" spans="1:11" x14ac:dyDescent="0.4">
      <c r="B29" s="4" t="s">
        <v>5</v>
      </c>
      <c r="C29" s="4">
        <f>SQRT((C35-C34)^2+(D35-D34)^2)</f>
        <v>11.668479294914484</v>
      </c>
    </row>
    <row r="30" spans="1:11" x14ac:dyDescent="0.4">
      <c r="B30" t="s">
        <v>2</v>
      </c>
      <c r="C30">
        <f>(D35-D34)/(C35-C34)</f>
        <v>4.0983606557376895E-3</v>
      </c>
    </row>
    <row r="31" spans="1:11" x14ac:dyDescent="0.4">
      <c r="B31" t="s">
        <v>42</v>
      </c>
      <c r="C31">
        <f>C34</f>
        <v>8.8708390628445439</v>
      </c>
    </row>
    <row r="32" spans="1:11" x14ac:dyDescent="0.4">
      <c r="B32" t="s">
        <v>43</v>
      </c>
      <c r="C32">
        <f>D34</f>
        <v>9.1577664718853367</v>
      </c>
    </row>
    <row r="33" spans="1:6" x14ac:dyDescent="0.4">
      <c r="B33" s="1" t="s">
        <v>9</v>
      </c>
      <c r="C33" s="1" t="s">
        <v>0</v>
      </c>
      <c r="D33" s="1" t="s">
        <v>1</v>
      </c>
      <c r="E33" s="1"/>
      <c r="F33" s="1"/>
    </row>
    <row r="34" spans="1:6" x14ac:dyDescent="0.4">
      <c r="A34" t="s">
        <v>12</v>
      </c>
      <c r="B34" s="3" t="s">
        <v>22</v>
      </c>
      <c r="C34">
        <f>VLOOKUP(B34,点群_9[],MATCH(点群_9[[#Headers],[Xn2]],点群_9[#Headers],0),0)</f>
        <v>8.8708390628445439</v>
      </c>
      <c r="D34">
        <f>VLOOKUP(B34,点群_9[],MATCH(点群_9[[#Headers],[Yn2]],点群_9[#Headers],0),0)</f>
        <v>9.1577664718853367</v>
      </c>
      <c r="E34" t="s">
        <v>50</v>
      </c>
    </row>
    <row r="35" spans="1:6" x14ac:dyDescent="0.4">
      <c r="A35" t="s">
        <v>13</v>
      </c>
      <c r="B35" s="3" t="s">
        <v>41</v>
      </c>
      <c r="C35">
        <f>VLOOKUP(B35,点群_9[],MATCH(点群_9[[#Headers],[Xn2]],点群_9[#Headers],0),0)</f>
        <v>20.539220363836826</v>
      </c>
      <c r="D35">
        <f>VLOOKUP(B35,点群_9[],MATCH(点群_9[[#Headers],[Yn2]],点群_9[#Headers],0),0)</f>
        <v>9.2055877067254688</v>
      </c>
      <c r="E35" t="s">
        <v>51</v>
      </c>
    </row>
    <row r="37" spans="1:6" x14ac:dyDescent="0.4">
      <c r="A37" s="4" t="s">
        <v>3</v>
      </c>
      <c r="B37" s="4">
        <f>点群_9[[#Totals],[奥行距離]]</f>
        <v>26.082442779539729</v>
      </c>
    </row>
    <row r="39" spans="1:6" x14ac:dyDescent="0.4">
      <c r="A39" s="4" t="s">
        <v>21</v>
      </c>
    </row>
    <row r="40" spans="1:6" x14ac:dyDescent="0.4">
      <c r="B40" s="4" t="s">
        <v>5</v>
      </c>
      <c r="C40" s="4">
        <f>SQRT((C44-C43)^2+(D44-D43)^2)</f>
        <v>12.599907614263481</v>
      </c>
    </row>
    <row r="41" spans="1:6" x14ac:dyDescent="0.4">
      <c r="B41" s="4" t="s">
        <v>3</v>
      </c>
      <c r="C41" s="4">
        <f>奥行距離</f>
        <v>26.082442779539729</v>
      </c>
    </row>
    <row r="42" spans="1:6" x14ac:dyDescent="0.4">
      <c r="B42" s="1" t="s">
        <v>9</v>
      </c>
      <c r="C42" s="1" t="s">
        <v>0</v>
      </c>
      <c r="D42" s="1" t="s">
        <v>1</v>
      </c>
      <c r="E42" s="1"/>
      <c r="F42" s="1"/>
    </row>
    <row r="43" spans="1:6" x14ac:dyDescent="0.4">
      <c r="A43" t="s">
        <v>19</v>
      </c>
      <c r="B43" s="8" t="str">
        <f>IF(直交点のＸ最大&lt;&gt;直交点のＸ最小,INDEX(点群_9[点],MATCH(直交点のＸ最小,点群_9[直交点Ｘ],0),1),INDEX(点群_9[点],MATCH(直交点のＹ最小,点群_9[直交点Ｙ],0),1))</f>
        <v>P1</v>
      </c>
      <c r="C43">
        <f>VLOOKUP(B43,点群_9[],MATCH(点群_9[[#Headers],[直交点Ｘ]],点群_9[#Headers],0),0)</f>
        <v>8.8708390628445422</v>
      </c>
      <c r="D43">
        <f>VLOOKUP(B43,点群_9[],MATCH(点群_9[[#Headers],[直交点Ｙ]],点群_9[#Headers],0),0)</f>
        <v>9.1577664718853349</v>
      </c>
      <c r="E43" t="s">
        <v>48</v>
      </c>
    </row>
    <row r="44" spans="1:6" x14ac:dyDescent="0.4">
      <c r="A44" t="s">
        <v>20</v>
      </c>
      <c r="B44" s="8" t="str">
        <f>IF(直交点のＸ最大&lt;&gt;直交点のＸ最小,INDEX(点群_9[点],MATCH(直交点のＸ最大,点群_9[直交点Ｘ],0),1),INDEX(点群_9[点],MATCH(直交点のＹ最大,点群_9[直交点Ｙ],0),1))</f>
        <v>P7</v>
      </c>
      <c r="C44">
        <f>VLOOKUP(B44,点群_9[],MATCH(点群_9[[#Headers],[直交点Ｘ]],点群_9[#Headers],0),0)</f>
        <v>21.470640860888508</v>
      </c>
      <c r="D44">
        <f>VLOOKUP(B44,点群_9[],MATCH(点群_9[[#Headers],[直交点Ｙ]],点群_9[#Headers],0),0)</f>
        <v>9.2094050038445321</v>
      </c>
      <c r="E44" t="s">
        <v>49</v>
      </c>
    </row>
  </sheetData>
  <phoneticPr fontId="2"/>
  <pageMargins left="0.7" right="0.7" top="0.75" bottom="0.75" header="0.3" footer="0.3"/>
  <pageSetup paperSize="9" scale="7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34</vt:i4>
      </vt:variant>
    </vt:vector>
  </HeadingPairs>
  <TitlesOfParts>
    <vt:vector size="36" baseType="lpstr">
      <vt:lpstr>測量データ</vt:lpstr>
      <vt:lpstr>自己測定データ</vt:lpstr>
      <vt:lpstr>自己測定データ!AX</vt:lpstr>
      <vt:lpstr>AX</vt:lpstr>
      <vt:lpstr>自己測定データ!AY</vt:lpstr>
      <vt:lpstr>AY</vt:lpstr>
      <vt:lpstr>自己測定データ!奥行距離</vt:lpstr>
      <vt:lpstr>奥行距離</vt:lpstr>
      <vt:lpstr>自己測定データ!間口距離</vt:lpstr>
      <vt:lpstr>間口距離</vt:lpstr>
      <vt:lpstr>自己測定データ!傾き</vt:lpstr>
      <vt:lpstr>傾き</vt:lpstr>
      <vt:lpstr>自己測定データ!最後Ｘ</vt:lpstr>
      <vt:lpstr>最後Ｘ</vt:lpstr>
      <vt:lpstr>自己測定データ!最後Ｙ</vt:lpstr>
      <vt:lpstr>最後Ｙ</vt:lpstr>
      <vt:lpstr>自己測定データ!最初Ｘ</vt:lpstr>
      <vt:lpstr>最初Ｘ</vt:lpstr>
      <vt:lpstr>自己測定データ!最初Ｙ</vt:lpstr>
      <vt:lpstr>最初Ｙ</vt:lpstr>
      <vt:lpstr>自己測定データ!実際の距離</vt:lpstr>
      <vt:lpstr>実際の距離</vt:lpstr>
      <vt:lpstr>自己測定データ!縮尺</vt:lpstr>
      <vt:lpstr>縮尺</vt:lpstr>
      <vt:lpstr>自己測定データ!図上の距離</vt:lpstr>
      <vt:lpstr>図上の距離</vt:lpstr>
      <vt:lpstr>自己測定データ!直交点のＸ最小</vt:lpstr>
      <vt:lpstr>直交点のＸ最小</vt:lpstr>
      <vt:lpstr>自己測定データ!直交点のＸ最大</vt:lpstr>
      <vt:lpstr>直交点のＸ最大</vt:lpstr>
      <vt:lpstr>自己測定データ!直交点のＹ最小</vt:lpstr>
      <vt:lpstr>直交点のＹ最小</vt:lpstr>
      <vt:lpstr>自己測定データ!直交点のＹ最大</vt:lpstr>
      <vt:lpstr>直交点のＹ最大</vt:lpstr>
      <vt:lpstr>自己測定データ!面積</vt:lpstr>
      <vt:lpstr>面積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敦康 末永</dc:creator>
  <cp:lastModifiedBy>敦康 末永</cp:lastModifiedBy>
  <cp:lastPrinted>2024-09-13T00:48:32Z</cp:lastPrinted>
  <dcterms:created xsi:type="dcterms:W3CDTF">2024-09-11T12:08:21Z</dcterms:created>
  <dcterms:modified xsi:type="dcterms:W3CDTF">2024-09-13T01:19:10Z</dcterms:modified>
</cp:coreProperties>
</file>