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dicaid_Provider_Certification" sheetId="1" r:id="rId3"/>
  </sheets>
  <definedNames/>
  <calcPr/>
</workbook>
</file>

<file path=xl/sharedStrings.xml><?xml version="1.0" encoding="utf-8"?>
<sst xmlns="http://schemas.openxmlformats.org/spreadsheetml/2006/main" count="3370" uniqueCount="2045">
  <si>
    <t>Providers' Certification End Dates are Between 1/1/2010 and 12/31/2017</t>
  </si>
  <si>
    <t>Or Providers' Certification Status is: Active, Inactive - Certified but Enrollment Pending</t>
  </si>
  <si>
    <t>-----------------------------------------IMPORTANT NOTE-----------------------------------------
With respect to the report's parameters, the user is telling the report to (1) get all the providers whose certification end dates are within a certain date range, OR to get all the providers whose certification status(s) is one (or more) of the statuses specified by the user.</t>
  </si>
  <si>
    <t>Yellow Highlighted rows are providers certified in FY14, green highlighted medicaid codes are care coordinators who work for 2 agencies.</t>
  </si>
  <si>
    <t>DSDSID</t>
  </si>
  <si>
    <t>medicaid Code</t>
  </si>
  <si>
    <t>certification Status</t>
  </si>
  <si>
    <t>Provider Name</t>
  </si>
  <si>
    <t>medicaid Code Start Date</t>
  </si>
  <si>
    <t>medicaid Code End Date</t>
  </si>
  <si>
    <t>1612515</t>
  </si>
  <si>
    <t>Active</t>
  </si>
  <si>
    <t>3707 Oregon ALH</t>
  </si>
  <si>
    <t>1584856</t>
  </si>
  <si>
    <t>A Loving Care PCA</t>
  </si>
  <si>
    <t>1584754</t>
  </si>
  <si>
    <t>1584017</t>
  </si>
  <si>
    <t>1004456</t>
  </si>
  <si>
    <t>ABC Assisted Living</t>
  </si>
  <si>
    <t>1029966</t>
  </si>
  <si>
    <t>1601451</t>
  </si>
  <si>
    <t>Absolute Care of Alaska</t>
  </si>
  <si>
    <t>1571378</t>
  </si>
  <si>
    <t>1005119</t>
  </si>
  <si>
    <t>Access Alaska, Inc.* - Anchorage</t>
  </si>
  <si>
    <t>1028290</t>
  </si>
  <si>
    <t>1005120</t>
  </si>
  <si>
    <t>Access Alaska, Inc.* - Fairbanks</t>
  </si>
  <si>
    <t>1028291</t>
  </si>
  <si>
    <t>1005121</t>
  </si>
  <si>
    <t>Access Alaska, Inc.* - Kenai</t>
  </si>
  <si>
    <t>1028292</t>
  </si>
  <si>
    <t>1005122</t>
  </si>
  <si>
    <t>Access Alaska, Inc.*- Mat-Su</t>
  </si>
  <si>
    <t>1028293</t>
  </si>
  <si>
    <t>1030266</t>
  </si>
  <si>
    <t>Adela Assisted Living Home, Inc.</t>
  </si>
  <si>
    <t>1004845</t>
  </si>
  <si>
    <t>1002549</t>
  </si>
  <si>
    <t>Adult Learning Programs of Alaska*</t>
  </si>
  <si>
    <t>1004684</t>
  </si>
  <si>
    <t>1002577</t>
  </si>
  <si>
    <t>Alaska Island Community Services*</t>
  </si>
  <si>
    <t>1005118</t>
  </si>
  <si>
    <t>1004134</t>
  </si>
  <si>
    <t>Alaska Stairlift &amp; Elevator, LLC</t>
  </si>
  <si>
    <t>1021941</t>
  </si>
  <si>
    <t>1608231</t>
  </si>
  <si>
    <t>Aldergrove Assisted Living</t>
  </si>
  <si>
    <t>1581610</t>
  </si>
  <si>
    <t>1580048</t>
  </si>
  <si>
    <t>Alyeska Vocational Services</t>
  </si>
  <si>
    <t>1571485</t>
  </si>
  <si>
    <t>1028257</t>
  </si>
  <si>
    <t>Alzheimer's  Disease Resource Agency of Alaska*</t>
  </si>
  <si>
    <t>1004998</t>
  </si>
  <si>
    <t>1002661</t>
  </si>
  <si>
    <t>1000899</t>
  </si>
  <si>
    <t>Annett Brookshire</t>
  </si>
  <si>
    <t>1574340</t>
  </si>
  <si>
    <t>Arctic Care Services, LLC</t>
  </si>
  <si>
    <t>1028211</t>
  </si>
  <si>
    <t>1030435</t>
  </si>
  <si>
    <t>Arctic Haven ALH, Inc. #1</t>
  </si>
  <si>
    <t>1005054</t>
  </si>
  <si>
    <t>1030434</t>
  </si>
  <si>
    <t>Arctic Haven ALH, Inc. #2</t>
  </si>
  <si>
    <t>1005053</t>
  </si>
  <si>
    <t>1030436</t>
  </si>
  <si>
    <t>Arctic Haven ALH, Inc. #3</t>
  </si>
  <si>
    <t>1005055</t>
  </si>
  <si>
    <t>1004935</t>
  </si>
  <si>
    <t>Assets, Inc.*</t>
  </si>
  <si>
    <t>1002653</t>
  </si>
  <si>
    <t>1611015</t>
  </si>
  <si>
    <t>Assisted Living Transitions LLC</t>
  </si>
  <si>
    <t>1571052</t>
  </si>
  <si>
    <t>1004564</t>
  </si>
  <si>
    <t>AssistedCare Services, LLC</t>
  </si>
  <si>
    <t>1028247</t>
  </si>
  <si>
    <t>1002528</t>
  </si>
  <si>
    <t>1571140</t>
  </si>
  <si>
    <t>Big Lake Country Club, LLC</t>
  </si>
  <si>
    <t>1004470</t>
  </si>
  <si>
    <t>1577031</t>
  </si>
  <si>
    <t>Bjorge House</t>
  </si>
  <si>
    <t>1030391</t>
  </si>
  <si>
    <t>1004983</t>
  </si>
  <si>
    <t>C Care Services</t>
  </si>
  <si>
    <t>1002708</t>
  </si>
  <si>
    <t>1028186</t>
  </si>
  <si>
    <t>1030444</t>
  </si>
  <si>
    <t>Caring Bridges Assisted Living, Inc.</t>
  </si>
  <si>
    <t>1005066</t>
  </si>
  <si>
    <t>1002500</t>
  </si>
  <si>
    <t>Caring Companions, LLC</t>
  </si>
  <si>
    <t>1004493</t>
  </si>
  <si>
    <t>1028195</t>
  </si>
  <si>
    <t>1004614</t>
  </si>
  <si>
    <t>Catholic Community Services (CCS-Ketchikan)*</t>
  </si>
  <si>
    <t>1002634</t>
  </si>
  <si>
    <t>1028264</t>
  </si>
  <si>
    <t>Center For Community - Sitka *</t>
  </si>
  <si>
    <t>1004941</t>
  </si>
  <si>
    <t>1002690</t>
  </si>
  <si>
    <t>1028268</t>
  </si>
  <si>
    <t>Center For Community dba Compass HomeCare- Juneau*</t>
  </si>
  <si>
    <t>1004940</t>
  </si>
  <si>
    <t>1028265</t>
  </si>
  <si>
    <t>Center For CommunityAnchorage-DBACompass Homecare</t>
  </si>
  <si>
    <t>1004942</t>
  </si>
  <si>
    <t>1605573</t>
  </si>
  <si>
    <t>Charis Place Assisted Living (JAC Enterprises)</t>
  </si>
  <si>
    <t>1605561</t>
  </si>
  <si>
    <t>1030461</t>
  </si>
  <si>
    <t>Chugiak Senior Citizens Inc*</t>
  </si>
  <si>
    <t>1004891</t>
  </si>
  <si>
    <t>1005145</t>
  </si>
  <si>
    <t>Colony Manor</t>
  </si>
  <si>
    <t>1030508</t>
  </si>
  <si>
    <t>1028185</t>
  </si>
  <si>
    <t>Comfort Keepers/Alaska Care Group Inc.</t>
  </si>
  <si>
    <t>1004641</t>
  </si>
  <si>
    <t>1028251</t>
  </si>
  <si>
    <t>Community Connections - Ketchikan*</t>
  </si>
  <si>
    <t>1004632</t>
  </si>
  <si>
    <t>1002656</t>
  </si>
  <si>
    <t>1028252</t>
  </si>
  <si>
    <t>Community Connections-Craig*</t>
  </si>
  <si>
    <t>1004633</t>
  </si>
  <si>
    <t>1002657</t>
  </si>
  <si>
    <t>1579515</t>
  </si>
  <si>
    <t>Community Inclusion Services</t>
  </si>
  <si>
    <t>1004443</t>
  </si>
  <si>
    <t>1004483</t>
  </si>
  <si>
    <t>Connecting Ties/Glennallen*</t>
  </si>
  <si>
    <t>1002409</t>
  </si>
  <si>
    <t>1028261</t>
  </si>
  <si>
    <t>Connecting Ties/Valdez</t>
  </si>
  <si>
    <t>1005076</t>
  </si>
  <si>
    <t>1002678</t>
  </si>
  <si>
    <t>1004496</t>
  </si>
  <si>
    <t>Consumer Care Network, Inc. - Anchorage</t>
  </si>
  <si>
    <t>1002390</t>
  </si>
  <si>
    <t>1028168</t>
  </si>
  <si>
    <t>1002388</t>
  </si>
  <si>
    <t>Consumer Care Network, Inc. - Kenai</t>
  </si>
  <si>
    <t>1004497</t>
  </si>
  <si>
    <t>1028169</t>
  </si>
  <si>
    <t>1028191</t>
  </si>
  <si>
    <t>Consumer Direct - Anchorage</t>
  </si>
  <si>
    <t>1004492</t>
  </si>
  <si>
    <t>1002499</t>
  </si>
  <si>
    <t>1004460</t>
  </si>
  <si>
    <t>Consumer Direct-Kenai</t>
  </si>
  <si>
    <t>1002402</t>
  </si>
  <si>
    <t>1028193</t>
  </si>
  <si>
    <t>1004475</t>
  </si>
  <si>
    <t>Consumer Direct-Kodiak</t>
  </si>
  <si>
    <t>1028194</t>
  </si>
  <si>
    <t>1004461</t>
  </si>
  <si>
    <t>Consumer Direct-MatSu</t>
  </si>
  <si>
    <t>1002401</t>
  </si>
  <si>
    <t>1028192</t>
  </si>
  <si>
    <t>1583077</t>
  </si>
  <si>
    <t>Cornerstone Home Care - Ketchikan</t>
  </si>
  <si>
    <t>1581941</t>
  </si>
  <si>
    <t>1583063</t>
  </si>
  <si>
    <t>1004477</t>
  </si>
  <si>
    <t>Cornerstone Home Care (formerly Health) - Haines</t>
  </si>
  <si>
    <t>1002421</t>
  </si>
  <si>
    <t>1028142</t>
  </si>
  <si>
    <t>1004519</t>
  </si>
  <si>
    <t>Cornerstone Home Care (formerly Health)-Juneau</t>
  </si>
  <si>
    <t>1002728</t>
  </si>
  <si>
    <t>1028296</t>
  </si>
  <si>
    <t>1004478</t>
  </si>
  <si>
    <t>Cornerstone Home Care-Petersburg (formerly Health)</t>
  </si>
  <si>
    <t>1002419</t>
  </si>
  <si>
    <t>1028144</t>
  </si>
  <si>
    <t>1004888</t>
  </si>
  <si>
    <t>Crossroads Counseling and Training Services</t>
  </si>
  <si>
    <t>1002723</t>
  </si>
  <si>
    <t>1002406</t>
  </si>
  <si>
    <t xml:space="preserve">Eagle Crest </t>
  </si>
  <si>
    <t>1004466</t>
  </si>
  <si>
    <t>1028262</t>
  </si>
  <si>
    <t>Easter Seals Alaska - Anchorage</t>
  </si>
  <si>
    <t>1004561</t>
  </si>
  <si>
    <t>1005033</t>
  </si>
  <si>
    <t>Elena's Place I</t>
  </si>
  <si>
    <t>1030423</t>
  </si>
  <si>
    <t>1030506</t>
  </si>
  <si>
    <t>Eye to Eye (owned by Flamingo Eye Care Agency)</t>
  </si>
  <si>
    <t>1005143</t>
  </si>
  <si>
    <t>1004837</t>
  </si>
  <si>
    <t>Fairbanks Resource Agency*</t>
  </si>
  <si>
    <t>1002570</t>
  </si>
  <si>
    <t>1004553</t>
  </si>
  <si>
    <t>FOCUS, Inc.* (Family Outreach Center)</t>
  </si>
  <si>
    <t>1002617</t>
  </si>
  <si>
    <t>1004803</t>
  </si>
  <si>
    <t>Frontier Community Services/Soldotna*</t>
  </si>
  <si>
    <t>1002642</t>
  </si>
  <si>
    <t>1004804</t>
  </si>
  <si>
    <t>Frontier Community Services/Valdez*</t>
  </si>
  <si>
    <t>1002643</t>
  </si>
  <si>
    <t>1021443</t>
  </si>
  <si>
    <t>Frontier Medical</t>
  </si>
  <si>
    <t>1021442</t>
  </si>
  <si>
    <t>1021833</t>
  </si>
  <si>
    <t>1579029</t>
  </si>
  <si>
    <t>Genacta In Home Care-Anchorage</t>
  </si>
  <si>
    <t>1004894</t>
  </si>
  <si>
    <t>1028237</t>
  </si>
  <si>
    <t>1030321</t>
  </si>
  <si>
    <t>Genacta Senior Living</t>
  </si>
  <si>
    <t>1004893</t>
  </si>
  <si>
    <t>1021640</t>
  </si>
  <si>
    <t>Geneva Woods Pharmacy Inc</t>
  </si>
  <si>
    <t>1021563</t>
  </si>
  <si>
    <t>1575813</t>
  </si>
  <si>
    <t>Golden Hearts Agency</t>
  </si>
  <si>
    <t>1004975</t>
  </si>
  <si>
    <t>1005034</t>
  </si>
  <si>
    <t>Good Samaritan ALH (formerly Elana's Place III)</t>
  </si>
  <si>
    <t>1030424</t>
  </si>
  <si>
    <t>1580083</t>
  </si>
  <si>
    <t>Good Samaritan Care Services</t>
  </si>
  <si>
    <t>1574738</t>
  </si>
  <si>
    <t>1570822</t>
  </si>
  <si>
    <t>1030324</t>
  </si>
  <si>
    <t>Harbor Lights House Assisted Living, Inc.</t>
  </si>
  <si>
    <t>1004898</t>
  </si>
  <si>
    <t>1584304</t>
  </si>
  <si>
    <t>Hearts and Hands of Care, Inc.</t>
  </si>
  <si>
    <t>1004653</t>
  </si>
  <si>
    <t>1002576</t>
  </si>
  <si>
    <t>1584763</t>
  </si>
  <si>
    <t>Hearts and Hands of Care, Inc. Wasilla</t>
  </si>
  <si>
    <t>1581603</t>
  </si>
  <si>
    <t>1584320</t>
  </si>
  <si>
    <t>1030432</t>
  </si>
  <si>
    <t>Holy Family Assisted Living Home III</t>
  </si>
  <si>
    <t>1004539</t>
  </si>
  <si>
    <t>1004962</t>
  </si>
  <si>
    <t>Holy Family II Assisted Living Home</t>
  </si>
  <si>
    <t>1030359</t>
  </si>
  <si>
    <t>1030393</t>
  </si>
  <si>
    <t>Homer Senior Citizens Inc.* (Friendship Terrace)</t>
  </si>
  <si>
    <t>1005004</t>
  </si>
  <si>
    <t>1028285</t>
  </si>
  <si>
    <t>Homewell Senior Care</t>
  </si>
  <si>
    <t>1002430</t>
  </si>
  <si>
    <t>1004689</t>
  </si>
  <si>
    <t>1004708</t>
  </si>
  <si>
    <t>Hope Community Resources*/Anchorage</t>
  </si>
  <si>
    <t>1002608</t>
  </si>
  <si>
    <t>1028222</t>
  </si>
  <si>
    <t>Hope Community Resources*/Barrow</t>
  </si>
  <si>
    <t>1004713</t>
  </si>
  <si>
    <t>1002611</t>
  </si>
  <si>
    <t>1004709</t>
  </si>
  <si>
    <t>Hope Community Resources*/Dillingham</t>
  </si>
  <si>
    <t>1002605</t>
  </si>
  <si>
    <t>1028226</t>
  </si>
  <si>
    <t>Hope Community Resources*/Juneau</t>
  </si>
  <si>
    <t>1004711</t>
  </si>
  <si>
    <t>1002607</t>
  </si>
  <si>
    <t>1004714</t>
  </si>
  <si>
    <t>Hope Community Resources*/Kenai</t>
  </si>
  <si>
    <t>1002613</t>
  </si>
  <si>
    <t>1028223</t>
  </si>
  <si>
    <t>1004710</t>
  </si>
  <si>
    <t>Hope Community Resources*/Kodiak</t>
  </si>
  <si>
    <t>1002606</t>
  </si>
  <si>
    <t>1004712</t>
  </si>
  <si>
    <t>Hope Community Resources*/Mat-Su</t>
  </si>
  <si>
    <t>1002610</t>
  </si>
  <si>
    <t>1611121</t>
  </si>
  <si>
    <t>House of Gold Assisted Living Home</t>
  </si>
  <si>
    <t>1029943</t>
  </si>
  <si>
    <t>1004511</t>
  </si>
  <si>
    <t>Iluminada's Assisted Living Home</t>
  </si>
  <si>
    <t>1029957</t>
  </si>
  <si>
    <t>JC Faith Open Arms ALH II</t>
  </si>
  <si>
    <t>1002403</t>
  </si>
  <si>
    <t>Immediate Care, Inc. - Anchorage</t>
  </si>
  <si>
    <t>1028172</t>
  </si>
  <si>
    <t>1004669</t>
  </si>
  <si>
    <t>1002551</t>
  </si>
  <si>
    <t>Immediate Care, Inc. - Fairbanks</t>
  </si>
  <si>
    <t>1028173</t>
  </si>
  <si>
    <t>1004670</t>
  </si>
  <si>
    <t>1002416</t>
  </si>
  <si>
    <t>Immediate Care, Inc. - Wasilla</t>
  </si>
  <si>
    <t>1028170</t>
  </si>
  <si>
    <t>1004668</t>
  </si>
  <si>
    <t>1578157</t>
  </si>
  <si>
    <t>JC Faith Open Arms III</t>
  </si>
  <si>
    <t>1029948</t>
  </si>
  <si>
    <t>Kamalani Assisted Living Home</t>
  </si>
  <si>
    <t>1583157</t>
  </si>
  <si>
    <t>1030450</t>
  </si>
  <si>
    <t xml:space="preserve">Jenny's Home </t>
  </si>
  <si>
    <t>1005075</t>
  </si>
  <si>
    <t>1004463</t>
  </si>
  <si>
    <t>Kachemak Way Assisted Living</t>
  </si>
  <si>
    <t>1030147</t>
  </si>
  <si>
    <t xml:space="preserve">Kamalani II Assisted Living Home </t>
  </si>
  <si>
    <t>1004482</t>
  </si>
  <si>
    <t>Kori's Assisted Living, LLC</t>
  </si>
  <si>
    <t>1029989</t>
  </si>
  <si>
    <t>1030358</t>
  </si>
  <si>
    <t>Lakeview Home I</t>
  </si>
  <si>
    <t>HC7099</t>
  </si>
  <si>
    <t>1004673</t>
  </si>
  <si>
    <t>Lynne's Home Care,LLC</t>
  </si>
  <si>
    <t>1030140</t>
  </si>
  <si>
    <t>1030392</t>
  </si>
  <si>
    <t xml:space="preserve">MacInnes House </t>
  </si>
  <si>
    <t>1005003</t>
  </si>
  <si>
    <t>1005059</t>
  </si>
  <si>
    <t xml:space="preserve">Main Street Assisted Living, Inc. </t>
  </si>
  <si>
    <t>1030440</t>
  </si>
  <si>
    <t xml:space="preserve">1609623 </t>
  </si>
  <si>
    <t>Majestic View Assisted Living</t>
  </si>
  <si>
    <t>1030149</t>
  </si>
  <si>
    <t>1004545</t>
  </si>
  <si>
    <t>Maniilaq Association*- DD and Elder Services</t>
  </si>
  <si>
    <t>1002546</t>
  </si>
  <si>
    <t>1002619</t>
  </si>
  <si>
    <t>Mat-Su Activity and Respite Center</t>
  </si>
  <si>
    <t>1004992</t>
  </si>
  <si>
    <t>1005006</t>
  </si>
  <si>
    <t>Mat-Su Senior Services*</t>
  </si>
  <si>
    <t>1002565</t>
  </si>
  <si>
    <t>1004984</t>
  </si>
  <si>
    <t>Mat-Su Services for Children &amp; Adults*</t>
  </si>
  <si>
    <t>1002542</t>
  </si>
  <si>
    <t>1004835</t>
  </si>
  <si>
    <t>Maxim Healthcare Services,Inc.</t>
  </si>
  <si>
    <t>1028289</t>
  </si>
  <si>
    <t>1584243</t>
  </si>
  <si>
    <t>McKinley Services</t>
  </si>
  <si>
    <t>1584240</t>
  </si>
  <si>
    <t>1584220</t>
  </si>
  <si>
    <t>1570775</t>
  </si>
  <si>
    <t>Mountain View ALH/City of Petersburg</t>
  </si>
  <si>
    <t>1030256</t>
  </si>
  <si>
    <t>1004473</t>
  </si>
  <si>
    <t>My Daughter and Me Assisted Living Home</t>
  </si>
  <si>
    <t>1029963</t>
  </si>
  <si>
    <t>1606191</t>
  </si>
  <si>
    <t>New Haven Home, Inc.</t>
  </si>
  <si>
    <t>1030161</t>
  </si>
  <si>
    <t>1582755</t>
  </si>
  <si>
    <t>Nicholson's Assisted Living Home</t>
  </si>
  <si>
    <t>1582719</t>
  </si>
  <si>
    <t>1002720</t>
  </si>
  <si>
    <t>Nikiski Senior Citizens Inc.*</t>
  </si>
  <si>
    <t>1004753</t>
  </si>
  <si>
    <t>1002555</t>
  </si>
  <si>
    <t>Nome Community Center Inc*</t>
  </si>
  <si>
    <t>1005112</t>
  </si>
  <si>
    <t>1575477</t>
  </si>
  <si>
    <t>Northbridge, LLC.(Westcare-Belmont)</t>
  </si>
  <si>
    <t>1571564</t>
  </si>
  <si>
    <t>HC5257</t>
  </si>
  <si>
    <t>Northern Living Centers, LLC</t>
  </si>
  <si>
    <t>1030259</t>
  </si>
  <si>
    <t>1004744</t>
  </si>
  <si>
    <t>Norton Sound Health Corporation*</t>
  </si>
  <si>
    <t>1002529</t>
  </si>
  <si>
    <t>1030287</t>
  </si>
  <si>
    <t>Olympus House, Inc.</t>
  </si>
  <si>
    <t>1004863</t>
  </si>
  <si>
    <t>1577242</t>
  </si>
  <si>
    <t>Our Lady of Lourdes, LLC.</t>
  </si>
  <si>
    <t>1576890</t>
  </si>
  <si>
    <t>1579887</t>
  </si>
  <si>
    <t>Pathways LLC (NEW)</t>
  </si>
  <si>
    <t>1004862</t>
  </si>
  <si>
    <t>1004437</t>
  </si>
  <si>
    <t>Prime Care,Inc.</t>
  </si>
  <si>
    <t>1028155</t>
  </si>
  <si>
    <t>1028141</t>
  </si>
  <si>
    <t>Priority Healthcare, LLC.</t>
  </si>
  <si>
    <t>1021706</t>
  </si>
  <si>
    <t>1030242</t>
  </si>
  <si>
    <t>Providence Horizon House</t>
  </si>
  <si>
    <t>1004814</t>
  </si>
  <si>
    <t>1029991</t>
  </si>
  <si>
    <t>Rabe Assisted Living Home, LLC</t>
  </si>
  <si>
    <t>1004479</t>
  </si>
  <si>
    <t>1004964</t>
  </si>
  <si>
    <t>REACH, Inc.*-Haines</t>
  </si>
  <si>
    <t>1002443</t>
  </si>
  <si>
    <t>1004963</t>
  </si>
  <si>
    <t>REACH, Inc.*-Juneau</t>
  </si>
  <si>
    <t>1002442</t>
  </si>
  <si>
    <t>1028281</t>
  </si>
  <si>
    <t>Ready Care (ResCare) - Anch</t>
  </si>
  <si>
    <t>1005125</t>
  </si>
  <si>
    <t>1002596</t>
  </si>
  <si>
    <t>1028280</t>
  </si>
  <si>
    <t>Ready Care (ResCare) - Fairbanks</t>
  </si>
  <si>
    <t>1004889</t>
  </si>
  <si>
    <t>1002597</t>
  </si>
  <si>
    <t>1028230</t>
  </si>
  <si>
    <t>Ready Care (ResCare) - Homer</t>
  </si>
  <si>
    <t>1004794</t>
  </si>
  <si>
    <t>1002627</t>
  </si>
  <si>
    <t>1028228</t>
  </si>
  <si>
    <t>Ready Care (ResCare) - Wasilla</t>
  </si>
  <si>
    <t>1005148</t>
  </si>
  <si>
    <t>1002595</t>
  </si>
  <si>
    <t>1028231</t>
  </si>
  <si>
    <t>Ready Care (ResCare)-Soldotna</t>
  </si>
  <si>
    <t>1004792</t>
  </si>
  <si>
    <t>1002621</t>
  </si>
  <si>
    <t>1004452</t>
  </si>
  <si>
    <t>Reliance Care, Inc.</t>
  </si>
  <si>
    <t>1028284</t>
  </si>
  <si>
    <t>1004464</t>
  </si>
  <si>
    <t>ResCare HomeCare (Anch)</t>
  </si>
  <si>
    <t>1028138</t>
  </si>
  <si>
    <t>1004459</t>
  </si>
  <si>
    <t>ResCare HomeCare (Frbks)</t>
  </si>
  <si>
    <t>1028137</t>
  </si>
  <si>
    <t>1030212</t>
  </si>
  <si>
    <t>Sacred Heart Care Center</t>
  </si>
  <si>
    <t>1004762</t>
  </si>
  <si>
    <t>1004728</t>
  </si>
  <si>
    <t>SeaView Community Services*</t>
  </si>
  <si>
    <t>1002680</t>
  </si>
  <si>
    <t>1005030</t>
  </si>
  <si>
    <t>Senior Citizens of Kodiak Inc*</t>
  </si>
  <si>
    <t>1002476</t>
  </si>
  <si>
    <t>1004640</t>
  </si>
  <si>
    <t>Sound Alternatives*</t>
  </si>
  <si>
    <t>1002490</t>
  </si>
  <si>
    <t>1004457</t>
  </si>
  <si>
    <t>Soundview Assisted Living Home</t>
  </si>
  <si>
    <t>1030102</t>
  </si>
  <si>
    <t>1004605</t>
  </si>
  <si>
    <t>South Peninsula Behavioral Health Svcs*</t>
  </si>
  <si>
    <t>1002586</t>
  </si>
  <si>
    <t>1004606</t>
  </si>
  <si>
    <t>South Peninsula Hosp/Comm Health Svcs*</t>
  </si>
  <si>
    <t>1002677</t>
  </si>
  <si>
    <t>1021539</t>
  </si>
  <si>
    <t>1022057</t>
  </si>
  <si>
    <t>1030044</t>
  </si>
  <si>
    <t>St. Anne Assisted Living Home</t>
  </si>
  <si>
    <t>1004532</t>
  </si>
  <si>
    <t>1030489</t>
  </si>
  <si>
    <t>St. Francis Assisted Living Home</t>
  </si>
  <si>
    <t>1005137</t>
  </si>
  <si>
    <t>1004887</t>
  </si>
  <si>
    <t>St. Lawrence Assisted Living Home II</t>
  </si>
  <si>
    <t>1030375</t>
  </si>
  <si>
    <t>1030172</t>
  </si>
  <si>
    <t>Sue's Sourdough Assisted Living</t>
  </si>
  <si>
    <t>1005051</t>
  </si>
  <si>
    <t>1004476</t>
  </si>
  <si>
    <t>Sunshine Community Health Center</t>
  </si>
  <si>
    <t>1002520</t>
  </si>
  <si>
    <t>1005142</t>
  </si>
  <si>
    <t>Supreme Home, LLC</t>
  </si>
  <si>
    <t>1030505</t>
  </si>
  <si>
    <t>1614524</t>
  </si>
  <si>
    <t>Su-Valley Care Coordination, LLC</t>
  </si>
  <si>
    <t>1572093</t>
  </si>
  <si>
    <t>1004594</t>
  </si>
  <si>
    <t>Tanana Chiefs Conference - Community DD Program*</t>
  </si>
  <si>
    <t>1002538</t>
  </si>
  <si>
    <t>1028136</t>
  </si>
  <si>
    <t>Tanana Chiefs Conference, Inc.*(Senior Services)</t>
  </si>
  <si>
    <t>1004566</t>
  </si>
  <si>
    <t>1002463</t>
  </si>
  <si>
    <t>1005058</t>
  </si>
  <si>
    <t>The Arc of Anchorage*</t>
  </si>
  <si>
    <t>1002592</t>
  </si>
  <si>
    <t>CM7601</t>
  </si>
  <si>
    <t>Theresa Firor</t>
  </si>
  <si>
    <t>1604681</t>
  </si>
  <si>
    <t>Timberberry ALH</t>
  </si>
  <si>
    <t>1601465</t>
  </si>
  <si>
    <t>1004523</t>
  </si>
  <si>
    <t>Trinion Quality Care Services</t>
  </si>
  <si>
    <t>1002681</t>
  </si>
  <si>
    <t>1028187</t>
  </si>
  <si>
    <t>1004458</t>
  </si>
  <si>
    <t>True Love Assisted Living Home</t>
  </si>
  <si>
    <t>1029967</t>
  </si>
  <si>
    <t>1029956</t>
  </si>
  <si>
    <t>True Love Too Assisted Living Home</t>
  </si>
  <si>
    <t>1004468</t>
  </si>
  <si>
    <t>1582688</t>
  </si>
  <si>
    <t>U-Care Services, LLC</t>
  </si>
  <si>
    <t>1028135</t>
  </si>
  <si>
    <t>1028216</t>
  </si>
  <si>
    <t>Valdez Senior Citizens Center,Inc.*</t>
  </si>
  <si>
    <t>1005047</t>
  </si>
  <si>
    <t>1002391</t>
  </si>
  <si>
    <t>1004919</t>
  </si>
  <si>
    <t>Vladi &amp; Associates LLC</t>
  </si>
  <si>
    <t>1028213</t>
  </si>
  <si>
    <t>1029946</t>
  </si>
  <si>
    <t>Wasilla Retirement, LLC (Primrose Retirement Comm)</t>
  </si>
  <si>
    <t>1004447</t>
  </si>
  <si>
    <t>1004864</t>
  </si>
  <si>
    <t>Wickersham House, LLC</t>
  </si>
  <si>
    <t>1030288</t>
  </si>
  <si>
    <t>1030174</t>
  </si>
  <si>
    <t>Wild Iris Comfort Care</t>
  </si>
  <si>
    <t>1004725</t>
  </si>
  <si>
    <t>HC0069</t>
  </si>
  <si>
    <t>Willow Personal Care Assistants, LLC</t>
  </si>
  <si>
    <t>1582710</t>
  </si>
  <si>
    <t>1028134</t>
  </si>
  <si>
    <t>1004541</t>
  </si>
  <si>
    <t>Yukon Kuskokwim Health Corporation*-DD Services</t>
  </si>
  <si>
    <t>1002447</t>
  </si>
  <si>
    <t>1029951</t>
  </si>
  <si>
    <t>168 LLC,  Senior Assistance &amp; Assisted Living Home</t>
  </si>
  <si>
    <t>1002441</t>
  </si>
  <si>
    <t>A. Care Coordination</t>
  </si>
  <si>
    <t>1004846</t>
  </si>
  <si>
    <t>AAA Alaska Cab Incorporated</t>
  </si>
  <si>
    <t>1570621</t>
  </si>
  <si>
    <t>ABC Connections</t>
  </si>
  <si>
    <t>1581412</t>
  </si>
  <si>
    <t>Abdulkarim Isa</t>
  </si>
  <si>
    <t>1585376</t>
  </si>
  <si>
    <t>About You Care Coordination</t>
  </si>
  <si>
    <t>1608541</t>
  </si>
  <si>
    <t>Above Care ALH LLC</t>
  </si>
  <si>
    <t>1571929</t>
  </si>
  <si>
    <t>ABRA Assisted Living Home</t>
  </si>
  <si>
    <t>1574767</t>
  </si>
  <si>
    <t>Abuelita ALH, LLC</t>
  </si>
  <si>
    <t>1608772</t>
  </si>
  <si>
    <t>Access Alaska* Inc - Bethel</t>
  </si>
  <si>
    <t>1004097</t>
  </si>
  <si>
    <t>Accessible Solutions</t>
  </si>
  <si>
    <t>1577109</t>
  </si>
  <si>
    <t>Adelina Esco</t>
  </si>
  <si>
    <t>1571431</t>
  </si>
  <si>
    <t>Advantage Senior Care LLC</t>
  </si>
  <si>
    <t>1578253</t>
  </si>
  <si>
    <t>Agnes Roland</t>
  </si>
  <si>
    <t>1030203</t>
  </si>
  <si>
    <t>Aiding Angels Assisted Living Home</t>
  </si>
  <si>
    <t>1578150</t>
  </si>
  <si>
    <t>Aisling Killian</t>
  </si>
  <si>
    <t>1002368</t>
  </si>
  <si>
    <t>Ajoke Kolawoie -Walker</t>
  </si>
  <si>
    <t>1030284</t>
  </si>
  <si>
    <t>AK Care, Comfort, and Company, Inc.</t>
  </si>
  <si>
    <t>1001479</t>
  </si>
  <si>
    <t>Al Pioner</t>
  </si>
  <si>
    <t>1002440</t>
  </si>
  <si>
    <t>Alaska Care Connections Inc.</t>
  </si>
  <si>
    <t>1571446</t>
  </si>
  <si>
    <t>Alaska Care Coordination Services</t>
  </si>
  <si>
    <t>1022001</t>
  </si>
  <si>
    <t>Alaska Center for the Blind</t>
  </si>
  <si>
    <t>1614661</t>
  </si>
  <si>
    <t>Alaska Community Care</t>
  </si>
  <si>
    <t>1028140</t>
  </si>
  <si>
    <t>Alaska Home Care - Delta Junction</t>
  </si>
  <si>
    <t>1028153</t>
  </si>
  <si>
    <t>Alaska Home Care, Inc</t>
  </si>
  <si>
    <t>1572922</t>
  </si>
  <si>
    <t>Alaska Mobility LLC</t>
  </si>
  <si>
    <t>1609011</t>
  </si>
  <si>
    <t>Alaska Premium Care - Cormorant Cove</t>
  </si>
  <si>
    <t>1578224</t>
  </si>
  <si>
    <t>Alaska Premium Care, Inc/Wesleyan House</t>
  </si>
  <si>
    <t>1002498</t>
  </si>
  <si>
    <t>Alaskan Comprehensive Care</t>
  </si>
  <si>
    <t>1030497</t>
  </si>
  <si>
    <t>Alaskan Ruby Assisted Living Home, LLC</t>
  </si>
  <si>
    <t>1598151</t>
  </si>
  <si>
    <t>Alaskan's Caring For Alaskan's Care Coordination S</t>
  </si>
  <si>
    <t>1002707</t>
  </si>
  <si>
    <t>AlasKids</t>
  </si>
  <si>
    <t>1001534</t>
  </si>
  <si>
    <t>Alexandria Miles</t>
  </si>
  <si>
    <t>1001028</t>
  </si>
  <si>
    <t>Alison O'donnell</t>
  </si>
  <si>
    <t>1030333</t>
  </si>
  <si>
    <t>All About Care II, Inc.</t>
  </si>
  <si>
    <t>1030334</t>
  </si>
  <si>
    <t>All About Care III, Inc.</t>
  </si>
  <si>
    <t>1030335</t>
  </si>
  <si>
    <t>All About Care IV, Inc.</t>
  </si>
  <si>
    <t>1030332</t>
  </si>
  <si>
    <t>All About Care, Inc.</t>
  </si>
  <si>
    <t>1002671</t>
  </si>
  <si>
    <t>Alliance Care</t>
  </si>
  <si>
    <t>1615367</t>
  </si>
  <si>
    <t>Allison Assisted Living Home</t>
  </si>
  <si>
    <t>1573201</t>
  </si>
  <si>
    <t>Allison Samuelson</t>
  </si>
  <si>
    <t>1000954</t>
  </si>
  <si>
    <t>Allyn Lawrence</t>
  </si>
  <si>
    <t>1580873</t>
  </si>
  <si>
    <t>Alpha-Omega Assisted Living Home</t>
  </si>
  <si>
    <t>1030017</t>
  </si>
  <si>
    <t>ALPINE ALH</t>
  </si>
  <si>
    <t>1579374</t>
  </si>
  <si>
    <t>Alyeska Assisted Living, LLC</t>
  </si>
  <si>
    <t>1001507</t>
  </si>
  <si>
    <t>Amanda Faulkner</t>
  </si>
  <si>
    <t>1001326</t>
  </si>
  <si>
    <t>Amanda Race</t>
  </si>
  <si>
    <t>1000987</t>
  </si>
  <si>
    <t>Amarachi Nnadi</t>
  </si>
  <si>
    <t>1000902</t>
  </si>
  <si>
    <t>Amber Bartz</t>
  </si>
  <si>
    <t>1581390</t>
  </si>
  <si>
    <t>Amber Dade</t>
  </si>
  <si>
    <t>1000951</t>
  </si>
  <si>
    <t>Amber Halsey</t>
  </si>
  <si>
    <t>1580507</t>
  </si>
  <si>
    <t>Amber Maughan</t>
  </si>
  <si>
    <t>1029954</t>
  </si>
  <si>
    <t>Among Friends ALH, LLC</t>
  </si>
  <si>
    <t>1583352</t>
  </si>
  <si>
    <t>Amy Young</t>
  </si>
  <si>
    <t>1002220</t>
  </si>
  <si>
    <t>Analisa Selden</t>
  </si>
  <si>
    <t>1614294</t>
  </si>
  <si>
    <t>Anchor' Care Assisted Living, LLC</t>
  </si>
  <si>
    <t>1029976</t>
  </si>
  <si>
    <t>Anchorage Manor  #1</t>
  </si>
  <si>
    <t>1577192</t>
  </si>
  <si>
    <t>Anchored Abode Assisted Living Home LLC</t>
  </si>
  <si>
    <t>1002143</t>
  </si>
  <si>
    <t>Andrea Miller</t>
  </si>
  <si>
    <t>1584118</t>
  </si>
  <si>
    <t>Andrea Thomas</t>
  </si>
  <si>
    <t>1575887</t>
  </si>
  <si>
    <t>Angela Day (formerly Taylor)</t>
  </si>
  <si>
    <t>1001287</t>
  </si>
  <si>
    <t>Angela McArdle</t>
  </si>
  <si>
    <t>1607031</t>
  </si>
  <si>
    <t>Angela Nieto</t>
  </si>
  <si>
    <t>1579186</t>
  </si>
  <si>
    <t>Angela Wakely</t>
  </si>
  <si>
    <t>1611432</t>
  </si>
  <si>
    <t>Angelina Taylor</t>
  </si>
  <si>
    <t>1000914</t>
  </si>
  <si>
    <t>Ann Arrisi</t>
  </si>
  <si>
    <t>1608471</t>
  </si>
  <si>
    <t>Anna Jolley</t>
  </si>
  <si>
    <t>1002062</t>
  </si>
  <si>
    <t>Antoinette (Toni) Mallott</t>
  </si>
  <si>
    <t>1030054</t>
  </si>
  <si>
    <t>Aphrodite ALH I</t>
  </si>
  <si>
    <t>1030055</t>
  </si>
  <si>
    <t>Aphrodite ALH II Inc.</t>
  </si>
  <si>
    <t>1611430</t>
  </si>
  <si>
    <t>April Ricks</t>
  </si>
  <si>
    <t>1573126</t>
  </si>
  <si>
    <t>Ariana ALH, LLC</t>
  </si>
  <si>
    <t>1583523</t>
  </si>
  <si>
    <t>Ark of Caring Assisted Living Home</t>
  </si>
  <si>
    <t>1000913</t>
  </si>
  <si>
    <t>Arlene Jasky</t>
  </si>
  <si>
    <t>1575808</t>
  </si>
  <si>
    <t>Ascension Care Coordination</t>
  </si>
  <si>
    <t>1605493</t>
  </si>
  <si>
    <t>Ashley Brundage</t>
  </si>
  <si>
    <t>1581027</t>
  </si>
  <si>
    <t>Aspen Personal Care Services</t>
  </si>
  <si>
    <t>1582722</t>
  </si>
  <si>
    <t>Aspire - Hoopes</t>
  </si>
  <si>
    <t>1577664</t>
  </si>
  <si>
    <t>Aspire 2nd Avenue - Courtyard</t>
  </si>
  <si>
    <t>1577663</t>
  </si>
  <si>
    <t>Aspire Arlington - Milliken</t>
  </si>
  <si>
    <t>1577667</t>
  </si>
  <si>
    <t>Aspire Belmont Care Ctr - 5th Street</t>
  </si>
  <si>
    <t>1577666</t>
  </si>
  <si>
    <t>Aspire Belmont Care Ctr - Vaughn Str</t>
  </si>
  <si>
    <t>1577662</t>
  </si>
  <si>
    <t>Aspire Birch Lane - Sunset Oaks</t>
  </si>
  <si>
    <t>1580014</t>
  </si>
  <si>
    <t>Aspire Cornerstone</t>
  </si>
  <si>
    <t>1577206</t>
  </si>
  <si>
    <t>Aspire Cougar Creek</t>
  </si>
  <si>
    <t>1579735</t>
  </si>
  <si>
    <t>Aspire Human Services Inc</t>
  </si>
  <si>
    <t>1577661</t>
  </si>
  <si>
    <t>Aspire Old Stone Way - Fieldstone</t>
  </si>
  <si>
    <t>1577670</t>
  </si>
  <si>
    <t>Aspire Sunnybrook</t>
  </si>
  <si>
    <t>1583484</t>
  </si>
  <si>
    <t>Assisting Alaskans Care Coordination</t>
  </si>
  <si>
    <t>1029960</t>
  </si>
  <si>
    <t>Atlas Home Care Assisted Living Home II, Inc</t>
  </si>
  <si>
    <t>1030318</t>
  </si>
  <si>
    <t>Atlas Home Care Assisted Living Home, Inc.</t>
  </si>
  <si>
    <t>1001921</t>
  </si>
  <si>
    <t>Audra Hunt</t>
  </si>
  <si>
    <t>1000955</t>
  </si>
  <si>
    <t>Audrey Ward</t>
  </si>
  <si>
    <t>1576239</t>
  </si>
  <si>
    <t>Aurora Borealis Assisted Living, LLC</t>
  </si>
  <si>
    <t>1002602</t>
  </si>
  <si>
    <t>Aurora Specialized Services, Inc.</t>
  </si>
  <si>
    <t>1030448</t>
  </si>
  <si>
    <t xml:space="preserve">Avelina's Assisted Living Home </t>
  </si>
  <si>
    <t>1030449</t>
  </si>
  <si>
    <t>Avelina's Assisted Living Home II</t>
  </si>
  <si>
    <t>1579123</t>
  </si>
  <si>
    <t>Barbara Jewell</t>
  </si>
  <si>
    <t>1001875</t>
  </si>
  <si>
    <t>Barbara Nath</t>
  </si>
  <si>
    <t>1005539</t>
  </si>
  <si>
    <t>Bartlett Regional Hospital</t>
  </si>
  <si>
    <t>1030474</t>
  </si>
  <si>
    <t>Bayview Terrace ALF (Sunset Devlp Co of Kodiak)</t>
  </si>
  <si>
    <t>1000924</t>
  </si>
  <si>
    <t>Belinda Baldwin</t>
  </si>
  <si>
    <t>1030106</t>
  </si>
  <si>
    <t>Bella Home Care, LLC.</t>
  </si>
  <si>
    <t>1002336</t>
  </si>
  <si>
    <t>Benjamin Ritch-Smith</t>
  </si>
  <si>
    <t>1000930</t>
  </si>
  <si>
    <t>Bernice Metcalf</t>
  </si>
  <si>
    <t>1030480</t>
  </si>
  <si>
    <t>Best Care Assisted Living Home</t>
  </si>
  <si>
    <t>1030320</t>
  </si>
  <si>
    <t>Best Care Assisted Living Home 2</t>
  </si>
  <si>
    <t>1582195</t>
  </si>
  <si>
    <t>Bethany Carpenter</t>
  </si>
  <si>
    <t>1576839</t>
  </si>
  <si>
    <t>Blessing ALH, LLC</t>
  </si>
  <si>
    <t>1596253</t>
  </si>
  <si>
    <t>Bloom Alaska Healthcare Services, LLC</t>
  </si>
  <si>
    <t>1581469</t>
  </si>
  <si>
    <t>Blueberry Lodge Assisted Living Group Home LLC</t>
  </si>
  <si>
    <t>1615591</t>
  </si>
  <si>
    <t>Borealis Assisted Living, LLC</t>
  </si>
  <si>
    <t>1001850</t>
  </si>
  <si>
    <t>Brandy Barnes</t>
  </si>
  <si>
    <t>1002252</t>
  </si>
  <si>
    <t>Bree Swanson</t>
  </si>
  <si>
    <t>1576722</t>
  </si>
  <si>
    <t>Bridgett Hites</t>
  </si>
  <si>
    <t>1578487</t>
  </si>
  <si>
    <t>Bright Horizon Homes LLC</t>
  </si>
  <si>
    <t>1002552</t>
  </si>
  <si>
    <t>Bristol Bay Native Assn.*</t>
  </si>
  <si>
    <t>1574607</t>
  </si>
  <si>
    <t>Britney Rankin</t>
  </si>
  <si>
    <t>1597311</t>
  </si>
  <si>
    <t>Brook Connolly</t>
  </si>
  <si>
    <t>1001008</t>
  </si>
  <si>
    <t>Brooke Reynolds</t>
  </si>
  <si>
    <t>1004063</t>
  </si>
  <si>
    <t>Brothers and Sons</t>
  </si>
  <si>
    <t>1004100</t>
  </si>
  <si>
    <t>Buena Vista Construction</t>
  </si>
  <si>
    <t>1577915</t>
  </si>
  <si>
    <t>Bunny's Assisted Living, LLC</t>
  </si>
  <si>
    <t>1580311</t>
  </si>
  <si>
    <t>C Care Services LLC, ALH</t>
  </si>
  <si>
    <t>1576789</t>
  </si>
  <si>
    <t>Care Advocates</t>
  </si>
  <si>
    <t>1002473</t>
  </si>
  <si>
    <t>Care Connections</t>
  </si>
  <si>
    <t>1575889</t>
  </si>
  <si>
    <t>Care Coordination and Social Work Professionals</t>
  </si>
  <si>
    <t>1002679</t>
  </si>
  <si>
    <t>Care Core</t>
  </si>
  <si>
    <t>1002509</t>
  </si>
  <si>
    <t>Care Plans, Inc.</t>
  </si>
  <si>
    <t>1029981</t>
  </si>
  <si>
    <t>Carel Assisted Living Home</t>
  </si>
  <si>
    <t>1611021</t>
  </si>
  <si>
    <t>Carel II Assisted Living Home</t>
  </si>
  <si>
    <t>1028199</t>
  </si>
  <si>
    <t>CareNet, Inc</t>
  </si>
  <si>
    <t>1583649</t>
  </si>
  <si>
    <t>Caring Hand in Hand Soldotna</t>
  </si>
  <si>
    <t>1609991</t>
  </si>
  <si>
    <t>Caring Hands Assisted Living</t>
  </si>
  <si>
    <t>1570570</t>
  </si>
  <si>
    <t>Caring Hearts Assisted Living Home</t>
  </si>
  <si>
    <t>1029975</t>
  </si>
  <si>
    <t>Caritas Assisted Living Home II Inc.</t>
  </si>
  <si>
    <t>1029953</t>
  </si>
  <si>
    <t>Caritas Assisted Living Home, Inc</t>
  </si>
  <si>
    <t>1575855</t>
  </si>
  <si>
    <t>Carl Ekstrom</t>
  </si>
  <si>
    <t>1579266</t>
  </si>
  <si>
    <t>Carmelite Home</t>
  </si>
  <si>
    <t>1574936</t>
  </si>
  <si>
    <t>Carol Jackson</t>
  </si>
  <si>
    <t>1001527</t>
  </si>
  <si>
    <t>Carol Shuler</t>
  </si>
  <si>
    <t>1581300</t>
  </si>
  <si>
    <t>Carolyn Lopez</t>
  </si>
  <si>
    <t>1584125</t>
  </si>
  <si>
    <t>Carolynn Smith</t>
  </si>
  <si>
    <t>1579863</t>
  </si>
  <si>
    <t>Carrie Cramer</t>
  </si>
  <si>
    <t>1004622</t>
  </si>
  <si>
    <t>Catholic Community Services (CCS-Angoon)*</t>
  </si>
  <si>
    <t>1004618</t>
  </si>
  <si>
    <t>Catholic Community Services (CCS-Haines)*</t>
  </si>
  <si>
    <t>1004623</t>
  </si>
  <si>
    <t>Catholic Community Services (CCS-Hoonah)*</t>
  </si>
  <si>
    <t>1004615</t>
  </si>
  <si>
    <t>Catholic Community Services (CCS-Jnu)  Care A Van*</t>
  </si>
  <si>
    <t>1002633</t>
  </si>
  <si>
    <t>Catholic Community Services (CCS-Jnu) Care Coord.*</t>
  </si>
  <si>
    <t>1004616</t>
  </si>
  <si>
    <t>Catholic Community Services (CCS-Jnu) HCB svcs*</t>
  </si>
  <si>
    <t>1004625</t>
  </si>
  <si>
    <t>Catholic Community Services (CCS-Kake)*</t>
  </si>
  <si>
    <t>1004621</t>
  </si>
  <si>
    <t>Catholic Community Services (CCS-Klawock)</t>
  </si>
  <si>
    <t>1004620</t>
  </si>
  <si>
    <t>Catholic Community Services (CCS-Sitka)*</t>
  </si>
  <si>
    <t>1004617</t>
  </si>
  <si>
    <t>Catholic Community Services (CCS-Skagway)</t>
  </si>
  <si>
    <t>1004619</t>
  </si>
  <si>
    <t>Catholic Community Services (CCS-Wrangell)*</t>
  </si>
  <si>
    <t>1004612</t>
  </si>
  <si>
    <t>Catholic Community Services (CCS-Yakutat)</t>
  </si>
  <si>
    <t>1004628</t>
  </si>
  <si>
    <t>Catholic Community Services* - Juneau Adult Day</t>
  </si>
  <si>
    <t>1004663</t>
  </si>
  <si>
    <t>Catholic Social Services*</t>
  </si>
  <si>
    <t>1021465</t>
  </si>
  <si>
    <t xml:space="preserve">Center for Community, Inc. </t>
  </si>
  <si>
    <t>1004960</t>
  </si>
  <si>
    <t>Center for Psychosocial Development</t>
  </si>
  <si>
    <t>1004549</t>
  </si>
  <si>
    <t>Central Area Rural Transit System, Inc. (CARTS)</t>
  </si>
  <si>
    <t>1021966</t>
  </si>
  <si>
    <t>Central Peninsula General Hospital</t>
  </si>
  <si>
    <t>1030315</t>
  </si>
  <si>
    <t>Chadellynh Home LLC</t>
  </si>
  <si>
    <t>61001391</t>
  </si>
  <si>
    <t>Chadene Krome</t>
  </si>
  <si>
    <t>1584144</t>
  </si>
  <si>
    <t>Charilyn Bringas</t>
  </si>
  <si>
    <t>1000979</t>
  </si>
  <si>
    <t>Charlotte Walter</t>
  </si>
  <si>
    <t>1001740</t>
  </si>
  <si>
    <t>Cheri Golden</t>
  </si>
  <si>
    <t>1573631</t>
  </si>
  <si>
    <t>Cheryl Howdyshell</t>
  </si>
  <si>
    <t>1581831</t>
  </si>
  <si>
    <t>Choice Care LLC</t>
  </si>
  <si>
    <t>1030058</t>
  </si>
  <si>
    <t>Christian Assisted Living Home</t>
  </si>
  <si>
    <t>1002298</t>
  </si>
  <si>
    <t>Christine Carsten</t>
  </si>
  <si>
    <t>1002360</t>
  </si>
  <si>
    <t>Christine Culliton</t>
  </si>
  <si>
    <t>1001029</t>
  </si>
  <si>
    <t>Christine Davison</t>
  </si>
  <si>
    <t>1607403</t>
  </si>
  <si>
    <t>Christine Inc.</t>
  </si>
  <si>
    <t>1002376</t>
  </si>
  <si>
    <t>Christine Long</t>
  </si>
  <si>
    <t>1606131</t>
  </si>
  <si>
    <t>Christine Schultz</t>
  </si>
  <si>
    <t>1582306</t>
  </si>
  <si>
    <t>Chrysalis Enterprises, Inc.</t>
  </si>
  <si>
    <t>1002320</t>
  </si>
  <si>
    <t>Chuck Wright</t>
  </si>
  <si>
    <t>1603225</t>
  </si>
  <si>
    <t>Chugiak-Eagle River Hm Care Ser(Chugiak Snr Ctr)*</t>
  </si>
  <si>
    <t>1004831</t>
  </si>
  <si>
    <t>Cindy and Vic's R and R</t>
  </si>
  <si>
    <t>1001899</t>
  </si>
  <si>
    <t>Claudia Eaves</t>
  </si>
  <si>
    <t>1572365</t>
  </si>
  <si>
    <t>Clearfield Assisted Living Home, LLC</t>
  </si>
  <si>
    <t>1030150</t>
  </si>
  <si>
    <t>Clearview Haven Assisted Living Home</t>
  </si>
  <si>
    <t>1001615</t>
  </si>
  <si>
    <t>Colleen Frommer</t>
  </si>
  <si>
    <t>1581371</t>
  </si>
  <si>
    <t>Colony House Inc.</t>
  </si>
  <si>
    <t>1030509</t>
  </si>
  <si>
    <t>Colony Manor at Creekside</t>
  </si>
  <si>
    <t>1030510</t>
  </si>
  <si>
    <t>Colony Manor at Village Park</t>
  </si>
  <si>
    <t>1574273</t>
  </si>
  <si>
    <t>Comfort Assisted Living Home II</t>
  </si>
  <si>
    <t>1574042</t>
  </si>
  <si>
    <t>Comfort Assisted Living III</t>
  </si>
  <si>
    <t>1610411</t>
  </si>
  <si>
    <t>Comfort of Home CC</t>
  </si>
  <si>
    <t>1582794</t>
  </si>
  <si>
    <t>Compassionate &amp; Effective Care, Inc.</t>
  </si>
  <si>
    <t>1571390</t>
  </si>
  <si>
    <t>Connect Care</t>
  </si>
  <si>
    <t>1002558</t>
  </si>
  <si>
    <t>Coordinated Care Planning</t>
  </si>
  <si>
    <t>1028143</t>
  </si>
  <si>
    <t>Cornerstone Home Care (formerly Health)- Klawock</t>
  </si>
  <si>
    <t>1597177</t>
  </si>
  <si>
    <t>Cristina Johnson</t>
  </si>
  <si>
    <t>1614675</t>
  </si>
  <si>
    <t>Cubita FM LLC</t>
  </si>
  <si>
    <t>1001322</t>
  </si>
  <si>
    <t>Cynthia (Cyndi) Nation</t>
  </si>
  <si>
    <t>1612041</t>
  </si>
  <si>
    <t>Cynthia Barrand</t>
  </si>
  <si>
    <t>1000970</t>
  </si>
  <si>
    <t>Cynthia Farrens</t>
  </si>
  <si>
    <t>1001771</t>
  </si>
  <si>
    <t>Cynthia Fernandez</t>
  </si>
  <si>
    <t>1608071</t>
  </si>
  <si>
    <t>Cynthia Norman</t>
  </si>
  <si>
    <t>1585080</t>
  </si>
  <si>
    <t>Cynthia Thomas</t>
  </si>
  <si>
    <t>1584645</t>
  </si>
  <si>
    <t>Dan &amp; Robin Mingo Enterprises</t>
  </si>
  <si>
    <t>1603115</t>
  </si>
  <si>
    <t>Danielle Dittmer</t>
  </si>
  <si>
    <t>1583582</t>
  </si>
  <si>
    <t>Danielle Tomkinson</t>
  </si>
  <si>
    <t>1001770</t>
  </si>
  <si>
    <t>Danny Kilanowski</t>
  </si>
  <si>
    <t>1598355</t>
  </si>
  <si>
    <t>Darryl Akins</t>
  </si>
  <si>
    <t>1577832</t>
  </si>
  <si>
    <t>David Hull</t>
  </si>
  <si>
    <t>1570991</t>
  </si>
  <si>
    <t>David Nolta</t>
  </si>
  <si>
    <t>1583357</t>
  </si>
  <si>
    <t>Dawn Frizzell</t>
  </si>
  <si>
    <t>1004589</t>
  </si>
  <si>
    <t>Day Break* (Anc Community Mental Health Services)</t>
  </si>
  <si>
    <t>1572201</t>
  </si>
  <si>
    <t>Day Spring ALH LLC</t>
  </si>
  <si>
    <t>1001543</t>
  </si>
  <si>
    <t>Deborah Sellers (formerly Ekwo)</t>
  </si>
  <si>
    <t>1002316</t>
  </si>
  <si>
    <t>Deborah Vause</t>
  </si>
  <si>
    <t>1001081</t>
  </si>
  <si>
    <t>Deborra Fields</t>
  </si>
  <si>
    <t>1002432</t>
  </si>
  <si>
    <t>Deborra Fields LPC</t>
  </si>
  <si>
    <t>1580381</t>
  </si>
  <si>
    <t>Debra Hunt</t>
  </si>
  <si>
    <t>1001095</t>
  </si>
  <si>
    <t>Dee Dee (ABC Connections) Borodychuk</t>
  </si>
  <si>
    <t>1608163</t>
  </si>
  <si>
    <t>Demeluz Assisted Living Home LLC</t>
  </si>
  <si>
    <t>1579463</t>
  </si>
  <si>
    <t>Denise Johnson</t>
  </si>
  <si>
    <t>1001674</t>
  </si>
  <si>
    <t>Denise Shelton</t>
  </si>
  <si>
    <t>1002142</t>
  </si>
  <si>
    <t>Dennis Walker</t>
  </si>
  <si>
    <t>1001148</t>
  </si>
  <si>
    <t>Desiree Ortega</t>
  </si>
  <si>
    <t>1001522</t>
  </si>
  <si>
    <t>Diana Miller</t>
  </si>
  <si>
    <t>1000945</t>
  </si>
  <si>
    <t>Dianna Bordelon</t>
  </si>
  <si>
    <t>1573384</t>
  </si>
  <si>
    <t>Dina Byuller</t>
  </si>
  <si>
    <t>1571302</t>
  </si>
  <si>
    <t>Dion Batres</t>
  </si>
  <si>
    <t>1578423</t>
  </si>
  <si>
    <t>Discovery Care Coordination, LLC</t>
  </si>
  <si>
    <t>1002472</t>
  </si>
  <si>
    <t>Divine Interventions</t>
  </si>
  <si>
    <t>1029962</t>
  </si>
  <si>
    <t>Divine Mercy ALH (LLC)</t>
  </si>
  <si>
    <t>1572793</t>
  </si>
  <si>
    <t>Divine Mercy II ALH, LLC</t>
  </si>
  <si>
    <t>1000887</t>
  </si>
  <si>
    <t>Dixie Amidon</t>
  </si>
  <si>
    <t>1002053</t>
  </si>
  <si>
    <t>Donna Hayes</t>
  </si>
  <si>
    <t>1572889</t>
  </si>
  <si>
    <t>Dragon Care Coordination</t>
  </si>
  <si>
    <t>1616051</t>
  </si>
  <si>
    <t>Driftwood Construction</t>
  </si>
  <si>
    <t>1001563</t>
  </si>
  <si>
    <t>Dwayne Hanson</t>
  </si>
  <si>
    <t>1580367</t>
  </si>
  <si>
    <t>Eagle's Wings, LLC.</t>
  </si>
  <si>
    <t>1582089</t>
  </si>
  <si>
    <t>Ed Blocker</t>
  </si>
  <si>
    <t>1001257</t>
  </si>
  <si>
    <t>Eddy Astoji</t>
  </si>
  <si>
    <t>1000988</t>
  </si>
  <si>
    <t>Eileen Hosey</t>
  </si>
  <si>
    <t>1030316</t>
  </si>
  <si>
    <t>Elaine Assisted Living Home (Esther Micua)</t>
  </si>
  <si>
    <t>1030313</t>
  </si>
  <si>
    <t>Elaine's Place ALH</t>
  </si>
  <si>
    <t>1030499</t>
  </si>
  <si>
    <t>Elder Care ALH, LLC</t>
  </si>
  <si>
    <t>1579997</t>
  </si>
  <si>
    <t>Elderlink Adult Day Services, LLC</t>
  </si>
  <si>
    <t>1576018</t>
  </si>
  <si>
    <t>Elisa Tornberg</t>
  </si>
  <si>
    <t>1030482</t>
  </si>
  <si>
    <t>Elita's Golden Home Care</t>
  </si>
  <si>
    <t>1000976</t>
  </si>
  <si>
    <t>Elizabeth (Liz) Smith</t>
  </si>
  <si>
    <t>1581014</t>
  </si>
  <si>
    <t>Elizabeth Brummett</t>
  </si>
  <si>
    <t>1001140</t>
  </si>
  <si>
    <t>Elizabeth Lee</t>
  </si>
  <si>
    <t>1573314</t>
  </si>
  <si>
    <t>Ellen Homer</t>
  </si>
  <si>
    <t>1571329</t>
  </si>
  <si>
    <t>EM Care Alaska</t>
  </si>
  <si>
    <t>1609751</t>
  </si>
  <si>
    <t>Emily Admire</t>
  </si>
  <si>
    <t>1580121</t>
  </si>
  <si>
    <t>Erin Carney</t>
  </si>
  <si>
    <t>1583255</t>
  </si>
  <si>
    <t>Erin Henderson</t>
  </si>
  <si>
    <t>1002065</t>
  </si>
  <si>
    <t>Eugenia Bender</t>
  </si>
  <si>
    <t>1001264</t>
  </si>
  <si>
    <t>Eva Dunning</t>
  </si>
  <si>
    <t>CM2783</t>
  </si>
  <si>
    <t>Evelyn Williams</t>
  </si>
  <si>
    <t>1584894</t>
  </si>
  <si>
    <t>Evette McDonald</t>
  </si>
  <si>
    <t>1571330</t>
  </si>
  <si>
    <t>Executive Care, LLC</t>
  </si>
  <si>
    <t>1005551</t>
  </si>
  <si>
    <t>Fairbanks Memorial Hospital</t>
  </si>
  <si>
    <t>1581247</t>
  </si>
  <si>
    <t>Fairbanks Resource Agency-Senior Services</t>
  </si>
  <si>
    <t>CM5811</t>
  </si>
  <si>
    <t>Faith Kelly</t>
  </si>
  <si>
    <t>1597171</t>
  </si>
  <si>
    <t>Families 1st Choice Care Coordination</t>
  </si>
  <si>
    <t>1603481</t>
  </si>
  <si>
    <t>Fancy Moose Anchorage Assisted Living Home</t>
  </si>
  <si>
    <t>1029986</t>
  </si>
  <si>
    <t>Fidelity Assisted Living Home</t>
  </si>
  <si>
    <t>1030331</t>
  </si>
  <si>
    <t>Fine Pearle Assisted Living</t>
  </si>
  <si>
    <t>1031760</t>
  </si>
  <si>
    <t>Flamingo House (owned by Flamingo Eye Care Agency)</t>
  </si>
  <si>
    <t>1004695</t>
  </si>
  <si>
    <t>Forever Ready Services</t>
  </si>
  <si>
    <t>1030202</t>
  </si>
  <si>
    <t>Forget Me Not Assisted Living Home</t>
  </si>
  <si>
    <t>1002695</t>
  </si>
  <si>
    <t>Forget Me Not Care Coordination</t>
  </si>
  <si>
    <t>1572104</t>
  </si>
  <si>
    <t>Frances Walker</t>
  </si>
  <si>
    <t>1004453</t>
  </si>
  <si>
    <t>Frontier Community Services-Adult Day Svcs*</t>
  </si>
  <si>
    <t>1577276</t>
  </si>
  <si>
    <t>Froukje Leegstra</t>
  </si>
  <si>
    <t>1580060</t>
  </si>
  <si>
    <t>Gabriela Harbison</t>
  </si>
  <si>
    <t>1000989</t>
  </si>
  <si>
    <t>Gena Coleman</t>
  </si>
  <si>
    <t>1028148</t>
  </si>
  <si>
    <t>Genacta In Home Care-Wasilla</t>
  </si>
  <si>
    <t>1028139</t>
  </si>
  <si>
    <t>Genacta In-Home Care - Soldotna</t>
  </si>
  <si>
    <t>1021970</t>
  </si>
  <si>
    <t>Geneva Woods Mat-Su Pharmacy</t>
  </si>
  <si>
    <t>1000978</t>
  </si>
  <si>
    <t>Ginger Ray</t>
  </si>
  <si>
    <t>1002009</t>
  </si>
  <si>
    <t>Gisselle De La Cruz</t>
  </si>
  <si>
    <t>1576363</t>
  </si>
  <si>
    <t>Glen Fazakerley</t>
  </si>
  <si>
    <t>1030467</t>
  </si>
  <si>
    <t>Gloria's Golden Heart Assisted Living,LLC.</t>
  </si>
  <si>
    <t>1582313</t>
  </si>
  <si>
    <t>Glorious Life ALH, LLC.</t>
  </si>
  <si>
    <t>1578001</t>
  </si>
  <si>
    <t>Golden Agers Home Care, LLC</t>
  </si>
  <si>
    <t>1577215</t>
  </si>
  <si>
    <t>Golden Friendship Assisted Living Home</t>
  </si>
  <si>
    <t>1613952</t>
  </si>
  <si>
    <t>Golden Hearts Assisted Living Home, LLC.</t>
  </si>
  <si>
    <t>1030081</t>
  </si>
  <si>
    <t>Golden Pond Assisted  Living</t>
  </si>
  <si>
    <t>1583502</t>
  </si>
  <si>
    <t>Good Grace ALH II</t>
  </si>
  <si>
    <t>1573406</t>
  </si>
  <si>
    <t>Good Grace Assisted Living Home LLC</t>
  </si>
  <si>
    <t>1030168</t>
  </si>
  <si>
    <t>Graceful Living Assisted Living Home I</t>
  </si>
  <si>
    <t>1604461</t>
  </si>
  <si>
    <t>Granny Nannies</t>
  </si>
  <si>
    <t>1580807</t>
  </si>
  <si>
    <t xml:space="preserve">Granny's Log Cabin, Inc. </t>
  </si>
  <si>
    <t>1605723</t>
  </si>
  <si>
    <t>Grant Varvil</t>
  </si>
  <si>
    <t>1577804</t>
  </si>
  <si>
    <t>GrayCo, LLC</t>
  </si>
  <si>
    <t>1595921</t>
  </si>
  <si>
    <t>Greatland Handyman Services</t>
  </si>
  <si>
    <t>1602351</t>
  </si>
  <si>
    <t>Greenwood Care Services, LLC</t>
  </si>
  <si>
    <t>1004936</t>
  </si>
  <si>
    <t>Greenwood Lodge Adult Day Care Services</t>
  </si>
  <si>
    <t>1030319</t>
  </si>
  <si>
    <t>Guiding Light Assisted Living Home</t>
  </si>
  <si>
    <t>1004051</t>
  </si>
  <si>
    <t xml:space="preserve">H &amp; H Construction Company, Inc.   </t>
  </si>
  <si>
    <t>1029950</t>
  </si>
  <si>
    <t xml:space="preserve">Haines Assisted Living, Inc. </t>
  </si>
  <si>
    <t>1021726</t>
  </si>
  <si>
    <t>Hansen Neal K (Hansens Homecare)</t>
  </si>
  <si>
    <t>1029984</t>
  </si>
  <si>
    <t>Happy House Assisted Living Home</t>
  </si>
  <si>
    <t>1030188</t>
  </si>
  <si>
    <t>Harbor View Manor</t>
  </si>
  <si>
    <t>1597173</t>
  </si>
  <si>
    <t>Harmonized Care LLC</t>
  </si>
  <si>
    <t>1584755</t>
  </si>
  <si>
    <t xml:space="preserve">Health Court Foods, Inc. </t>
  </si>
  <si>
    <t>1608361</t>
  </si>
  <si>
    <t>Heart and Harmony ALH</t>
  </si>
  <si>
    <t>1600961</t>
  </si>
  <si>
    <t>Heart of Alaska Homecare LLC</t>
  </si>
  <si>
    <t>1002635</t>
  </si>
  <si>
    <t>Heartfelt Care LLC</t>
  </si>
  <si>
    <t>1583462</t>
  </si>
  <si>
    <t>Hearts and Hands Adult Day Svcs, Inc.</t>
  </si>
  <si>
    <t>1001516</t>
  </si>
  <si>
    <t>Heather Allio</t>
  </si>
  <si>
    <t>1577954</t>
  </si>
  <si>
    <t>Heather Hanscom</t>
  </si>
  <si>
    <t>1612873</t>
  </si>
  <si>
    <t>Heather Marver</t>
  </si>
  <si>
    <t>1573107</t>
  </si>
  <si>
    <t>Heather Vallee</t>
  </si>
  <si>
    <t>1030492</t>
  </si>
  <si>
    <t>Heavenly Home Care</t>
  </si>
  <si>
    <t>1000942</t>
  </si>
  <si>
    <t>Heidi Young</t>
  </si>
  <si>
    <t>1585113</t>
  </si>
  <si>
    <t>Helping Hand Health Care, LLC</t>
  </si>
  <si>
    <t>1030389</t>
  </si>
  <si>
    <t>Helping Hands ALH I, Inc</t>
  </si>
  <si>
    <t>1001879</t>
  </si>
  <si>
    <t>Henrietta Emokidi</t>
  </si>
  <si>
    <t>1582371</t>
  </si>
  <si>
    <t xml:space="preserve">Heritage Assisted Living Home,LLC. </t>
  </si>
  <si>
    <t>1580091</t>
  </si>
  <si>
    <t>Hermann (Tuna) Scanlan</t>
  </si>
  <si>
    <t>CMAPP</t>
  </si>
  <si>
    <t>Hilary Hutson</t>
  </si>
  <si>
    <t>1579530</t>
  </si>
  <si>
    <t>Holly Hunter</t>
  </si>
  <si>
    <t>1000956</t>
  </si>
  <si>
    <t>Holly Scott</t>
  </si>
  <si>
    <t>1028198</t>
  </si>
  <si>
    <t>Home Care For You (HC4U)</t>
  </si>
  <si>
    <t>1028133</t>
  </si>
  <si>
    <t>Home Instead Senior Care</t>
  </si>
  <si>
    <t>1596081</t>
  </si>
  <si>
    <t xml:space="preserve">Home of Love Assisted Living Home </t>
  </si>
  <si>
    <t>1608263</t>
  </si>
  <si>
    <t>Homestead Assisted Living Home</t>
  </si>
  <si>
    <t>1029979</t>
  </si>
  <si>
    <t>Hope Community Resources/Kodiak/Viewcrest</t>
  </si>
  <si>
    <t>1030504</t>
  </si>
  <si>
    <t>Hope Community Resources-34th Street</t>
  </si>
  <si>
    <t>1585175</t>
  </si>
  <si>
    <t>Hope Haven Assisted Living, LLC</t>
  </si>
  <si>
    <t>1605491</t>
  </si>
  <si>
    <t>Horizon Assisted Living of Fairbanks</t>
  </si>
  <si>
    <t>1002395</t>
  </si>
  <si>
    <t>Horizon Care Coordination</t>
  </si>
  <si>
    <t>1030076</t>
  </si>
  <si>
    <t>House of Shalom ALH, LLC</t>
  </si>
  <si>
    <t>1583662</t>
  </si>
  <si>
    <t>Ikayuqti</t>
  </si>
  <si>
    <t>1001524</t>
  </si>
  <si>
    <t>Kimberly Bieber</t>
  </si>
  <si>
    <t>1608735</t>
  </si>
  <si>
    <t>Immaculate Concepcion Home, LLC</t>
  </si>
  <si>
    <t>1608742</t>
  </si>
  <si>
    <t>Immaculate Concepcion Home, LLC II</t>
  </si>
  <si>
    <t>1570445</t>
  </si>
  <si>
    <t>Independent Care Coordination, LLP</t>
  </si>
  <si>
    <t>1582798</t>
  </si>
  <si>
    <t>Individuals First Care Coordination</t>
  </si>
  <si>
    <t>1603113</t>
  </si>
  <si>
    <t>Integrity Care Coordination LLC</t>
  </si>
  <si>
    <t>1021769</t>
  </si>
  <si>
    <t>Interior Medical Supply</t>
  </si>
  <si>
    <t>1004128</t>
  </si>
  <si>
    <t>Interior Mobility Systems,LLC.</t>
  </si>
  <si>
    <t>1581951</t>
  </si>
  <si>
    <t>Irene Pipkin</t>
  </si>
  <si>
    <t>1610160</t>
  </si>
  <si>
    <t>Island Care Services</t>
  </si>
  <si>
    <t>1002160</t>
  </si>
  <si>
    <t>Ivette Hobson</t>
  </si>
  <si>
    <t>1581842</t>
  </si>
  <si>
    <t>Jacquelyn Culliton</t>
  </si>
  <si>
    <t>1000881</t>
  </si>
  <si>
    <t>Jacquelyn McArthur</t>
  </si>
  <si>
    <t>1575773</t>
  </si>
  <si>
    <t>Jade Assisted Living Home</t>
  </si>
  <si>
    <t>1001328</t>
  </si>
  <si>
    <t>James Mallery</t>
  </si>
  <si>
    <t>1603621</t>
  </si>
  <si>
    <t>Jamie Worthington</t>
  </si>
  <si>
    <t>1581760</t>
  </si>
  <si>
    <t>Jamiezon ALH II</t>
  </si>
  <si>
    <t>1030330</t>
  </si>
  <si>
    <t>Jamiezon Assisted Living Home</t>
  </si>
  <si>
    <t>CM6129</t>
  </si>
  <si>
    <t>Jan Jorgensen</t>
  </si>
  <si>
    <t>1001679</t>
  </si>
  <si>
    <t>Jane Finley</t>
  </si>
  <si>
    <t>1001726</t>
  </si>
  <si>
    <t>Jane Haiar</t>
  </si>
  <si>
    <t>1581092</t>
  </si>
  <si>
    <t>Jane Preston</t>
  </si>
  <si>
    <t>1583044</t>
  </si>
  <si>
    <t>Janell Weller</t>
  </si>
  <si>
    <t>1000886</t>
  </si>
  <si>
    <t>Janet Bourne</t>
  </si>
  <si>
    <t>1001064</t>
  </si>
  <si>
    <t>Janice (Jan) Justice</t>
  </si>
  <si>
    <t>1596293</t>
  </si>
  <si>
    <t>JC Faith Open Arms I ALH</t>
  </si>
  <si>
    <t>1001704</t>
  </si>
  <si>
    <t>Jeanne Evans</t>
  </si>
  <si>
    <t>1570520</t>
  </si>
  <si>
    <t>Jeanne Gerhardt-Cyrus</t>
  </si>
  <si>
    <t>1002066</t>
  </si>
  <si>
    <t>Jeanne Moore Kettell</t>
  </si>
  <si>
    <t>1612881</t>
  </si>
  <si>
    <t>Jennifer Axmann</t>
  </si>
  <si>
    <t>1608807</t>
  </si>
  <si>
    <t>Jennifer Gogol</t>
  </si>
  <si>
    <t>1600651</t>
  </si>
  <si>
    <t>Jennifer Swanberg</t>
  </si>
  <si>
    <t>1578556</t>
  </si>
  <si>
    <t>Jeran Marchbanks</t>
  </si>
  <si>
    <t>1579031</t>
  </si>
  <si>
    <t>Jerry Isolokwu</t>
  </si>
  <si>
    <t>1001175</t>
  </si>
  <si>
    <t>Jesse Vizcocho</t>
  </si>
  <si>
    <t>1572590</t>
  </si>
  <si>
    <t>Jessica Drury</t>
  </si>
  <si>
    <t>1601461</t>
  </si>
  <si>
    <t>Jewel Lake Assisted Living Home. LLC</t>
  </si>
  <si>
    <t>1000974</t>
  </si>
  <si>
    <t>Jim Trombley</t>
  </si>
  <si>
    <t>1576063</t>
  </si>
  <si>
    <t>JMR Manor</t>
  </si>
  <si>
    <t>1001925</t>
  </si>
  <si>
    <t>Joan Heikens</t>
  </si>
  <si>
    <t>1001593</t>
  </si>
  <si>
    <t>Joan Narsavich</t>
  </si>
  <si>
    <t>1001575</t>
  </si>
  <si>
    <t>JoAnn Wise</t>
  </si>
  <si>
    <t>1579041</t>
  </si>
  <si>
    <t>Joan's Complete Care</t>
  </si>
  <si>
    <t>1582201</t>
  </si>
  <si>
    <t>John Brown</t>
  </si>
  <si>
    <t>1001483</t>
  </si>
  <si>
    <t>John Kamauoha</t>
  </si>
  <si>
    <t>1611631</t>
  </si>
  <si>
    <t>Jonathan Strong</t>
  </si>
  <si>
    <t>1612627</t>
  </si>
  <si>
    <t>Joseph Morgan</t>
  </si>
  <si>
    <t>1001062</t>
  </si>
  <si>
    <t>Joyce Ulofoshio</t>
  </si>
  <si>
    <t>1002204</t>
  </si>
  <si>
    <t>Juan San Miguel</t>
  </si>
  <si>
    <t>1001856</t>
  </si>
  <si>
    <t>Julia Lowe</t>
  </si>
  <si>
    <t>1571389</t>
  </si>
  <si>
    <t>Julie Patty</t>
  </si>
  <si>
    <t>1578266</t>
  </si>
  <si>
    <t>Julie White</t>
  </si>
  <si>
    <t>1002077</t>
  </si>
  <si>
    <t>Juliet Mettler</t>
  </si>
  <si>
    <t>1002455</t>
  </si>
  <si>
    <t>JV Care Coordination</t>
  </si>
  <si>
    <t>1004043</t>
  </si>
  <si>
    <t xml:space="preserve">K2 Builders, Inc. </t>
  </si>
  <si>
    <t>1030008</t>
  </si>
  <si>
    <t>1021713</t>
  </si>
  <si>
    <t>Kamuck, Inc.</t>
  </si>
  <si>
    <t>1002208</t>
  </si>
  <si>
    <t>Karen Pudge</t>
  </si>
  <si>
    <t>1002375</t>
  </si>
  <si>
    <t>Karla Evarts</t>
  </si>
  <si>
    <t>1001104</t>
  </si>
  <si>
    <t>Kate Hanson</t>
  </si>
  <si>
    <t>1000885</t>
  </si>
  <si>
    <t>Kate Stone</t>
  </si>
  <si>
    <t>1001332</t>
  </si>
  <si>
    <t>Kate Wolfe</t>
  </si>
  <si>
    <t>1002126</t>
  </si>
  <si>
    <t>Kathleen Boulette</t>
  </si>
  <si>
    <t>1000917</t>
  </si>
  <si>
    <t>Kathleen Conley</t>
  </si>
  <si>
    <t>1001603</t>
  </si>
  <si>
    <t>Kathleen Roberts</t>
  </si>
  <si>
    <t>1001045</t>
  </si>
  <si>
    <t>Kathy Huskey</t>
  </si>
  <si>
    <t>1615343</t>
  </si>
  <si>
    <t>Kathy Kim</t>
  </si>
  <si>
    <t>1001439</t>
  </si>
  <si>
    <t>Kathy Marley</t>
  </si>
  <si>
    <t>1030156</t>
  </si>
  <si>
    <t>Kat's Eldercare LLC</t>
  </si>
  <si>
    <t>1572583</t>
  </si>
  <si>
    <t>Kay Papakristo</t>
  </si>
  <si>
    <t>1002425</t>
  </si>
  <si>
    <t>Kayoktuk Care</t>
  </si>
  <si>
    <t>1579269</t>
  </si>
  <si>
    <t>KD McGovern</t>
  </si>
  <si>
    <t>1030303</t>
  </si>
  <si>
    <t>Keen Eye Care Assisted Living</t>
  </si>
  <si>
    <t>1584381</t>
  </si>
  <si>
    <t>Keiki Home II Assisted Living Home</t>
  </si>
  <si>
    <t>1002150</t>
  </si>
  <si>
    <t>Keirsten M Smart</t>
  </si>
  <si>
    <t>1572906</t>
  </si>
  <si>
    <t>Keith Fleming</t>
  </si>
  <si>
    <t>1614551</t>
  </si>
  <si>
    <t>Kelsey Youngs</t>
  </si>
  <si>
    <t>1571181</t>
  </si>
  <si>
    <t>Kenai Care Connection</t>
  </si>
  <si>
    <t>1004550</t>
  </si>
  <si>
    <t>Kenai Senior Services/City of Kenai*</t>
  </si>
  <si>
    <t>1598905</t>
  </si>
  <si>
    <t>Kiana Hiler</t>
  </si>
  <si>
    <t>1571896</t>
  </si>
  <si>
    <t>Kimmie Smith</t>
  </si>
  <si>
    <t>1001759</t>
  </si>
  <si>
    <t>Kisha Smaw</t>
  </si>
  <si>
    <t>1030072</t>
  </si>
  <si>
    <t>Kiwi Assisted Living Home</t>
  </si>
  <si>
    <t>1580717</t>
  </si>
  <si>
    <t>Kiwi Assisted Living Home III</t>
  </si>
  <si>
    <t>1029996</t>
  </si>
  <si>
    <t>Kori's Assisted Living Home II</t>
  </si>
  <si>
    <t>1004448</t>
  </si>
  <si>
    <t>Kostas Taxi Service</t>
  </si>
  <si>
    <t>1001882</t>
  </si>
  <si>
    <t>Kris Johnston</t>
  </si>
  <si>
    <t>1002241</t>
  </si>
  <si>
    <t>Kristen Nilsson</t>
  </si>
  <si>
    <t>1581212</t>
  </si>
  <si>
    <t>Kristina Lee</t>
  </si>
  <si>
    <t>1029980</t>
  </si>
  <si>
    <t>Laima Assisted Living Home,LLC.</t>
  </si>
  <si>
    <t>1030307</t>
  </si>
  <si>
    <t>Lakeview Home II</t>
  </si>
  <si>
    <t>1030308</t>
  </si>
  <si>
    <t>Lakeview Home III</t>
  </si>
  <si>
    <t>1001930</t>
  </si>
  <si>
    <t>Lane Beauchamp</t>
  </si>
  <si>
    <t>1585131</t>
  </si>
  <si>
    <t>Lara Maddox</t>
  </si>
  <si>
    <t>1028151</t>
  </si>
  <si>
    <t>Last Frontier Assisted Living</t>
  </si>
  <si>
    <t>1578764</t>
  </si>
  <si>
    <t>Laura Newton</t>
  </si>
  <si>
    <t>1002102</t>
  </si>
  <si>
    <t>Laura Sasseen</t>
  </si>
  <si>
    <t>1579883</t>
  </si>
  <si>
    <t>Lauren Hodson</t>
  </si>
  <si>
    <t>1574944</t>
  </si>
  <si>
    <t>Lee Anne Crafton</t>
  </si>
  <si>
    <t>1580233</t>
  </si>
  <si>
    <t>Lester "Skip" Jacques</t>
  </si>
  <si>
    <t>1030198</t>
  </si>
  <si>
    <t>Let Us Care Assisted Living Home</t>
  </si>
  <si>
    <t>1021979</t>
  </si>
  <si>
    <t>LHS Home Medical Equip Fmh</t>
  </si>
  <si>
    <t>1571099</t>
  </si>
  <si>
    <t>Liam Salter</t>
  </si>
  <si>
    <t>1002479</t>
  </si>
  <si>
    <t>Life Enrichment Services</t>
  </si>
  <si>
    <t>1021886</t>
  </si>
  <si>
    <t xml:space="preserve">Lifeline Fairbanks Memorial Hospital </t>
  </si>
  <si>
    <t>1030051</t>
  </si>
  <si>
    <t xml:space="preserve">Lighthouse Home Care </t>
  </si>
  <si>
    <t>1029988</t>
  </si>
  <si>
    <t>Lilley Lodge 1 LLC</t>
  </si>
  <si>
    <t>1002075</t>
  </si>
  <si>
    <t>Linda Giani</t>
  </si>
  <si>
    <t>1002244</t>
  </si>
  <si>
    <t>Linda Gonzales</t>
  </si>
  <si>
    <t>1001069</t>
  </si>
  <si>
    <t>Linda Horstmann</t>
  </si>
  <si>
    <t>1000929</t>
  </si>
  <si>
    <t>Linda Price-Albers</t>
  </si>
  <si>
    <t>1001675</t>
  </si>
  <si>
    <t>Linda Wagner</t>
  </si>
  <si>
    <t>1583933</t>
  </si>
  <si>
    <t>Linda's Place</t>
  </si>
  <si>
    <t>1000991</t>
  </si>
  <si>
    <t>Linsley Heiser</t>
  </si>
  <si>
    <t>1001011</t>
  </si>
  <si>
    <t>Lisa Greenleaf</t>
  </si>
  <si>
    <t>1000892</t>
  </si>
  <si>
    <t>Lisa Hamilton</t>
  </si>
  <si>
    <t>1002016</t>
  </si>
  <si>
    <t>Lisa Noland</t>
  </si>
  <si>
    <t>1575405</t>
  </si>
  <si>
    <t>Lisa Weekley</t>
  </si>
  <si>
    <t>1030317</t>
  </si>
  <si>
    <t>Little Genie Assisted Living Home</t>
  </si>
  <si>
    <t>1030193</t>
  </si>
  <si>
    <t>Living Stone Home Care, LLC-Scenic View</t>
  </si>
  <si>
    <t>1584267</t>
  </si>
  <si>
    <t>Living Stone Home Care, LLC-Scenic View II</t>
  </si>
  <si>
    <t>1030144</t>
  </si>
  <si>
    <t>Living Stone Home Care, LLC-Skipper</t>
  </si>
  <si>
    <t>1573583</t>
  </si>
  <si>
    <t>Liviu Verziu</t>
  </si>
  <si>
    <t>1000923</t>
  </si>
  <si>
    <t>Lizaldy Pino</t>
  </si>
  <si>
    <t>1001751</t>
  </si>
  <si>
    <t>Lois Salontai</t>
  </si>
  <si>
    <t>1002417</t>
  </si>
  <si>
    <t>Louisa's Legacy</t>
  </si>
  <si>
    <t>1576693</t>
  </si>
  <si>
    <t>Louise Conwell</t>
  </si>
  <si>
    <t>1001145</t>
  </si>
  <si>
    <t>Lourdette Neuburg</t>
  </si>
  <si>
    <t>1580021</t>
  </si>
  <si>
    <t>Loving Kindness; A Helping Hand</t>
  </si>
  <si>
    <t>1608809</t>
  </si>
  <si>
    <t>Luann Strickland</t>
  </si>
  <si>
    <t>1000959</t>
  </si>
  <si>
    <t>Lydia Milligrock</t>
  </si>
  <si>
    <t>1570491</t>
  </si>
  <si>
    <t>Lynda Plettner</t>
  </si>
  <si>
    <t>1001493</t>
  </si>
  <si>
    <t>Lynne Stevens</t>
  </si>
  <si>
    <t>1001765</t>
  </si>
  <si>
    <t>Lynnette Haas</t>
  </si>
  <si>
    <t>1002489</t>
  </si>
  <si>
    <t>Mad Dogs &amp; Englishmen</t>
  </si>
  <si>
    <t>1611426</t>
  </si>
  <si>
    <t>Mai Xiong</t>
  </si>
  <si>
    <t>1029955</t>
  </si>
  <si>
    <t>Maile Assisted Living Home</t>
  </si>
  <si>
    <t>1600351</t>
  </si>
  <si>
    <t>Mains'l Alaska, LLC</t>
  </si>
  <si>
    <t>1572311</t>
  </si>
  <si>
    <t>Maletch's ALH</t>
  </si>
  <si>
    <t>1030410</t>
  </si>
  <si>
    <t>Mama's Assisted Living Home</t>
  </si>
  <si>
    <t>1030411</t>
  </si>
  <si>
    <t>Mama's II Assisted Living Home</t>
  </si>
  <si>
    <t>1030412</t>
  </si>
  <si>
    <t>Mama's III Assisted Living Home</t>
  </si>
  <si>
    <t>1030413</t>
  </si>
  <si>
    <t>Mama's IV Assisted Living Home</t>
  </si>
  <si>
    <t>1004087</t>
  </si>
  <si>
    <t>Maple Leaf Builders</t>
  </si>
  <si>
    <t>1002047</t>
  </si>
  <si>
    <t>Margaret (Meg) Smith</t>
  </si>
  <si>
    <t>1001658</t>
  </si>
  <si>
    <t>Margaret Hillebrand</t>
  </si>
  <si>
    <t>1001678</t>
  </si>
  <si>
    <t>Margaret Simons</t>
  </si>
  <si>
    <t>1030396</t>
  </si>
  <si>
    <t>Maria Angelica ALH I</t>
  </si>
  <si>
    <t>1030397</t>
  </si>
  <si>
    <t>Maria Angelica III  ALH</t>
  </si>
  <si>
    <t>1001901</t>
  </si>
  <si>
    <t>Maria Johnson</t>
  </si>
  <si>
    <t>1576872</t>
  </si>
  <si>
    <t>Mariah Johnson</t>
  </si>
  <si>
    <t>1001203</t>
  </si>
  <si>
    <t>Marianne Mills</t>
  </si>
  <si>
    <t>1570479</t>
  </si>
  <si>
    <t>Marie Langley Assisted Living Home</t>
  </si>
  <si>
    <t>1002249</t>
  </si>
  <si>
    <t>Marilyn Gonzalez</t>
  </si>
  <si>
    <t>1001858</t>
  </si>
  <si>
    <t>Marita Kaplan</t>
  </si>
  <si>
    <t>1030364</t>
  </si>
  <si>
    <t>Marlow Manor ALH</t>
  </si>
  <si>
    <t>1030206</t>
  </si>
  <si>
    <t>Marrulut Eniit Assisted Living</t>
  </si>
  <si>
    <t>1001015</t>
  </si>
  <si>
    <t>Martin Morris</t>
  </si>
  <si>
    <t>1001732</t>
  </si>
  <si>
    <t>Mary Beth Westland</t>
  </si>
  <si>
    <t>1607911</t>
  </si>
  <si>
    <t>Mary Evans</t>
  </si>
  <si>
    <t>1000897</t>
  </si>
  <si>
    <t>Mary Heiman</t>
  </si>
  <si>
    <t>1580432</t>
  </si>
  <si>
    <t>Mary Jones-Lewis</t>
  </si>
  <si>
    <t>1002004</t>
  </si>
  <si>
    <t>Mary McNeel-Diehl</t>
  </si>
  <si>
    <t>1001731</t>
  </si>
  <si>
    <t>Mary Stark</t>
  </si>
  <si>
    <t>1611607</t>
  </si>
  <si>
    <t>Mateo Dominguez</t>
  </si>
  <si>
    <t>1002393</t>
  </si>
  <si>
    <t>Mat-Su Care Coordination</t>
  </si>
  <si>
    <t>1004771</t>
  </si>
  <si>
    <t>Mat-Su Community Transit (MASCOT)</t>
  </si>
  <si>
    <t>1610291</t>
  </si>
  <si>
    <t>Mat-Su Senior Services* (Big Lake)</t>
  </si>
  <si>
    <t>1004137</t>
  </si>
  <si>
    <t>McAleese Construction, Inc</t>
  </si>
  <si>
    <t>1000990</t>
  </si>
  <si>
    <t>Megan Gould-Rasmussen</t>
  </si>
  <si>
    <t>1575656</t>
  </si>
  <si>
    <t>Megan LaCross</t>
  </si>
  <si>
    <t>1002253</t>
  </si>
  <si>
    <t>Megan Litster</t>
  </si>
  <si>
    <t>1578866</t>
  </si>
  <si>
    <t>Megan Smith</t>
  </si>
  <si>
    <t>1002096</t>
  </si>
  <si>
    <t>Megan Wilts</t>
  </si>
  <si>
    <t>1001034</t>
  </si>
  <si>
    <t>Meghan Heim</t>
  </si>
  <si>
    <t>1001189</t>
  </si>
  <si>
    <t>Melanie Speaks</t>
  </si>
  <si>
    <t>1001216</t>
  </si>
  <si>
    <t>Melenee Blalock</t>
  </si>
  <si>
    <t>1001595</t>
  </si>
  <si>
    <t>Melissa Muldoon</t>
  </si>
  <si>
    <t>1583874</t>
  </si>
  <si>
    <t>Melissa Showers</t>
  </si>
  <si>
    <t>1615841</t>
  </si>
  <si>
    <t>Melissa's Assisted Living Home, LLC</t>
  </si>
  <si>
    <t>1607203</t>
  </si>
  <si>
    <t>Melvin Nobles</t>
  </si>
  <si>
    <t>1611053</t>
  </si>
  <si>
    <t>Merri Croan</t>
  </si>
  <si>
    <t>1001491</t>
  </si>
  <si>
    <t>Merrie Zucconi</t>
  </si>
  <si>
    <t>1002332</t>
  </si>
  <si>
    <t>Michael Honner</t>
  </si>
  <si>
    <t>1002018</t>
  </si>
  <si>
    <t>Michael Kinerk</t>
  </si>
  <si>
    <t>1579170</t>
  </si>
  <si>
    <t>Michael Lawler</t>
  </si>
  <si>
    <t>1575271</t>
  </si>
  <si>
    <t>Michael Oliver</t>
  </si>
  <si>
    <t>1610281</t>
  </si>
  <si>
    <t>Michael Zechman</t>
  </si>
  <si>
    <t>1579194</t>
  </si>
  <si>
    <t>Michel Moandal</t>
  </si>
  <si>
    <t>1585235</t>
  </si>
  <si>
    <t>Michelle Hosford</t>
  </si>
  <si>
    <t>1000972</t>
  </si>
  <si>
    <t>Michelle McManus</t>
  </si>
  <si>
    <t>1584283</t>
  </si>
  <si>
    <t>Michelle Ziemer</t>
  </si>
  <si>
    <t>1571505</t>
  </si>
  <si>
    <t>Mid-Valley Seniors, Inc.*</t>
  </si>
  <si>
    <t>1001739</t>
  </si>
  <si>
    <t>Mikki Stazel</t>
  </si>
  <si>
    <t>1575633</t>
  </si>
  <si>
    <t>Minnie Fritts</t>
  </si>
  <si>
    <t>1001510</t>
  </si>
  <si>
    <t>Minnie Steven</t>
  </si>
  <si>
    <t>1576160</t>
  </si>
  <si>
    <t>Miranda Turnbull</t>
  </si>
  <si>
    <t>1605181</t>
  </si>
  <si>
    <t>Monika Burzynska-Mason</t>
  </si>
  <si>
    <t>1004993</t>
  </si>
  <si>
    <t>Morning Star Ranch</t>
  </si>
  <si>
    <t>1582049</t>
  </si>
  <si>
    <t>Mount Sinai Assisted Living Home, LLC</t>
  </si>
  <si>
    <t>1608721</t>
  </si>
  <si>
    <t>Mountainside Assisted Living Home</t>
  </si>
  <si>
    <t>1004907</t>
  </si>
  <si>
    <t>Municipality of Anchorage (MV Public Trans)</t>
  </si>
  <si>
    <t>1030039</t>
  </si>
  <si>
    <t>My Father's House Assisted Living Home, LLC</t>
  </si>
  <si>
    <t>1582070</t>
  </si>
  <si>
    <t>My Horizon, LLC</t>
  </si>
  <si>
    <t>1001870</t>
  </si>
  <si>
    <t>Nancy Farrington, BSN, MSN</t>
  </si>
  <si>
    <t>1579489</t>
  </si>
  <si>
    <t>Nancy Koval</t>
  </si>
  <si>
    <t>1004484</t>
  </si>
  <si>
    <t>Nataliya's Care Services (Delta Junction)</t>
  </si>
  <si>
    <t>1004515</t>
  </si>
  <si>
    <t>Nataliya's Care Services (Wasilla)</t>
  </si>
  <si>
    <t>1611428</t>
  </si>
  <si>
    <t>Natasha Fromm</t>
  </si>
  <si>
    <t>1583876</t>
  </si>
  <si>
    <t>Naylor Renee</t>
  </si>
  <si>
    <t>1002408</t>
  </si>
  <si>
    <t>Nettie's Care Coordination</t>
  </si>
  <si>
    <t>1000998</t>
  </si>
  <si>
    <t>Nicole Egholm</t>
  </si>
  <si>
    <t>1606301</t>
  </si>
  <si>
    <t>Nicole Hooser</t>
  </si>
  <si>
    <t>1000983</t>
  </si>
  <si>
    <t>Nicole Skube</t>
  </si>
  <si>
    <t>1030050</t>
  </si>
  <si>
    <t>Nightingale ALH LLC</t>
  </si>
  <si>
    <t>1002424</t>
  </si>
  <si>
    <t>Nightingale Care Services</t>
  </si>
  <si>
    <t>1001894</t>
  </si>
  <si>
    <t>Nikki Nelson (formerly Maydwell)</t>
  </si>
  <si>
    <t>1004729</t>
  </si>
  <si>
    <t>Ninilchik Senior Citizens Inc</t>
  </si>
  <si>
    <t>1004049</t>
  </si>
  <si>
    <t>Nolan Construction</t>
  </si>
  <si>
    <t>1005000</t>
  </si>
  <si>
    <t>North Star Council On Aging, Inc*</t>
  </si>
  <si>
    <t>1030092</t>
  </si>
  <si>
    <t>Northern Comfort</t>
  </si>
  <si>
    <t>1004450</t>
  </si>
  <si>
    <t>Northern Lighthouse Day Center</t>
  </si>
  <si>
    <t>1030226</t>
  </si>
  <si>
    <t>Northern Lights ALH</t>
  </si>
  <si>
    <t>1583177</t>
  </si>
  <si>
    <t>Northward Business Systems, LLC</t>
  </si>
  <si>
    <t>1607921</t>
  </si>
  <si>
    <t>Northwest  Independence Care, LLC.</t>
  </si>
  <si>
    <t>1029985</t>
  </si>
  <si>
    <t>NuStart Assisted Living Home</t>
  </si>
  <si>
    <t>1001207</t>
  </si>
  <si>
    <t>Olaide Wolfe</t>
  </si>
  <si>
    <t>1597461</t>
  </si>
  <si>
    <t>Olga London</t>
  </si>
  <si>
    <t>1579474</t>
  </si>
  <si>
    <t>Olga Tanner</t>
  </si>
  <si>
    <t>1030456</t>
  </si>
  <si>
    <t>Olsen's Assisted Living Home</t>
  </si>
  <si>
    <t>1004923</t>
  </si>
  <si>
    <t>Orutsararmiut Native Council*</t>
  </si>
  <si>
    <t>1605221</t>
  </si>
  <si>
    <t>Oscina Wright</t>
  </si>
  <si>
    <t>1030386</t>
  </si>
  <si>
    <t>Our Home</t>
  </si>
  <si>
    <t>1030169</t>
  </si>
  <si>
    <t>Our House II</t>
  </si>
  <si>
    <t>1576979</t>
  </si>
  <si>
    <t>Our Lady of Fatima LLC</t>
  </si>
  <si>
    <t>1030120</t>
  </si>
  <si>
    <t>Our Lady of Grace Home</t>
  </si>
  <si>
    <t>1572547</t>
  </si>
  <si>
    <t>Pamela Phipps</t>
  </si>
  <si>
    <t>1582771</t>
  </si>
  <si>
    <t>Parkside Assisted Living/Rosewood</t>
  </si>
  <si>
    <t>1000928</t>
  </si>
  <si>
    <t>Pat Keyser</t>
  </si>
  <si>
    <t>1000940</t>
  </si>
  <si>
    <t>Patricia Duncan</t>
  </si>
  <si>
    <t>1582019</t>
  </si>
  <si>
    <t>Patricia Garris-Shoemaker</t>
  </si>
  <si>
    <t>1001752</t>
  </si>
  <si>
    <t>Patricia Lange</t>
  </si>
  <si>
    <t>1001105</t>
  </si>
  <si>
    <t>Patricia Stringer</t>
  </si>
  <si>
    <t>1001550</t>
  </si>
  <si>
    <t>Patrick Cahill</t>
  </si>
  <si>
    <t>1000982</t>
  </si>
  <si>
    <t>Patti Davis</t>
  </si>
  <si>
    <t>1001872</t>
  </si>
  <si>
    <t>Paul Jacks</t>
  </si>
  <si>
    <t>1001066</t>
  </si>
  <si>
    <t>Pauline Kariuki</t>
  </si>
  <si>
    <t>1584539</t>
  </si>
  <si>
    <t>Peace &amp; Harmony ALH 2</t>
  </si>
  <si>
    <t>1001460</t>
  </si>
  <si>
    <t>Peggy Ellen Kleinleder</t>
  </si>
  <si>
    <t>1022051</t>
  </si>
  <si>
    <t>Petersburg Medical Center</t>
  </si>
  <si>
    <t>1001660</t>
  </si>
  <si>
    <t>Phillip Tucker</t>
  </si>
  <si>
    <t>1030035</t>
  </si>
  <si>
    <t>Pioneer Home-Anchorage</t>
  </si>
  <si>
    <t>1030034</t>
  </si>
  <si>
    <t>Pioneer Home-Fairbanks</t>
  </si>
  <si>
    <t>1030036</t>
  </si>
  <si>
    <t>Pioneer Home-Juneau</t>
  </si>
  <si>
    <t>1030037</t>
  </si>
  <si>
    <t>Pioneer Home-Ketchikan</t>
  </si>
  <si>
    <t>1030032</t>
  </si>
  <si>
    <t>Pioneer Home-Palmer/Veterans Home</t>
  </si>
  <si>
    <t>1030033</t>
  </si>
  <si>
    <t>Pioneer Home-Sitka</t>
  </si>
  <si>
    <t>1002568</t>
  </si>
  <si>
    <t>Possibilities, LLC.</t>
  </si>
  <si>
    <t>1596201</t>
  </si>
  <si>
    <t>Precious Care Assisted Living Facility, LLC</t>
  </si>
  <si>
    <t>1582340</t>
  </si>
  <si>
    <t>Prime Care Inc Mat-Su Valley</t>
  </si>
  <si>
    <t>1022027</t>
  </si>
  <si>
    <t>Pro Care (Sycks,Carol)</t>
  </si>
  <si>
    <t>1029942</t>
  </si>
  <si>
    <t>SeaView Community services Assisted Living Home</t>
  </si>
  <si>
    <t>1030243</t>
  </si>
  <si>
    <t>Providence Horizon House-The Cottages</t>
  </si>
  <si>
    <t>1021436</t>
  </si>
  <si>
    <t>Providence Hospital-Lifeline</t>
  </si>
  <si>
    <t>1021842</t>
  </si>
  <si>
    <t>Providence Kodiak Island Medical Center</t>
  </si>
  <si>
    <t>1002101</t>
  </si>
  <si>
    <t>1599581</t>
  </si>
  <si>
    <t>Quality Care Center of Delta</t>
  </si>
  <si>
    <t>1002587</t>
  </si>
  <si>
    <t>Quality Care Coordination</t>
  </si>
  <si>
    <t>1576564</t>
  </si>
  <si>
    <t>QuickRide LLC</t>
  </si>
  <si>
    <t>1571068</t>
  </si>
  <si>
    <t>Qutekcak Native Tribe*</t>
  </si>
  <si>
    <t>1000876</t>
  </si>
  <si>
    <t>Rachael Burkhart</t>
  </si>
  <si>
    <t>1611461</t>
  </si>
  <si>
    <t>Raeshawndra Jett</t>
  </si>
  <si>
    <t>1030367</t>
  </si>
  <si>
    <t>Randel Home Care I</t>
  </si>
  <si>
    <t>1030369</t>
  </si>
  <si>
    <t>Randel Home Care II</t>
  </si>
  <si>
    <t>1030368</t>
  </si>
  <si>
    <t>Randel Home Care III</t>
  </si>
  <si>
    <t>1616247</t>
  </si>
  <si>
    <t>Raquel Callahan</t>
  </si>
  <si>
    <t>1597285</t>
  </si>
  <si>
    <t>Raven Care, Inc</t>
  </si>
  <si>
    <t>1030228</t>
  </si>
  <si>
    <t>ReadyCare- Soldotna's Best ALH I</t>
  </si>
  <si>
    <t>1030227</t>
  </si>
  <si>
    <t>ReadyCare Soldotna's Best ALH II (formerly I)</t>
  </si>
  <si>
    <t>1004062</t>
  </si>
  <si>
    <t>Re-Bath</t>
  </si>
  <si>
    <t>1002397</t>
  </si>
  <si>
    <t>Red Mountain Care Coordination</t>
  </si>
  <si>
    <t>1030143</t>
  </si>
  <si>
    <t>Red Oaks Assisted  Living Home</t>
  </si>
  <si>
    <t>1004454</t>
  </si>
  <si>
    <t>Redi Rides of Alaska</t>
  </si>
  <si>
    <t>1004759</t>
  </si>
  <si>
    <t>Rendezvous Senior Day Services*</t>
  </si>
  <si>
    <t>1578290</t>
  </si>
  <si>
    <t>Renee Allan Francisco</t>
  </si>
  <si>
    <t>1028146</t>
  </si>
  <si>
    <t>ResCare HomeCare (Dillingham)</t>
  </si>
  <si>
    <t>1583132</t>
  </si>
  <si>
    <t>ResCare HomeCare (Homer)</t>
  </si>
  <si>
    <t>1028147</t>
  </si>
  <si>
    <t>ResCare HomeCare (Nome)</t>
  </si>
  <si>
    <t>1583130</t>
  </si>
  <si>
    <t>ResCare HomeCare (Soldotna)</t>
  </si>
  <si>
    <t>1583134</t>
  </si>
  <si>
    <t>ResCare HomeCare (Wasilla)</t>
  </si>
  <si>
    <t>1576267</t>
  </si>
  <si>
    <t>ResCare Washington dba ResCare HomeCare</t>
  </si>
  <si>
    <t>1001014</t>
  </si>
  <si>
    <t>Rilene Ann</t>
  </si>
  <si>
    <t>1595861</t>
  </si>
  <si>
    <t>Riverside Assisted Living Soldotna Inc</t>
  </si>
  <si>
    <t>1583217</t>
  </si>
  <si>
    <t>RJP Home Care Services</t>
  </si>
  <si>
    <t>1598501</t>
  </si>
  <si>
    <t>Roberta Hovermale</t>
  </si>
  <si>
    <t>1581969</t>
  </si>
  <si>
    <t>Robyn Landry</t>
  </si>
  <si>
    <t>1595681</t>
  </si>
  <si>
    <t>Rocking Years One</t>
  </si>
  <si>
    <t>1595682</t>
  </si>
  <si>
    <t>Rocking Years Two</t>
  </si>
  <si>
    <t>1576845</t>
  </si>
  <si>
    <t>Rodger Kimbrell Construction</t>
  </si>
  <si>
    <t>1607771</t>
  </si>
  <si>
    <t>Roseann Kononen</t>
  </si>
  <si>
    <t>1001079</t>
  </si>
  <si>
    <t>Roxanna Petticrew</t>
  </si>
  <si>
    <t>1585057</t>
  </si>
  <si>
    <t>Ryan Carroll</t>
  </si>
  <si>
    <t>1605081</t>
  </si>
  <si>
    <t>Ryan Stattner</t>
  </si>
  <si>
    <t>1582605</t>
  </si>
  <si>
    <t>Saint Timothy Home LLC I</t>
  </si>
  <si>
    <t>1582608</t>
  </si>
  <si>
    <t>Saint Timothy Home LLC II</t>
  </si>
  <si>
    <t>1582526</t>
  </si>
  <si>
    <t>Saint Timothy Home LLC III</t>
  </si>
  <si>
    <t>1004526</t>
  </si>
  <si>
    <t>Salvation Army/Older Alaskans*</t>
  </si>
  <si>
    <t>1005116</t>
  </si>
  <si>
    <t>Salvation Army/Serendipity Adult Day Ser*</t>
  </si>
  <si>
    <t>1000997</t>
  </si>
  <si>
    <t>Sandra Kilanowski</t>
  </si>
  <si>
    <t>1030186</t>
  </si>
  <si>
    <t>Santo Nino Assisted Living Home</t>
  </si>
  <si>
    <t>1578772</t>
  </si>
  <si>
    <t>Sarah Brassard</t>
  </si>
  <si>
    <t>1002364</t>
  </si>
  <si>
    <t>Sean Jones</t>
  </si>
  <si>
    <t>1584550</t>
  </si>
  <si>
    <t>Sean-Michael Dunham</t>
  </si>
  <si>
    <t>Iluminada's ALH II</t>
  </si>
  <si>
    <t>1004592</t>
  </si>
  <si>
    <t>Seward Senior Citizens, Inc. *</t>
  </si>
  <si>
    <t>1612173</t>
  </si>
  <si>
    <t>Shady DeMoss</t>
  </si>
  <si>
    <t>1578298</t>
  </si>
  <si>
    <t>Shangri-La Ranch</t>
  </si>
  <si>
    <t>1001174</t>
  </si>
  <si>
    <t>Sherry Dimmick</t>
  </si>
  <si>
    <t>1030061</t>
  </si>
  <si>
    <t xml:space="preserve">Sheyla's Place </t>
  </si>
  <si>
    <t>1584067</t>
  </si>
  <si>
    <t>Side by Side Care Coordination</t>
  </si>
  <si>
    <t>1002646</t>
  </si>
  <si>
    <t>Smart Care, LLC</t>
  </si>
  <si>
    <t>1578808</t>
  </si>
  <si>
    <t>Snow Circle ALH, LLC</t>
  </si>
  <si>
    <t>1004910</t>
  </si>
  <si>
    <t>Soldotna Area Senior Citizens*</t>
  </si>
  <si>
    <t>1004687</t>
  </si>
  <si>
    <t>Southcentral Foundation</t>
  </si>
  <si>
    <t>1002717</t>
  </si>
  <si>
    <t>Southcentral Foundation/Care Coord.</t>
  </si>
  <si>
    <t>1002579</t>
  </si>
  <si>
    <t>Southeast Alaska Care Coordination</t>
  </si>
  <si>
    <t>1022019</t>
  </si>
  <si>
    <t>Southeast Alaska Med Suppliers</t>
  </si>
  <si>
    <t>1030063</t>
  </si>
  <si>
    <t>Southern Living ALH, Ltd</t>
  </si>
  <si>
    <t>1030045</t>
  </si>
  <si>
    <t>St. Anne Assisted Living Home II</t>
  </si>
  <si>
    <t>1030374</t>
  </si>
  <si>
    <t>St. Lawrence Assisted Living Home I</t>
  </si>
  <si>
    <t>1030376</t>
  </si>
  <si>
    <t>St. Lawrence Assisted Living Home III</t>
  </si>
  <si>
    <t>1581659</t>
  </si>
  <si>
    <t>St. Lawrence Assisted Living Home IV</t>
  </si>
  <si>
    <t>1030295</t>
  </si>
  <si>
    <t>St. Mary's Assisted Living Home</t>
  </si>
  <si>
    <t>1030296</t>
  </si>
  <si>
    <t xml:space="preserve">St. Mary's Assisted Living Home #2 </t>
  </si>
  <si>
    <t>1029999</t>
  </si>
  <si>
    <t>St. Paul Home Care Services</t>
  </si>
  <si>
    <t>1030267</t>
  </si>
  <si>
    <t>St. Thomas ALH</t>
  </si>
  <si>
    <t>1030268</t>
  </si>
  <si>
    <t>St. Thomas II ALH</t>
  </si>
  <si>
    <t>1608811</t>
  </si>
  <si>
    <t>Stacey Messerschmidt</t>
  </si>
  <si>
    <t>1002601</t>
  </si>
  <si>
    <t>Stacy @ Your Side</t>
  </si>
  <si>
    <t>1001855</t>
  </si>
  <si>
    <t>Stacy Brault</t>
  </si>
  <si>
    <t>1002414</t>
  </si>
  <si>
    <t>Starfish Cares, LLC</t>
  </si>
  <si>
    <t>1583684</t>
  </si>
  <si>
    <t>Stasia Ellis</t>
  </si>
  <si>
    <t>1001998</t>
  </si>
  <si>
    <t>Stephanie Hoxie</t>
  </si>
  <si>
    <t>1583604</t>
  </si>
  <si>
    <t>Stephanie Johnson</t>
  </si>
  <si>
    <t>1000973</t>
  </si>
  <si>
    <t>Stephanie Pereault</t>
  </si>
  <si>
    <t>1610203</t>
  </si>
  <si>
    <t>Stephanie Wheeler</t>
  </si>
  <si>
    <t>1570992</t>
  </si>
  <si>
    <t>Stephen Geddes</t>
  </si>
  <si>
    <t>1004681</t>
  </si>
  <si>
    <t>Sterling Area Senior Citizens,Inc.</t>
  </si>
  <si>
    <t>1001374</t>
  </si>
  <si>
    <t>Stevan Hulley</t>
  </si>
  <si>
    <t>1001063</t>
  </si>
  <si>
    <t>Steve Ulofoshio</t>
  </si>
  <si>
    <t>1002734</t>
  </si>
  <si>
    <t>Stone Soup Group</t>
  </si>
  <si>
    <t>1004102</t>
  </si>
  <si>
    <t>Sunrise Construction</t>
  </si>
  <si>
    <t>1608241</t>
  </si>
  <si>
    <t>Sunrise House</t>
  </si>
  <si>
    <t>1608251</t>
  </si>
  <si>
    <t>Sunrise House II</t>
  </si>
  <si>
    <t>1600941</t>
  </si>
  <si>
    <t>Sunset Haven LLC</t>
  </si>
  <si>
    <t>1603892</t>
  </si>
  <si>
    <t>Sunshine Care Services</t>
  </si>
  <si>
    <t>1001886</t>
  </si>
  <si>
    <t>Susan Drathman</t>
  </si>
  <si>
    <t>1000936</t>
  </si>
  <si>
    <t>Susan Finkelstein</t>
  </si>
  <si>
    <t>1001912</t>
  </si>
  <si>
    <t>Susan Kamauoha</t>
  </si>
  <si>
    <t>1001021</t>
  </si>
  <si>
    <t>Susan Miller</t>
  </si>
  <si>
    <t>1001385</t>
  </si>
  <si>
    <t>Susan Reed</t>
  </si>
  <si>
    <t>1001438</t>
  </si>
  <si>
    <t>Susan Troutman</t>
  </si>
  <si>
    <t>1001754</t>
  </si>
  <si>
    <t>Suzan FitzGerald</t>
  </si>
  <si>
    <t>1571712</t>
  </si>
  <si>
    <t>Suzanne Morris</t>
  </si>
  <si>
    <t>1002255</t>
  </si>
  <si>
    <t>Suzanne Vuillet-Smith</t>
  </si>
  <si>
    <t>1001070</t>
  </si>
  <si>
    <t>Suzy Ruchti</t>
  </si>
  <si>
    <t>1574103</t>
  </si>
  <si>
    <t>Symphony Homes and Services-Harmony House</t>
  </si>
  <si>
    <t>1001999</t>
  </si>
  <si>
    <t>Tami Balts</t>
  </si>
  <si>
    <t>1030442</t>
  </si>
  <si>
    <t>Tanana Regional Elders Residence</t>
  </si>
  <si>
    <t>1000984</t>
  </si>
  <si>
    <t>Tara Crosslan</t>
  </si>
  <si>
    <t>1572032</t>
  </si>
  <si>
    <t>Tara Raemaeker</t>
  </si>
  <si>
    <t>1030290</t>
  </si>
  <si>
    <t>Tender Loving Care ALH</t>
  </si>
  <si>
    <t>1573602</t>
  </si>
  <si>
    <t>Terah Lowe</t>
  </si>
  <si>
    <t>1001661</t>
  </si>
  <si>
    <t>Teresa Bovey</t>
  </si>
  <si>
    <t>1001863</t>
  </si>
  <si>
    <t>Teresa Ransom</t>
  </si>
  <si>
    <t>1571123</t>
  </si>
  <si>
    <t>Terry Devens</t>
  </si>
  <si>
    <t>1578777</t>
  </si>
  <si>
    <t>Tessa Drais</t>
  </si>
  <si>
    <t>1030107</t>
  </si>
  <si>
    <t>The Ark of Emmanuel</t>
  </si>
  <si>
    <t>1029958</t>
  </si>
  <si>
    <t>The Ark of Emmanuel II ALH</t>
  </si>
  <si>
    <t>1030007</t>
  </si>
  <si>
    <t>The Good Shepherd Assisted Living Home</t>
  </si>
  <si>
    <t>1601431</t>
  </si>
  <si>
    <t>The Hickok ALH</t>
  </si>
  <si>
    <t>1583411</t>
  </si>
  <si>
    <t>The Jagne's III</t>
  </si>
  <si>
    <t>1583526</t>
  </si>
  <si>
    <t>The Manor,LLC.</t>
  </si>
  <si>
    <t>1596182</t>
  </si>
  <si>
    <t>Theresa Welton</t>
  </si>
  <si>
    <t>1002199</t>
  </si>
  <si>
    <t>Tiffany Mahle</t>
  </si>
  <si>
    <t>1611609</t>
  </si>
  <si>
    <t>Tiffany Taylor</t>
  </si>
  <si>
    <t>1001792</t>
  </si>
  <si>
    <t>Tim Slade</t>
  </si>
  <si>
    <t>1001986</t>
  </si>
  <si>
    <t>Timothy Mraz</t>
  </si>
  <si>
    <t>1002209</t>
  </si>
  <si>
    <t>Tina Russell</t>
  </si>
  <si>
    <t>1030304</t>
  </si>
  <si>
    <t>TLC Assisted Living Home-Wilma tanner ALH-Boss</t>
  </si>
  <si>
    <t>1004104</t>
  </si>
  <si>
    <t>Tlingit Haida Regional Housing Authority</t>
  </si>
  <si>
    <t>1583664</t>
  </si>
  <si>
    <t>Tracy Cooper</t>
  </si>
  <si>
    <t>1580950</t>
  </si>
  <si>
    <t>Tracy Larson (formerly Rodden)</t>
  </si>
  <si>
    <t>1021491</t>
  </si>
  <si>
    <t>TrailerCraft Inc</t>
  </si>
  <si>
    <t>1030493</t>
  </si>
  <si>
    <t>Tranquility Manor Estates</t>
  </si>
  <si>
    <t>1608671</t>
  </si>
  <si>
    <t>Treasured Hearts Assisted Living Home</t>
  </si>
  <si>
    <t>1607981</t>
  </si>
  <si>
    <t>Tree House View II</t>
  </si>
  <si>
    <t>1611013</t>
  </si>
  <si>
    <t>Tricia West</t>
  </si>
  <si>
    <t>1002518</t>
  </si>
  <si>
    <t>Trinity Care Coordination</t>
  </si>
  <si>
    <t>1002487</t>
  </si>
  <si>
    <t>Triple C</t>
  </si>
  <si>
    <t>1578607</t>
  </si>
  <si>
    <t>Troya Williamson</t>
  </si>
  <si>
    <t>1030026</t>
  </si>
  <si>
    <t>Twin Hearts Assisted Living for Elderly</t>
  </si>
  <si>
    <t>1573592</t>
  </si>
  <si>
    <t>Two Sisters Assisted Living Home</t>
  </si>
  <si>
    <t>1004126</t>
  </si>
  <si>
    <t xml:space="preserve">Under the Son Enterprises, Inc. </t>
  </si>
  <si>
    <t>1002676</t>
  </si>
  <si>
    <t>Upper Su Valley Care Coordination</t>
  </si>
  <si>
    <t>1581383</t>
  </si>
  <si>
    <t>UR Precious Assisted Living Home, LLC</t>
  </si>
  <si>
    <t>1004506</t>
  </si>
  <si>
    <t>V. Baker Personal Homecare</t>
  </si>
  <si>
    <t>1597811</t>
  </si>
  <si>
    <t>Val Cummins</t>
  </si>
  <si>
    <t>1002452</t>
  </si>
  <si>
    <t>Valley Care Coordination</t>
  </si>
  <si>
    <t>1580983</t>
  </si>
  <si>
    <t>Valley Mover</t>
  </si>
  <si>
    <t>1029969</t>
  </si>
  <si>
    <t>Valleywood Assisted Living Home, LLC.</t>
  </si>
  <si>
    <t>1600335</t>
  </si>
  <si>
    <t>Victoria Canul Dunne</t>
  </si>
  <si>
    <t>1001023</t>
  </si>
  <si>
    <t>Victoria Stroup</t>
  </si>
  <si>
    <t>1597419</t>
  </si>
  <si>
    <t>VITA, LLC</t>
  </si>
  <si>
    <t>1570610</t>
  </si>
  <si>
    <t>Vivian's House Assisted Living Home</t>
  </si>
  <si>
    <t>1577285</t>
  </si>
  <si>
    <t>Wanda Clark</t>
  </si>
  <si>
    <t>1000944</t>
  </si>
  <si>
    <t>Wanda Moore</t>
  </si>
  <si>
    <t>1004637</t>
  </si>
  <si>
    <t>Wasilla Area Seniors Inc.*</t>
  </si>
  <si>
    <t>1577746</t>
  </si>
  <si>
    <t>Whitney Christiansen</t>
  </si>
  <si>
    <t>1002540</t>
  </si>
  <si>
    <t>Wise Care, LLC</t>
  </si>
  <si>
    <t>1574475</t>
  </si>
  <si>
    <t>Wolverine Academy</t>
  </si>
  <si>
    <t>1001086</t>
  </si>
  <si>
    <t>Yolanda Jackson</t>
  </si>
  <si>
    <t>1571131</t>
  </si>
  <si>
    <t>Yosef Family Home</t>
  </si>
  <si>
    <t>1583419</t>
  </si>
  <si>
    <t>Your Home Now ALH</t>
  </si>
  <si>
    <t>1572403</t>
  </si>
  <si>
    <t>Yukon Koyukuk Elders Assisted Living Facility</t>
  </si>
  <si>
    <t>1610731</t>
  </si>
  <si>
    <t>Yukon-Kuskowim Elder's Home</t>
  </si>
  <si>
    <t>CM0272</t>
  </si>
  <si>
    <t>Zach Budrew</t>
  </si>
  <si>
    <t>Report Created By: Ezekiel Kaufman
Report Created On: 05/09/14
Last Updated By: Ezekiel Kaufman
Last Updated On: 05/31/14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</si>
</sst>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10409]mm/dd/yy"/>
  </numFmts>
  <fonts count="8">
    <font>
      <sz val="10.0"/>
      <color rgb="FF000000"/>
      <name val="Arial"/>
    </font>
    <font>
      <b/>
      <sz val="10.0"/>
      <color rgb="FF000000"/>
      <name val="Arial"/>
    </font>
    <font>
      <sz val="10.0"/>
      <name val="Arial"/>
    </font>
    <font>
      <b/>
      <sz val="10.0"/>
      <color rgb="FFFF0000"/>
      <name val="Arial"/>
    </font>
    <font>
      <b/>
      <sz val="10.0"/>
      <name val="Arial"/>
    </font>
    <font/>
    <font>
      <b/>
      <sz val="11.0"/>
      <color rgb="FFFFFFFF"/>
      <name val="Tahoma"/>
    </font>
    <font>
      <sz val="10.0"/>
      <color rgb="FF000000"/>
      <name val="Tahoma"/>
    </font>
  </fonts>
  <fills count="6">
    <fill>
      <patternFill patternType="none"/>
    </fill>
    <fill>
      <patternFill patternType="lightGray"/>
    </fill>
    <fill>
      <patternFill patternType="solid">
        <fgColor rgb="FF4682B4"/>
        <bgColor rgb="FF4682B4"/>
      </patternFill>
    </fill>
    <fill>
      <patternFill patternType="solid">
        <fgColor rgb="FFFFFF00"/>
        <bgColor rgb="FFFFFF00"/>
      </patternFill>
    </fill>
    <fill>
      <patternFill patternType="solid">
        <fgColor rgb="FFFCFCFC"/>
        <bgColor rgb="FFFCFCFC"/>
      </patternFill>
    </fill>
    <fill>
      <patternFill patternType="solid">
        <fgColor rgb="FFDBE5F1"/>
        <bgColor rgb="FFDBE5F1"/>
      </patternFill>
    </fill>
  </fills>
  <borders count="4">
    <border>
      <left/>
      <right/>
      <top/>
      <bottom/>
    </border>
    <border>
      <left/>
      <right/>
      <top/>
      <bottom style="thin">
        <color rgb="FFD3D3D3"/>
      </bottom>
    </border>
    <border>
      <left/>
      <right style="thin">
        <color rgb="FFD3D3D3"/>
      </right>
      <top style="thin">
        <color rgb="FFD3D3D3"/>
      </top>
      <bottom style="thin">
        <color rgb="FFD3D3D3"/>
      </bottom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0" fillId="0" fontId="1" numFmtId="0" xfId="0" applyAlignment="1" applyFont="1">
      <alignment horizontal="left" readingOrder="1" vertical="top" wrapText="1"/>
    </xf>
    <xf borderId="0" fillId="0" fontId="2" numFmtId="0" xfId="0" applyFont="1"/>
    <xf borderId="0" fillId="0" fontId="0" numFmtId="0" xfId="0" applyFont="1"/>
    <xf borderId="0" fillId="0" fontId="3" numFmtId="0" xfId="0" applyAlignment="1" applyFont="1">
      <alignment horizontal="center" readingOrder="1" vertical="top" wrapText="1"/>
    </xf>
    <xf borderId="1" fillId="0" fontId="4" numFmtId="0" xfId="0" applyAlignment="1" applyBorder="1" applyFont="1">
      <alignment horizontal="left" wrapText="1"/>
    </xf>
    <xf borderId="1" fillId="0" fontId="5" numFmtId="0" xfId="0" applyBorder="1" applyFont="1"/>
    <xf borderId="2" fillId="2" fontId="6" numFmtId="0" xfId="0" applyAlignment="1" applyBorder="1" applyFill="1" applyFont="1">
      <alignment horizontal="center" readingOrder="1" vertical="top" wrapText="1"/>
    </xf>
    <xf borderId="3" fillId="2" fontId="6" numFmtId="0" xfId="0" applyAlignment="1" applyBorder="1" applyFont="1">
      <alignment horizontal="center" readingOrder="1" vertical="top" wrapText="1"/>
    </xf>
    <xf borderId="2" fillId="3" fontId="7" numFmtId="0" xfId="0" applyAlignment="1" applyBorder="1" applyFill="1" applyFont="1">
      <alignment horizontal="left" readingOrder="1" vertical="top" wrapText="1"/>
    </xf>
    <xf borderId="3" fillId="3" fontId="7" numFmtId="0" xfId="0" applyAlignment="1" applyBorder="1" applyFont="1">
      <alignment horizontal="left" readingOrder="1" vertical="top" wrapText="1"/>
    </xf>
    <xf borderId="3" fillId="3" fontId="7" numFmtId="164" xfId="0" applyAlignment="1" applyBorder="1" applyFont="1" applyNumberFormat="1">
      <alignment horizontal="left" readingOrder="1" vertical="top" wrapText="1"/>
    </xf>
    <xf borderId="2" fillId="4" fontId="7" numFmtId="0" xfId="0" applyAlignment="1" applyBorder="1" applyFill="1" applyFont="1">
      <alignment horizontal="left" readingOrder="1" vertical="top" wrapText="1"/>
    </xf>
    <xf borderId="3" fillId="4" fontId="7" numFmtId="0" xfId="0" applyAlignment="1" applyBorder="1" applyFont="1">
      <alignment horizontal="left" readingOrder="1" vertical="top" wrapText="1"/>
    </xf>
    <xf borderId="3" fillId="4" fontId="7" numFmtId="164" xfId="0" applyAlignment="1" applyBorder="1" applyFont="1" applyNumberFormat="1">
      <alignment horizontal="left" readingOrder="1" vertical="top" wrapText="1"/>
    </xf>
    <xf borderId="2" fillId="5" fontId="7" numFmtId="0" xfId="0" applyAlignment="1" applyBorder="1" applyFill="1" applyFont="1">
      <alignment horizontal="left" readingOrder="1" vertical="top" wrapText="1"/>
    </xf>
    <xf borderId="3" fillId="5" fontId="7" numFmtId="0" xfId="0" applyAlignment="1" applyBorder="1" applyFont="1">
      <alignment horizontal="left" readingOrder="1" vertical="top" wrapText="1"/>
    </xf>
    <xf borderId="3" fillId="5" fontId="7" numFmtId="164" xfId="0" applyAlignment="1" applyBorder="1" applyFont="1" applyNumberFormat="1">
      <alignment horizontal="left" readingOrder="1" vertical="top" wrapText="1"/>
    </xf>
    <xf borderId="0" fillId="0" fontId="0" numFmtId="0" xfId="0" applyAlignment="1" applyFont="1">
      <alignment horizontal="left" readingOrder="1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15.71"/>
    <col customWidth="1" min="2" max="2" width="11.71"/>
    <col customWidth="1" min="3" max="3" width="13.43"/>
    <col customWidth="1" min="4" max="4" width="52.29"/>
    <col customWidth="1" min="5" max="5" width="14.29"/>
    <col customWidth="1" min="6" max="6" width="13.29"/>
    <col customWidth="1" hidden="1" min="7" max="7"/>
    <col customWidth="1" min="8" max="16" width="8.71"/>
  </cols>
  <sheetData>
    <row r="1" ht="12.75" customHeight="1">
      <c r="A1" s="1" t="s">
        <v>0</v>
      </c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2"/>
      <c r="B2" s="2"/>
      <c r="C2" s="2"/>
      <c r="D2" s="2"/>
      <c r="E2" s="2"/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1" t="s">
        <v>1</v>
      </c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2"/>
      <c r="B4" s="2"/>
      <c r="C4" s="2"/>
      <c r="D4" s="2"/>
      <c r="E4" s="2"/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52.5" customHeight="1">
      <c r="A5" s="4" t="s">
        <v>2</v>
      </c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33.0" customHeight="1">
      <c r="A6" s="5" t="s">
        <v>3</v>
      </c>
      <c r="B6" s="6"/>
      <c r="C6" s="6"/>
      <c r="D6" s="6"/>
      <c r="E6" s="6"/>
      <c r="F6" s="6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41.25" customHeight="1">
      <c r="A7" s="7" t="s">
        <v>4</v>
      </c>
      <c r="B7" s="8" t="s">
        <v>5</v>
      </c>
      <c r="C7" s="8" t="s">
        <v>6</v>
      </c>
      <c r="D7" s="8" t="s">
        <v>7</v>
      </c>
      <c r="E7" s="8" t="s">
        <v>8</v>
      </c>
      <c r="F7" s="8" t="s">
        <v>9</v>
      </c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9" t="str">
        <f>HYPERLINK("javascript:void%20window.open('https://ds3.dhss.ak.local/dsds/ds3/index.cfm?fuseaction=pro.view&amp;entityId=8593159b-5056-bc68-735f-5a52ddbf5f6c')","160491")</f>
        <v>160491</v>
      </c>
      <c r="B8" s="10" t="s">
        <v>10</v>
      </c>
      <c r="C8" s="10" t="s">
        <v>11</v>
      </c>
      <c r="D8" s="10" t="s">
        <v>12</v>
      </c>
      <c r="E8" s="11">
        <v>41799.0</v>
      </c>
      <c r="F8" s="11">
        <v>42155.0</v>
      </c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12" t="str">
        <f t="shared" ref="A9:A11" si="1">HYPERLINK("javascript:void%20window.open('https://ds3.dhss.ak.local/dsds/ds3/index.cfm?fuseaction=pro.view&amp;entityId=f4866328-0ee3-0513-e942-5232ed793377')","123130")</f>
        <v>123130</v>
      </c>
      <c r="B9" s="13" t="s">
        <v>13</v>
      </c>
      <c r="C9" s="13" t="s">
        <v>11</v>
      </c>
      <c r="D9" s="13" t="s">
        <v>14</v>
      </c>
      <c r="E9" s="14">
        <v>41449.0</v>
      </c>
      <c r="F9" s="14">
        <v>41790.0</v>
      </c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15" t="str">
        <f t="shared" si="1"/>
        <v>123130</v>
      </c>
      <c r="B10" s="16" t="s">
        <v>15</v>
      </c>
      <c r="C10" s="16" t="s">
        <v>11</v>
      </c>
      <c r="D10" s="16" t="s">
        <v>14</v>
      </c>
      <c r="E10" s="17">
        <v>41449.0</v>
      </c>
      <c r="F10" s="17">
        <v>41790.0</v>
      </c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12" t="str">
        <f t="shared" si="1"/>
        <v>123130</v>
      </c>
      <c r="B11" s="13" t="s">
        <v>16</v>
      </c>
      <c r="C11" s="13" t="s">
        <v>11</v>
      </c>
      <c r="D11" s="13" t="s">
        <v>14</v>
      </c>
      <c r="E11" s="14">
        <v>41397.0</v>
      </c>
      <c r="F11" s="14">
        <v>41790.0</v>
      </c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15" t="str">
        <f t="shared" ref="A12:A13" si="2">HYPERLINK("javascript:void%20window.open('https://ds3.dhss.ak.local/dsds/ds3/index.cfm?fuseaction=pro.view&amp;entityId=ac5af9b0-1373-450a-be59-98ccbf7631b7')","61314")</f>
        <v>61314</v>
      </c>
      <c r="B12" s="16" t="s">
        <v>17</v>
      </c>
      <c r="C12" s="16" t="s">
        <v>11</v>
      </c>
      <c r="D12" s="16" t="s">
        <v>18</v>
      </c>
      <c r="E12" s="17">
        <v>40234.0</v>
      </c>
      <c r="F12" s="17">
        <v>41882.0</v>
      </c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12" t="str">
        <f t="shared" si="2"/>
        <v>61314</v>
      </c>
      <c r="B13" s="13" t="s">
        <v>19</v>
      </c>
      <c r="C13" s="13" t="s">
        <v>11</v>
      </c>
      <c r="D13" s="13" t="s">
        <v>18</v>
      </c>
      <c r="E13" s="14">
        <v>40032.0</v>
      </c>
      <c r="F13" s="14">
        <v>41882.0</v>
      </c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9" t="str">
        <f t="shared" ref="A14:A15" si="3">HYPERLINK("javascript:void%20window.open('https://ds3.dhss.ak.local/dsds/ds3/index.cfm?fuseaction=pro.view&amp;entityId=bf8261ec-0f48-adc4-4894-03a293ae227d')","102771")</f>
        <v>102771</v>
      </c>
      <c r="B14" s="10" t="s">
        <v>20</v>
      </c>
      <c r="C14" s="10" t="s">
        <v>11</v>
      </c>
      <c r="D14" s="10" t="s">
        <v>21</v>
      </c>
      <c r="E14" s="11">
        <v>41611.0</v>
      </c>
      <c r="F14" s="11">
        <v>41973.0</v>
      </c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12" t="str">
        <f t="shared" si="3"/>
        <v>102771</v>
      </c>
      <c r="B15" s="13" t="s">
        <v>22</v>
      </c>
      <c r="C15" s="13" t="s">
        <v>11</v>
      </c>
      <c r="D15" s="13" t="s">
        <v>21</v>
      </c>
      <c r="E15" s="14">
        <v>40554.0</v>
      </c>
      <c r="F15" s="14">
        <v>42369.0</v>
      </c>
      <c r="G15" s="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15" t="str">
        <f t="shared" ref="A16:A17" si="4">HYPERLINK("javascript:void%20window.open('https://ds3.dhss.ak.local/dsds/ds3/index.cfm?fuseaction=pro.view&amp;entityId=2ceaf382-0bf5-4944-ba64-21a944fd43a3')","30173")</f>
        <v>30173</v>
      </c>
      <c r="B16" s="16" t="s">
        <v>23</v>
      </c>
      <c r="C16" s="16" t="s">
        <v>11</v>
      </c>
      <c r="D16" s="16" t="s">
        <v>24</v>
      </c>
      <c r="E16" s="17">
        <v>38991.0</v>
      </c>
      <c r="F16" s="17">
        <v>41973.0</v>
      </c>
      <c r="G16" s="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12" t="str">
        <f t="shared" si="4"/>
        <v>30173</v>
      </c>
      <c r="B17" s="13" t="s">
        <v>25</v>
      </c>
      <c r="C17" s="13" t="s">
        <v>11</v>
      </c>
      <c r="D17" s="13" t="s">
        <v>24</v>
      </c>
      <c r="E17" s="14">
        <v>38952.0</v>
      </c>
      <c r="F17" s="14">
        <v>42613.0</v>
      </c>
      <c r="G17" s="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15" t="str">
        <f t="shared" ref="A18:A19" si="5">HYPERLINK("javascript:void%20window.open('https://ds3.dhss.ak.local/dsds/ds3/index.cfm?fuseaction=pro.view&amp;entityId=3e2e73f5-7607-46c9-ba1e-71afe9f6f47a')","31623")</f>
        <v>31623</v>
      </c>
      <c r="B18" s="16" t="s">
        <v>26</v>
      </c>
      <c r="C18" s="16" t="s">
        <v>11</v>
      </c>
      <c r="D18" s="16" t="s">
        <v>27</v>
      </c>
      <c r="E18" s="17">
        <v>38991.0</v>
      </c>
      <c r="F18" s="17">
        <v>41973.0</v>
      </c>
      <c r="G18" s="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12" t="str">
        <f t="shared" si="5"/>
        <v>31623</v>
      </c>
      <c r="B19" s="13" t="s">
        <v>28</v>
      </c>
      <c r="C19" s="13" t="s">
        <v>11</v>
      </c>
      <c r="D19" s="13" t="s">
        <v>27</v>
      </c>
      <c r="E19" s="14">
        <v>38952.0</v>
      </c>
      <c r="F19" s="14">
        <v>42613.0</v>
      </c>
      <c r="G19" s="2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15" t="str">
        <f t="shared" ref="A20:A21" si="6">HYPERLINK("javascript:void%20window.open('https://ds3.dhss.ak.local/dsds/ds3/index.cfm?fuseaction=pro.view&amp;entityId=ebdd3e9f-842a-4adb-8b6f-7c884046bbea')","32369")</f>
        <v>32369</v>
      </c>
      <c r="B20" s="16" t="s">
        <v>29</v>
      </c>
      <c r="C20" s="16" t="s">
        <v>11</v>
      </c>
      <c r="D20" s="16" t="s">
        <v>30</v>
      </c>
      <c r="E20" s="17">
        <v>39052.0</v>
      </c>
      <c r="F20" s="17">
        <v>41973.0</v>
      </c>
      <c r="G20" s="2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12" t="str">
        <f t="shared" si="6"/>
        <v>32369</v>
      </c>
      <c r="B21" s="13" t="s">
        <v>31</v>
      </c>
      <c r="C21" s="13" t="s">
        <v>11</v>
      </c>
      <c r="D21" s="13" t="s">
        <v>30</v>
      </c>
      <c r="E21" s="14">
        <v>38952.0</v>
      </c>
      <c r="F21" s="14">
        <v>42613.0</v>
      </c>
      <c r="G21" s="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15" t="str">
        <f t="shared" ref="A22:A23" si="7">HYPERLINK("javascript:void%20window.open('https://ds3.dhss.ak.local/dsds/ds3/index.cfm?fuseaction=pro.view&amp;entityId=1a6616c1-b864-4692-9a82-d6dd14085f12')","32368")</f>
        <v>32368</v>
      </c>
      <c r="B22" s="16" t="s">
        <v>32</v>
      </c>
      <c r="C22" s="16" t="s">
        <v>11</v>
      </c>
      <c r="D22" s="16" t="s">
        <v>33</v>
      </c>
      <c r="E22" s="17">
        <v>39052.0</v>
      </c>
      <c r="F22" s="17">
        <v>41973.0</v>
      </c>
      <c r="G22" s="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12" t="str">
        <f t="shared" si="7"/>
        <v>32368</v>
      </c>
      <c r="B23" s="13" t="s">
        <v>34</v>
      </c>
      <c r="C23" s="13" t="s">
        <v>11</v>
      </c>
      <c r="D23" s="13" t="s">
        <v>33</v>
      </c>
      <c r="E23" s="14">
        <v>38952.0</v>
      </c>
      <c r="F23" s="14">
        <v>42613.0</v>
      </c>
      <c r="G23" s="2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15" t="str">
        <f t="shared" ref="A24:A25" si="8">HYPERLINK("javascript:void%20window.open('https://ds3.dhss.ak.local/dsds/ds3/index.cfm?fuseaction=pro.view&amp;entityId=ec122402-ae84-4318-9878-654097acfd79')","30770")</f>
        <v>30770</v>
      </c>
      <c r="B24" s="16" t="s">
        <v>35</v>
      </c>
      <c r="C24" s="16" t="s">
        <v>11</v>
      </c>
      <c r="D24" s="16" t="s">
        <v>36</v>
      </c>
      <c r="E24" s="17">
        <v>40299.0</v>
      </c>
      <c r="F24" s="17">
        <v>42582.0</v>
      </c>
      <c r="G24" s="2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12" t="str">
        <f t="shared" si="8"/>
        <v>30770</v>
      </c>
      <c r="B25" s="13" t="s">
        <v>37</v>
      </c>
      <c r="C25" s="13" t="s">
        <v>11</v>
      </c>
      <c r="D25" s="13" t="s">
        <v>36</v>
      </c>
      <c r="E25" s="14">
        <v>39661.0</v>
      </c>
      <c r="F25" s="14">
        <v>42582.0</v>
      </c>
      <c r="G25" s="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15" t="str">
        <f t="shared" ref="A26:A27" si="9">HYPERLINK("javascript:void%20window.open('https://ds3.dhss.ak.local/dsds/ds3/index.cfm?fuseaction=pro.view&amp;entityId=9d43b7f2-ab88-4538-a8ba-e72c0dc3815a')","30714")</f>
        <v>30714</v>
      </c>
      <c r="B26" s="16" t="s">
        <v>38</v>
      </c>
      <c r="C26" s="16" t="s">
        <v>11</v>
      </c>
      <c r="D26" s="16" t="s">
        <v>39</v>
      </c>
      <c r="E26" s="17">
        <v>39937.0</v>
      </c>
      <c r="F26" s="17">
        <v>42490.0</v>
      </c>
      <c r="G26" s="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12" t="str">
        <f t="shared" si="9"/>
        <v>30714</v>
      </c>
      <c r="B27" s="13" t="s">
        <v>40</v>
      </c>
      <c r="C27" s="13" t="s">
        <v>11</v>
      </c>
      <c r="D27" s="13" t="s">
        <v>39</v>
      </c>
      <c r="E27" s="14">
        <v>38899.0</v>
      </c>
      <c r="F27" s="14">
        <v>42490.0</v>
      </c>
      <c r="G27" s="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15" t="str">
        <f t="shared" ref="A28:A29" si="10">HYPERLINK("javascript:void%20window.open('https://ds3.dhss.ak.local/dsds/ds3/index.cfm?fuseaction=pro.view&amp;entityId=283fda43-6a61-481d-9a66-0218cea910c7')","30860")</f>
        <v>30860</v>
      </c>
      <c r="B28" s="16" t="s">
        <v>41</v>
      </c>
      <c r="C28" s="16" t="s">
        <v>11</v>
      </c>
      <c r="D28" s="16" t="s">
        <v>42</v>
      </c>
      <c r="E28" s="17">
        <v>39002.0</v>
      </c>
      <c r="F28" s="17">
        <v>42613.0</v>
      </c>
      <c r="G28" s="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12" t="str">
        <f t="shared" si="10"/>
        <v>30860</v>
      </c>
      <c r="B29" s="13" t="s">
        <v>43</v>
      </c>
      <c r="C29" s="13" t="s">
        <v>11</v>
      </c>
      <c r="D29" s="13" t="s">
        <v>42</v>
      </c>
      <c r="E29" s="14">
        <v>38991.0</v>
      </c>
      <c r="F29" s="14">
        <v>42613.0</v>
      </c>
      <c r="G29" s="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15" t="str">
        <f t="shared" ref="A30:A31" si="11">HYPERLINK("javascript:void%20window.open('https://ds3.dhss.ak.local/dsds/ds3/index.cfm?fuseaction=pro.view&amp;entityId=21221e8c-1d5d-43fe-89dc-dc4871010312')","30631")</f>
        <v>30631</v>
      </c>
      <c r="B30" s="16" t="s">
        <v>44</v>
      </c>
      <c r="C30" s="16" t="s">
        <v>11</v>
      </c>
      <c r="D30" s="16" t="s">
        <v>45</v>
      </c>
      <c r="E30" s="17">
        <v>39387.0</v>
      </c>
      <c r="F30" s="17">
        <v>42308.0</v>
      </c>
      <c r="G30" s="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12" t="str">
        <f t="shared" si="11"/>
        <v>30631</v>
      </c>
      <c r="B31" s="13" t="s">
        <v>46</v>
      </c>
      <c r="C31" s="13" t="s">
        <v>11</v>
      </c>
      <c r="D31" s="13" t="s">
        <v>45</v>
      </c>
      <c r="E31" s="14">
        <v>36465.0</v>
      </c>
      <c r="F31" s="14">
        <v>42004.0</v>
      </c>
      <c r="G31" s="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9" t="str">
        <f t="shared" ref="A32:A33" si="12">HYPERLINK("javascript:void%20window.open('https://ds3.dhss.ak.local/dsds/ds3/index.cfm?fuseaction=pro.view&amp;entityId=81a51052-5056-bc68-7337-11bceec3bc38')","138175")</f>
        <v>138175</v>
      </c>
      <c r="B32" s="10" t="s">
        <v>47</v>
      </c>
      <c r="C32" s="10" t="s">
        <v>11</v>
      </c>
      <c r="D32" s="10" t="s">
        <v>48</v>
      </c>
      <c r="E32" s="11">
        <v>41609.0</v>
      </c>
      <c r="F32" s="11">
        <v>41973.0</v>
      </c>
      <c r="G32" s="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12" t="str">
        <f t="shared" si="12"/>
        <v>138175</v>
      </c>
      <c r="B33" s="13" t="s">
        <v>49</v>
      </c>
      <c r="C33" s="13" t="s">
        <v>11</v>
      </c>
      <c r="D33" s="13" t="s">
        <v>48</v>
      </c>
      <c r="E33" s="14">
        <v>41264.0</v>
      </c>
      <c r="F33" s="14">
        <v>42338.0</v>
      </c>
      <c r="G33" s="2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15" t="str">
        <f t="shared" ref="A34:A35" si="13">HYPERLINK("javascript:void%20window.open('https://ds3.dhss.ak.local/dsds/ds3/index.cfm?fuseaction=pro.view&amp;entityId=408ef64b-e491-b35a-9cab-ed3ec3a3ba6c')","107742")</f>
        <v>107742</v>
      </c>
      <c r="B34" s="16" t="s">
        <v>50</v>
      </c>
      <c r="C34" s="16" t="s">
        <v>11</v>
      </c>
      <c r="D34" s="16" t="s">
        <v>51</v>
      </c>
      <c r="E34" s="17">
        <v>41127.0</v>
      </c>
      <c r="F34" s="17">
        <v>42369.0</v>
      </c>
      <c r="G34" s="2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12" t="str">
        <f t="shared" si="13"/>
        <v>107742</v>
      </c>
      <c r="B35" s="13" t="s">
        <v>52</v>
      </c>
      <c r="C35" s="13" t="s">
        <v>11</v>
      </c>
      <c r="D35" s="13" t="s">
        <v>51</v>
      </c>
      <c r="E35" s="14">
        <v>40556.0</v>
      </c>
      <c r="F35" s="14">
        <v>42369.0</v>
      </c>
      <c r="G35" s="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15" t="str">
        <f t="shared" ref="A36:A38" si="14">HYPERLINK("javascript:void%20window.open('https://ds3.dhss.ak.local/dsds/ds3/index.cfm?fuseaction=pro.view&amp;entityId=dfd1b02b-eb3b-4653-be37-95c670576edf')","30156")</f>
        <v>30156</v>
      </c>
      <c r="B36" s="16" t="s">
        <v>53</v>
      </c>
      <c r="C36" s="16" t="s">
        <v>11</v>
      </c>
      <c r="D36" s="16" t="s">
        <v>54</v>
      </c>
      <c r="E36" s="17">
        <v>39041.0</v>
      </c>
      <c r="F36" s="17">
        <v>42521.0</v>
      </c>
      <c r="G36" s="2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12" t="str">
        <f t="shared" si="14"/>
        <v>30156</v>
      </c>
      <c r="B37" s="13" t="s">
        <v>55</v>
      </c>
      <c r="C37" s="13" t="s">
        <v>11</v>
      </c>
      <c r="D37" s="13" t="s">
        <v>54</v>
      </c>
      <c r="E37" s="14">
        <v>38991.0</v>
      </c>
      <c r="F37" s="14">
        <v>42521.0</v>
      </c>
      <c r="G37" s="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15" t="str">
        <f t="shared" si="14"/>
        <v>30156</v>
      </c>
      <c r="B38" s="16" t="s">
        <v>56</v>
      </c>
      <c r="C38" s="16" t="s">
        <v>11</v>
      </c>
      <c r="D38" s="16" t="s">
        <v>54</v>
      </c>
      <c r="E38" s="17">
        <v>38899.0</v>
      </c>
      <c r="F38" s="17">
        <v>42521.0</v>
      </c>
      <c r="G38" s="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12" t="str">
        <f>HYPERLINK("javascript:void%20window.open('https://ds3.dhss.ak.local/dsds/ds3/index.cfm?fuseaction=pro.view&amp;entityId=c222a03d-5056-bc68-7382-ab7d1610eb89')","138064")</f>
        <v>138064</v>
      </c>
      <c r="B39" s="13" t="s">
        <v>57</v>
      </c>
      <c r="C39" s="13" t="s">
        <v>11</v>
      </c>
      <c r="D39" s="13" t="s">
        <v>58</v>
      </c>
      <c r="E39" s="14">
        <v>41129.0</v>
      </c>
      <c r="F39" s="14">
        <v>42247.0</v>
      </c>
      <c r="G39" s="2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15" t="str">
        <f>HYPERLINK("javascript:void%20window.open('https://ds3.dhss.ak.local/dsds/ds3/index.cfm?fuseaction=pro.view&amp;entityId=f82ed96c-0d97-46b6-976c-1438a9a97310')","71418")</f>
        <v>71418</v>
      </c>
      <c r="B40" s="16" t="s">
        <v>57</v>
      </c>
      <c r="C40" s="16" t="s">
        <v>11</v>
      </c>
      <c r="D40" s="16" t="s">
        <v>58</v>
      </c>
      <c r="E40" s="17">
        <v>40443.0</v>
      </c>
      <c r="F40" s="17">
        <v>42247.0</v>
      </c>
      <c r="G40" s="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12" t="str">
        <f t="shared" ref="A41:A42" si="15">HYPERLINK("javascript:void%20window.open('https://ds3.dhss.ak.local/dsds/ds3/index.cfm?fuseaction=pro.view&amp;entityId=3a7e6086-e671-7b2c-8608-cb8a7cf86283')","65893")</f>
        <v>65893</v>
      </c>
      <c r="B41" s="13" t="s">
        <v>59</v>
      </c>
      <c r="C41" s="13" t="s">
        <v>11</v>
      </c>
      <c r="D41" s="13" t="s">
        <v>60</v>
      </c>
      <c r="E41" s="14">
        <v>40725.0</v>
      </c>
      <c r="F41" s="14">
        <v>41882.0</v>
      </c>
      <c r="G41" s="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15" t="str">
        <f t="shared" si="15"/>
        <v>65893</v>
      </c>
      <c r="B42" s="16" t="s">
        <v>61</v>
      </c>
      <c r="C42" s="16" t="s">
        <v>11</v>
      </c>
      <c r="D42" s="16" t="s">
        <v>60</v>
      </c>
      <c r="E42" s="17">
        <v>39548.0</v>
      </c>
      <c r="F42" s="17">
        <v>42582.0</v>
      </c>
      <c r="G42" s="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12" t="str">
        <f t="shared" ref="A43:A44" si="16">HYPERLINK("javascript:void%20window.open('https://ds3.dhss.ak.local/dsds/ds3/index.cfm?fuseaction=pro.view&amp;entityId=2d3a6a95-9f36-422e-b7ea-8599add6fe52')","31922")</f>
        <v>31922</v>
      </c>
      <c r="B43" s="13" t="s">
        <v>62</v>
      </c>
      <c r="C43" s="13" t="s">
        <v>11</v>
      </c>
      <c r="D43" s="13" t="s">
        <v>63</v>
      </c>
      <c r="E43" s="14">
        <v>38732.0</v>
      </c>
      <c r="F43" s="14">
        <v>42369.0</v>
      </c>
      <c r="G43" s="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15" t="str">
        <f t="shared" si="16"/>
        <v>31922</v>
      </c>
      <c r="B44" s="16" t="s">
        <v>64</v>
      </c>
      <c r="C44" s="16" t="s">
        <v>11</v>
      </c>
      <c r="D44" s="16" t="s">
        <v>63</v>
      </c>
      <c r="E44" s="17">
        <v>38732.0</v>
      </c>
      <c r="F44" s="17">
        <v>42369.0</v>
      </c>
      <c r="G44" s="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12" t="str">
        <f t="shared" ref="A45:A46" si="17">HYPERLINK("javascript:void%20window.open('https://ds3.dhss.ak.local/dsds/ds3/index.cfm?fuseaction=pro.view&amp;entityId=d921b539-2037-45af-bbf0-4a526fa24e93')","32165")</f>
        <v>32165</v>
      </c>
      <c r="B45" s="13" t="s">
        <v>65</v>
      </c>
      <c r="C45" s="13" t="s">
        <v>11</v>
      </c>
      <c r="D45" s="13" t="s">
        <v>66</v>
      </c>
      <c r="E45" s="14">
        <v>38718.0</v>
      </c>
      <c r="F45" s="14">
        <v>42369.0</v>
      </c>
      <c r="G45" s="2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15" t="str">
        <f t="shared" si="17"/>
        <v>32165</v>
      </c>
      <c r="B46" s="16" t="s">
        <v>67</v>
      </c>
      <c r="C46" s="16" t="s">
        <v>11</v>
      </c>
      <c r="D46" s="16" t="s">
        <v>66</v>
      </c>
      <c r="E46" s="17">
        <v>38718.0</v>
      </c>
      <c r="F46" s="17">
        <v>42369.0</v>
      </c>
      <c r="G46" s="2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12" t="str">
        <f t="shared" ref="A47:A48" si="18">HYPERLINK("javascript:void%20window.open('https://ds3.dhss.ak.local/dsds/ds3/index.cfm?fuseaction=pro.view&amp;entityId=141e187e-e8be-4a49-91d2-6a326b9fb3b3')","32269")</f>
        <v>32269</v>
      </c>
      <c r="B47" s="13" t="s">
        <v>68</v>
      </c>
      <c r="C47" s="13" t="s">
        <v>11</v>
      </c>
      <c r="D47" s="13" t="s">
        <v>69</v>
      </c>
      <c r="E47" s="14">
        <v>38899.0</v>
      </c>
      <c r="F47" s="14">
        <v>42521.0</v>
      </c>
      <c r="G47" s="2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15" t="str">
        <f t="shared" si="18"/>
        <v>32269</v>
      </c>
      <c r="B48" s="16" t="s">
        <v>70</v>
      </c>
      <c r="C48" s="16" t="s">
        <v>11</v>
      </c>
      <c r="D48" s="16" t="s">
        <v>69</v>
      </c>
      <c r="E48" s="17">
        <v>38899.0</v>
      </c>
      <c r="F48" s="17">
        <v>42521.0</v>
      </c>
      <c r="G48" s="2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12" t="str">
        <f t="shared" ref="A49:A50" si="19">HYPERLINK("javascript:void%20window.open('https://ds3.dhss.ak.local/dsds/ds3/index.cfm?fuseaction=pro.view&amp;entityId=da656d5d-84b6-45ea-a9e8-6c44824cf4b6')","31446")</f>
        <v>31446</v>
      </c>
      <c r="B49" s="13" t="s">
        <v>71</v>
      </c>
      <c r="C49" s="13" t="s">
        <v>11</v>
      </c>
      <c r="D49" s="13" t="s">
        <v>72</v>
      </c>
      <c r="E49" s="14">
        <v>38899.0</v>
      </c>
      <c r="F49" s="14">
        <v>42490.0</v>
      </c>
      <c r="G49" s="2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15" t="str">
        <f t="shared" si="19"/>
        <v>31446</v>
      </c>
      <c r="B50" s="16" t="s">
        <v>73</v>
      </c>
      <c r="C50" s="16" t="s">
        <v>11</v>
      </c>
      <c r="D50" s="16" t="s">
        <v>72</v>
      </c>
      <c r="E50" s="17">
        <v>38899.0</v>
      </c>
      <c r="F50" s="17">
        <v>42490.0</v>
      </c>
      <c r="G50" s="2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9" t="str">
        <f t="shared" ref="A51:A52" si="20">HYPERLINK("javascript:void%20window.open('https://ds3.dhss.ak.local/dsds/ds3/index.cfm?fuseaction=pro.view&amp;entityId=239cde75-0165-eb2c-6fb1-41a8a8cb5825')","97958")</f>
        <v>97958</v>
      </c>
      <c r="B51" s="10" t="s">
        <v>74</v>
      </c>
      <c r="C51" s="10" t="s">
        <v>11</v>
      </c>
      <c r="D51" s="10" t="s">
        <v>75</v>
      </c>
      <c r="E51" s="11">
        <v>41600.0</v>
      </c>
      <c r="F51" s="11">
        <v>41943.0</v>
      </c>
      <c r="G51" s="2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15" t="str">
        <f t="shared" si="20"/>
        <v>97958</v>
      </c>
      <c r="B52" s="16" t="s">
        <v>76</v>
      </c>
      <c r="C52" s="16" t="s">
        <v>11</v>
      </c>
      <c r="D52" s="16" t="s">
        <v>75</v>
      </c>
      <c r="E52" s="17">
        <v>40487.0</v>
      </c>
      <c r="F52" s="17">
        <v>42338.0</v>
      </c>
      <c r="G52" s="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12" t="str">
        <f t="shared" ref="A53:A55" si="21">HYPERLINK("javascript:void%20window.open('https://ds3.dhss.ak.local/dsds/ds3/index.cfm?fuseaction=pro.view&amp;entityId=4d2d830b-2fc0-462c-9dd6-9a349cfcc58a')","32711")</f>
        <v>32711</v>
      </c>
      <c r="B53" s="13" t="s">
        <v>77</v>
      </c>
      <c r="C53" s="13" t="s">
        <v>11</v>
      </c>
      <c r="D53" s="13" t="s">
        <v>78</v>
      </c>
      <c r="E53" s="14">
        <v>39153.0</v>
      </c>
      <c r="F53" s="14">
        <v>42490.0</v>
      </c>
      <c r="G53" s="2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15" t="str">
        <f t="shared" si="21"/>
        <v>32711</v>
      </c>
      <c r="B54" s="16" t="s">
        <v>79</v>
      </c>
      <c r="C54" s="16" t="s">
        <v>11</v>
      </c>
      <c r="D54" s="16" t="s">
        <v>78</v>
      </c>
      <c r="E54" s="17">
        <v>39079.0</v>
      </c>
      <c r="F54" s="17">
        <v>42004.0</v>
      </c>
      <c r="G54" s="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12" t="str">
        <f t="shared" si="21"/>
        <v>32711</v>
      </c>
      <c r="B55" s="13" t="s">
        <v>80</v>
      </c>
      <c r="C55" s="13" t="s">
        <v>11</v>
      </c>
      <c r="D55" s="13" t="s">
        <v>78</v>
      </c>
      <c r="E55" s="14">
        <v>36692.0</v>
      </c>
      <c r="F55" s="14">
        <v>42490.0</v>
      </c>
      <c r="G55" s="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15" t="str">
        <f t="shared" ref="A56:A57" si="22">HYPERLINK("javascript:void%20window.open('https://ds3.dhss.ak.local/dsds/ds3/index.cfm?fuseaction=pro.view&amp;entityId=6dcce4bf-039c-8c82-6a36-3492f574774c')","107613")</f>
        <v>107613</v>
      </c>
      <c r="B56" s="16" t="s">
        <v>81</v>
      </c>
      <c r="C56" s="16" t="s">
        <v>11</v>
      </c>
      <c r="D56" s="16" t="s">
        <v>82</v>
      </c>
      <c r="E56" s="17">
        <v>40500.0</v>
      </c>
      <c r="F56" s="17">
        <v>41943.0</v>
      </c>
      <c r="G56" s="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12" t="str">
        <f t="shared" si="22"/>
        <v>107613</v>
      </c>
      <c r="B57" s="13" t="s">
        <v>83</v>
      </c>
      <c r="C57" s="13" t="s">
        <v>11</v>
      </c>
      <c r="D57" s="13" t="s">
        <v>82</v>
      </c>
      <c r="E57" s="14">
        <v>40500.0</v>
      </c>
      <c r="F57" s="14">
        <v>41943.0</v>
      </c>
      <c r="G57" s="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15" t="str">
        <f t="shared" ref="A58:A59" si="23">HYPERLINK("javascript:void%20window.open('https://ds3.dhss.ak.local/dsds/ds3/index.cfm?fuseaction=pro.view&amp;entityId=fa312437-1f75-441c-aa2c-06e0f85f112b')","32203")</f>
        <v>32203</v>
      </c>
      <c r="B58" s="16" t="s">
        <v>84</v>
      </c>
      <c r="C58" s="16" t="s">
        <v>11</v>
      </c>
      <c r="D58" s="16" t="s">
        <v>85</v>
      </c>
      <c r="E58" s="17">
        <v>40899.0</v>
      </c>
      <c r="F58" s="17">
        <v>42338.0</v>
      </c>
      <c r="G58" s="2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12" t="str">
        <f t="shared" si="23"/>
        <v>32203</v>
      </c>
      <c r="B59" s="13" t="s">
        <v>86</v>
      </c>
      <c r="C59" s="13" t="s">
        <v>11</v>
      </c>
      <c r="D59" s="13" t="s">
        <v>85</v>
      </c>
      <c r="E59" s="14">
        <v>38749.0</v>
      </c>
      <c r="F59" s="14">
        <v>42338.0</v>
      </c>
      <c r="G59" s="2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15" t="str">
        <f t="shared" ref="A60:A62" si="24">HYPERLINK("javascript:void%20window.open('https://ds3.dhss.ak.local/dsds/ds3/index.cfm?fuseaction=pro.view&amp;entityId=8f01292f-a3a2-4169-b3d1-f5475ab72e4d')","32660")</f>
        <v>32660</v>
      </c>
      <c r="B60" s="16" t="s">
        <v>87</v>
      </c>
      <c r="C60" s="16" t="s">
        <v>11</v>
      </c>
      <c r="D60" s="16" t="s">
        <v>88</v>
      </c>
      <c r="E60" s="17">
        <v>40148.0</v>
      </c>
      <c r="F60" s="17">
        <v>42338.0</v>
      </c>
      <c r="G60" s="2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12" t="str">
        <f t="shared" si="24"/>
        <v>32660</v>
      </c>
      <c r="B61" s="13" t="s">
        <v>89</v>
      </c>
      <c r="C61" s="13" t="s">
        <v>11</v>
      </c>
      <c r="D61" s="13" t="s">
        <v>88</v>
      </c>
      <c r="E61" s="14">
        <v>40148.0</v>
      </c>
      <c r="F61" s="14">
        <v>42338.0</v>
      </c>
      <c r="G61" s="2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15" t="str">
        <f t="shared" si="24"/>
        <v>32660</v>
      </c>
      <c r="B62" s="16" t="s">
        <v>90</v>
      </c>
      <c r="C62" s="16" t="s">
        <v>11</v>
      </c>
      <c r="D62" s="16" t="s">
        <v>88</v>
      </c>
      <c r="E62" s="17">
        <v>39282.0</v>
      </c>
      <c r="F62" s="17">
        <v>42338.0</v>
      </c>
      <c r="G62" s="2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12" t="str">
        <f t="shared" ref="A63:A64" si="25">HYPERLINK("javascript:void%20window.open('https://ds3.dhss.ak.local/dsds/ds3/index.cfm?fuseaction=pro.view&amp;entityId=bfc72d5e-dcd1-4f65-8745-a5f71aedcc44')","32473")</f>
        <v>32473</v>
      </c>
      <c r="B63" s="13" t="s">
        <v>91</v>
      </c>
      <c r="C63" s="13" t="s">
        <v>11</v>
      </c>
      <c r="D63" s="13" t="s">
        <v>92</v>
      </c>
      <c r="E63" s="14">
        <v>39022.0</v>
      </c>
      <c r="F63" s="14">
        <v>42004.0</v>
      </c>
      <c r="G63" s="2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15" t="str">
        <f t="shared" si="25"/>
        <v>32473</v>
      </c>
      <c r="B64" s="16" t="s">
        <v>93</v>
      </c>
      <c r="C64" s="16" t="s">
        <v>11</v>
      </c>
      <c r="D64" s="16" t="s">
        <v>92</v>
      </c>
      <c r="E64" s="17">
        <v>39022.0</v>
      </c>
      <c r="F64" s="17">
        <v>42004.0</v>
      </c>
      <c r="G64" s="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12" t="str">
        <f t="shared" ref="A65:A67" si="26">HYPERLINK("javascript:void%20window.open('https://ds3.dhss.ak.local/dsds/ds3/index.cfm?fuseaction=pro.view&amp;entityId=7a91acc8-65ee-4253-9f57-c01f36e13a7d')","32764")</f>
        <v>32764</v>
      </c>
      <c r="B65" s="13" t="s">
        <v>94</v>
      </c>
      <c r="C65" s="13" t="s">
        <v>11</v>
      </c>
      <c r="D65" s="13" t="s">
        <v>95</v>
      </c>
      <c r="E65" s="14">
        <v>39295.0</v>
      </c>
      <c r="F65" s="14">
        <v>41882.0</v>
      </c>
      <c r="G65" s="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15" t="str">
        <f t="shared" si="26"/>
        <v>32764</v>
      </c>
      <c r="B66" s="16" t="s">
        <v>96</v>
      </c>
      <c r="C66" s="16" t="s">
        <v>11</v>
      </c>
      <c r="D66" s="16" t="s">
        <v>95</v>
      </c>
      <c r="E66" s="17">
        <v>39262.0</v>
      </c>
      <c r="F66" s="17">
        <v>41882.0</v>
      </c>
      <c r="G66" s="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12" t="str">
        <f t="shared" si="26"/>
        <v>32764</v>
      </c>
      <c r="B67" s="13" t="s">
        <v>97</v>
      </c>
      <c r="C67" s="13" t="s">
        <v>11</v>
      </c>
      <c r="D67" s="13" t="s">
        <v>95</v>
      </c>
      <c r="E67" s="14">
        <v>39058.0</v>
      </c>
      <c r="F67" s="14">
        <v>41882.0</v>
      </c>
      <c r="G67" s="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15" t="str">
        <f t="shared" ref="A68:A69" si="27">HYPERLINK("javascript:void%20window.open('https://ds3.dhss.ak.local/dsds/ds3/index.cfm?fuseaction=pro.view&amp;entityId=967cb010-e82a-4e98-8cca-5259c7d77088')","30141")</f>
        <v>30141</v>
      </c>
      <c r="B68" s="16" t="s">
        <v>98</v>
      </c>
      <c r="C68" s="16" t="s">
        <v>11</v>
      </c>
      <c r="D68" s="16" t="s">
        <v>99</v>
      </c>
      <c r="E68" s="17">
        <v>39387.0</v>
      </c>
      <c r="F68" s="17">
        <v>42308.0</v>
      </c>
      <c r="G68" s="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12" t="str">
        <f t="shared" si="27"/>
        <v>30141</v>
      </c>
      <c r="B69" s="13" t="s">
        <v>100</v>
      </c>
      <c r="C69" s="13" t="s">
        <v>11</v>
      </c>
      <c r="D69" s="13" t="s">
        <v>99</v>
      </c>
      <c r="E69" s="14">
        <v>39387.0</v>
      </c>
      <c r="F69" s="14">
        <v>42308.0</v>
      </c>
      <c r="G69" s="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15" t="str">
        <f t="shared" ref="A70:A72" si="28">HYPERLINK("javascript:void%20window.open('https://ds3.dhss.ak.local/dsds/ds3/index.cfm?fuseaction=pro.view&amp;entityId=562e6573-48d2-4370-b0f3-a66af4edeb1f')","31181")</f>
        <v>31181</v>
      </c>
      <c r="B70" s="16" t="s">
        <v>101</v>
      </c>
      <c r="C70" s="16" t="s">
        <v>11</v>
      </c>
      <c r="D70" s="16" t="s">
        <v>102</v>
      </c>
      <c r="E70" s="17">
        <v>39048.0</v>
      </c>
      <c r="F70" s="17">
        <v>42004.0</v>
      </c>
      <c r="G70" s="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12" t="str">
        <f t="shared" si="28"/>
        <v>31181</v>
      </c>
      <c r="B71" s="13" t="s">
        <v>103</v>
      </c>
      <c r="C71" s="13" t="s">
        <v>11</v>
      </c>
      <c r="D71" s="13" t="s">
        <v>102</v>
      </c>
      <c r="E71" s="14">
        <v>38991.0</v>
      </c>
      <c r="F71" s="14">
        <v>41943.0</v>
      </c>
      <c r="G71" s="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15" t="str">
        <f t="shared" si="28"/>
        <v>31181</v>
      </c>
      <c r="B72" s="16" t="s">
        <v>104</v>
      </c>
      <c r="C72" s="16" t="s">
        <v>11</v>
      </c>
      <c r="D72" s="16" t="s">
        <v>102</v>
      </c>
      <c r="E72" s="17">
        <v>38991.0</v>
      </c>
      <c r="F72" s="17">
        <v>41943.0</v>
      </c>
      <c r="G72" s="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12" t="str">
        <f t="shared" ref="A73:A74" si="29">HYPERLINK("javascript:void%20window.open('https://ds3.dhss.ak.local/dsds/ds3/index.cfm?fuseaction=pro.view&amp;entityId=521667c7-e733-4ac0-a0d4-264666b62a1e')","30166")</f>
        <v>30166</v>
      </c>
      <c r="B73" s="13" t="s">
        <v>105</v>
      </c>
      <c r="C73" s="13" t="s">
        <v>11</v>
      </c>
      <c r="D73" s="13" t="s">
        <v>106</v>
      </c>
      <c r="E73" s="14">
        <v>39048.0</v>
      </c>
      <c r="F73" s="14">
        <v>42004.0</v>
      </c>
      <c r="G73" s="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15" t="str">
        <f t="shared" si="29"/>
        <v>30166</v>
      </c>
      <c r="B74" s="16" t="s">
        <v>107</v>
      </c>
      <c r="C74" s="16" t="s">
        <v>11</v>
      </c>
      <c r="D74" s="16" t="s">
        <v>106</v>
      </c>
      <c r="E74" s="17">
        <v>38991.0</v>
      </c>
      <c r="F74" s="17">
        <v>41943.0</v>
      </c>
      <c r="G74" s="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12" t="str">
        <f t="shared" ref="A75:A76" si="30">HYPERLINK("javascript:void%20window.open('https://ds3.dhss.ak.local/dsds/ds3/index.cfm?fuseaction=pro.view&amp;entityId=c7fe2c7b-6f00-4c31-abe2-9b9950f400bc')","30803")</f>
        <v>30803</v>
      </c>
      <c r="B75" s="13" t="s">
        <v>108</v>
      </c>
      <c r="C75" s="13" t="s">
        <v>11</v>
      </c>
      <c r="D75" s="13" t="s">
        <v>109</v>
      </c>
      <c r="E75" s="14">
        <v>39048.0</v>
      </c>
      <c r="F75" s="14">
        <v>42004.0</v>
      </c>
      <c r="G75" s="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15" t="str">
        <f t="shared" si="30"/>
        <v>30803</v>
      </c>
      <c r="B76" s="16" t="s">
        <v>110</v>
      </c>
      <c r="C76" s="16" t="s">
        <v>11</v>
      </c>
      <c r="D76" s="16" t="s">
        <v>109</v>
      </c>
      <c r="E76" s="17">
        <v>38991.0</v>
      </c>
      <c r="F76" s="17">
        <v>41943.0</v>
      </c>
      <c r="G76" s="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9" t="str">
        <f t="shared" ref="A77:A78" si="31">HYPERLINK("javascript:void%20window.open('https://ds3.dhss.ak.local/dsds/ds3/index.cfm?fuseaction=pro.view&amp;entityId=d1530fbc-5056-bc68-737d-ea021cd143b9')","157783")</f>
        <v>157783</v>
      </c>
      <c r="B77" s="10" t="s">
        <v>111</v>
      </c>
      <c r="C77" s="10" t="s">
        <v>11</v>
      </c>
      <c r="D77" s="10" t="s">
        <v>112</v>
      </c>
      <c r="E77" s="11">
        <v>41626.0</v>
      </c>
      <c r="F77" s="11">
        <v>41973.0</v>
      </c>
      <c r="G77" s="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9" t="str">
        <f t="shared" si="31"/>
        <v>157783</v>
      </c>
      <c r="B78" s="10" t="s">
        <v>113</v>
      </c>
      <c r="C78" s="10" t="s">
        <v>11</v>
      </c>
      <c r="D78" s="10" t="s">
        <v>112</v>
      </c>
      <c r="E78" s="11">
        <v>41626.0</v>
      </c>
      <c r="F78" s="11">
        <v>41973.0</v>
      </c>
      <c r="G78" s="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12" t="str">
        <f t="shared" ref="A79:A80" si="32">HYPERLINK("javascript:void%20window.open('https://ds3.dhss.ak.local/dsds/ds3/index.cfm?fuseaction=pro.view&amp;entityId=f03f0797-1b3b-4c3c-8056-33d9cb8c4a2c')","30979")</f>
        <v>30979</v>
      </c>
      <c r="B79" s="13" t="s">
        <v>114</v>
      </c>
      <c r="C79" s="13" t="s">
        <v>11</v>
      </c>
      <c r="D79" s="13" t="s">
        <v>115</v>
      </c>
      <c r="E79" s="14">
        <v>39022.0</v>
      </c>
      <c r="F79" s="14">
        <v>41973.0</v>
      </c>
      <c r="G79" s="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15" t="str">
        <f t="shared" si="32"/>
        <v>30979</v>
      </c>
      <c r="B80" s="16" t="s">
        <v>116</v>
      </c>
      <c r="C80" s="16" t="s">
        <v>11</v>
      </c>
      <c r="D80" s="16" t="s">
        <v>115</v>
      </c>
      <c r="E80" s="17">
        <v>39022.0</v>
      </c>
      <c r="F80" s="17">
        <v>41973.0</v>
      </c>
      <c r="G80" s="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12" t="str">
        <f t="shared" ref="A81:A82" si="33">HYPERLINK("javascript:void%20window.open('https://ds3.dhss.ak.local/dsds/ds3/index.cfm?fuseaction=pro.view&amp;entityId=1ce2aa8d-996b-49db-9453-812267850741')","31641")</f>
        <v>31641</v>
      </c>
      <c r="B81" s="13" t="s">
        <v>117</v>
      </c>
      <c r="C81" s="13" t="s">
        <v>11</v>
      </c>
      <c r="D81" s="13" t="s">
        <v>118</v>
      </c>
      <c r="E81" s="14">
        <v>39870.0</v>
      </c>
      <c r="F81" s="14">
        <v>41973.0</v>
      </c>
      <c r="G81" s="2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15" t="str">
        <f t="shared" si="33"/>
        <v>31641</v>
      </c>
      <c r="B82" s="16" t="s">
        <v>119</v>
      </c>
      <c r="C82" s="16" t="s">
        <v>11</v>
      </c>
      <c r="D82" s="16" t="s">
        <v>118</v>
      </c>
      <c r="E82" s="17">
        <v>38961.0</v>
      </c>
      <c r="F82" s="17">
        <v>41973.0</v>
      </c>
      <c r="G82" s="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12" t="str">
        <f t="shared" ref="A83:A84" si="34">HYPERLINK("javascript:void%20window.open('https://ds3.dhss.ak.local/dsds/ds3/index.cfm?fuseaction=pro.view&amp;entityId=b80b5c47-5368-453b-9a3c-4432a6136525')","31975")</f>
        <v>31975</v>
      </c>
      <c r="B83" s="13" t="s">
        <v>120</v>
      </c>
      <c r="C83" s="13" t="s">
        <v>11</v>
      </c>
      <c r="D83" s="13" t="s">
        <v>121</v>
      </c>
      <c r="E83" s="14">
        <v>39352.0</v>
      </c>
      <c r="F83" s="14">
        <v>42551.0</v>
      </c>
      <c r="G83" s="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15" t="str">
        <f t="shared" si="34"/>
        <v>31975</v>
      </c>
      <c r="B84" s="16" t="s">
        <v>122</v>
      </c>
      <c r="C84" s="16" t="s">
        <v>11</v>
      </c>
      <c r="D84" s="16" t="s">
        <v>121</v>
      </c>
      <c r="E84" s="17">
        <v>38827.0</v>
      </c>
      <c r="F84" s="17">
        <v>42551.0</v>
      </c>
      <c r="G84" s="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12" t="str">
        <f t="shared" ref="A85:A87" si="35">HYPERLINK("javascript:void%20window.open('https://ds3.dhss.ak.local/dsds/ds3/index.cfm?fuseaction=pro.view&amp;entityId=9a46a1d0-30c3-406e-be94-ad1fa25bfe50')","30153")</f>
        <v>30153</v>
      </c>
      <c r="B85" s="13" t="s">
        <v>123</v>
      </c>
      <c r="C85" s="13" t="s">
        <v>11</v>
      </c>
      <c r="D85" s="13" t="s">
        <v>124</v>
      </c>
      <c r="E85" s="14">
        <v>39048.0</v>
      </c>
      <c r="F85" s="14">
        <v>42643.0</v>
      </c>
      <c r="G85" s="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15" t="str">
        <f t="shared" si="35"/>
        <v>30153</v>
      </c>
      <c r="B86" s="16" t="s">
        <v>125</v>
      </c>
      <c r="C86" s="16" t="s">
        <v>11</v>
      </c>
      <c r="D86" s="16" t="s">
        <v>124</v>
      </c>
      <c r="E86" s="17">
        <v>38991.0</v>
      </c>
      <c r="F86" s="17">
        <v>42643.0</v>
      </c>
      <c r="G86" s="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12" t="str">
        <f t="shared" si="35"/>
        <v>30153</v>
      </c>
      <c r="B87" s="13" t="s">
        <v>126</v>
      </c>
      <c r="C87" s="13" t="s">
        <v>11</v>
      </c>
      <c r="D87" s="13" t="s">
        <v>124</v>
      </c>
      <c r="E87" s="14">
        <v>38991.0</v>
      </c>
      <c r="F87" s="14">
        <v>42643.0</v>
      </c>
      <c r="G87" s="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15" t="str">
        <f t="shared" ref="A88:A90" si="36">HYPERLINK("javascript:void%20window.open('https://ds3.dhss.ak.local/dsds/ds3/index.cfm?fuseaction=pro.view&amp;entityId=1fca1afa-523c-4924-ae26-b36a47b698a5')","30702")</f>
        <v>30702</v>
      </c>
      <c r="B88" s="16" t="s">
        <v>127</v>
      </c>
      <c r="C88" s="16" t="s">
        <v>11</v>
      </c>
      <c r="D88" s="16" t="s">
        <v>128</v>
      </c>
      <c r="E88" s="17">
        <v>39048.0</v>
      </c>
      <c r="F88" s="17">
        <v>41912.0</v>
      </c>
      <c r="G88" s="2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12" t="str">
        <f t="shared" si="36"/>
        <v>30702</v>
      </c>
      <c r="B89" s="13" t="s">
        <v>129</v>
      </c>
      <c r="C89" s="13" t="s">
        <v>11</v>
      </c>
      <c r="D89" s="13" t="s">
        <v>128</v>
      </c>
      <c r="E89" s="14">
        <v>38991.0</v>
      </c>
      <c r="F89" s="14">
        <v>41912.0</v>
      </c>
      <c r="G89" s="2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15" t="str">
        <f t="shared" si="36"/>
        <v>30702</v>
      </c>
      <c r="B90" s="16" t="s">
        <v>130</v>
      </c>
      <c r="C90" s="16" t="s">
        <v>11</v>
      </c>
      <c r="D90" s="16" t="s">
        <v>128</v>
      </c>
      <c r="E90" s="17">
        <v>38991.0</v>
      </c>
      <c r="F90" s="17">
        <v>41912.0</v>
      </c>
      <c r="G90" s="2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12" t="str">
        <f t="shared" ref="A91:A92" si="37">HYPERLINK("javascript:void%20window.open('https://ds3.dhss.ak.local/dsds/ds3/index.cfm?fuseaction=pro.view&amp;entityId=ce5dbf5a-a1dd-e64c-e0af-9f954670d21c')","85561")</f>
        <v>85561</v>
      </c>
      <c r="B91" s="13" t="s">
        <v>131</v>
      </c>
      <c r="C91" s="13" t="s">
        <v>11</v>
      </c>
      <c r="D91" s="13" t="s">
        <v>132</v>
      </c>
      <c r="E91" s="14">
        <v>41000.0</v>
      </c>
      <c r="F91" s="14">
        <v>42429.0</v>
      </c>
      <c r="G91" s="2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15" t="str">
        <f t="shared" si="37"/>
        <v>85561</v>
      </c>
      <c r="B92" s="16" t="s">
        <v>133</v>
      </c>
      <c r="C92" s="16" t="s">
        <v>11</v>
      </c>
      <c r="D92" s="16" t="s">
        <v>132</v>
      </c>
      <c r="E92" s="17">
        <v>39877.0</v>
      </c>
      <c r="F92" s="17">
        <v>42429.0</v>
      </c>
      <c r="G92" s="2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12" t="str">
        <f t="shared" ref="A93:A94" si="38">HYPERLINK("javascript:void%20window.open('https://ds3.dhss.ak.local/dsds/ds3/index.cfm?fuseaction=pro.view&amp;entityId=fc6bef27-02a7-4fa1-97e3-3f308f8efd57')","32131")</f>
        <v>32131</v>
      </c>
      <c r="B93" s="13" t="s">
        <v>134</v>
      </c>
      <c r="C93" s="13" t="s">
        <v>11</v>
      </c>
      <c r="D93" s="13" t="s">
        <v>135</v>
      </c>
      <c r="E93" s="14">
        <v>40513.0</v>
      </c>
      <c r="F93" s="14">
        <v>41973.0</v>
      </c>
      <c r="G93" s="2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15" t="str">
        <f t="shared" si="38"/>
        <v>32131</v>
      </c>
      <c r="B94" s="16" t="s">
        <v>136</v>
      </c>
      <c r="C94" s="16" t="s">
        <v>11</v>
      </c>
      <c r="D94" s="16" t="s">
        <v>135</v>
      </c>
      <c r="E94" s="17">
        <v>40513.0</v>
      </c>
      <c r="F94" s="17">
        <v>41973.0</v>
      </c>
      <c r="G94" s="2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12" t="str">
        <f t="shared" ref="A95:A97" si="39">HYPERLINK("javascript:void%20window.open('https://ds3.dhss.ak.local/dsds/ds3/index.cfm?fuseaction=pro.view&amp;entityId=10ef227c-7c7a-4954-a12d-1b9923ec684d')","30849")</f>
        <v>30849</v>
      </c>
      <c r="B95" s="13" t="s">
        <v>137</v>
      </c>
      <c r="C95" s="13" t="s">
        <v>11</v>
      </c>
      <c r="D95" s="13" t="s">
        <v>138</v>
      </c>
      <c r="E95" s="14">
        <v>39259.0</v>
      </c>
      <c r="F95" s="14">
        <v>42124.0</v>
      </c>
      <c r="G95" s="2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15" t="str">
        <f t="shared" si="39"/>
        <v>30849</v>
      </c>
      <c r="B96" s="16" t="s">
        <v>139</v>
      </c>
      <c r="C96" s="16" t="s">
        <v>11</v>
      </c>
      <c r="D96" s="16" t="s">
        <v>138</v>
      </c>
      <c r="E96" s="17">
        <v>38991.0</v>
      </c>
      <c r="F96" s="17">
        <v>41973.0</v>
      </c>
      <c r="G96" s="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12" t="str">
        <f t="shared" si="39"/>
        <v>30849</v>
      </c>
      <c r="B97" s="13" t="s">
        <v>140</v>
      </c>
      <c r="C97" s="13" t="s">
        <v>11</v>
      </c>
      <c r="D97" s="13" t="s">
        <v>138</v>
      </c>
      <c r="E97" s="14">
        <v>38991.0</v>
      </c>
      <c r="F97" s="14">
        <v>41973.0</v>
      </c>
      <c r="G97" s="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15" t="str">
        <f t="shared" ref="A98:A100" si="40">HYPERLINK("javascript:void%20window.open('https://ds3.dhss.ak.local/dsds/ds3/index.cfm?fuseaction=pro.view&amp;entityId=c4e238e2-38ac-4ee6-b3ce-a7518e75020f')","61427")</f>
        <v>61427</v>
      </c>
      <c r="B98" s="16" t="s">
        <v>141</v>
      </c>
      <c r="C98" s="16" t="s">
        <v>11</v>
      </c>
      <c r="D98" s="16" t="s">
        <v>142</v>
      </c>
      <c r="E98" s="17">
        <v>39793.0</v>
      </c>
      <c r="F98" s="17">
        <v>42185.0</v>
      </c>
      <c r="G98" s="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12" t="str">
        <f t="shared" si="40"/>
        <v>61427</v>
      </c>
      <c r="B99" s="13" t="s">
        <v>143</v>
      </c>
      <c r="C99" s="13" t="s">
        <v>11</v>
      </c>
      <c r="D99" s="13" t="s">
        <v>142</v>
      </c>
      <c r="E99" s="14">
        <v>39793.0</v>
      </c>
      <c r="F99" s="14">
        <v>42185.0</v>
      </c>
      <c r="G99" s="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15" t="str">
        <f t="shared" si="40"/>
        <v>61427</v>
      </c>
      <c r="B100" s="16" t="s">
        <v>144</v>
      </c>
      <c r="C100" s="16" t="s">
        <v>11</v>
      </c>
      <c r="D100" s="16" t="s">
        <v>142</v>
      </c>
      <c r="E100" s="17">
        <v>39387.0</v>
      </c>
      <c r="F100" s="17">
        <v>42004.0</v>
      </c>
      <c r="G100" s="2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12" t="str">
        <f t="shared" ref="A101:A103" si="41">HYPERLINK("javascript:void%20window.open('https://ds3.dhss.ak.local/dsds/ds3/index.cfm?fuseaction=pro.view&amp;entityId=f5712749-01f3-4c0a-a71b-039f43a575a7')","55591")</f>
        <v>55591</v>
      </c>
      <c r="B101" s="13" t="s">
        <v>145</v>
      </c>
      <c r="C101" s="13" t="s">
        <v>11</v>
      </c>
      <c r="D101" s="13" t="s">
        <v>146</v>
      </c>
      <c r="E101" s="14">
        <v>39793.0</v>
      </c>
      <c r="F101" s="14">
        <v>42124.0</v>
      </c>
      <c r="G101" s="2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15" t="str">
        <f t="shared" si="41"/>
        <v>55591</v>
      </c>
      <c r="B102" s="16" t="s">
        <v>147</v>
      </c>
      <c r="C102" s="16" t="s">
        <v>11</v>
      </c>
      <c r="D102" s="16" t="s">
        <v>146</v>
      </c>
      <c r="E102" s="17">
        <v>39569.0</v>
      </c>
      <c r="F102" s="17">
        <v>42124.0</v>
      </c>
      <c r="G102" s="2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12" t="str">
        <f t="shared" si="41"/>
        <v>55591</v>
      </c>
      <c r="B103" s="13" t="s">
        <v>148</v>
      </c>
      <c r="C103" s="13" t="s">
        <v>11</v>
      </c>
      <c r="D103" s="13" t="s">
        <v>146</v>
      </c>
      <c r="E103" s="14">
        <v>39066.0</v>
      </c>
      <c r="F103" s="14">
        <v>42124.0</v>
      </c>
      <c r="G103" s="2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15" t="str">
        <f t="shared" ref="A104:A106" si="42">HYPERLINK("javascript:void%20window.open('https://ds3.dhss.ak.local/dsds/ds3/index.cfm?fuseaction=pro.view&amp;entityId=45cf4d04-feb6-43b0-ae2d-3dafb819dcfc')","32460")</f>
        <v>32460</v>
      </c>
      <c r="B104" s="16" t="s">
        <v>149</v>
      </c>
      <c r="C104" s="16" t="s">
        <v>11</v>
      </c>
      <c r="D104" s="16" t="s">
        <v>150</v>
      </c>
      <c r="E104" s="17">
        <v>39479.0</v>
      </c>
      <c r="F104" s="17">
        <v>42004.0</v>
      </c>
      <c r="G104" s="2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12" t="str">
        <f t="shared" si="42"/>
        <v>32460</v>
      </c>
      <c r="B105" s="13" t="s">
        <v>151</v>
      </c>
      <c r="C105" s="13" t="s">
        <v>11</v>
      </c>
      <c r="D105" s="13" t="s">
        <v>150</v>
      </c>
      <c r="E105" s="14">
        <v>38771.0</v>
      </c>
      <c r="F105" s="14">
        <v>42400.0</v>
      </c>
      <c r="G105" s="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15" t="str">
        <f t="shared" si="42"/>
        <v>32460</v>
      </c>
      <c r="B106" s="16" t="s">
        <v>152</v>
      </c>
      <c r="C106" s="16" t="s">
        <v>11</v>
      </c>
      <c r="D106" s="16" t="s">
        <v>150</v>
      </c>
      <c r="E106" s="17">
        <v>38771.0</v>
      </c>
      <c r="F106" s="17">
        <v>42400.0</v>
      </c>
      <c r="G106" s="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12" t="str">
        <f t="shared" ref="A107:A109" si="43">HYPERLINK("javascript:void%20window.open('https://ds3.dhss.ak.local/dsds/ds3/index.cfm?fuseaction=pro.view&amp;entityId=a6c44264-c8bd-46f1-9b3f-31d0620c92ca')","59998")</f>
        <v>59998</v>
      </c>
      <c r="B107" s="13" t="s">
        <v>153</v>
      </c>
      <c r="C107" s="13" t="s">
        <v>11</v>
      </c>
      <c r="D107" s="13" t="s">
        <v>154</v>
      </c>
      <c r="E107" s="14">
        <v>40219.0</v>
      </c>
      <c r="F107" s="14">
        <v>42400.0</v>
      </c>
      <c r="G107" s="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15" t="str">
        <f t="shared" si="43"/>
        <v>59998</v>
      </c>
      <c r="B108" s="16" t="s">
        <v>155</v>
      </c>
      <c r="C108" s="16" t="s">
        <v>11</v>
      </c>
      <c r="D108" s="16" t="s">
        <v>154</v>
      </c>
      <c r="E108" s="17">
        <v>40219.0</v>
      </c>
      <c r="F108" s="17">
        <v>42400.0</v>
      </c>
      <c r="G108" s="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12" t="str">
        <f t="shared" si="43"/>
        <v>59998</v>
      </c>
      <c r="B109" s="13" t="s">
        <v>156</v>
      </c>
      <c r="C109" s="13" t="s">
        <v>11</v>
      </c>
      <c r="D109" s="13" t="s">
        <v>154</v>
      </c>
      <c r="E109" s="14">
        <v>39150.0</v>
      </c>
      <c r="F109" s="14">
        <v>42004.0</v>
      </c>
      <c r="G109" s="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15" t="str">
        <f t="shared" ref="A110:A111" si="44">HYPERLINK("javascript:void%20window.open('https://ds3.dhss.ak.local/dsds/ds3/index.cfm?fuseaction=pro.view&amp;entityId=f5b00387-fb35-4e6c-b042-03bfc6e57243')","44712")</f>
        <v>44712</v>
      </c>
      <c r="B110" s="16" t="s">
        <v>157</v>
      </c>
      <c r="C110" s="16" t="s">
        <v>11</v>
      </c>
      <c r="D110" s="16" t="s">
        <v>158</v>
      </c>
      <c r="E110" s="17">
        <v>41017.0</v>
      </c>
      <c r="F110" s="17">
        <v>42400.0</v>
      </c>
      <c r="G110" s="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12" t="str">
        <f t="shared" si="44"/>
        <v>44712</v>
      </c>
      <c r="B111" s="13" t="s">
        <v>159</v>
      </c>
      <c r="C111" s="13" t="s">
        <v>11</v>
      </c>
      <c r="D111" s="13" t="s">
        <v>158</v>
      </c>
      <c r="E111" s="14">
        <v>39150.0</v>
      </c>
      <c r="F111" s="14">
        <v>42004.0</v>
      </c>
      <c r="G111" s="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15" t="str">
        <f t="shared" ref="A112:A114" si="45">HYPERLINK("javascript:void%20window.open('https://ds3.dhss.ak.local/dsds/ds3/index.cfm?fuseaction=pro.view&amp;entityId=314a6779-8bfb-4778-a4db-69e47b8e849b')","61412")</f>
        <v>61412</v>
      </c>
      <c r="B112" s="16" t="s">
        <v>160</v>
      </c>
      <c r="C112" s="16" t="s">
        <v>11</v>
      </c>
      <c r="D112" s="16" t="s">
        <v>161</v>
      </c>
      <c r="E112" s="17">
        <v>40219.0</v>
      </c>
      <c r="F112" s="17">
        <v>42400.0</v>
      </c>
      <c r="G112" s="2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12" t="str">
        <f t="shared" si="45"/>
        <v>61412</v>
      </c>
      <c r="B113" s="13" t="s">
        <v>162</v>
      </c>
      <c r="C113" s="13" t="s">
        <v>11</v>
      </c>
      <c r="D113" s="13" t="s">
        <v>161</v>
      </c>
      <c r="E113" s="14">
        <v>40219.0</v>
      </c>
      <c r="F113" s="14">
        <v>42400.0</v>
      </c>
      <c r="G113" s="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15" t="str">
        <f t="shared" si="45"/>
        <v>61412</v>
      </c>
      <c r="B114" s="16" t="s">
        <v>163</v>
      </c>
      <c r="C114" s="16" t="s">
        <v>11</v>
      </c>
      <c r="D114" s="16" t="s">
        <v>161</v>
      </c>
      <c r="E114" s="17">
        <v>39150.0</v>
      </c>
      <c r="F114" s="17">
        <v>42004.0</v>
      </c>
      <c r="G114" s="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12" t="str">
        <f t="shared" ref="A115:A117" si="46">HYPERLINK("javascript:void%20window.open('https://ds3.dhss.ak.local/dsds/ds3/index.cfm?fuseaction=pro.view&amp;entityId=80ab7769-5056-bc68-7365-d35ad06def2e')","138943")</f>
        <v>138943</v>
      </c>
      <c r="B115" s="13" t="s">
        <v>164</v>
      </c>
      <c r="C115" s="13" t="s">
        <v>11</v>
      </c>
      <c r="D115" s="13" t="s">
        <v>165</v>
      </c>
      <c r="E115" s="14">
        <v>41318.0</v>
      </c>
      <c r="F115" s="14">
        <v>42582.0</v>
      </c>
      <c r="G115" s="2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15" t="str">
        <f t="shared" si="46"/>
        <v>138943</v>
      </c>
      <c r="B116" s="16" t="s">
        <v>166</v>
      </c>
      <c r="C116" s="16" t="s">
        <v>11</v>
      </c>
      <c r="D116" s="16" t="s">
        <v>165</v>
      </c>
      <c r="E116" s="17">
        <v>41277.0</v>
      </c>
      <c r="F116" s="17">
        <v>42582.0</v>
      </c>
      <c r="G116" s="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12" t="str">
        <f t="shared" si="46"/>
        <v>138943</v>
      </c>
      <c r="B117" s="13" t="s">
        <v>167</v>
      </c>
      <c r="C117" s="13" t="s">
        <v>11</v>
      </c>
      <c r="D117" s="13" t="s">
        <v>165</v>
      </c>
      <c r="E117" s="14">
        <v>40952.0</v>
      </c>
      <c r="F117" s="14">
        <v>42582.0</v>
      </c>
      <c r="G117" s="2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15" t="str">
        <f t="shared" ref="A118:A120" si="47">HYPERLINK("javascript:void%20window.open('https://ds3.dhss.ak.local/dsds/ds3/index.cfm?fuseaction=pro.view&amp;entityId=4ba4e08b-bc92-0a37-e877-b5be6b5edb30')","119898")</f>
        <v>119898</v>
      </c>
      <c r="B118" s="16" t="s">
        <v>168</v>
      </c>
      <c r="C118" s="16" t="s">
        <v>11</v>
      </c>
      <c r="D118" s="16" t="s">
        <v>169</v>
      </c>
      <c r="E118" s="17">
        <v>41088.0</v>
      </c>
      <c r="F118" s="17">
        <v>42582.0</v>
      </c>
      <c r="G118" s="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12" t="str">
        <f t="shared" si="47"/>
        <v>119898</v>
      </c>
      <c r="B119" s="13" t="s">
        <v>170</v>
      </c>
      <c r="C119" s="13" t="s">
        <v>11</v>
      </c>
      <c r="D119" s="13" t="s">
        <v>169</v>
      </c>
      <c r="E119" s="14">
        <v>41088.0</v>
      </c>
      <c r="F119" s="14">
        <v>42582.0</v>
      </c>
      <c r="G119" s="2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15" t="str">
        <f t="shared" si="47"/>
        <v>119898</v>
      </c>
      <c r="B120" s="16" t="s">
        <v>171</v>
      </c>
      <c r="C120" s="16" t="s">
        <v>11</v>
      </c>
      <c r="D120" s="16" t="s">
        <v>169</v>
      </c>
      <c r="E120" s="17">
        <v>40787.0</v>
      </c>
      <c r="F120" s="17">
        <v>42582.0</v>
      </c>
      <c r="G120" s="2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12" t="str">
        <f t="shared" ref="A121:A123" si="48">HYPERLINK("javascript:void%20window.open('https://ds3.dhss.ak.local/dsds/ds3/index.cfm?fuseaction=pro.view&amp;entityId=92d91a77-ace5-47f7-8e58-0cb69b67dbb8')","30175")</f>
        <v>30175</v>
      </c>
      <c r="B121" s="13" t="s">
        <v>172</v>
      </c>
      <c r="C121" s="13" t="s">
        <v>11</v>
      </c>
      <c r="D121" s="13" t="s">
        <v>173</v>
      </c>
      <c r="E121" s="14">
        <v>38991.0</v>
      </c>
      <c r="F121" s="14">
        <v>42582.0</v>
      </c>
      <c r="G121" s="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15" t="str">
        <f t="shared" si="48"/>
        <v>30175</v>
      </c>
      <c r="B122" s="16" t="s">
        <v>174</v>
      </c>
      <c r="C122" s="16" t="s">
        <v>11</v>
      </c>
      <c r="D122" s="16" t="s">
        <v>173</v>
      </c>
      <c r="E122" s="17">
        <v>38991.0</v>
      </c>
      <c r="F122" s="17">
        <v>42582.0</v>
      </c>
      <c r="G122" s="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12" t="str">
        <f t="shared" si="48"/>
        <v>30175</v>
      </c>
      <c r="B123" s="13" t="s">
        <v>175</v>
      </c>
      <c r="C123" s="13" t="s">
        <v>11</v>
      </c>
      <c r="D123" s="13" t="s">
        <v>173</v>
      </c>
      <c r="E123" s="14">
        <v>38973.0</v>
      </c>
      <c r="F123" s="14">
        <v>42582.0</v>
      </c>
      <c r="G123" s="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15" t="str">
        <f t="shared" ref="A124:A126" si="49">HYPERLINK("javascript:void%20window.open('https://ds3.dhss.ak.local/dsds/ds3/index.cfm?fuseaction=pro.view&amp;entityId=4c71562f-c9df-8eb1-2011-1be73bb2f111')","119903")</f>
        <v>119903</v>
      </c>
      <c r="B124" s="16" t="s">
        <v>176</v>
      </c>
      <c r="C124" s="16" t="s">
        <v>11</v>
      </c>
      <c r="D124" s="16" t="s">
        <v>177</v>
      </c>
      <c r="E124" s="17">
        <v>41088.0</v>
      </c>
      <c r="F124" s="17">
        <v>42582.0</v>
      </c>
      <c r="G124" s="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12" t="str">
        <f t="shared" si="49"/>
        <v>119903</v>
      </c>
      <c r="B125" s="13" t="s">
        <v>178</v>
      </c>
      <c r="C125" s="13" t="s">
        <v>11</v>
      </c>
      <c r="D125" s="13" t="s">
        <v>177</v>
      </c>
      <c r="E125" s="14">
        <v>41088.0</v>
      </c>
      <c r="F125" s="14">
        <v>42582.0</v>
      </c>
      <c r="G125" s="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15" t="str">
        <f t="shared" si="49"/>
        <v>119903</v>
      </c>
      <c r="B126" s="16" t="s">
        <v>179</v>
      </c>
      <c r="C126" s="16" t="s">
        <v>11</v>
      </c>
      <c r="D126" s="16" t="s">
        <v>177</v>
      </c>
      <c r="E126" s="17">
        <v>40787.0</v>
      </c>
      <c r="F126" s="17">
        <v>41882.0</v>
      </c>
      <c r="G126" s="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12" t="str">
        <f t="shared" ref="A127:A128" si="50">HYPERLINK("javascript:void%20window.open('https://ds3.dhss.ak.local/dsds/ds3/index.cfm?fuseaction=pro.view&amp;entityId=3413bcbb-09fa-4f32-bcbc-4e68270928fc')","30784")</f>
        <v>30784</v>
      </c>
      <c r="B127" s="13" t="s">
        <v>180</v>
      </c>
      <c r="C127" s="13" t="s">
        <v>11</v>
      </c>
      <c r="D127" s="13" t="s">
        <v>181</v>
      </c>
      <c r="E127" s="14">
        <v>38899.0</v>
      </c>
      <c r="F127" s="14">
        <v>42551.0</v>
      </c>
      <c r="G127" s="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15" t="str">
        <f t="shared" si="50"/>
        <v>30784</v>
      </c>
      <c r="B128" s="16" t="s">
        <v>182</v>
      </c>
      <c r="C128" s="16" t="s">
        <v>11</v>
      </c>
      <c r="D128" s="16" t="s">
        <v>181</v>
      </c>
      <c r="E128" s="17">
        <v>38899.0</v>
      </c>
      <c r="F128" s="17">
        <v>42551.0</v>
      </c>
      <c r="G128" s="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12" t="str">
        <f t="shared" ref="A129:A130" si="51">HYPERLINK("javascript:void%20window.open('https://ds3.dhss.ak.local/dsds/ds3/index.cfm?fuseaction=pro.view&amp;entityId=baab6b78-9dec-6ac2-13e0-68c598ddf97d')","94946")</f>
        <v>94946</v>
      </c>
      <c r="B129" s="13" t="s">
        <v>183</v>
      </c>
      <c r="C129" s="13" t="s">
        <v>11</v>
      </c>
      <c r="D129" s="13" t="s">
        <v>184</v>
      </c>
      <c r="E129" s="14">
        <v>40294.0</v>
      </c>
      <c r="F129" s="14">
        <v>42094.0</v>
      </c>
      <c r="G129" s="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15" t="str">
        <f t="shared" si="51"/>
        <v>94946</v>
      </c>
      <c r="B130" s="16" t="s">
        <v>185</v>
      </c>
      <c r="C130" s="16" t="s">
        <v>11</v>
      </c>
      <c r="D130" s="16" t="s">
        <v>184</v>
      </c>
      <c r="E130" s="17">
        <v>40268.0</v>
      </c>
      <c r="F130" s="17">
        <v>42094.0</v>
      </c>
      <c r="G130" s="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12" t="str">
        <f t="shared" ref="A131:A132" si="52">HYPERLINK("javascript:void%20window.open('https://ds3.dhss.ak.local/dsds/ds3/index.cfm?fuseaction=pro.view&amp;entityId=cd9aa775-7cc7-4b09-a33a-31dee34dcfc9')","30664")</f>
        <v>30664</v>
      </c>
      <c r="B131" s="13" t="s">
        <v>186</v>
      </c>
      <c r="C131" s="13" t="s">
        <v>11</v>
      </c>
      <c r="D131" s="13" t="s">
        <v>187</v>
      </c>
      <c r="E131" s="14">
        <v>39022.0</v>
      </c>
      <c r="F131" s="14">
        <v>42004.0</v>
      </c>
      <c r="G131" s="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15" t="str">
        <f t="shared" si="52"/>
        <v>30664</v>
      </c>
      <c r="B132" s="16" t="s">
        <v>188</v>
      </c>
      <c r="C132" s="16" t="s">
        <v>11</v>
      </c>
      <c r="D132" s="16" t="s">
        <v>187</v>
      </c>
      <c r="E132" s="17">
        <v>38261.0</v>
      </c>
      <c r="F132" s="17">
        <v>41943.0</v>
      </c>
      <c r="G132" s="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12" t="str">
        <f t="shared" ref="A133:A134" si="53">HYPERLINK("javascript:void%20window.open('https://ds3.dhss.ak.local/dsds/ds3/index.cfm?fuseaction=pro.view&amp;entityId=922c672b-1e2b-4de3-855f-1a9fc108fe7c')","30837")</f>
        <v>30837</v>
      </c>
      <c r="B133" s="13" t="s">
        <v>189</v>
      </c>
      <c r="C133" s="13" t="s">
        <v>11</v>
      </c>
      <c r="D133" s="13" t="s">
        <v>190</v>
      </c>
      <c r="E133" s="14">
        <v>40695.0</v>
      </c>
      <c r="F133" s="14">
        <v>42124.0</v>
      </c>
      <c r="G133" s="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15" t="str">
        <f t="shared" si="53"/>
        <v>30837</v>
      </c>
      <c r="B134" s="16" t="s">
        <v>191</v>
      </c>
      <c r="C134" s="16" t="s">
        <v>11</v>
      </c>
      <c r="D134" s="16" t="s">
        <v>190</v>
      </c>
      <c r="E134" s="17">
        <v>39203.0</v>
      </c>
      <c r="F134" s="17">
        <v>42124.0</v>
      </c>
      <c r="G134" s="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12" t="str">
        <f t="shared" ref="A135:A136" si="54">HYPERLINK("javascript:void%20window.open('https://ds3.dhss.ak.local/dsds/ds3/index.cfm?fuseaction=pro.view&amp;entityId=f265b187-d64b-4614-af39-88d2ee3286c5')","31418")</f>
        <v>31418</v>
      </c>
      <c r="B135" s="13" t="s">
        <v>192</v>
      </c>
      <c r="C135" s="13" t="s">
        <v>11</v>
      </c>
      <c r="D135" s="13" t="s">
        <v>193</v>
      </c>
      <c r="E135" s="14">
        <v>38808.0</v>
      </c>
      <c r="F135" s="14">
        <v>42460.0</v>
      </c>
      <c r="G135" s="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15" t="str">
        <f t="shared" si="54"/>
        <v>31418</v>
      </c>
      <c r="B136" s="16" t="s">
        <v>194</v>
      </c>
      <c r="C136" s="16" t="s">
        <v>11</v>
      </c>
      <c r="D136" s="16" t="s">
        <v>193</v>
      </c>
      <c r="E136" s="17">
        <v>38808.0</v>
      </c>
      <c r="F136" s="17">
        <v>42460.0</v>
      </c>
      <c r="G136" s="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12" t="str">
        <f t="shared" ref="A137:A138" si="55">HYPERLINK("javascript:void%20window.open('https://ds3.dhss.ak.local/dsds/ds3/index.cfm?fuseaction=pro.view&amp;entityId=0169ec1c-e2b1-4de8-bcb2-03967d9e1614')","30768")</f>
        <v>30768</v>
      </c>
      <c r="B137" s="13" t="s">
        <v>195</v>
      </c>
      <c r="C137" s="13" t="s">
        <v>11</v>
      </c>
      <c r="D137" s="13" t="s">
        <v>196</v>
      </c>
      <c r="E137" s="14">
        <v>38991.0</v>
      </c>
      <c r="F137" s="14">
        <v>41882.0</v>
      </c>
      <c r="G137" s="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15" t="str">
        <f t="shared" si="55"/>
        <v>30768</v>
      </c>
      <c r="B138" s="16" t="s">
        <v>197</v>
      </c>
      <c r="C138" s="16" t="s">
        <v>11</v>
      </c>
      <c r="D138" s="16" t="s">
        <v>196</v>
      </c>
      <c r="E138" s="17">
        <v>38991.0</v>
      </c>
      <c r="F138" s="17">
        <v>41882.0</v>
      </c>
      <c r="G138" s="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12" t="str">
        <f t="shared" ref="A139:A140" si="56">HYPERLINK("javascript:void%20window.open('https://ds3.dhss.ak.local/dsds/ds3/index.cfm?fuseaction=pro.view&amp;entityId=d3dda99c-a34d-4b72-ab31-1fcf2d58a418')","32011")</f>
        <v>32011</v>
      </c>
      <c r="B139" s="13" t="s">
        <v>198</v>
      </c>
      <c r="C139" s="13" t="s">
        <v>11</v>
      </c>
      <c r="D139" s="13" t="s">
        <v>199</v>
      </c>
      <c r="E139" s="14">
        <v>38991.0</v>
      </c>
      <c r="F139" s="14">
        <v>41912.0</v>
      </c>
      <c r="G139" s="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15" t="str">
        <f t="shared" si="56"/>
        <v>32011</v>
      </c>
      <c r="B140" s="16" t="s">
        <v>200</v>
      </c>
      <c r="C140" s="16" t="s">
        <v>11</v>
      </c>
      <c r="D140" s="16" t="s">
        <v>199</v>
      </c>
      <c r="E140" s="17">
        <v>38991.0</v>
      </c>
      <c r="F140" s="17">
        <v>41912.0</v>
      </c>
      <c r="G140" s="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12" t="str">
        <f t="shared" ref="A141:A142" si="57">HYPERLINK("javascript:void%20window.open('https://ds3.dhss.ak.local/dsds/ds3/index.cfm?fuseaction=pro.view&amp;entityId=d3fc2cad-0acf-48c8-8641-6586f841cfb9')","30145")</f>
        <v>30145</v>
      </c>
      <c r="B141" s="13" t="s">
        <v>201</v>
      </c>
      <c r="C141" s="13" t="s">
        <v>11</v>
      </c>
      <c r="D141" s="13" t="s">
        <v>202</v>
      </c>
      <c r="E141" s="14">
        <v>38899.0</v>
      </c>
      <c r="F141" s="14">
        <v>42521.0</v>
      </c>
      <c r="G141" s="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15" t="str">
        <f t="shared" si="57"/>
        <v>30145</v>
      </c>
      <c r="B142" s="16" t="s">
        <v>203</v>
      </c>
      <c r="C142" s="16" t="s">
        <v>11</v>
      </c>
      <c r="D142" s="16" t="s">
        <v>202</v>
      </c>
      <c r="E142" s="17">
        <v>38899.0</v>
      </c>
      <c r="F142" s="17">
        <v>42521.0</v>
      </c>
      <c r="G142" s="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12" t="str">
        <f t="shared" ref="A143:A144" si="58">HYPERLINK("javascript:void%20window.open('https://ds3.dhss.ak.local/dsds/ds3/index.cfm?fuseaction=pro.view&amp;entityId=6b951792-3973-4a00-9610-c33492e82179')","32538")</f>
        <v>32538</v>
      </c>
      <c r="B143" s="13" t="s">
        <v>204</v>
      </c>
      <c r="C143" s="13" t="s">
        <v>11</v>
      </c>
      <c r="D143" s="13" t="s">
        <v>205</v>
      </c>
      <c r="E143" s="14">
        <v>38899.0</v>
      </c>
      <c r="F143" s="14">
        <v>42521.0</v>
      </c>
      <c r="G143" s="2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15" t="str">
        <f t="shared" si="58"/>
        <v>32538</v>
      </c>
      <c r="B144" s="16" t="s">
        <v>206</v>
      </c>
      <c r="C144" s="16" t="s">
        <v>11</v>
      </c>
      <c r="D144" s="16" t="s">
        <v>205</v>
      </c>
      <c r="E144" s="17">
        <v>38899.0</v>
      </c>
      <c r="F144" s="17">
        <v>42521.0</v>
      </c>
      <c r="G144" s="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12" t="str">
        <f>HYPERLINK("javascript:void%20window.open('https://ds3.dhss.ak.local/dsds/ds3/index.cfm?fuseaction=pro.view&amp;entityId=fee6b3ff-036e-7d7f-5769-60de8c641960')","95541")</f>
        <v>95541</v>
      </c>
      <c r="B145" s="13" t="s">
        <v>207</v>
      </c>
      <c r="C145" s="13" t="s">
        <v>11</v>
      </c>
      <c r="D145" s="13" t="s">
        <v>208</v>
      </c>
      <c r="E145" s="14">
        <v>40269.0</v>
      </c>
      <c r="F145" s="14">
        <v>42004.0</v>
      </c>
      <c r="G145" s="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15" t="str">
        <f>HYPERLINK("javascript:void%20window.open('https://ds3.dhss.ak.local/dsds/ds3/index.cfm?fuseaction=pro.view&amp;entityId=feeae0a2-9161-287c-431e-aa649c330dad')","95542")</f>
        <v>95542</v>
      </c>
      <c r="B146" s="16" t="s">
        <v>209</v>
      </c>
      <c r="C146" s="16" t="s">
        <v>11</v>
      </c>
      <c r="D146" s="16" t="s">
        <v>208</v>
      </c>
      <c r="E146" s="17">
        <v>40269.0</v>
      </c>
      <c r="F146" s="17">
        <v>42004.0</v>
      </c>
      <c r="G146" s="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12" t="str">
        <f>HYPERLINK("javascript:void%20window.open('https://ds3.dhss.ak.local/dsds/ds3/index.cfm?fuseaction=pro.view&amp;entityId=0f35a196-3d9c-469c-b974-e6334a32a738')","31262")</f>
        <v>31262</v>
      </c>
      <c r="B147" s="13" t="s">
        <v>210</v>
      </c>
      <c r="C147" s="13" t="s">
        <v>11</v>
      </c>
      <c r="D147" s="13" t="s">
        <v>208</v>
      </c>
      <c r="E147" s="14">
        <v>39427.0</v>
      </c>
      <c r="F147" s="14">
        <v>42150.0</v>
      </c>
      <c r="G147" s="2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15" t="str">
        <f t="shared" ref="A148:A150" si="59">HYPERLINK("javascript:void%20window.open('https://ds3.dhss.ak.local/dsds/ds3/index.cfm?fuseaction=pro.view&amp;entityId=fffe3f77-af64-458f-a3cb-d3ce28a187d1')","39222")</f>
        <v>39222</v>
      </c>
      <c r="B148" s="16" t="s">
        <v>211</v>
      </c>
      <c r="C148" s="16" t="s">
        <v>11</v>
      </c>
      <c r="D148" s="16" t="s">
        <v>212</v>
      </c>
      <c r="E148" s="17">
        <v>41045.0</v>
      </c>
      <c r="F148" s="17">
        <v>42004.0</v>
      </c>
      <c r="G148" s="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12" t="str">
        <f t="shared" si="59"/>
        <v>39222</v>
      </c>
      <c r="B149" s="13" t="s">
        <v>213</v>
      </c>
      <c r="C149" s="13" t="s">
        <v>11</v>
      </c>
      <c r="D149" s="13" t="s">
        <v>212</v>
      </c>
      <c r="E149" s="14">
        <v>41045.0</v>
      </c>
      <c r="F149" s="14">
        <v>42004.0</v>
      </c>
      <c r="G149" s="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15" t="str">
        <f t="shared" si="59"/>
        <v>39222</v>
      </c>
      <c r="B150" s="16" t="s">
        <v>214</v>
      </c>
      <c r="C150" s="16" t="s">
        <v>11</v>
      </c>
      <c r="D150" s="16" t="s">
        <v>212</v>
      </c>
      <c r="E150" s="17">
        <v>39003.0</v>
      </c>
      <c r="F150" s="17">
        <v>42004.0</v>
      </c>
      <c r="G150" s="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12" t="str">
        <f t="shared" ref="A151:A152" si="60">HYPERLINK("javascript:void%20window.open('https://ds3.dhss.ak.local/dsds/ds3/index.cfm?fuseaction=pro.view&amp;entityId=25d8d0f0-5b3c-4620-a4fa-f6b224a99ac7')","32631")</f>
        <v>32631</v>
      </c>
      <c r="B151" s="13" t="s">
        <v>215</v>
      </c>
      <c r="C151" s="13" t="s">
        <v>11</v>
      </c>
      <c r="D151" s="13" t="s">
        <v>216</v>
      </c>
      <c r="E151" s="14">
        <v>39087.0</v>
      </c>
      <c r="F151" s="14">
        <v>42004.0</v>
      </c>
      <c r="G151" s="2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15" t="str">
        <f t="shared" si="60"/>
        <v>32631</v>
      </c>
      <c r="B152" s="16" t="s">
        <v>217</v>
      </c>
      <c r="C152" s="16" t="s">
        <v>11</v>
      </c>
      <c r="D152" s="16" t="s">
        <v>216</v>
      </c>
      <c r="E152" s="17">
        <v>39087.0</v>
      </c>
      <c r="F152" s="17">
        <v>42004.0</v>
      </c>
      <c r="G152" s="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12" t="str">
        <f>HYPERLINK("javascript:void%20window.open('https://ds3.dhss.ak.local/dsds/ds3/index.cfm?fuseaction=pro.view&amp;entityId=9d06cdf4-6180-4c6c-a0c3-34032d9cb107')","31337")</f>
        <v>31337</v>
      </c>
      <c r="B153" s="13" t="s">
        <v>218</v>
      </c>
      <c r="C153" s="13" t="s">
        <v>11</v>
      </c>
      <c r="D153" s="13" t="s">
        <v>219</v>
      </c>
      <c r="E153" s="14">
        <v>39077.0</v>
      </c>
      <c r="F153" s="14">
        <v>42004.0</v>
      </c>
      <c r="G153" s="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15" t="str">
        <f>HYPERLINK("javascript:void%20window.open('https://ds3.dhss.ak.local/dsds/ds3/index.cfm?fuseaction=pro.view&amp;entityId=dcbc7c99-ec00-4be7-80be-ba2e9ad12ccc')","31280")</f>
        <v>31280</v>
      </c>
      <c r="B154" s="16" t="s">
        <v>220</v>
      </c>
      <c r="C154" s="16" t="s">
        <v>11</v>
      </c>
      <c r="D154" s="16" t="s">
        <v>219</v>
      </c>
      <c r="E154" s="17">
        <v>39077.0</v>
      </c>
      <c r="F154" s="17">
        <v>42004.0</v>
      </c>
      <c r="G154" s="2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12" t="str">
        <f t="shared" ref="A155:A156" si="61">HYPERLINK("javascript:void%20window.open('https://ds3.dhss.ak.local/dsds/ds3/index.cfm?fuseaction=pro.view&amp;entityId=c78ceae9-5f68-478e-afb0-6e589e641cd9')","32706")</f>
        <v>32706</v>
      </c>
      <c r="B155" s="13" t="s">
        <v>221</v>
      </c>
      <c r="C155" s="13" t="s">
        <v>11</v>
      </c>
      <c r="D155" s="13" t="s">
        <v>222</v>
      </c>
      <c r="E155" s="14">
        <v>40690.0</v>
      </c>
      <c r="F155" s="14">
        <v>42429.0</v>
      </c>
      <c r="G155" s="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15" t="str">
        <f t="shared" si="61"/>
        <v>32706</v>
      </c>
      <c r="B156" s="16" t="s">
        <v>223</v>
      </c>
      <c r="C156" s="16" t="s">
        <v>11</v>
      </c>
      <c r="D156" s="16" t="s">
        <v>222</v>
      </c>
      <c r="E156" s="17">
        <v>39539.0</v>
      </c>
      <c r="F156" s="17">
        <v>42429.0</v>
      </c>
      <c r="G156" s="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12" t="str">
        <f t="shared" ref="A157:A158" si="62">HYPERLINK("javascript:void%20window.open('https://ds3.dhss.ak.local/dsds/ds3/index.cfm?fuseaction=pro.view&amp;entityId=e64979e6-b1db-4dce-90a6-81166ecd3e7a')","31964")</f>
        <v>31964</v>
      </c>
      <c r="B157" s="13" t="s">
        <v>224</v>
      </c>
      <c r="C157" s="13" t="s">
        <v>11</v>
      </c>
      <c r="D157" s="13" t="s">
        <v>225</v>
      </c>
      <c r="E157" s="14">
        <v>41191.0</v>
      </c>
      <c r="F157" s="14">
        <v>42124.0</v>
      </c>
      <c r="G157" s="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15" t="str">
        <f t="shared" si="62"/>
        <v>31964</v>
      </c>
      <c r="B158" s="16" t="s">
        <v>226</v>
      </c>
      <c r="C158" s="16" t="s">
        <v>11</v>
      </c>
      <c r="D158" s="16" t="s">
        <v>225</v>
      </c>
      <c r="E158" s="17">
        <v>39173.0</v>
      </c>
      <c r="F158" s="17">
        <v>42124.0</v>
      </c>
      <c r="G158" s="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12" t="str">
        <f t="shared" ref="A159:A161" si="63">HYPERLINK("javascript:void%20window.open('https://ds3.dhss.ak.local/dsds/ds3/index.cfm?fuseaction=pro.view&amp;entityId=bfc1f624-9ec9-be1f-c388-ccd9a0a84ebf')","102772")</f>
        <v>102772</v>
      </c>
      <c r="B159" s="13" t="s">
        <v>227</v>
      </c>
      <c r="C159" s="13" t="s">
        <v>11</v>
      </c>
      <c r="D159" s="13" t="s">
        <v>228</v>
      </c>
      <c r="E159" s="14">
        <v>41061.0</v>
      </c>
      <c r="F159" s="14">
        <v>41882.0</v>
      </c>
      <c r="G159" s="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15" t="str">
        <f t="shared" si="63"/>
        <v>102772</v>
      </c>
      <c r="B160" s="16" t="s">
        <v>229</v>
      </c>
      <c r="C160" s="16" t="s">
        <v>11</v>
      </c>
      <c r="D160" s="16" t="s">
        <v>228</v>
      </c>
      <c r="E160" s="17">
        <v>40756.0</v>
      </c>
      <c r="F160" s="17">
        <v>41882.0</v>
      </c>
      <c r="G160" s="2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12" t="str">
        <f t="shared" si="63"/>
        <v>102772</v>
      </c>
      <c r="B161" s="13" t="s">
        <v>230</v>
      </c>
      <c r="C161" s="13" t="s">
        <v>11</v>
      </c>
      <c r="D161" s="13" t="s">
        <v>228</v>
      </c>
      <c r="E161" s="14">
        <v>40526.0</v>
      </c>
      <c r="F161" s="14">
        <v>42338.0</v>
      </c>
      <c r="G161" s="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15" t="str">
        <f t="shared" ref="A162:A163" si="64">HYPERLINK("javascript:void%20window.open('https://ds3.dhss.ak.local/dsds/ds3/index.cfm?fuseaction=pro.view&amp;entityId=6e9d040d-5563-4ae6-91a9-4c5c710c8f2e')","32019")</f>
        <v>32019</v>
      </c>
      <c r="B162" s="16" t="s">
        <v>231</v>
      </c>
      <c r="C162" s="16" t="s">
        <v>11</v>
      </c>
      <c r="D162" s="16" t="s">
        <v>232</v>
      </c>
      <c r="E162" s="17">
        <v>38991.0</v>
      </c>
      <c r="F162" s="17">
        <v>41882.0</v>
      </c>
      <c r="G162" s="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12" t="str">
        <f t="shared" si="64"/>
        <v>32019</v>
      </c>
      <c r="B163" s="13" t="s">
        <v>233</v>
      </c>
      <c r="C163" s="13" t="s">
        <v>11</v>
      </c>
      <c r="D163" s="13" t="s">
        <v>232</v>
      </c>
      <c r="E163" s="14">
        <v>38991.0</v>
      </c>
      <c r="F163" s="14">
        <v>41882.0</v>
      </c>
      <c r="G163" s="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9" t="str">
        <f t="shared" ref="A164:A166" si="65">HYPERLINK("javascript:void%20window.open('https://ds3.dhss.ak.local/dsds/ds3/index.cfm?fuseaction=pro.view&amp;entityId=555b880b-83f7-4524-b54f-85653fbd1e3c')","32563")</f>
        <v>32563</v>
      </c>
      <c r="B164" s="10" t="s">
        <v>234</v>
      </c>
      <c r="C164" s="10" t="s">
        <v>11</v>
      </c>
      <c r="D164" s="10" t="s">
        <v>235</v>
      </c>
      <c r="E164" s="11">
        <v>41456.0</v>
      </c>
      <c r="F164" s="11">
        <v>42004.0</v>
      </c>
      <c r="G164" s="2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12" t="str">
        <f t="shared" si="65"/>
        <v>32563</v>
      </c>
      <c r="B165" s="13" t="s">
        <v>236</v>
      </c>
      <c r="C165" s="13" t="s">
        <v>11</v>
      </c>
      <c r="D165" s="13" t="s">
        <v>235</v>
      </c>
      <c r="E165" s="14">
        <v>38750.0</v>
      </c>
      <c r="F165" s="14">
        <v>42400.0</v>
      </c>
      <c r="G165" s="2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15" t="str">
        <f t="shared" si="65"/>
        <v>32563</v>
      </c>
      <c r="B166" s="16" t="s">
        <v>237</v>
      </c>
      <c r="C166" s="16" t="s">
        <v>11</v>
      </c>
      <c r="D166" s="16" t="s">
        <v>235</v>
      </c>
      <c r="E166" s="17">
        <v>38750.0</v>
      </c>
      <c r="F166" s="17">
        <v>42400.0</v>
      </c>
      <c r="G166" s="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12" t="str">
        <f t="shared" ref="A167:A169" si="66">HYPERLINK("javascript:void%20window.open('https://ds3.dhss.ak.local/dsds/ds3/index.cfm?fuseaction=pro.view&amp;entityId=b685b78f-a74c-90e7-a3b4-12a06d8a82fe')","130087")</f>
        <v>130087</v>
      </c>
      <c r="B167" s="13" t="s">
        <v>238</v>
      </c>
      <c r="C167" s="13" t="s">
        <v>11</v>
      </c>
      <c r="D167" s="13" t="s">
        <v>239</v>
      </c>
      <c r="E167" s="14">
        <v>41396.0</v>
      </c>
      <c r="F167" s="14">
        <v>42124.0</v>
      </c>
      <c r="G167" s="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15" t="str">
        <f t="shared" si="66"/>
        <v>130087</v>
      </c>
      <c r="B168" s="16" t="s">
        <v>240</v>
      </c>
      <c r="C168" s="16" t="s">
        <v>11</v>
      </c>
      <c r="D168" s="16" t="s">
        <v>239</v>
      </c>
      <c r="E168" s="17">
        <v>41396.0</v>
      </c>
      <c r="F168" s="17">
        <v>42124.0</v>
      </c>
      <c r="G168" s="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12" t="str">
        <f t="shared" si="66"/>
        <v>130087</v>
      </c>
      <c r="B169" s="13" t="s">
        <v>241</v>
      </c>
      <c r="C169" s="13" t="s">
        <v>11</v>
      </c>
      <c r="D169" s="13" t="s">
        <v>239</v>
      </c>
      <c r="E169" s="14">
        <v>41361.0</v>
      </c>
      <c r="F169" s="14">
        <v>42124.0</v>
      </c>
      <c r="G169" s="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15" t="str">
        <f t="shared" ref="A170:A171" si="67">HYPERLINK("javascript:void%20window.open('https://ds3.dhss.ak.local/dsds/ds3/index.cfm?fuseaction=pro.view&amp;entityId=c6b7e3a8-275e-469f-802d-0d351e4e99bc')","31583")</f>
        <v>31583</v>
      </c>
      <c r="B170" s="16" t="s">
        <v>242</v>
      </c>
      <c r="C170" s="16" t="s">
        <v>11</v>
      </c>
      <c r="D170" s="16" t="s">
        <v>243</v>
      </c>
      <c r="E170" s="17">
        <v>39417.0</v>
      </c>
      <c r="F170" s="17">
        <v>42338.0</v>
      </c>
      <c r="G170" s="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12" t="str">
        <f t="shared" si="67"/>
        <v>31583</v>
      </c>
      <c r="B171" s="13" t="s">
        <v>244</v>
      </c>
      <c r="C171" s="13" t="s">
        <v>11</v>
      </c>
      <c r="D171" s="13" t="s">
        <v>243</v>
      </c>
      <c r="E171" s="14">
        <v>39417.0</v>
      </c>
      <c r="F171" s="14">
        <v>42338.0</v>
      </c>
      <c r="G171" s="2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15" t="str">
        <f t="shared" ref="A172:A173" si="68">HYPERLINK("javascript:void%20window.open('https://ds3.dhss.ak.local/dsds/ds3/index.cfm?fuseaction=pro.view&amp;entityId=0c04cbb2-76aa-491f-8923-de4b1126b967')","30951")</f>
        <v>30951</v>
      </c>
      <c r="B172" s="16" t="s">
        <v>245</v>
      </c>
      <c r="C172" s="16" t="s">
        <v>11</v>
      </c>
      <c r="D172" s="16" t="s">
        <v>246</v>
      </c>
      <c r="E172" s="17">
        <v>39417.0</v>
      </c>
      <c r="F172" s="17">
        <v>42338.0</v>
      </c>
      <c r="G172" s="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12" t="str">
        <f t="shared" si="68"/>
        <v>30951</v>
      </c>
      <c r="B173" s="13" t="s">
        <v>247</v>
      </c>
      <c r="C173" s="13" t="s">
        <v>11</v>
      </c>
      <c r="D173" s="13" t="s">
        <v>246</v>
      </c>
      <c r="E173" s="14">
        <v>38687.0</v>
      </c>
      <c r="F173" s="14">
        <v>42338.0</v>
      </c>
      <c r="G173" s="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15" t="str">
        <f t="shared" ref="A174:A175" si="69">HYPERLINK("javascript:void%20window.open('https://ds3.dhss.ak.local/dsds/ds3/index.cfm?fuseaction=pro.view&amp;entityId=c385ff2c-f15d-4a7f-ac55-fe8f960d7c50')","30825")</f>
        <v>30825</v>
      </c>
      <c r="B174" s="16" t="s">
        <v>248</v>
      </c>
      <c r="C174" s="16" t="s">
        <v>11</v>
      </c>
      <c r="D174" s="16" t="s">
        <v>249</v>
      </c>
      <c r="E174" s="17">
        <v>39022.0</v>
      </c>
      <c r="F174" s="17">
        <v>41943.0</v>
      </c>
      <c r="G174" s="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12" t="str">
        <f t="shared" si="69"/>
        <v>30825</v>
      </c>
      <c r="B175" s="13" t="s">
        <v>250</v>
      </c>
      <c r="C175" s="13" t="s">
        <v>11</v>
      </c>
      <c r="D175" s="13" t="s">
        <v>249</v>
      </c>
      <c r="E175" s="14">
        <v>39022.0</v>
      </c>
      <c r="F175" s="14">
        <v>41943.0</v>
      </c>
      <c r="G175" s="2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15" t="str">
        <f t="shared" ref="A176:A178" si="70">HYPERLINK("javascript:void%20window.open('https://ds3.dhss.ak.local/dsds/ds3/index.cfm?fuseaction=pro.view&amp;entityId=fa3ddba9-6e44-4a03-a193-3003ecd73fa4')","32596")</f>
        <v>32596</v>
      </c>
      <c r="B176" s="16" t="s">
        <v>251</v>
      </c>
      <c r="C176" s="16" t="s">
        <v>11</v>
      </c>
      <c r="D176" s="16" t="s">
        <v>252</v>
      </c>
      <c r="E176" s="17">
        <v>39692.0</v>
      </c>
      <c r="F176" s="17">
        <v>41882.0</v>
      </c>
      <c r="G176" s="2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12" t="str">
        <f t="shared" si="70"/>
        <v>32596</v>
      </c>
      <c r="B177" s="13" t="s">
        <v>253</v>
      </c>
      <c r="C177" s="13" t="s">
        <v>11</v>
      </c>
      <c r="D177" s="13" t="s">
        <v>252</v>
      </c>
      <c r="E177" s="14">
        <v>39625.0</v>
      </c>
      <c r="F177" s="14">
        <v>42155.0</v>
      </c>
      <c r="G177" s="2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15" t="str">
        <f t="shared" si="70"/>
        <v>32596</v>
      </c>
      <c r="B178" s="16" t="s">
        <v>254</v>
      </c>
      <c r="C178" s="16" t="s">
        <v>11</v>
      </c>
      <c r="D178" s="16" t="s">
        <v>252</v>
      </c>
      <c r="E178" s="17">
        <v>39417.0</v>
      </c>
      <c r="F178" s="17">
        <v>42155.0</v>
      </c>
      <c r="G178" s="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12" t="str">
        <f t="shared" ref="A179:A180" si="71">HYPERLINK("javascript:void%20window.open('https://ds3.dhss.ak.local/dsds/ds3/index.cfm?fuseaction=pro.view&amp;entityId=ec4f6f34-fe2e-4a4c-8733-36977660cc48')","30723")</f>
        <v>30723</v>
      </c>
      <c r="B179" s="13" t="s">
        <v>255</v>
      </c>
      <c r="C179" s="13" t="s">
        <v>11</v>
      </c>
      <c r="D179" s="13" t="s">
        <v>256</v>
      </c>
      <c r="E179" s="14">
        <v>38899.0</v>
      </c>
      <c r="F179" s="14">
        <v>41912.0</v>
      </c>
      <c r="G179" s="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15" t="str">
        <f t="shared" si="71"/>
        <v>30723</v>
      </c>
      <c r="B180" s="16" t="s">
        <v>257</v>
      </c>
      <c r="C180" s="16" t="s">
        <v>11</v>
      </c>
      <c r="D180" s="16" t="s">
        <v>256</v>
      </c>
      <c r="E180" s="17">
        <v>38899.0</v>
      </c>
      <c r="F180" s="17">
        <v>41912.0</v>
      </c>
      <c r="G180" s="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12" t="str">
        <f t="shared" ref="A181:A183" si="72">HYPERLINK("javascript:void%20window.open('https://ds3.dhss.ak.local/dsds/ds3/index.cfm?fuseaction=pro.view&amp;entityId=dc796290-767c-4c5c-a95b-86f2a9314485')","61435")</f>
        <v>61435</v>
      </c>
      <c r="B181" s="13" t="s">
        <v>258</v>
      </c>
      <c r="C181" s="13" t="s">
        <v>11</v>
      </c>
      <c r="D181" s="13" t="s">
        <v>259</v>
      </c>
      <c r="E181" s="14">
        <v>38950.0</v>
      </c>
      <c r="F181" s="14">
        <v>41882.0</v>
      </c>
      <c r="G181" s="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15" t="str">
        <f t="shared" si="72"/>
        <v>61435</v>
      </c>
      <c r="B182" s="16" t="s">
        <v>260</v>
      </c>
      <c r="C182" s="16" t="s">
        <v>11</v>
      </c>
      <c r="D182" s="16" t="s">
        <v>259</v>
      </c>
      <c r="E182" s="17">
        <v>38899.0</v>
      </c>
      <c r="F182" s="17">
        <v>41912.0</v>
      </c>
      <c r="G182" s="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12" t="str">
        <f t="shared" si="72"/>
        <v>61435</v>
      </c>
      <c r="B183" s="13" t="s">
        <v>261</v>
      </c>
      <c r="C183" s="13" t="s">
        <v>11</v>
      </c>
      <c r="D183" s="13" t="s">
        <v>259</v>
      </c>
      <c r="E183" s="14">
        <v>38899.0</v>
      </c>
      <c r="F183" s="14">
        <v>41912.0</v>
      </c>
      <c r="G183" s="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15" t="str">
        <f t="shared" ref="A184:A185" si="73">HYPERLINK("javascript:void%20window.open('https://ds3.dhss.ak.local/dsds/ds3/index.cfm?fuseaction=pro.view&amp;entityId=4cf7a1b9-282b-419a-859b-9e9eda854bf3')","30132")</f>
        <v>30132</v>
      </c>
      <c r="B184" s="16" t="s">
        <v>262</v>
      </c>
      <c r="C184" s="16" t="s">
        <v>11</v>
      </c>
      <c r="D184" s="16" t="s">
        <v>263</v>
      </c>
      <c r="E184" s="17">
        <v>38899.0</v>
      </c>
      <c r="F184" s="17">
        <v>41912.0</v>
      </c>
      <c r="G184" s="2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12" t="str">
        <f t="shared" si="73"/>
        <v>30132</v>
      </c>
      <c r="B185" s="13" t="s">
        <v>264</v>
      </c>
      <c r="C185" s="13" t="s">
        <v>11</v>
      </c>
      <c r="D185" s="13" t="s">
        <v>263</v>
      </c>
      <c r="E185" s="14">
        <v>38899.0</v>
      </c>
      <c r="F185" s="14">
        <v>41912.0</v>
      </c>
      <c r="G185" s="2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15" t="str">
        <f t="shared" ref="A186:A188" si="74">HYPERLINK("javascript:void%20window.open('https://ds3.dhss.ak.local/dsds/ds3/index.cfm?fuseaction=pro.view&amp;entityId=ca2c5f9b-4935-48f7-9be2-c0f357f845cf')","30134")</f>
        <v>30134</v>
      </c>
      <c r="B186" s="16" t="s">
        <v>265</v>
      </c>
      <c r="C186" s="16" t="s">
        <v>11</v>
      </c>
      <c r="D186" s="16" t="s">
        <v>266</v>
      </c>
      <c r="E186" s="17">
        <v>38950.0</v>
      </c>
      <c r="F186" s="17">
        <v>41882.0</v>
      </c>
      <c r="G186" s="2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12" t="str">
        <f t="shared" si="74"/>
        <v>30134</v>
      </c>
      <c r="B187" s="13" t="s">
        <v>267</v>
      </c>
      <c r="C187" s="13" t="s">
        <v>11</v>
      </c>
      <c r="D187" s="13" t="s">
        <v>266</v>
      </c>
      <c r="E187" s="14">
        <v>38899.0</v>
      </c>
      <c r="F187" s="14">
        <v>41912.0</v>
      </c>
      <c r="G187" s="2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15" t="str">
        <f t="shared" si="74"/>
        <v>30134</v>
      </c>
      <c r="B188" s="16" t="s">
        <v>268</v>
      </c>
      <c r="C188" s="16" t="s">
        <v>11</v>
      </c>
      <c r="D188" s="16" t="s">
        <v>266</v>
      </c>
      <c r="E188" s="17">
        <v>38899.0</v>
      </c>
      <c r="F188" s="17">
        <v>41912.0</v>
      </c>
      <c r="G188" s="2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12" t="str">
        <f t="shared" ref="A189:A191" si="75">HYPERLINK("javascript:void%20window.open('https://ds3.dhss.ak.local/dsds/ds3/index.cfm?fuseaction=pro.view&amp;entityId=419dcdc6-828c-47fa-bc6b-60d1f56af00d')","55606")</f>
        <v>55606</v>
      </c>
      <c r="B189" s="13" t="s">
        <v>269</v>
      </c>
      <c r="C189" s="13" t="s">
        <v>11</v>
      </c>
      <c r="D189" s="13" t="s">
        <v>270</v>
      </c>
      <c r="E189" s="14">
        <v>38899.0</v>
      </c>
      <c r="F189" s="14">
        <v>41912.0</v>
      </c>
      <c r="G189" s="2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15" t="str">
        <f t="shared" si="75"/>
        <v>55606</v>
      </c>
      <c r="B190" s="16" t="s">
        <v>271</v>
      </c>
      <c r="C190" s="16" t="s">
        <v>11</v>
      </c>
      <c r="D190" s="16" t="s">
        <v>270</v>
      </c>
      <c r="E190" s="17">
        <v>38899.0</v>
      </c>
      <c r="F190" s="17">
        <v>41912.0</v>
      </c>
      <c r="G190" s="2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12" t="str">
        <f t="shared" si="75"/>
        <v>55606</v>
      </c>
      <c r="B191" s="13" t="s">
        <v>272</v>
      </c>
      <c r="C191" s="13" t="s">
        <v>11</v>
      </c>
      <c r="D191" s="13" t="s">
        <v>270</v>
      </c>
      <c r="E191" s="14">
        <v>38838.0</v>
      </c>
      <c r="F191" s="14">
        <v>41882.0</v>
      </c>
      <c r="G191" s="2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15" t="str">
        <f t="shared" ref="A192:A193" si="76">HYPERLINK("javascript:void%20window.open('https://ds3.dhss.ak.local/dsds/ds3/index.cfm?fuseaction=pro.view&amp;entityId=14c81f31-74be-4430-905e-0709132aa0d8')","30725")</f>
        <v>30725</v>
      </c>
      <c r="B192" s="16" t="s">
        <v>273</v>
      </c>
      <c r="C192" s="16" t="s">
        <v>11</v>
      </c>
      <c r="D192" s="16" t="s">
        <v>274</v>
      </c>
      <c r="E192" s="17">
        <v>38899.0</v>
      </c>
      <c r="F192" s="17">
        <v>41912.0</v>
      </c>
      <c r="G192" s="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12" t="str">
        <f t="shared" si="76"/>
        <v>30725</v>
      </c>
      <c r="B193" s="13" t="s">
        <v>275</v>
      </c>
      <c r="C193" s="13" t="s">
        <v>11</v>
      </c>
      <c r="D193" s="13" t="s">
        <v>274</v>
      </c>
      <c r="E193" s="14">
        <v>38899.0</v>
      </c>
      <c r="F193" s="14">
        <v>41912.0</v>
      </c>
      <c r="G193" s="2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15" t="str">
        <f t="shared" ref="A194:A195" si="77">HYPERLINK("javascript:void%20window.open('https://ds3.dhss.ak.local/dsds/ds3/index.cfm?fuseaction=pro.view&amp;entityId=d4d467a0-a247-40ff-885e-122427020305')","32228")</f>
        <v>32228</v>
      </c>
      <c r="B194" s="16" t="s">
        <v>276</v>
      </c>
      <c r="C194" s="16" t="s">
        <v>11</v>
      </c>
      <c r="D194" s="16" t="s">
        <v>277</v>
      </c>
      <c r="E194" s="17">
        <v>38899.0</v>
      </c>
      <c r="F194" s="17">
        <v>41912.0</v>
      </c>
      <c r="G194" s="2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12" t="str">
        <f t="shared" si="77"/>
        <v>32228</v>
      </c>
      <c r="B195" s="13" t="s">
        <v>278</v>
      </c>
      <c r="C195" s="13" t="s">
        <v>11</v>
      </c>
      <c r="D195" s="13" t="s">
        <v>277</v>
      </c>
      <c r="E195" s="14">
        <v>38899.0</v>
      </c>
      <c r="F195" s="14">
        <v>41912.0</v>
      </c>
      <c r="G195" s="2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9" t="str">
        <f t="shared" ref="A196:A197" si="78">HYPERLINK("javascript:void%20window.open('https://ds3.dhss.ak.local/dsds/ds3/index.cfm?fuseaction=pro.view&amp;entityId=260e75c1-c06f-4a46-b925-4c90b69d8949')","61228")</f>
        <v>61228</v>
      </c>
      <c r="B196" s="10" t="s">
        <v>279</v>
      </c>
      <c r="C196" s="10" t="s">
        <v>11</v>
      </c>
      <c r="D196" s="10" t="s">
        <v>280</v>
      </c>
      <c r="E196" s="11">
        <v>41753.0</v>
      </c>
      <c r="F196" s="11">
        <v>42429.0</v>
      </c>
      <c r="G196" s="2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12" t="str">
        <f t="shared" si="78"/>
        <v>61228</v>
      </c>
      <c r="B197" s="13" t="s">
        <v>281</v>
      </c>
      <c r="C197" s="13" t="s">
        <v>11</v>
      </c>
      <c r="D197" s="13" t="s">
        <v>280</v>
      </c>
      <c r="E197" s="14">
        <v>39856.0</v>
      </c>
      <c r="F197" s="14">
        <v>41752.0</v>
      </c>
      <c r="G197" s="2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15" t="str">
        <f>HYPERLINK("javascript:void%20window.open('https://ds3.dhss.ak.local/dsds/ds3/index.cfm?fuseaction=pro.view&amp;entityId=31867cb8-d134-7842-b34a-86ccc309a0a9')","67172")</f>
        <v>67172</v>
      </c>
      <c r="B198" s="16" t="s">
        <v>282</v>
      </c>
      <c r="C198" s="16" t="s">
        <v>11</v>
      </c>
      <c r="D198" s="16" t="s">
        <v>283</v>
      </c>
      <c r="E198" s="17">
        <v>40290.0</v>
      </c>
      <c r="F198" s="17">
        <v>42124.0</v>
      </c>
      <c r="G198" s="2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12" t="str">
        <f>HYPERLINK("javascript:void%20window.open('https://ds3.dhss.ak.local/dsds/ds3/index.cfm?fuseaction=pro.view&amp;entityId=a1d80955-e104-9690-e130-a7d32e653a84')","106594")</f>
        <v>106594</v>
      </c>
      <c r="B199" s="13" t="s">
        <v>284</v>
      </c>
      <c r="C199" s="13" t="s">
        <v>11</v>
      </c>
      <c r="D199" s="13" t="s">
        <v>285</v>
      </c>
      <c r="E199" s="14">
        <v>40653.0</v>
      </c>
      <c r="F199" s="14">
        <v>42460.0</v>
      </c>
      <c r="G199" s="2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15" t="str">
        <f t="shared" ref="A200:A202" si="79">HYPERLINK("javascript:void%20window.open('https://ds3.dhss.ak.local/dsds/ds3/index.cfm?fuseaction=pro.view&amp;entityId=5a751921-0dec-4461-ef4a-372da4e2a5f4')","67417")</f>
        <v>67417</v>
      </c>
      <c r="B200" s="16" t="s">
        <v>286</v>
      </c>
      <c r="C200" s="16" t="s">
        <v>11</v>
      </c>
      <c r="D200" s="16" t="s">
        <v>287</v>
      </c>
      <c r="E200" s="17">
        <v>40830.0</v>
      </c>
      <c r="F200" s="17">
        <v>42035.0</v>
      </c>
      <c r="G200" s="2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12" t="str">
        <f t="shared" si="79"/>
        <v>67417</v>
      </c>
      <c r="B201" s="13" t="s">
        <v>288</v>
      </c>
      <c r="C201" s="13" t="s">
        <v>11</v>
      </c>
      <c r="D201" s="13" t="s">
        <v>287</v>
      </c>
      <c r="E201" s="14">
        <v>39574.0</v>
      </c>
      <c r="F201" s="14">
        <v>42521.0</v>
      </c>
      <c r="G201" s="2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15" t="str">
        <f t="shared" si="79"/>
        <v>67417</v>
      </c>
      <c r="B202" s="16" t="s">
        <v>289</v>
      </c>
      <c r="C202" s="16" t="s">
        <v>11</v>
      </c>
      <c r="D202" s="16" t="s">
        <v>287</v>
      </c>
      <c r="E202" s="17">
        <v>39569.0</v>
      </c>
      <c r="F202" s="17">
        <v>42400.0</v>
      </c>
      <c r="G202" s="2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12" t="str">
        <f t="shared" ref="A203:A205" si="80">HYPERLINK("javascript:void%20window.open('https://ds3.dhss.ak.local/dsds/ds3/index.cfm?fuseaction=pro.view&amp;entityId=55e23d2d-b4aa-4fa6-8bee-fb7f7fe3f777')","61441")</f>
        <v>61441</v>
      </c>
      <c r="B203" s="13" t="s">
        <v>290</v>
      </c>
      <c r="C203" s="13" t="s">
        <v>11</v>
      </c>
      <c r="D203" s="13" t="s">
        <v>291</v>
      </c>
      <c r="E203" s="14">
        <v>40830.0</v>
      </c>
      <c r="F203" s="14">
        <v>42035.0</v>
      </c>
      <c r="G203" s="2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15" t="str">
        <f t="shared" si="80"/>
        <v>61441</v>
      </c>
      <c r="B204" s="16" t="s">
        <v>292</v>
      </c>
      <c r="C204" s="16" t="s">
        <v>11</v>
      </c>
      <c r="D204" s="16" t="s">
        <v>291</v>
      </c>
      <c r="E204" s="17">
        <v>39574.0</v>
      </c>
      <c r="F204" s="17">
        <v>42521.0</v>
      </c>
      <c r="G204" s="2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12" t="str">
        <f t="shared" si="80"/>
        <v>61441</v>
      </c>
      <c r="B205" s="13" t="s">
        <v>293</v>
      </c>
      <c r="C205" s="13" t="s">
        <v>11</v>
      </c>
      <c r="D205" s="13" t="s">
        <v>291</v>
      </c>
      <c r="E205" s="14">
        <v>39569.0</v>
      </c>
      <c r="F205" s="14">
        <v>42400.0</v>
      </c>
      <c r="G205" s="2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15" t="str">
        <f t="shared" ref="A206:A208" si="81">HYPERLINK("javascript:void%20window.open('https://ds3.dhss.ak.local/dsds/ds3/index.cfm?fuseaction=pro.view&amp;entityId=d996209a-f0e4-477f-9e2c-18c03162973b')","61442")</f>
        <v>61442</v>
      </c>
      <c r="B206" s="16" t="s">
        <v>294</v>
      </c>
      <c r="C206" s="16" t="s">
        <v>11</v>
      </c>
      <c r="D206" s="16" t="s">
        <v>295</v>
      </c>
      <c r="E206" s="17">
        <v>40830.0</v>
      </c>
      <c r="F206" s="17">
        <v>42035.0</v>
      </c>
      <c r="G206" s="2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12" t="str">
        <f t="shared" si="81"/>
        <v>61442</v>
      </c>
      <c r="B207" s="13" t="s">
        <v>296</v>
      </c>
      <c r="C207" s="13" t="s">
        <v>11</v>
      </c>
      <c r="D207" s="13" t="s">
        <v>295</v>
      </c>
      <c r="E207" s="14">
        <v>39574.0</v>
      </c>
      <c r="F207" s="14">
        <v>42521.0</v>
      </c>
      <c r="G207" s="2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15" t="str">
        <f t="shared" si="81"/>
        <v>61442</v>
      </c>
      <c r="B208" s="16" t="s">
        <v>297</v>
      </c>
      <c r="C208" s="16" t="s">
        <v>11</v>
      </c>
      <c r="D208" s="16" t="s">
        <v>295</v>
      </c>
      <c r="E208" s="17">
        <v>39569.0</v>
      </c>
      <c r="F208" s="17">
        <v>42400.0</v>
      </c>
      <c r="G208" s="2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12" t="str">
        <f>HYPERLINK("javascript:void%20window.open('https://ds3.dhss.ak.local/dsds/ds3/index.cfm?fuseaction=pro.view&amp;entityId=a1d80955-e104-9690-e130-a7d32e653a84')","106594")</f>
        <v>106594</v>
      </c>
      <c r="B209" s="13" t="s">
        <v>298</v>
      </c>
      <c r="C209" s="13" t="s">
        <v>11</v>
      </c>
      <c r="D209" s="13" t="s">
        <v>285</v>
      </c>
      <c r="E209" s="14">
        <v>41000.0</v>
      </c>
      <c r="F209" s="14">
        <v>42460.0</v>
      </c>
      <c r="G209" s="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9" t="str">
        <f>HYPERLINK("javascript:void%20window.open('https://ds3.dhss.ak.local/dsds/ds3/index.cfm?fuseaction=pro.view&amp;entityId=68422c25-c455-3b98-63b1-d4cb56faf671')","125528")</f>
        <v>125528</v>
      </c>
      <c r="B210" s="10" t="s">
        <v>284</v>
      </c>
      <c r="C210" s="10" t="s">
        <v>11</v>
      </c>
      <c r="D210" s="10" t="s">
        <v>299</v>
      </c>
      <c r="E210" s="11">
        <v>41548.0</v>
      </c>
      <c r="F210" s="11">
        <v>42035.0</v>
      </c>
      <c r="G210" s="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12" t="str">
        <f>HYPERLINK("javascript:void%20window.open('https://ds3.dhss.ak.local/dsds/ds3/index.cfm?fuseaction=pro.view&amp;entityId=3de59cb5-d831-6ae8-ea38-e068465275dc')","76235")</f>
        <v>76235</v>
      </c>
      <c r="B211" s="13" t="s">
        <v>300</v>
      </c>
      <c r="C211" s="13" t="s">
        <v>11</v>
      </c>
      <c r="D211" s="13" t="s">
        <v>301</v>
      </c>
      <c r="E211" s="14">
        <v>40099.0</v>
      </c>
      <c r="F211" s="14">
        <v>41912.0</v>
      </c>
      <c r="G211" s="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15" t="str">
        <f>HYPERLINK("javascript:void%20window.open('https://ds3.dhss.ak.local/dsds/ds3/index.cfm?fuseaction=pro.view&amp;entityId=68422c25-c455-3b98-63b1-d4cb56faf671')","125528")</f>
        <v>125528</v>
      </c>
      <c r="B212" s="16" t="s">
        <v>302</v>
      </c>
      <c r="C212" s="16" t="s">
        <v>11</v>
      </c>
      <c r="D212" s="16" t="s">
        <v>299</v>
      </c>
      <c r="E212" s="17">
        <v>41254.0</v>
      </c>
      <c r="F212" s="17">
        <v>42035.0</v>
      </c>
      <c r="G212" s="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12" t="str">
        <f t="shared" ref="A213:A214" si="82">HYPERLINK("javascript:void%20window.open('https://ds3.dhss.ak.local/dsds/ds3/index.cfm?fuseaction=pro.view&amp;entityId=39edda64-cddf-437d-bbf3-073d50205a10')","31709")</f>
        <v>31709</v>
      </c>
      <c r="B213" s="13" t="s">
        <v>303</v>
      </c>
      <c r="C213" s="13" t="s">
        <v>11</v>
      </c>
      <c r="D213" s="13" t="s">
        <v>304</v>
      </c>
      <c r="E213" s="14">
        <v>38827.0</v>
      </c>
      <c r="F213" s="14">
        <v>42460.0</v>
      </c>
      <c r="G213" s="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15" t="str">
        <f t="shared" si="82"/>
        <v>31709</v>
      </c>
      <c r="B214" s="16" t="s">
        <v>305</v>
      </c>
      <c r="C214" s="16" t="s">
        <v>11</v>
      </c>
      <c r="D214" s="16" t="s">
        <v>304</v>
      </c>
      <c r="E214" s="17">
        <v>38827.0</v>
      </c>
      <c r="F214" s="17">
        <v>42460.0</v>
      </c>
      <c r="G214" s="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12" t="str">
        <f t="shared" ref="A215:A216" si="83">HYPERLINK("javascript:void%20window.open('https://ds3.dhss.ak.local/dsds/ds3/index.cfm?fuseaction=pro.view&amp;entityId=2e80e4e3-3c8b-4cd7-ba4f-ed50e578f906')","32566")</f>
        <v>32566</v>
      </c>
      <c r="B215" s="13" t="s">
        <v>306</v>
      </c>
      <c r="C215" s="13" t="s">
        <v>11</v>
      </c>
      <c r="D215" s="13" t="s">
        <v>307</v>
      </c>
      <c r="E215" s="14">
        <v>40148.0</v>
      </c>
      <c r="F215" s="14">
        <v>42338.0</v>
      </c>
      <c r="G215" s="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15" t="str">
        <f t="shared" si="83"/>
        <v>32566</v>
      </c>
      <c r="B216" s="16" t="s">
        <v>308</v>
      </c>
      <c r="C216" s="16" t="s">
        <v>11</v>
      </c>
      <c r="D216" s="16" t="s">
        <v>307</v>
      </c>
      <c r="E216" s="17">
        <v>39417.0</v>
      </c>
      <c r="F216" s="17">
        <v>42338.0</v>
      </c>
      <c r="G216" s="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9" t="str">
        <f>HYPERLINK("javascript:void%20window.open('https://ds3.dhss.ak.local/dsds/ds3/index.cfm?fuseaction=pro.view&amp;entityId=f02bcf50-0236-c94e-86f9-234f0156c894')","123118")</f>
        <v>123118</v>
      </c>
      <c r="B217" s="10" t="s">
        <v>300</v>
      </c>
      <c r="C217" s="10" t="s">
        <v>11</v>
      </c>
      <c r="D217" s="10" t="s">
        <v>309</v>
      </c>
      <c r="E217" s="11">
        <v>41548.0</v>
      </c>
      <c r="F217" s="11">
        <v>42155.0</v>
      </c>
      <c r="G217" s="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15" t="str">
        <f t="shared" ref="A218:A219" si="84">HYPERLINK("javascript:void%20window.open('https://ds3.dhss.ak.local/dsds/ds3/index.cfm?fuseaction=pro.view&amp;entityId=8a928348-f4e1-4b0d-3cab-1eb0f2907f45')","98923")</f>
        <v>98923</v>
      </c>
      <c r="B218" s="16" t="s">
        <v>310</v>
      </c>
      <c r="C218" s="16" t="s">
        <v>11</v>
      </c>
      <c r="D218" s="16" t="s">
        <v>311</v>
      </c>
      <c r="E218" s="17">
        <v>40471.0</v>
      </c>
      <c r="F218" s="17">
        <v>42155.0</v>
      </c>
      <c r="G218" s="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12" t="str">
        <f t="shared" si="84"/>
        <v>98923</v>
      </c>
      <c r="B219" s="13" t="s">
        <v>312</v>
      </c>
      <c r="C219" s="13" t="s">
        <v>11</v>
      </c>
      <c r="D219" s="13" t="s">
        <v>311</v>
      </c>
      <c r="E219" s="14">
        <v>40359.0</v>
      </c>
      <c r="F219" s="14">
        <v>42155.0</v>
      </c>
      <c r="G219" s="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15" t="str">
        <f t="shared" ref="A220:A221" si="85">HYPERLINK("javascript:void%20window.open('https://ds3.dhss.ak.local/dsds/ds3/index.cfm?fuseaction=pro.view&amp;entityId=a07f66b2-7e9c-46a1-9823-cc1d2de27a2e')","31882")</f>
        <v>31882</v>
      </c>
      <c r="B220" s="16" t="s">
        <v>313</v>
      </c>
      <c r="C220" s="16" t="s">
        <v>11</v>
      </c>
      <c r="D220" s="16" t="s">
        <v>314</v>
      </c>
      <c r="E220" s="17">
        <v>39417.0</v>
      </c>
      <c r="F220" s="17">
        <v>42490.0</v>
      </c>
      <c r="G220" s="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12" t="str">
        <f t="shared" si="85"/>
        <v>31882</v>
      </c>
      <c r="B221" s="13" t="s">
        <v>315</v>
      </c>
      <c r="C221" s="13" t="s">
        <v>11</v>
      </c>
      <c r="D221" s="13" t="s">
        <v>314</v>
      </c>
      <c r="E221" s="14">
        <v>39417.0</v>
      </c>
      <c r="F221" s="14">
        <v>41029.0</v>
      </c>
      <c r="G221" s="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15" t="str">
        <f t="shared" ref="A222:A223" si="86">HYPERLINK("javascript:void%20window.open('https://ds3.dhss.ak.local/dsds/ds3/index.cfm?fuseaction=pro.view&amp;entityId=00e1d4f0-4170-4a96-8d15-8a5a11449b0f')","32354")</f>
        <v>32354</v>
      </c>
      <c r="B222" s="16" t="s">
        <v>316</v>
      </c>
      <c r="C222" s="16" t="s">
        <v>11</v>
      </c>
      <c r="D222" s="16" t="s">
        <v>317</v>
      </c>
      <c r="E222" s="17">
        <v>39589.0</v>
      </c>
      <c r="F222" s="17">
        <v>42155.0</v>
      </c>
      <c r="G222" s="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12" t="str">
        <f t="shared" si="86"/>
        <v>32354</v>
      </c>
      <c r="B223" s="13" t="s">
        <v>318</v>
      </c>
      <c r="C223" s="13" t="s">
        <v>11</v>
      </c>
      <c r="D223" s="13" t="s">
        <v>317</v>
      </c>
      <c r="E223" s="14">
        <v>39234.0</v>
      </c>
      <c r="F223" s="14">
        <v>42155.0</v>
      </c>
      <c r="G223" s="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15" t="str">
        <f t="shared" ref="A224:A225" si="87">HYPERLINK("javascript:void%20window.open('https://ds3.dhss.ak.local/dsds/ds3/index.cfm?fuseaction=pro.view&amp;entityId=422fd7ea-6ca7-4a4a-8440-627e702bd5e4')","31737")</f>
        <v>31737</v>
      </c>
      <c r="B224" s="16" t="s">
        <v>319</v>
      </c>
      <c r="C224" s="16" t="s">
        <v>11</v>
      </c>
      <c r="D224" s="16" t="s">
        <v>320</v>
      </c>
      <c r="E224" s="17">
        <v>38718.0</v>
      </c>
      <c r="F224" s="17">
        <v>42004.0</v>
      </c>
      <c r="G224" s="2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12" t="str">
        <f t="shared" si="87"/>
        <v>31737</v>
      </c>
      <c r="B225" s="13" t="s">
        <v>321</v>
      </c>
      <c r="C225" s="13" t="s">
        <v>11</v>
      </c>
      <c r="D225" s="13" t="s">
        <v>320</v>
      </c>
      <c r="E225" s="14">
        <v>38718.0</v>
      </c>
      <c r="F225" s="14">
        <v>42004.0</v>
      </c>
      <c r="G225" s="2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15" t="str">
        <f t="shared" ref="A226:A227" si="88">HYPERLINK("javascript:void%20window.open('https://ds3.dhss.ak.local/dsds/ds3/index.cfm?fuseaction=pro.view&amp;entityId=4067a252-29f6-4c9e-a9cc-31ef228a7203')","31754")</f>
        <v>31754</v>
      </c>
      <c r="B226" s="16" t="s">
        <v>322</v>
      </c>
      <c r="C226" s="16" t="s">
        <v>11</v>
      </c>
      <c r="D226" s="16" t="s">
        <v>323</v>
      </c>
      <c r="E226" s="17">
        <v>40309.0</v>
      </c>
      <c r="F226" s="17">
        <v>42094.0</v>
      </c>
      <c r="G226" s="2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12" t="str">
        <f t="shared" si="88"/>
        <v>31754</v>
      </c>
      <c r="B227" s="13" t="s">
        <v>324</v>
      </c>
      <c r="C227" s="13" t="s">
        <v>11</v>
      </c>
      <c r="D227" s="13" t="s">
        <v>323</v>
      </c>
      <c r="E227" s="14">
        <v>39172.0</v>
      </c>
      <c r="F227" s="14">
        <v>42094.0</v>
      </c>
      <c r="G227" s="2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9" t="str">
        <f t="shared" ref="A228:A229" si="89">HYPERLINK("javascript:void%20window.open('https://ds3.dhss.ak.local/dsds/ds3/index.cfm?fuseaction=pro.view&amp;entityId=0380f504-b124-47c7-9c69-3b0eda816d37')","31360")</f>
        <v>31360</v>
      </c>
      <c r="B228" s="10" t="s">
        <v>325</v>
      </c>
      <c r="C228" s="10" t="s">
        <v>11</v>
      </c>
      <c r="D228" s="10" t="s">
        <v>326</v>
      </c>
      <c r="E228" s="11">
        <v>41548.0</v>
      </c>
      <c r="F228" s="11">
        <v>42247.0</v>
      </c>
      <c r="G228" s="2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12" t="str">
        <f t="shared" si="89"/>
        <v>31360</v>
      </c>
      <c r="B229" s="13" t="s">
        <v>327</v>
      </c>
      <c r="C229" s="13" t="s">
        <v>11</v>
      </c>
      <c r="D229" s="13" t="s">
        <v>326</v>
      </c>
      <c r="E229" s="14">
        <v>39568.0</v>
      </c>
      <c r="F229" s="14">
        <v>42247.0</v>
      </c>
      <c r="G229" s="2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15" t="str">
        <f t="shared" ref="A230:A231" si="90">HYPERLINK("javascript:void%20window.open('https://ds3.dhss.ak.local/dsds/ds3/index.cfm?fuseaction=pro.view&amp;entityId=1bea10ad-65be-f484-0f2c-05a65fc6a420')","61763")</f>
        <v>61763</v>
      </c>
      <c r="B230" s="16" t="s">
        <v>328</v>
      </c>
      <c r="C230" s="16" t="s">
        <v>11</v>
      </c>
      <c r="D230" s="16" t="s">
        <v>329</v>
      </c>
      <c r="E230" s="17">
        <v>38991.0</v>
      </c>
      <c r="F230" s="17">
        <v>41943.0</v>
      </c>
      <c r="G230" s="2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12" t="str">
        <f t="shared" si="90"/>
        <v>61763</v>
      </c>
      <c r="B231" s="13" t="s">
        <v>330</v>
      </c>
      <c r="C231" s="13" t="s">
        <v>11</v>
      </c>
      <c r="D231" s="13" t="s">
        <v>329</v>
      </c>
      <c r="E231" s="14">
        <v>38991.0</v>
      </c>
      <c r="F231" s="14">
        <v>41943.0</v>
      </c>
      <c r="G231" s="2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15" t="str">
        <f t="shared" ref="A232:A233" si="91">HYPERLINK("javascript:void%20window.open('https://ds3.dhss.ak.local/dsds/ds3/index.cfm?fuseaction=pro.view&amp;entityId=1fe2af8d-649d-4b95-8847-0470f643f31f')","32265")</f>
        <v>32265</v>
      </c>
      <c r="B232" s="16" t="s">
        <v>331</v>
      </c>
      <c r="C232" s="16" t="s">
        <v>11</v>
      </c>
      <c r="D232" s="16" t="s">
        <v>332</v>
      </c>
      <c r="E232" s="17">
        <v>39417.0</v>
      </c>
      <c r="F232" s="17">
        <v>41851.0</v>
      </c>
      <c r="G232" s="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12" t="str">
        <f t="shared" si="91"/>
        <v>32265</v>
      </c>
      <c r="B233" s="13" t="s">
        <v>333</v>
      </c>
      <c r="C233" s="13" t="s">
        <v>11</v>
      </c>
      <c r="D233" s="13" t="s">
        <v>332</v>
      </c>
      <c r="E233" s="14">
        <v>38899.0</v>
      </c>
      <c r="F233" s="14">
        <v>41851.0</v>
      </c>
      <c r="G233" s="2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15" t="str">
        <f t="shared" ref="A234:A235" si="92">HYPERLINK("javascript:void%20window.open('https://ds3.dhss.ak.local/dsds/ds3/index.cfm?fuseaction=pro.view&amp;entityId=2b39fa2b-7d8d-4da4-bdb6-299f95ef4273')","30827")</f>
        <v>30827</v>
      </c>
      <c r="B234" s="16" t="s">
        <v>334</v>
      </c>
      <c r="C234" s="16" t="s">
        <v>11</v>
      </c>
      <c r="D234" s="16" t="s">
        <v>335</v>
      </c>
      <c r="E234" s="17">
        <v>38991.0</v>
      </c>
      <c r="F234" s="17">
        <v>42613.0</v>
      </c>
      <c r="G234" s="2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12" t="str">
        <f t="shared" si="92"/>
        <v>30827</v>
      </c>
      <c r="B235" s="13" t="s">
        <v>336</v>
      </c>
      <c r="C235" s="13" t="s">
        <v>11</v>
      </c>
      <c r="D235" s="13" t="s">
        <v>335</v>
      </c>
      <c r="E235" s="14">
        <v>38991.0</v>
      </c>
      <c r="F235" s="14">
        <v>42613.0</v>
      </c>
      <c r="G235" s="2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15" t="str">
        <f t="shared" ref="A236:A237" si="93">HYPERLINK("javascript:void%20window.open('https://ds3.dhss.ak.local/dsds/ds3/index.cfm?fuseaction=pro.view&amp;entityId=ae4b9c5c-719c-4c98-b429-796daf798342')","32238")</f>
        <v>32238</v>
      </c>
      <c r="B236" s="16" t="s">
        <v>337</v>
      </c>
      <c r="C236" s="16" t="s">
        <v>11</v>
      </c>
      <c r="D236" s="16" t="s">
        <v>338</v>
      </c>
      <c r="E236" s="17">
        <v>38899.0</v>
      </c>
      <c r="F236" s="17">
        <v>42551.0</v>
      </c>
      <c r="G236" s="2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12" t="str">
        <f t="shared" si="93"/>
        <v>32238</v>
      </c>
      <c r="B237" s="13" t="s">
        <v>339</v>
      </c>
      <c r="C237" s="13" t="s">
        <v>11</v>
      </c>
      <c r="D237" s="13" t="s">
        <v>338</v>
      </c>
      <c r="E237" s="14">
        <v>38899.0</v>
      </c>
      <c r="F237" s="14">
        <v>42551.0</v>
      </c>
      <c r="G237" s="2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15" t="str">
        <f t="shared" ref="A238:A239" si="94">HYPERLINK("javascript:void%20window.open('https://ds3.dhss.ak.local/dsds/ds3/index.cfm?fuseaction=pro.view&amp;entityId=caf2d359-4638-466c-9af8-5fefbe6e34c7')","32470")</f>
        <v>32470</v>
      </c>
      <c r="B238" s="16" t="s">
        <v>340</v>
      </c>
      <c r="C238" s="16" t="s">
        <v>11</v>
      </c>
      <c r="D238" s="16" t="s">
        <v>341</v>
      </c>
      <c r="E238" s="17">
        <v>39448.0</v>
      </c>
      <c r="F238" s="17">
        <v>42369.0</v>
      </c>
      <c r="G238" s="2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12" t="str">
        <f t="shared" si="94"/>
        <v>32470</v>
      </c>
      <c r="B239" s="13" t="s">
        <v>342</v>
      </c>
      <c r="C239" s="13" t="s">
        <v>11</v>
      </c>
      <c r="D239" s="13" t="s">
        <v>341</v>
      </c>
      <c r="E239" s="14">
        <v>39022.0</v>
      </c>
      <c r="F239" s="14">
        <v>42004.0</v>
      </c>
      <c r="G239" s="2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9" t="str">
        <f t="shared" ref="A240:A242" si="95">HYPERLINK("javascript:void%20window.open('https://ds3.dhss.ak.local/dsds/ds3/index.cfm?fuseaction=pro.view&amp;entityId=a7f62281-0459-6ab4-4191-45d7a09ce8e4')","106713")</f>
        <v>106713</v>
      </c>
      <c r="B240" s="10" t="s">
        <v>343</v>
      </c>
      <c r="C240" s="10" t="s">
        <v>11</v>
      </c>
      <c r="D240" s="10" t="s">
        <v>344</v>
      </c>
      <c r="E240" s="11">
        <v>41456.0</v>
      </c>
      <c r="F240" s="11">
        <v>42551.0</v>
      </c>
      <c r="G240" s="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9" t="str">
        <f t="shared" si="95"/>
        <v>106713</v>
      </c>
      <c r="B241" s="10" t="s">
        <v>345</v>
      </c>
      <c r="C241" s="10" t="s">
        <v>11</v>
      </c>
      <c r="D241" s="10" t="s">
        <v>344</v>
      </c>
      <c r="E241" s="11">
        <v>41456.0</v>
      </c>
      <c r="F241" s="11">
        <v>42551.0</v>
      </c>
      <c r="G241" s="2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9" t="str">
        <f t="shared" si="95"/>
        <v>106713</v>
      </c>
      <c r="B242" s="10" t="s">
        <v>346</v>
      </c>
      <c r="C242" s="10" t="s">
        <v>11</v>
      </c>
      <c r="D242" s="10" t="s">
        <v>344</v>
      </c>
      <c r="E242" s="11">
        <v>41456.0</v>
      </c>
      <c r="F242" s="11">
        <v>42551.0</v>
      </c>
      <c r="G242" s="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12" t="str">
        <f t="shared" ref="A243:A244" si="96">HYPERLINK("javascript:void%20window.open('https://ds3.dhss.ak.local/dsds/ds3/index.cfm?fuseaction=pro.view&amp;entityId=f13f5035-21b3-4638-94a9-a57e0905cbf4')","32194")</f>
        <v>32194</v>
      </c>
      <c r="B243" s="13" t="s">
        <v>347</v>
      </c>
      <c r="C243" s="13" t="s">
        <v>11</v>
      </c>
      <c r="D243" s="13" t="s">
        <v>348</v>
      </c>
      <c r="E243" s="14">
        <v>40452.0</v>
      </c>
      <c r="F243" s="14">
        <v>41912.0</v>
      </c>
      <c r="G243" s="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15" t="str">
        <f t="shared" si="96"/>
        <v>32194</v>
      </c>
      <c r="B244" s="16" t="s">
        <v>349</v>
      </c>
      <c r="C244" s="16" t="s">
        <v>11</v>
      </c>
      <c r="D244" s="16" t="s">
        <v>348</v>
      </c>
      <c r="E244" s="17">
        <v>38991.0</v>
      </c>
      <c r="F244" s="17">
        <v>41912.0</v>
      </c>
      <c r="G244" s="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12" t="str">
        <f t="shared" ref="A245:A246" si="97">HYPERLINK("javascript:void%20window.open('https://ds3.dhss.ak.local/dsds/ds3/index.cfm?fuseaction=pro.view&amp;entityId=b14fcb79-eebb-4022-81f8-861f15678920')","31879")</f>
        <v>31879</v>
      </c>
      <c r="B245" s="13" t="s">
        <v>350</v>
      </c>
      <c r="C245" s="13" t="s">
        <v>11</v>
      </c>
      <c r="D245" s="13" t="s">
        <v>351</v>
      </c>
      <c r="E245" s="14">
        <v>40057.0</v>
      </c>
      <c r="F245" s="14">
        <v>42247.0</v>
      </c>
      <c r="G245" s="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15" t="str">
        <f t="shared" si="97"/>
        <v>31879</v>
      </c>
      <c r="B246" s="16" t="s">
        <v>352</v>
      </c>
      <c r="C246" s="16" t="s">
        <v>11</v>
      </c>
      <c r="D246" s="16" t="s">
        <v>351</v>
      </c>
      <c r="E246" s="17">
        <v>39326.0</v>
      </c>
      <c r="F246" s="17">
        <v>42247.0</v>
      </c>
      <c r="G246" s="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9" t="str">
        <f t="shared" ref="A247:A248" si="98">HYPERLINK("javascript:void%20window.open('https://ds3.dhss.ak.local/dsds/ds3/index.cfm?fuseaction=pro.view&amp;entityId=3db7a194-319a-4d79-902e-ca0e0c3a2814')","32426")</f>
        <v>32426</v>
      </c>
      <c r="B247" s="10" t="s">
        <v>353</v>
      </c>
      <c r="C247" s="10" t="s">
        <v>11</v>
      </c>
      <c r="D247" s="10" t="s">
        <v>354</v>
      </c>
      <c r="E247" s="11">
        <v>41576.0</v>
      </c>
      <c r="F247" s="11">
        <v>41912.0</v>
      </c>
      <c r="G247" s="2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15" t="str">
        <f t="shared" si="98"/>
        <v>32426</v>
      </c>
      <c r="B248" s="16" t="s">
        <v>355</v>
      </c>
      <c r="C248" s="16" t="s">
        <v>11</v>
      </c>
      <c r="D248" s="16" t="s">
        <v>354</v>
      </c>
      <c r="E248" s="17">
        <v>39387.0</v>
      </c>
      <c r="F248" s="17">
        <v>42308.0</v>
      </c>
      <c r="G248" s="2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9" t="str">
        <f t="shared" ref="A249:A250" si="99">HYPERLINK("javascript:void%20window.open('https://ds3.dhss.ak.local/dsds/ds3/index.cfm?fuseaction=pro.view&amp;entityId=94e16526-6b09-48ac-9b85-3e288648c43d')","30874")</f>
        <v>30874</v>
      </c>
      <c r="B249" s="10" t="s">
        <v>356</v>
      </c>
      <c r="C249" s="10" t="s">
        <v>11</v>
      </c>
      <c r="D249" s="10" t="s">
        <v>357</v>
      </c>
      <c r="E249" s="11">
        <v>41456.0</v>
      </c>
      <c r="F249" s="11">
        <v>42400.0</v>
      </c>
      <c r="G249" s="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15" t="str">
        <f t="shared" si="99"/>
        <v>30874</v>
      </c>
      <c r="B250" s="16" t="s">
        <v>358</v>
      </c>
      <c r="C250" s="16" t="s">
        <v>11</v>
      </c>
      <c r="D250" s="16" t="s">
        <v>357</v>
      </c>
      <c r="E250" s="17">
        <v>41452.0</v>
      </c>
      <c r="F250" s="17">
        <v>42400.0</v>
      </c>
      <c r="G250" s="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12" t="str">
        <f t="shared" ref="A251:A252" si="100">HYPERLINK("javascript:void%20window.open('https://ds3.dhss.ak.local/dsds/ds3/index.cfm?fuseaction=pro.view&amp;entityId=958b5db3-11e8-40a2-a769-64089110fcf2')","31368")</f>
        <v>31368</v>
      </c>
      <c r="B251" s="13" t="s">
        <v>359</v>
      </c>
      <c r="C251" s="13" t="s">
        <v>11</v>
      </c>
      <c r="D251" s="13" t="s">
        <v>360</v>
      </c>
      <c r="E251" s="14">
        <v>39356.0</v>
      </c>
      <c r="F251" s="14">
        <v>41973.0</v>
      </c>
      <c r="G251" s="2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15" t="str">
        <f t="shared" si="100"/>
        <v>31368</v>
      </c>
      <c r="B252" s="16" t="s">
        <v>361</v>
      </c>
      <c r="C252" s="16" t="s">
        <v>11</v>
      </c>
      <c r="D252" s="16" t="s">
        <v>360</v>
      </c>
      <c r="E252" s="17">
        <v>39082.0</v>
      </c>
      <c r="F252" s="17">
        <v>41973.0</v>
      </c>
      <c r="G252" s="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12" t="str">
        <f t="shared" ref="A253:A254" si="101">HYPERLINK("javascript:void%20window.open('https://ds3.dhss.ak.local/dsds/ds3/index.cfm?fuseaction=pro.view&amp;entityId=a28b428a-bfc8-441a-88d9-93a85ad46666')","30108")</f>
        <v>30108</v>
      </c>
      <c r="B253" s="13" t="s">
        <v>362</v>
      </c>
      <c r="C253" s="13" t="s">
        <v>11</v>
      </c>
      <c r="D253" s="13" t="s">
        <v>363</v>
      </c>
      <c r="E253" s="14">
        <v>39114.0</v>
      </c>
      <c r="F253" s="14">
        <v>42035.0</v>
      </c>
      <c r="G253" s="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15" t="str">
        <f t="shared" si="101"/>
        <v>30108</v>
      </c>
      <c r="B254" s="16" t="s">
        <v>364</v>
      </c>
      <c r="C254" s="16" t="s">
        <v>11</v>
      </c>
      <c r="D254" s="16" t="s">
        <v>363</v>
      </c>
      <c r="E254" s="17">
        <v>38718.0</v>
      </c>
      <c r="F254" s="17">
        <v>42035.0</v>
      </c>
      <c r="G254" s="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12" t="str">
        <f t="shared" ref="A255:A256" si="102">HYPERLINK("javascript:void%20window.open('https://ds3.dhss.ak.local/dsds/ds3/index.cfm?fuseaction=pro.view&amp;entityId=eb418477-a8d0-a778-a0e9-1070804760ac')","102149")</f>
        <v>102149</v>
      </c>
      <c r="B255" s="13" t="s">
        <v>365</v>
      </c>
      <c r="C255" s="13" t="s">
        <v>11</v>
      </c>
      <c r="D255" s="13" t="s">
        <v>366</v>
      </c>
      <c r="E255" s="14">
        <v>40576.0</v>
      </c>
      <c r="F255" s="14">
        <v>42400.0</v>
      </c>
      <c r="G255" s="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15" t="str">
        <f t="shared" si="102"/>
        <v>102149</v>
      </c>
      <c r="B256" s="16" t="s">
        <v>367</v>
      </c>
      <c r="C256" s="16" t="s">
        <v>11</v>
      </c>
      <c r="D256" s="16" t="s">
        <v>366</v>
      </c>
      <c r="E256" s="17">
        <v>40576.0</v>
      </c>
      <c r="F256" s="17">
        <v>42400.0</v>
      </c>
      <c r="G256" s="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12" t="str">
        <f t="shared" ref="A257:A258" si="103">HYPERLINK("javascript:void%20window.open('https://ds3.dhss.ak.local/dsds/ds3/index.cfm?fuseaction=pro.view&amp;entityId=ddc4927b-c44a-4691-95dd-5380e38a186f')","32476")</f>
        <v>32476</v>
      </c>
      <c r="B257" s="13" t="s">
        <v>368</v>
      </c>
      <c r="C257" s="13" t="s">
        <v>11</v>
      </c>
      <c r="D257" s="13" t="s">
        <v>369</v>
      </c>
      <c r="E257" s="14">
        <v>39448.0</v>
      </c>
      <c r="F257" s="14">
        <v>40694.0</v>
      </c>
      <c r="G257" s="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15" t="str">
        <f t="shared" si="103"/>
        <v>32476</v>
      </c>
      <c r="B258" s="16" t="s">
        <v>370</v>
      </c>
      <c r="C258" s="16" t="s">
        <v>11</v>
      </c>
      <c r="D258" s="16" t="s">
        <v>369</v>
      </c>
      <c r="E258" s="17">
        <v>39234.0</v>
      </c>
      <c r="F258" s="17">
        <v>42155.0</v>
      </c>
      <c r="G258" s="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12" t="str">
        <f t="shared" ref="A259:A260" si="104">HYPERLINK("javascript:void%20window.open('https://ds3.dhss.ak.local/dsds/ds3/index.cfm?fuseaction=pro.view&amp;entityId=8ef48d0e-107b-4341-9ce0-241e20ec7845')","31166")</f>
        <v>31166</v>
      </c>
      <c r="B259" s="13" t="s">
        <v>371</v>
      </c>
      <c r="C259" s="13" t="s">
        <v>11</v>
      </c>
      <c r="D259" s="13" t="s">
        <v>372</v>
      </c>
      <c r="E259" s="14">
        <v>38991.0</v>
      </c>
      <c r="F259" s="14">
        <v>42004.0</v>
      </c>
      <c r="G259" s="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15" t="str">
        <f t="shared" si="104"/>
        <v>31166</v>
      </c>
      <c r="B260" s="16" t="s">
        <v>373</v>
      </c>
      <c r="C260" s="16" t="s">
        <v>11</v>
      </c>
      <c r="D260" s="16" t="s">
        <v>372</v>
      </c>
      <c r="E260" s="17">
        <v>38991.0</v>
      </c>
      <c r="F260" s="17">
        <v>42004.0</v>
      </c>
      <c r="G260" s="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12" t="str">
        <f t="shared" ref="A261:A262" si="105">HYPERLINK("javascript:void%20window.open('https://ds3.dhss.ak.local/dsds/ds3/index.cfm?fuseaction=pro.view&amp;entityId=603ec999-af76-4892-9f74-507214f5b033')","31983")</f>
        <v>31983</v>
      </c>
      <c r="B261" s="13" t="s">
        <v>374</v>
      </c>
      <c r="C261" s="13" t="s">
        <v>11</v>
      </c>
      <c r="D261" s="13" t="s">
        <v>375</v>
      </c>
      <c r="E261" s="14">
        <v>39225.0</v>
      </c>
      <c r="F261" s="14">
        <v>42338.0</v>
      </c>
      <c r="G261" s="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15" t="str">
        <f t="shared" si="105"/>
        <v>31983</v>
      </c>
      <c r="B262" s="16" t="s">
        <v>376</v>
      </c>
      <c r="C262" s="16" t="s">
        <v>11</v>
      </c>
      <c r="D262" s="16" t="s">
        <v>375</v>
      </c>
      <c r="E262" s="17">
        <v>39225.0</v>
      </c>
      <c r="F262" s="17">
        <v>42338.0</v>
      </c>
      <c r="G262" s="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12" t="str">
        <f t="shared" ref="A263:A264" si="106">HYPERLINK("javascript:void%20window.open('https://ds3.dhss.ak.local/dsds/ds3/index.cfm?fuseaction=pro.view&amp;entityId=ee40e989-9f77-80af-5a4e-25417280cca4')","129018")</f>
        <v>129018</v>
      </c>
      <c r="B263" s="13" t="s">
        <v>377</v>
      </c>
      <c r="C263" s="13" t="s">
        <v>11</v>
      </c>
      <c r="D263" s="13" t="s">
        <v>378</v>
      </c>
      <c r="E263" s="14">
        <v>40940.0</v>
      </c>
      <c r="F263" s="14">
        <v>42035.0</v>
      </c>
      <c r="G263" s="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15" t="str">
        <f t="shared" si="106"/>
        <v>129018</v>
      </c>
      <c r="B264" s="16" t="s">
        <v>379</v>
      </c>
      <c r="C264" s="16" t="s">
        <v>11</v>
      </c>
      <c r="D264" s="16" t="s">
        <v>378</v>
      </c>
      <c r="E264" s="17">
        <v>40940.0</v>
      </c>
      <c r="F264" s="17">
        <v>42035.0</v>
      </c>
      <c r="G264" s="2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2" t="str">
        <f t="shared" ref="A265:A266" si="107">HYPERLINK("javascript:void%20window.open('https://ds3.dhss.ak.local/dsds/ds3/index.cfm?fuseaction=pro.view&amp;entityId=9de2a58c-0ab8-1acf-0258-be758b6b4002')","134681")</f>
        <v>134681</v>
      </c>
      <c r="B265" s="13" t="s">
        <v>380</v>
      </c>
      <c r="C265" s="13" t="s">
        <v>11</v>
      </c>
      <c r="D265" s="13" t="s">
        <v>381</v>
      </c>
      <c r="E265" s="14">
        <v>41142.0</v>
      </c>
      <c r="F265" s="14">
        <v>42247.0</v>
      </c>
      <c r="G265" s="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5" t="str">
        <f t="shared" si="107"/>
        <v>134681</v>
      </c>
      <c r="B266" s="16" t="s">
        <v>382</v>
      </c>
      <c r="C266" s="16" t="s">
        <v>11</v>
      </c>
      <c r="D266" s="16" t="s">
        <v>381</v>
      </c>
      <c r="E266" s="17">
        <v>41142.0</v>
      </c>
      <c r="F266" s="17">
        <v>42247.0</v>
      </c>
      <c r="G266" s="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2" t="str">
        <f t="shared" ref="A267:A268" si="108">HYPERLINK("javascript:void%20window.open('https://ds3.dhss.ak.local/dsds/ds3/index.cfm?fuseaction=pro.view&amp;entityId=04b490a6-9116-451e-8f4e-06f4feedd690')","58627")</f>
        <v>58627</v>
      </c>
      <c r="B267" s="13" t="s">
        <v>383</v>
      </c>
      <c r="C267" s="13" t="s">
        <v>11</v>
      </c>
      <c r="D267" s="13" t="s">
        <v>384</v>
      </c>
      <c r="E267" s="14">
        <v>39792.0</v>
      </c>
      <c r="F267" s="14">
        <v>42338.0</v>
      </c>
      <c r="G267" s="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5" t="str">
        <f t="shared" si="108"/>
        <v>58627</v>
      </c>
      <c r="B268" s="16" t="s">
        <v>385</v>
      </c>
      <c r="C268" s="16" t="s">
        <v>11</v>
      </c>
      <c r="D268" s="16" t="s">
        <v>384</v>
      </c>
      <c r="E268" s="17">
        <v>38999.0</v>
      </c>
      <c r="F268" s="17">
        <v>42004.0</v>
      </c>
      <c r="G268" s="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2" t="str">
        <f t="shared" ref="A269:A270" si="109">HYPERLINK("javascript:void%20window.open('https://ds3.dhss.ak.local/dsds/ds3/index.cfm?fuseaction=pro.view&amp;entityId=fcb799e3-4520-4abe-8787-b540299c860f')","31306")</f>
        <v>31306</v>
      </c>
      <c r="B269" s="13" t="s">
        <v>386</v>
      </c>
      <c r="C269" s="13" t="s">
        <v>11</v>
      </c>
      <c r="D269" s="13" t="s">
        <v>387</v>
      </c>
      <c r="E269" s="14">
        <v>40563.0</v>
      </c>
      <c r="F269" s="14">
        <v>42004.0</v>
      </c>
      <c r="G269" s="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5" t="str">
        <f t="shared" si="109"/>
        <v>31306</v>
      </c>
      <c r="B270" s="16" t="s">
        <v>388</v>
      </c>
      <c r="C270" s="16" t="s">
        <v>11</v>
      </c>
      <c r="D270" s="16" t="s">
        <v>387</v>
      </c>
      <c r="E270" s="17">
        <v>39753.0</v>
      </c>
      <c r="F270" s="17">
        <v>42004.0</v>
      </c>
      <c r="G270" s="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2" t="str">
        <f t="shared" ref="A271:A272" si="110">HYPERLINK("javascript:void%20window.open('https://ds3.dhss.ak.local/dsds/ds3/index.cfm?fuseaction=pro.view&amp;entityId=32f58d41-a33a-4423-9c81-1be8ecc652ed')","30930")</f>
        <v>30930</v>
      </c>
      <c r="B271" s="13" t="s">
        <v>389</v>
      </c>
      <c r="C271" s="13" t="s">
        <v>11</v>
      </c>
      <c r="D271" s="13" t="s">
        <v>390</v>
      </c>
      <c r="E271" s="14">
        <v>38899.0</v>
      </c>
      <c r="F271" s="14">
        <v>42460.0</v>
      </c>
      <c r="G271" s="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5" t="str">
        <f t="shared" si="110"/>
        <v>30930</v>
      </c>
      <c r="B272" s="16" t="s">
        <v>391</v>
      </c>
      <c r="C272" s="16" t="s">
        <v>11</v>
      </c>
      <c r="D272" s="16" t="s">
        <v>390</v>
      </c>
      <c r="E272" s="17">
        <v>38505.0</v>
      </c>
      <c r="F272" s="17">
        <v>42460.0</v>
      </c>
      <c r="G272" s="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2" t="str">
        <f t="shared" ref="A273:A274" si="111">HYPERLINK("javascript:void%20window.open('https://ds3.dhss.ak.local/dsds/ds3/index.cfm?fuseaction=pro.view&amp;entityId=aa9c860b-fea4-4e02-a064-28a923f08153')","85218")</f>
        <v>85218</v>
      </c>
      <c r="B273" s="13" t="s">
        <v>392</v>
      </c>
      <c r="C273" s="13" t="s">
        <v>11</v>
      </c>
      <c r="D273" s="13" t="s">
        <v>393</v>
      </c>
      <c r="E273" s="14">
        <v>40381.0</v>
      </c>
      <c r="F273" s="14">
        <v>42185.0</v>
      </c>
      <c r="G273" s="2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5" t="str">
        <f t="shared" si="111"/>
        <v>85218</v>
      </c>
      <c r="B274" s="16" t="s">
        <v>394</v>
      </c>
      <c r="C274" s="16" t="s">
        <v>11</v>
      </c>
      <c r="D274" s="16" t="s">
        <v>393</v>
      </c>
      <c r="E274" s="17">
        <v>40381.0</v>
      </c>
      <c r="F274" s="17">
        <v>42185.0</v>
      </c>
      <c r="G274" s="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2" t="str">
        <f t="shared" ref="A275:A276" si="112">HYPERLINK("javascript:void%20window.open('https://ds3.dhss.ak.local/dsds/ds3/index.cfm?fuseaction=pro.view&amp;entityId=d91fe3e8-3edc-4601-b774-fd9428e2f5a3')","32283")</f>
        <v>32283</v>
      </c>
      <c r="B275" s="13" t="s">
        <v>395</v>
      </c>
      <c r="C275" s="13" t="s">
        <v>11</v>
      </c>
      <c r="D275" s="13" t="s">
        <v>396</v>
      </c>
      <c r="E275" s="14">
        <v>38991.0</v>
      </c>
      <c r="F275" s="14">
        <v>41882.0</v>
      </c>
      <c r="G275" s="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5" t="str">
        <f t="shared" si="112"/>
        <v>32283</v>
      </c>
      <c r="B276" s="16" t="s">
        <v>397</v>
      </c>
      <c r="C276" s="16" t="s">
        <v>11</v>
      </c>
      <c r="D276" s="16" t="s">
        <v>396</v>
      </c>
      <c r="E276" s="17">
        <v>38991.0</v>
      </c>
      <c r="F276" s="17">
        <v>41882.0</v>
      </c>
      <c r="G276" s="2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2" t="str">
        <f t="shared" ref="A277:A278" si="113">HYPERLINK("javascript:void%20window.open('https://ds3.dhss.ak.local/dsds/ds3/index.cfm?fuseaction=pro.view&amp;entityId=7639cb4e-539c-4ac3-823d-b259557e6f43')","30078")</f>
        <v>30078</v>
      </c>
      <c r="B277" s="13" t="s">
        <v>398</v>
      </c>
      <c r="C277" s="13" t="s">
        <v>11</v>
      </c>
      <c r="D277" s="13" t="s">
        <v>399</v>
      </c>
      <c r="E277" s="14">
        <v>38991.0</v>
      </c>
      <c r="F277" s="14">
        <v>41882.0</v>
      </c>
      <c r="G277" s="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5" t="str">
        <f t="shared" si="113"/>
        <v>30078</v>
      </c>
      <c r="B278" s="16" t="s">
        <v>400</v>
      </c>
      <c r="C278" s="16" t="s">
        <v>11</v>
      </c>
      <c r="D278" s="16" t="s">
        <v>399</v>
      </c>
      <c r="E278" s="17">
        <v>38991.0</v>
      </c>
      <c r="F278" s="17">
        <v>41882.0</v>
      </c>
      <c r="G278" s="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2" t="str">
        <f t="shared" ref="A279:A281" si="114">HYPERLINK("javascript:void%20window.open('https://ds3.dhss.ak.local/dsds/ds3/index.cfm?fuseaction=pro.view&amp;entityId=c77efa67-5ddb-4330-8c3a-03f3c0764531')","30862")</f>
        <v>30862</v>
      </c>
      <c r="B279" s="13" t="s">
        <v>401</v>
      </c>
      <c r="C279" s="13" t="s">
        <v>11</v>
      </c>
      <c r="D279" s="13" t="s">
        <v>402</v>
      </c>
      <c r="E279" s="14">
        <v>38946.0</v>
      </c>
      <c r="F279" s="14">
        <v>42004.0</v>
      </c>
      <c r="G279" s="2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5" t="str">
        <f t="shared" si="114"/>
        <v>30862</v>
      </c>
      <c r="B280" s="16" t="s">
        <v>403</v>
      </c>
      <c r="C280" s="16" t="s">
        <v>11</v>
      </c>
      <c r="D280" s="16" t="s">
        <v>402</v>
      </c>
      <c r="E280" s="17">
        <v>38899.0</v>
      </c>
      <c r="F280" s="17">
        <v>42551.0</v>
      </c>
      <c r="G280" s="2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2" t="str">
        <f t="shared" si="114"/>
        <v>30862</v>
      </c>
      <c r="B281" s="13" t="s">
        <v>404</v>
      </c>
      <c r="C281" s="13" t="s">
        <v>11</v>
      </c>
      <c r="D281" s="13" t="s">
        <v>402</v>
      </c>
      <c r="E281" s="14">
        <v>38899.0</v>
      </c>
      <c r="F281" s="14">
        <v>42551.0</v>
      </c>
      <c r="G281" s="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5" t="str">
        <f t="shared" ref="A282:A284" si="115">HYPERLINK("javascript:void%20window.open('https://ds3.dhss.ak.local/dsds/ds3/index.cfm?fuseaction=pro.view&amp;entityId=76adeda1-e7cf-4216-b9b9-579b4d90d5b9')","30785")</f>
        <v>30785</v>
      </c>
      <c r="B282" s="16" t="s">
        <v>405</v>
      </c>
      <c r="C282" s="16" t="s">
        <v>11</v>
      </c>
      <c r="D282" s="16" t="s">
        <v>406</v>
      </c>
      <c r="E282" s="17">
        <v>38946.0</v>
      </c>
      <c r="F282" s="17">
        <v>42004.0</v>
      </c>
      <c r="G282" s="2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2" t="str">
        <f t="shared" si="115"/>
        <v>30785</v>
      </c>
      <c r="B283" s="13" t="s">
        <v>407</v>
      </c>
      <c r="C283" s="13" t="s">
        <v>11</v>
      </c>
      <c r="D283" s="13" t="s">
        <v>406</v>
      </c>
      <c r="E283" s="14">
        <v>38899.0</v>
      </c>
      <c r="F283" s="14">
        <v>42551.0</v>
      </c>
      <c r="G283" s="2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5" t="str">
        <f t="shared" si="115"/>
        <v>30785</v>
      </c>
      <c r="B284" s="16" t="s">
        <v>408</v>
      </c>
      <c r="C284" s="16" t="s">
        <v>11</v>
      </c>
      <c r="D284" s="16" t="s">
        <v>406</v>
      </c>
      <c r="E284" s="17">
        <v>38899.0</v>
      </c>
      <c r="F284" s="17">
        <v>42551.0</v>
      </c>
      <c r="G284" s="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2" t="str">
        <f t="shared" ref="A285:A287" si="116">HYPERLINK("javascript:void%20window.open('https://ds3.dhss.ak.local/dsds/ds3/index.cfm?fuseaction=pro.view&amp;entityId=9d712c7f-4543-4f57-aaa7-aba18bbedaf7')","31549")</f>
        <v>31549</v>
      </c>
      <c r="B285" s="13" t="s">
        <v>409</v>
      </c>
      <c r="C285" s="13" t="s">
        <v>11</v>
      </c>
      <c r="D285" s="13" t="s">
        <v>410</v>
      </c>
      <c r="E285" s="14">
        <v>38946.0</v>
      </c>
      <c r="F285" s="14">
        <v>42004.0</v>
      </c>
      <c r="G285" s="2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5" t="str">
        <f t="shared" si="116"/>
        <v>31549</v>
      </c>
      <c r="B286" s="16" t="s">
        <v>411</v>
      </c>
      <c r="C286" s="16" t="s">
        <v>11</v>
      </c>
      <c r="D286" s="16" t="s">
        <v>410</v>
      </c>
      <c r="E286" s="17">
        <v>38899.0</v>
      </c>
      <c r="F286" s="17">
        <v>42551.0</v>
      </c>
      <c r="G286" s="2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2" t="str">
        <f t="shared" si="116"/>
        <v>31549</v>
      </c>
      <c r="B287" s="13" t="s">
        <v>412</v>
      </c>
      <c r="C287" s="13" t="s">
        <v>11</v>
      </c>
      <c r="D287" s="13" t="s">
        <v>410</v>
      </c>
      <c r="E287" s="14">
        <v>38899.0</v>
      </c>
      <c r="F287" s="14">
        <v>42551.0</v>
      </c>
      <c r="G287" s="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5" t="str">
        <f t="shared" ref="A288:A290" si="117">HYPERLINK("javascript:void%20window.open('https://ds3.dhss.ak.local/dsds/ds3/index.cfm?fuseaction=pro.view&amp;entityId=be2eda36-77c8-46ce-a1fe-ea786217de9d')","30871")</f>
        <v>30871</v>
      </c>
      <c r="B288" s="16" t="s">
        <v>413</v>
      </c>
      <c r="C288" s="16" t="s">
        <v>11</v>
      </c>
      <c r="D288" s="16" t="s">
        <v>414</v>
      </c>
      <c r="E288" s="17">
        <v>38946.0</v>
      </c>
      <c r="F288" s="17">
        <v>42004.0</v>
      </c>
      <c r="G288" s="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2" t="str">
        <f t="shared" si="117"/>
        <v>30871</v>
      </c>
      <c r="B289" s="13" t="s">
        <v>415</v>
      </c>
      <c r="C289" s="13" t="s">
        <v>11</v>
      </c>
      <c r="D289" s="13" t="s">
        <v>414</v>
      </c>
      <c r="E289" s="14">
        <v>38899.0</v>
      </c>
      <c r="F289" s="14">
        <v>42551.0</v>
      </c>
      <c r="G289" s="2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5" t="str">
        <f t="shared" si="117"/>
        <v>30871</v>
      </c>
      <c r="B290" s="16" t="s">
        <v>416</v>
      </c>
      <c r="C290" s="16" t="s">
        <v>11</v>
      </c>
      <c r="D290" s="16" t="s">
        <v>414</v>
      </c>
      <c r="E290" s="17">
        <v>38899.0</v>
      </c>
      <c r="F290" s="17">
        <v>42551.0</v>
      </c>
      <c r="G290" s="2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2" t="str">
        <f t="shared" ref="A291:A293" si="118">HYPERLINK("javascript:void%20window.open('https://ds3.dhss.ak.local/dsds/ds3/index.cfm?fuseaction=pro.view&amp;entityId=ec9e4e52-8919-4827-8cc8-77a759e686d1')","31547")</f>
        <v>31547</v>
      </c>
      <c r="B291" s="13" t="s">
        <v>417</v>
      </c>
      <c r="C291" s="13" t="s">
        <v>11</v>
      </c>
      <c r="D291" s="13" t="s">
        <v>418</v>
      </c>
      <c r="E291" s="14">
        <v>38946.0</v>
      </c>
      <c r="F291" s="14">
        <v>42004.0</v>
      </c>
      <c r="G291" s="2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5" t="str">
        <f t="shared" si="118"/>
        <v>31547</v>
      </c>
      <c r="B292" s="16" t="s">
        <v>419</v>
      </c>
      <c r="C292" s="16" t="s">
        <v>11</v>
      </c>
      <c r="D292" s="16" t="s">
        <v>418</v>
      </c>
      <c r="E292" s="17">
        <v>38899.0</v>
      </c>
      <c r="F292" s="17">
        <v>42551.0</v>
      </c>
      <c r="G292" s="2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2" t="str">
        <f t="shared" si="118"/>
        <v>31547</v>
      </c>
      <c r="B293" s="13" t="s">
        <v>420</v>
      </c>
      <c r="C293" s="13" t="s">
        <v>11</v>
      </c>
      <c r="D293" s="13" t="s">
        <v>418</v>
      </c>
      <c r="E293" s="14">
        <v>38808.0</v>
      </c>
      <c r="F293" s="14">
        <v>42551.0</v>
      </c>
      <c r="G293" s="2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5" t="str">
        <f t="shared" ref="A294:A295" si="119">HYPERLINK("javascript:void%20window.open('https://ds3.dhss.ak.local/dsds/ds3/index.cfm?fuseaction=pro.view&amp;entityId=223e862a-9aea-4441-82db-222cc1718969')","61467")</f>
        <v>61467</v>
      </c>
      <c r="B294" s="16" t="s">
        <v>421</v>
      </c>
      <c r="C294" s="16" t="s">
        <v>11</v>
      </c>
      <c r="D294" s="16" t="s">
        <v>422</v>
      </c>
      <c r="E294" s="17">
        <v>40186.0</v>
      </c>
      <c r="F294" s="17">
        <v>42004.0</v>
      </c>
      <c r="G294" s="2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2" t="str">
        <f t="shared" si="119"/>
        <v>61467</v>
      </c>
      <c r="B295" s="13" t="s">
        <v>423</v>
      </c>
      <c r="C295" s="13" t="s">
        <v>11</v>
      </c>
      <c r="D295" s="13" t="s">
        <v>422</v>
      </c>
      <c r="E295" s="14">
        <v>39309.0</v>
      </c>
      <c r="F295" s="14">
        <v>42216.0</v>
      </c>
      <c r="G295" s="2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5" t="str">
        <f t="shared" ref="A296:A297" si="120">HYPERLINK("javascript:void%20window.open('https://ds3.dhss.ak.local/dsds/ds3/index.cfm?fuseaction=pro.view&amp;entityId=8484bad8-efb7-f249-3828-d90a1965b7d6')","96671")</f>
        <v>96671</v>
      </c>
      <c r="B296" s="16" t="s">
        <v>424</v>
      </c>
      <c r="C296" s="16" t="s">
        <v>11</v>
      </c>
      <c r="D296" s="16" t="s">
        <v>425</v>
      </c>
      <c r="E296" s="17">
        <v>40267.0</v>
      </c>
      <c r="F296" s="17">
        <v>42429.0</v>
      </c>
      <c r="G296" s="2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2" t="str">
        <f t="shared" si="120"/>
        <v>96671</v>
      </c>
      <c r="B297" s="13" t="s">
        <v>426</v>
      </c>
      <c r="C297" s="13" t="s">
        <v>11</v>
      </c>
      <c r="D297" s="13" t="s">
        <v>425</v>
      </c>
      <c r="E297" s="14">
        <v>40245.0</v>
      </c>
      <c r="F297" s="14">
        <v>42429.0</v>
      </c>
      <c r="G297" s="2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5" t="str">
        <f t="shared" ref="A298:A299" si="121">HYPERLINK("javascript:void%20window.open('https://ds3.dhss.ak.local/dsds/ds3/index.cfm?fuseaction=pro.view&amp;entityId=7b549be1-38eb-45b7-86e7-82310bad7224')","71769")</f>
        <v>71769</v>
      </c>
      <c r="B298" s="16" t="s">
        <v>427</v>
      </c>
      <c r="C298" s="16" t="s">
        <v>11</v>
      </c>
      <c r="D298" s="16" t="s">
        <v>428</v>
      </c>
      <c r="E298" s="17">
        <v>40267.0</v>
      </c>
      <c r="F298" s="17">
        <v>42429.0</v>
      </c>
      <c r="G298" s="2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2" t="str">
        <f t="shared" si="121"/>
        <v>71769</v>
      </c>
      <c r="B299" s="13" t="s">
        <v>429</v>
      </c>
      <c r="C299" s="13" t="s">
        <v>11</v>
      </c>
      <c r="D299" s="13" t="s">
        <v>428</v>
      </c>
      <c r="E299" s="14">
        <v>40245.0</v>
      </c>
      <c r="F299" s="14">
        <v>42429.0</v>
      </c>
      <c r="G299" s="2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5" t="str">
        <f t="shared" ref="A300:A301" si="122">HYPERLINK("javascript:void%20window.open('https://ds3.dhss.ak.local/dsds/ds3/index.cfm?fuseaction=pro.view&amp;entityId=5849c427-a30d-40fd-871f-c9e2274406a8')","31384")</f>
        <v>31384</v>
      </c>
      <c r="B300" s="16" t="s">
        <v>430</v>
      </c>
      <c r="C300" s="16" t="s">
        <v>11</v>
      </c>
      <c r="D300" s="16" t="s">
        <v>431</v>
      </c>
      <c r="E300" s="17">
        <v>38718.0</v>
      </c>
      <c r="F300" s="17">
        <v>42369.0</v>
      </c>
      <c r="G300" s="2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2" t="str">
        <f t="shared" si="122"/>
        <v>31384</v>
      </c>
      <c r="B301" s="13" t="s">
        <v>432</v>
      </c>
      <c r="C301" s="13" t="s">
        <v>11</v>
      </c>
      <c r="D301" s="13" t="s">
        <v>431</v>
      </c>
      <c r="E301" s="14">
        <v>37987.0</v>
      </c>
      <c r="F301" s="14">
        <v>42369.0</v>
      </c>
      <c r="G301" s="2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5" t="str">
        <f t="shared" ref="A302:A303" si="123">HYPERLINK("javascript:void%20window.open('https://ds3.dhss.ak.local/dsds/ds3/index.cfm?fuseaction=pro.view&amp;entityId=70192b31-7388-4a42-b56e-c4b95fa9277a')","31474")</f>
        <v>31474</v>
      </c>
      <c r="B302" s="16" t="s">
        <v>433</v>
      </c>
      <c r="C302" s="16" t="s">
        <v>11</v>
      </c>
      <c r="D302" s="16" t="s">
        <v>434</v>
      </c>
      <c r="E302" s="17">
        <v>38991.0</v>
      </c>
      <c r="F302" s="17">
        <v>41912.0</v>
      </c>
      <c r="G302" s="2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2" t="str">
        <f t="shared" si="123"/>
        <v>31474</v>
      </c>
      <c r="B303" s="13" t="s">
        <v>435</v>
      </c>
      <c r="C303" s="13" t="s">
        <v>11</v>
      </c>
      <c r="D303" s="13" t="s">
        <v>434</v>
      </c>
      <c r="E303" s="14">
        <v>38991.0</v>
      </c>
      <c r="F303" s="14">
        <v>41912.0</v>
      </c>
      <c r="G303" s="2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5" t="str">
        <f t="shared" ref="A304:A305" si="124">HYPERLINK("javascript:void%20window.open('https://ds3.dhss.ak.local/dsds/ds3/index.cfm?fuseaction=pro.view&amp;entityId=99863f63-d8eb-4712-b9bf-431d20553e32')","30087")</f>
        <v>30087</v>
      </c>
      <c r="B304" s="16" t="s">
        <v>436</v>
      </c>
      <c r="C304" s="16" t="s">
        <v>11</v>
      </c>
      <c r="D304" s="16" t="s">
        <v>437</v>
      </c>
      <c r="E304" s="17">
        <v>38991.0</v>
      </c>
      <c r="F304" s="17">
        <v>41882.0</v>
      </c>
      <c r="G304" s="2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2" t="str">
        <f t="shared" si="124"/>
        <v>30087</v>
      </c>
      <c r="B305" s="13" t="s">
        <v>438</v>
      </c>
      <c r="C305" s="13" t="s">
        <v>11</v>
      </c>
      <c r="D305" s="13" t="s">
        <v>437</v>
      </c>
      <c r="E305" s="14">
        <v>38991.0</v>
      </c>
      <c r="F305" s="14">
        <v>41882.0</v>
      </c>
      <c r="G305" s="2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5" t="str">
        <f t="shared" ref="A306:A307" si="125">HYPERLINK("javascript:void%20window.open('https://ds3.dhss.ak.local/dsds/ds3/index.cfm?fuseaction=pro.view&amp;entityId=6d307692-8459-4bfb-8679-36b9fa2e7353')","32454")</f>
        <v>32454</v>
      </c>
      <c r="B306" s="16" t="s">
        <v>439</v>
      </c>
      <c r="C306" s="16" t="s">
        <v>11</v>
      </c>
      <c r="D306" s="16" t="s">
        <v>440</v>
      </c>
      <c r="E306" s="17">
        <v>38991.0</v>
      </c>
      <c r="F306" s="17">
        <v>41943.0</v>
      </c>
      <c r="G306" s="2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2" t="str">
        <f t="shared" si="125"/>
        <v>32454</v>
      </c>
      <c r="B307" s="13" t="s">
        <v>441</v>
      </c>
      <c r="C307" s="13" t="s">
        <v>11</v>
      </c>
      <c r="D307" s="13" t="s">
        <v>440</v>
      </c>
      <c r="E307" s="14">
        <v>38991.0</v>
      </c>
      <c r="F307" s="14">
        <v>41943.0</v>
      </c>
      <c r="G307" s="2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5" t="str">
        <f t="shared" ref="A308:A309" si="126">HYPERLINK("javascript:void%20window.open('https://ds3.dhss.ak.local/dsds/ds3/index.cfm?fuseaction=pro.view&amp;entityId=a0380b99-ae5c-9681-99df-f90078bc96b4')","71025")</f>
        <v>71025</v>
      </c>
      <c r="B308" s="16" t="s">
        <v>442</v>
      </c>
      <c r="C308" s="16" t="s">
        <v>11</v>
      </c>
      <c r="D308" s="16" t="s">
        <v>443</v>
      </c>
      <c r="E308" s="17">
        <v>40056.0</v>
      </c>
      <c r="F308" s="17">
        <v>42247.0</v>
      </c>
      <c r="G308" s="2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2" t="str">
        <f t="shared" si="126"/>
        <v>71025</v>
      </c>
      <c r="B309" s="13" t="s">
        <v>444</v>
      </c>
      <c r="C309" s="13" t="s">
        <v>11</v>
      </c>
      <c r="D309" s="13" t="s">
        <v>443</v>
      </c>
      <c r="E309" s="14">
        <v>39699.0</v>
      </c>
      <c r="F309" s="14">
        <v>42247.0</v>
      </c>
      <c r="G309" s="2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5" t="str">
        <f t="shared" ref="A310:A311" si="127">HYPERLINK("javascript:void%20window.open('https://ds3.dhss.ak.local/dsds/ds3/index.cfm?fuseaction=pro.view&amp;entityId=cf744dc7-852f-464b-a3e8-4cdd449fb6d1')","32234")</f>
        <v>32234</v>
      </c>
      <c r="B310" s="16" t="s">
        <v>445</v>
      </c>
      <c r="C310" s="16" t="s">
        <v>11</v>
      </c>
      <c r="D310" s="16" t="s">
        <v>446</v>
      </c>
      <c r="E310" s="17">
        <v>38899.0</v>
      </c>
      <c r="F310" s="17">
        <v>42490.0</v>
      </c>
      <c r="G310" s="2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2" t="str">
        <f t="shared" si="127"/>
        <v>32234</v>
      </c>
      <c r="B311" s="13" t="s">
        <v>447</v>
      </c>
      <c r="C311" s="13" t="s">
        <v>11</v>
      </c>
      <c r="D311" s="13" t="s">
        <v>446</v>
      </c>
      <c r="E311" s="14">
        <v>38899.0</v>
      </c>
      <c r="F311" s="14">
        <v>42490.0</v>
      </c>
      <c r="G311" s="2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5" t="str">
        <f t="shared" ref="A312:A315" si="128">HYPERLINK("javascript:void%20window.open('https://ds3.dhss.ak.local/dsds/ds3/index.cfm?fuseaction=pro.view&amp;entityId=647fc06c-fa73-4ca4-ba5a-3d7de502120f')","31566")</f>
        <v>31566</v>
      </c>
      <c r="B312" s="16" t="s">
        <v>448</v>
      </c>
      <c r="C312" s="16" t="s">
        <v>11</v>
      </c>
      <c r="D312" s="16" t="s">
        <v>449</v>
      </c>
      <c r="E312" s="17">
        <v>39173.0</v>
      </c>
      <c r="F312" s="17">
        <v>42094.0</v>
      </c>
      <c r="G312" s="2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2" t="str">
        <f t="shared" si="128"/>
        <v>31566</v>
      </c>
      <c r="B313" s="13" t="s">
        <v>450</v>
      </c>
      <c r="C313" s="13" t="s">
        <v>11</v>
      </c>
      <c r="D313" s="13" t="s">
        <v>449</v>
      </c>
      <c r="E313" s="14">
        <v>39173.0</v>
      </c>
      <c r="F313" s="14">
        <v>42094.0</v>
      </c>
      <c r="G313" s="2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5" t="str">
        <f t="shared" si="128"/>
        <v>31566</v>
      </c>
      <c r="B314" s="16" t="s">
        <v>451</v>
      </c>
      <c r="C314" s="16" t="s">
        <v>11</v>
      </c>
      <c r="D314" s="16" t="s">
        <v>449</v>
      </c>
      <c r="E314" s="17">
        <v>36708.0</v>
      </c>
      <c r="F314" s="17">
        <v>42004.0</v>
      </c>
      <c r="G314" s="2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2" t="str">
        <f t="shared" si="128"/>
        <v>31566</v>
      </c>
      <c r="B315" s="13" t="s">
        <v>452</v>
      </c>
      <c r="C315" s="13" t="s">
        <v>11</v>
      </c>
      <c r="D315" s="13" t="s">
        <v>449</v>
      </c>
      <c r="E315" s="13"/>
      <c r="F315" s="14">
        <v>42004.0</v>
      </c>
      <c r="G315" s="2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5" t="str">
        <f t="shared" ref="A316:A317" si="129">HYPERLINK("javascript:void%20window.open('https://ds3.dhss.ak.local/dsds/ds3/index.cfm?fuseaction=pro.view&amp;entityId=0b3a0516-1b06-4124-961b-0c0e7344957a')","32753")</f>
        <v>32753</v>
      </c>
      <c r="B316" s="16" t="s">
        <v>453</v>
      </c>
      <c r="C316" s="16" t="s">
        <v>11</v>
      </c>
      <c r="D316" s="16" t="s">
        <v>454</v>
      </c>
      <c r="E316" s="17">
        <v>39326.0</v>
      </c>
      <c r="F316" s="17">
        <v>42247.0</v>
      </c>
      <c r="G316" s="2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2" t="str">
        <f t="shared" si="129"/>
        <v>32753</v>
      </c>
      <c r="B317" s="13" t="s">
        <v>455</v>
      </c>
      <c r="C317" s="13" t="s">
        <v>11</v>
      </c>
      <c r="D317" s="13" t="s">
        <v>454</v>
      </c>
      <c r="E317" s="14">
        <v>39326.0</v>
      </c>
      <c r="F317" s="14">
        <v>42247.0</v>
      </c>
      <c r="G317" s="2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5" t="str">
        <f t="shared" ref="A318:A319" si="130">HYPERLINK("javascript:void%20window.open('https://ds3.dhss.ak.local/dsds/ds3/index.cfm?fuseaction=pro.view&amp;entityId=ed41cac1-e15b-499c-b49d-db6756f570e4')","31777")</f>
        <v>31777</v>
      </c>
      <c r="B318" s="16" t="s">
        <v>456</v>
      </c>
      <c r="C318" s="16" t="s">
        <v>11</v>
      </c>
      <c r="D318" s="16" t="s">
        <v>457</v>
      </c>
      <c r="E318" s="17">
        <v>38452.0</v>
      </c>
      <c r="F318" s="17">
        <v>42094.0</v>
      </c>
      <c r="G318" s="2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2" t="str">
        <f t="shared" si="130"/>
        <v>31777</v>
      </c>
      <c r="B319" s="13" t="s">
        <v>458</v>
      </c>
      <c r="C319" s="13" t="s">
        <v>11</v>
      </c>
      <c r="D319" s="13" t="s">
        <v>457</v>
      </c>
      <c r="E319" s="14">
        <v>38452.0</v>
      </c>
      <c r="F319" s="14">
        <v>42094.0</v>
      </c>
      <c r="G319" s="2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5" t="str">
        <f t="shared" ref="A320:A321" si="131">HYPERLINK("javascript:void%20window.open('https://ds3.dhss.ak.local/dsds/ds3/index.cfm?fuseaction=pro.view&amp;entityId=79953390-8986-40df-948e-e292edc64f29')","32402")</f>
        <v>32402</v>
      </c>
      <c r="B320" s="16" t="s">
        <v>459</v>
      </c>
      <c r="C320" s="16" t="s">
        <v>11</v>
      </c>
      <c r="D320" s="16" t="s">
        <v>460</v>
      </c>
      <c r="E320" s="17">
        <v>39479.0</v>
      </c>
      <c r="F320" s="17">
        <v>42400.0</v>
      </c>
      <c r="G320" s="2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2" t="str">
        <f t="shared" si="131"/>
        <v>32402</v>
      </c>
      <c r="B321" s="13" t="s">
        <v>461</v>
      </c>
      <c r="C321" s="13" t="s">
        <v>11</v>
      </c>
      <c r="D321" s="13" t="s">
        <v>460</v>
      </c>
      <c r="E321" s="14">
        <v>38757.0</v>
      </c>
      <c r="F321" s="14">
        <v>42400.0</v>
      </c>
      <c r="G321" s="2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5" t="str">
        <f t="shared" ref="A322:A323" si="132">HYPERLINK("javascript:void%20window.open('https://ds3.dhss.ak.local/dsds/ds3/index.cfm?fuseaction=pro.view&amp;entityId=4027208a-3af2-4fc2-bedb-9ea609fdaccc')","32370")</f>
        <v>32370</v>
      </c>
      <c r="B322" s="16" t="s">
        <v>462</v>
      </c>
      <c r="C322" s="16" t="s">
        <v>11</v>
      </c>
      <c r="D322" s="16" t="s">
        <v>463</v>
      </c>
      <c r="E322" s="17">
        <v>39203.0</v>
      </c>
      <c r="F322" s="17">
        <v>42124.0</v>
      </c>
      <c r="G322" s="2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2" t="str">
        <f t="shared" si="132"/>
        <v>32370</v>
      </c>
      <c r="B323" s="13" t="s">
        <v>464</v>
      </c>
      <c r="C323" s="13" t="s">
        <v>11</v>
      </c>
      <c r="D323" s="13" t="s">
        <v>463</v>
      </c>
      <c r="E323" s="14">
        <v>39203.0</v>
      </c>
      <c r="F323" s="14">
        <v>42124.0</v>
      </c>
      <c r="G323" s="2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5" t="str">
        <f t="shared" ref="A324:A325" si="133">HYPERLINK("javascript:void%20window.open('https://ds3.dhss.ak.local/dsds/ds3/index.cfm?fuseaction=pro.view&amp;entityId=9c106338-16ae-4c34-a2f6-ec6560a1d8fa')","30100")</f>
        <v>30100</v>
      </c>
      <c r="B324" s="16" t="s">
        <v>465</v>
      </c>
      <c r="C324" s="16" t="s">
        <v>11</v>
      </c>
      <c r="D324" s="16" t="s">
        <v>466</v>
      </c>
      <c r="E324" s="17">
        <v>41046.0</v>
      </c>
      <c r="F324" s="17">
        <v>42094.0</v>
      </c>
      <c r="G324" s="2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2" t="str">
        <f t="shared" si="133"/>
        <v>30100</v>
      </c>
      <c r="B325" s="13" t="s">
        <v>467</v>
      </c>
      <c r="C325" s="13" t="s">
        <v>11</v>
      </c>
      <c r="D325" s="13" t="s">
        <v>466</v>
      </c>
      <c r="E325" s="14">
        <v>39173.0</v>
      </c>
      <c r="F325" s="14">
        <v>42094.0</v>
      </c>
      <c r="G325" s="2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5" t="str">
        <f t="shared" ref="A326:A327" si="134">HYPERLINK("javascript:void%20window.open('https://ds3.dhss.ak.local/dsds/ds3/index.cfm?fuseaction=pro.view&amp;entityId=7f2d198a-57d3-491a-b400-ed741c411152')","32481")</f>
        <v>32481</v>
      </c>
      <c r="B326" s="16" t="s">
        <v>468</v>
      </c>
      <c r="C326" s="16" t="s">
        <v>11</v>
      </c>
      <c r="D326" s="16" t="s">
        <v>469</v>
      </c>
      <c r="E326" s="17">
        <v>39234.0</v>
      </c>
      <c r="F326" s="17">
        <v>42308.0</v>
      </c>
      <c r="G326" s="2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2" t="str">
        <f t="shared" si="134"/>
        <v>32481</v>
      </c>
      <c r="B327" s="13" t="s">
        <v>470</v>
      </c>
      <c r="C327" s="13" t="s">
        <v>11</v>
      </c>
      <c r="D327" s="13" t="s">
        <v>469</v>
      </c>
      <c r="E327" s="14">
        <v>38677.0</v>
      </c>
      <c r="F327" s="14">
        <v>42308.0</v>
      </c>
      <c r="G327" s="2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9" t="str">
        <f t="shared" ref="A328:A329" si="135">HYPERLINK("javascript:void%20window.open('https://ds3.dhss.ak.local/dsds/ds3/index.cfm?fuseaction=pro.view&amp;entityId=2a4f37bf-bca9-a51c-2b71-aa8e7d3ff448')","104021")</f>
        <v>104021</v>
      </c>
      <c r="B328" s="10" t="s">
        <v>471</v>
      </c>
      <c r="C328" s="10" t="s">
        <v>11</v>
      </c>
      <c r="D328" s="10" t="s">
        <v>472</v>
      </c>
      <c r="E328" s="11">
        <v>41821.0</v>
      </c>
      <c r="F328" s="11">
        <v>42400.0</v>
      </c>
      <c r="G328" s="2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2" t="str">
        <f t="shared" si="135"/>
        <v>104021</v>
      </c>
      <c r="B329" s="13" t="s">
        <v>473</v>
      </c>
      <c r="C329" s="13" t="s">
        <v>11</v>
      </c>
      <c r="D329" s="13" t="s">
        <v>472</v>
      </c>
      <c r="E329" s="14">
        <v>40596.0</v>
      </c>
      <c r="F329" s="14">
        <v>41820.0</v>
      </c>
      <c r="G329" s="2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5" t="str">
        <f t="shared" ref="A330:A331" si="136">HYPERLINK("javascript:void%20window.open('https://ds3.dhss.ak.local/dsds/ds3/index.cfm?fuseaction=pro.view&amp;entityId=5566381b-d189-4cd5-bacb-8ce900f21eb8')","120726")</f>
        <v>120726</v>
      </c>
      <c r="B330" s="16" t="s">
        <v>474</v>
      </c>
      <c r="C330" s="16" t="s">
        <v>11</v>
      </c>
      <c r="D330" s="16" t="s">
        <v>475</v>
      </c>
      <c r="E330" s="17">
        <v>38991.0</v>
      </c>
      <c r="F330" s="17">
        <v>41882.0</v>
      </c>
      <c r="G330" s="2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2" t="str">
        <f t="shared" si="136"/>
        <v>120726</v>
      </c>
      <c r="B331" s="13" t="s">
        <v>476</v>
      </c>
      <c r="C331" s="13" t="s">
        <v>11</v>
      </c>
      <c r="D331" s="13" t="s">
        <v>475</v>
      </c>
      <c r="E331" s="14">
        <v>38991.0</v>
      </c>
      <c r="F331" s="14">
        <v>41882.0</v>
      </c>
      <c r="G331" s="2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5" t="str">
        <f t="shared" ref="A332:A334" si="137">HYPERLINK("javascript:void%20window.open('https://ds3.dhss.ak.local/dsds/ds3/index.cfm?fuseaction=pro.view&amp;entityId=10cb3f45-e6f8-4831-9674-e8e9992d8be4')","32389")</f>
        <v>32389</v>
      </c>
      <c r="B332" s="16" t="s">
        <v>477</v>
      </c>
      <c r="C332" s="16" t="s">
        <v>11</v>
      </c>
      <c r="D332" s="16" t="s">
        <v>478</v>
      </c>
      <c r="E332" s="17">
        <v>40546.0</v>
      </c>
      <c r="F332" s="17">
        <v>41882.0</v>
      </c>
      <c r="G332" s="2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2" t="str">
        <f t="shared" si="137"/>
        <v>32389</v>
      </c>
      <c r="B333" s="13" t="s">
        <v>479</v>
      </c>
      <c r="C333" s="13" t="s">
        <v>11</v>
      </c>
      <c r="D333" s="13" t="s">
        <v>478</v>
      </c>
      <c r="E333" s="14">
        <v>38991.0</v>
      </c>
      <c r="F333" s="14">
        <v>41882.0</v>
      </c>
      <c r="G333" s="2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5" t="str">
        <f t="shared" si="137"/>
        <v>32389</v>
      </c>
      <c r="B334" s="16" t="s">
        <v>480</v>
      </c>
      <c r="C334" s="16" t="s">
        <v>11</v>
      </c>
      <c r="D334" s="16" t="s">
        <v>478</v>
      </c>
      <c r="E334" s="17">
        <v>38991.0</v>
      </c>
      <c r="F334" s="17">
        <v>41882.0</v>
      </c>
      <c r="G334" s="2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2" t="str">
        <f t="shared" ref="A335:A336" si="138">HYPERLINK("javascript:void%20window.open('https://ds3.dhss.ak.local/dsds/ds3/index.cfm?fuseaction=pro.view&amp;entityId=f99bb205-92ed-4109-96cb-f94ab74f99fe')","71616")</f>
        <v>71616</v>
      </c>
      <c r="B335" s="13" t="s">
        <v>481</v>
      </c>
      <c r="C335" s="13" t="s">
        <v>11</v>
      </c>
      <c r="D335" s="13" t="s">
        <v>482</v>
      </c>
      <c r="E335" s="14">
        <v>38899.0</v>
      </c>
      <c r="F335" s="14">
        <v>42521.0</v>
      </c>
      <c r="G335" s="2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5" t="str">
        <f t="shared" si="138"/>
        <v>71616</v>
      </c>
      <c r="B336" s="16" t="s">
        <v>483</v>
      </c>
      <c r="C336" s="16" t="s">
        <v>11</v>
      </c>
      <c r="D336" s="16" t="s">
        <v>482</v>
      </c>
      <c r="E336" s="17">
        <v>38899.0</v>
      </c>
      <c r="F336" s="17">
        <v>42521.0</v>
      </c>
      <c r="G336" s="2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2" t="str">
        <f>HYPERLINK("javascript:void%20window.open('https://ds3.dhss.ak.local/dsds/ds3/index.cfm?fuseaction=pro.view&amp;entityId=d6a5b6d5-1638-425e-81ac-d1f747cbd4f5')","30492")</f>
        <v>30492</v>
      </c>
      <c r="B337" s="13" t="s">
        <v>484</v>
      </c>
      <c r="C337" s="13" t="s">
        <v>11</v>
      </c>
      <c r="D337" s="13" t="s">
        <v>485</v>
      </c>
      <c r="E337" s="14">
        <v>38899.0</v>
      </c>
      <c r="F337" s="14">
        <v>40908.0</v>
      </c>
      <c r="G337" s="2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9" t="str">
        <f t="shared" ref="A338:A339" si="139">HYPERLINK("javascript:void%20window.open('https://ds3.dhss.ak.local/dsds/ds3/index.cfm?fuseaction=pro.view&amp;entityId=132e2544-5056-bc68-7362-ec39c3b7db95')","154014")</f>
        <v>154014</v>
      </c>
      <c r="B338" s="10" t="s">
        <v>486</v>
      </c>
      <c r="C338" s="10" t="s">
        <v>11</v>
      </c>
      <c r="D338" s="10" t="s">
        <v>487</v>
      </c>
      <c r="E338" s="11">
        <v>41537.0</v>
      </c>
      <c r="F338" s="11">
        <v>41882.0</v>
      </c>
      <c r="G338" s="2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9" t="str">
        <f t="shared" si="139"/>
        <v>154014</v>
      </c>
      <c r="B339" s="10" t="s">
        <v>488</v>
      </c>
      <c r="C339" s="10" t="s">
        <v>11</v>
      </c>
      <c r="D339" s="10" t="s">
        <v>487</v>
      </c>
      <c r="E339" s="11">
        <v>41537.0</v>
      </c>
      <c r="F339" s="11">
        <v>41882.0</v>
      </c>
      <c r="G339" s="2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5" t="str">
        <f t="shared" ref="A340:A342" si="140">HYPERLINK("javascript:void%20window.open('https://ds3.dhss.ak.local/dsds/ds3/index.cfm?fuseaction=pro.view&amp;entityId=0600a325-b7eb-4d95-ad91-bbed5d865ad7')","32411")</f>
        <v>32411</v>
      </c>
      <c r="B340" s="16" t="s">
        <v>489</v>
      </c>
      <c r="C340" s="16" t="s">
        <v>11</v>
      </c>
      <c r="D340" s="16" t="s">
        <v>490</v>
      </c>
      <c r="E340" s="17">
        <v>39326.0</v>
      </c>
      <c r="F340" s="17">
        <v>42247.0</v>
      </c>
      <c r="G340" s="2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2" t="str">
        <f t="shared" si="140"/>
        <v>32411</v>
      </c>
      <c r="B341" s="13" t="s">
        <v>491</v>
      </c>
      <c r="C341" s="13" t="s">
        <v>11</v>
      </c>
      <c r="D341" s="13" t="s">
        <v>490</v>
      </c>
      <c r="E341" s="14">
        <v>39307.0</v>
      </c>
      <c r="F341" s="14">
        <v>42247.0</v>
      </c>
      <c r="G341" s="2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5" t="str">
        <f t="shared" si="140"/>
        <v>32411</v>
      </c>
      <c r="B342" s="16" t="s">
        <v>492</v>
      </c>
      <c r="C342" s="16" t="s">
        <v>11</v>
      </c>
      <c r="D342" s="16" t="s">
        <v>490</v>
      </c>
      <c r="E342" s="17">
        <v>39048.0</v>
      </c>
      <c r="F342" s="17">
        <v>42004.0</v>
      </c>
      <c r="G342" s="2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2" t="str">
        <f t="shared" ref="A343:A344" si="141">HYPERLINK("javascript:void%20window.open('https://ds3.dhss.ak.local/dsds/ds3/index.cfm?fuseaction=pro.view&amp;entityId=4e265229-d895-01f9-2011-fdc59accdb2f')","84312")</f>
        <v>84312</v>
      </c>
      <c r="B343" s="13" t="s">
        <v>493</v>
      </c>
      <c r="C343" s="13" t="s">
        <v>11</v>
      </c>
      <c r="D343" s="13" t="s">
        <v>494</v>
      </c>
      <c r="E343" s="14">
        <v>40247.0</v>
      </c>
      <c r="F343" s="14">
        <v>42582.0</v>
      </c>
      <c r="G343" s="2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5" t="str">
        <f t="shared" si="141"/>
        <v>84312</v>
      </c>
      <c r="B344" s="16" t="s">
        <v>495</v>
      </c>
      <c r="C344" s="16" t="s">
        <v>11</v>
      </c>
      <c r="D344" s="16" t="s">
        <v>494</v>
      </c>
      <c r="E344" s="17">
        <v>40045.0</v>
      </c>
      <c r="F344" s="17">
        <v>42582.0</v>
      </c>
      <c r="G344" s="2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2" t="str">
        <f t="shared" ref="A345:A346" si="142">HYPERLINK("javascript:void%20window.open('https://ds3.dhss.ak.local/dsds/ds3/index.cfm?fuseaction=pro.view&amp;entityId=e52fc7cc-bce3-5e24-0ae4-b808ee943159')","102794")</f>
        <v>102794</v>
      </c>
      <c r="B345" s="13" t="s">
        <v>496</v>
      </c>
      <c r="C345" s="13" t="s">
        <v>11</v>
      </c>
      <c r="D345" s="13" t="s">
        <v>497</v>
      </c>
      <c r="E345" s="14">
        <v>40458.0</v>
      </c>
      <c r="F345" s="14">
        <v>42308.0</v>
      </c>
      <c r="G345" s="2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5" t="str">
        <f t="shared" si="142"/>
        <v>102794</v>
      </c>
      <c r="B346" s="16" t="s">
        <v>498</v>
      </c>
      <c r="C346" s="16" t="s">
        <v>11</v>
      </c>
      <c r="D346" s="16" t="s">
        <v>497</v>
      </c>
      <c r="E346" s="17">
        <v>40458.0</v>
      </c>
      <c r="F346" s="17">
        <v>42308.0</v>
      </c>
      <c r="G346" s="2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2" t="str">
        <f t="shared" ref="A347:A348" si="143">HYPERLINK("javascript:void%20window.open('https://ds3.dhss.ak.local/dsds/ds3/index.cfm?fuseaction=pro.view&amp;entityId=e918e77a-b513-c4ed-d42b-b683c95a31c5')","93176")</f>
        <v>93176</v>
      </c>
      <c r="B347" s="13" t="s">
        <v>499</v>
      </c>
      <c r="C347" s="13" t="s">
        <v>11</v>
      </c>
      <c r="D347" s="13" t="s">
        <v>500</v>
      </c>
      <c r="E347" s="14">
        <v>41277.0</v>
      </c>
      <c r="F347" s="14">
        <v>42369.0</v>
      </c>
      <c r="G347" s="2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5" t="str">
        <f t="shared" si="143"/>
        <v>93176</v>
      </c>
      <c r="B348" s="16" t="s">
        <v>501</v>
      </c>
      <c r="C348" s="16" t="s">
        <v>11</v>
      </c>
      <c r="D348" s="16" t="s">
        <v>500</v>
      </c>
      <c r="E348" s="17">
        <v>40228.0</v>
      </c>
      <c r="F348" s="17">
        <v>42035.0</v>
      </c>
      <c r="G348" s="2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2" t="str">
        <f t="shared" ref="A349:A351" si="144">HYPERLINK("javascript:void%20window.open('https://ds3.dhss.ak.local/dsds/ds3/index.cfm?fuseaction=pro.view&amp;entityId=5be49601-ce49-4954-8898-e3e1a5288603')","61459")</f>
        <v>61459</v>
      </c>
      <c r="B349" s="13" t="s">
        <v>502</v>
      </c>
      <c r="C349" s="13" t="s">
        <v>11</v>
      </c>
      <c r="D349" s="13" t="s">
        <v>503</v>
      </c>
      <c r="E349" s="14">
        <v>39692.0</v>
      </c>
      <c r="F349" s="14">
        <v>41882.0</v>
      </c>
      <c r="G349" s="2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5" t="str">
        <f t="shared" si="144"/>
        <v>61459</v>
      </c>
      <c r="B350" s="16" t="s">
        <v>504</v>
      </c>
      <c r="C350" s="16" t="s">
        <v>11</v>
      </c>
      <c r="D350" s="16" t="s">
        <v>503</v>
      </c>
      <c r="E350" s="17">
        <v>38991.0</v>
      </c>
      <c r="F350" s="17">
        <v>41882.0</v>
      </c>
      <c r="G350" s="2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2" t="str">
        <f t="shared" si="144"/>
        <v>61459</v>
      </c>
      <c r="B351" s="13" t="s">
        <v>505</v>
      </c>
      <c r="C351" s="13" t="s">
        <v>11</v>
      </c>
      <c r="D351" s="13" t="s">
        <v>503</v>
      </c>
      <c r="E351" s="14">
        <v>38991.0</v>
      </c>
      <c r="F351" s="14">
        <v>41882.0</v>
      </c>
      <c r="G351" s="2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5" t="str">
        <f t="shared" ref="A352:A353" si="145">HYPERLINK("javascript:void%20window.open('https://ds3.dhss.ak.local/dsds/ds3/index.cfm?fuseaction=pro.view&amp;entityId=a1057c4d-a955-41dd-a88d-73fad87e2d4c')","31689")</f>
        <v>31689</v>
      </c>
      <c r="B352" s="16" t="s">
        <v>506</v>
      </c>
      <c r="C352" s="16" t="s">
        <v>11</v>
      </c>
      <c r="D352" s="16" t="s">
        <v>507</v>
      </c>
      <c r="E352" s="17">
        <v>39170.0</v>
      </c>
      <c r="F352" s="17">
        <v>42428.0</v>
      </c>
      <c r="G352" s="2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2" t="str">
        <f t="shared" si="145"/>
        <v>31689</v>
      </c>
      <c r="B353" s="13" t="s">
        <v>508</v>
      </c>
      <c r="C353" s="13" t="s">
        <v>11</v>
      </c>
      <c r="D353" s="13" t="s">
        <v>507</v>
      </c>
      <c r="E353" s="14">
        <v>39045.0</v>
      </c>
      <c r="F353" s="14">
        <v>42004.0</v>
      </c>
      <c r="G353" s="2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5" t="str">
        <f t="shared" ref="A354:A355" si="146">HYPERLINK("javascript:void%20window.open('https://ds3.dhss.ak.local/dsds/ds3/index.cfm?fuseaction=pro.view&amp;entityId=0e55e818-d9f0-1262-3770-36006eb3762b')","82023")</f>
        <v>82023</v>
      </c>
      <c r="B354" s="16" t="s">
        <v>509</v>
      </c>
      <c r="C354" s="16" t="s">
        <v>11</v>
      </c>
      <c r="D354" s="16" t="s">
        <v>510</v>
      </c>
      <c r="E354" s="17">
        <v>39976.0</v>
      </c>
      <c r="F354" s="17">
        <v>41912.0</v>
      </c>
      <c r="G354" s="2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2" t="str">
        <f t="shared" si="146"/>
        <v>82023</v>
      </c>
      <c r="B355" s="13" t="s">
        <v>511</v>
      </c>
      <c r="C355" s="13" t="s">
        <v>11</v>
      </c>
      <c r="D355" s="13" t="s">
        <v>510</v>
      </c>
      <c r="E355" s="14">
        <v>39976.0</v>
      </c>
      <c r="F355" s="14">
        <v>41912.0</v>
      </c>
      <c r="G355" s="2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5" t="str">
        <f t="shared" ref="A356:A357" si="147">HYPERLINK("javascript:void%20window.open('https://ds3.dhss.ak.local/dsds/ds3/index.cfm?fuseaction=pro.view&amp;entityId=0e5d2e14-6343-4fd5-a410-1d352332879e')","32333")</f>
        <v>32333</v>
      </c>
      <c r="B356" s="16" t="s">
        <v>512</v>
      </c>
      <c r="C356" s="16" t="s">
        <v>11</v>
      </c>
      <c r="D356" s="16" t="s">
        <v>513</v>
      </c>
      <c r="E356" s="17">
        <v>39172.0</v>
      </c>
      <c r="F356" s="17">
        <v>42063.0</v>
      </c>
      <c r="G356" s="2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2" t="str">
        <f t="shared" si="147"/>
        <v>32333</v>
      </c>
      <c r="B357" s="13" t="s">
        <v>514</v>
      </c>
      <c r="C357" s="13" t="s">
        <v>11</v>
      </c>
      <c r="D357" s="13" t="s">
        <v>513</v>
      </c>
      <c r="E357" s="14">
        <v>39142.0</v>
      </c>
      <c r="F357" s="14">
        <v>42063.0</v>
      </c>
      <c r="G357" s="2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5" t="str">
        <f t="shared" ref="A358:A359" si="148">HYPERLINK("javascript:void%20window.open('https://ds3.dhss.ak.local/dsds/ds3/index.cfm?fuseaction=pro.view&amp;entityId=132d0384-86ad-4a3d-bf1e-3424e2f5adf2')","32686")</f>
        <v>32686</v>
      </c>
      <c r="B358" s="16" t="s">
        <v>515</v>
      </c>
      <c r="C358" s="16" t="s">
        <v>11</v>
      </c>
      <c r="D358" s="16" t="s">
        <v>516</v>
      </c>
      <c r="E358" s="17">
        <v>39156.0</v>
      </c>
      <c r="F358" s="17">
        <v>42429.0</v>
      </c>
      <c r="G358" s="2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2" t="str">
        <f t="shared" si="148"/>
        <v>32686</v>
      </c>
      <c r="B359" s="13" t="s">
        <v>517</v>
      </c>
      <c r="C359" s="13" t="s">
        <v>11</v>
      </c>
      <c r="D359" s="13" t="s">
        <v>516</v>
      </c>
      <c r="E359" s="14">
        <v>39156.0</v>
      </c>
      <c r="F359" s="14">
        <v>42429.0</v>
      </c>
      <c r="G359" s="2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9" t="str">
        <f t="shared" ref="A360:A362" si="149">HYPERLINK("javascript:void%20window.open('https://ds3.dhss.ak.local/dsds/ds3/index.cfm?fuseaction=pro.view&amp;entityId=09c2ff78-bdc8-1dce-571f-930254788c47')","88914")</f>
        <v>88914</v>
      </c>
      <c r="B360" s="10" t="s">
        <v>518</v>
      </c>
      <c r="C360" s="10" t="s">
        <v>11</v>
      </c>
      <c r="D360" s="10" t="s">
        <v>519</v>
      </c>
      <c r="E360" s="11">
        <v>41548.0</v>
      </c>
      <c r="F360" s="11">
        <v>42277.0</v>
      </c>
      <c r="G360" s="2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9" t="str">
        <f t="shared" si="149"/>
        <v>88914</v>
      </c>
      <c r="B361" s="10" t="s">
        <v>520</v>
      </c>
      <c r="C361" s="10" t="s">
        <v>11</v>
      </c>
      <c r="D361" s="10" t="s">
        <v>519</v>
      </c>
      <c r="E361" s="11">
        <v>41548.0</v>
      </c>
      <c r="F361" s="11">
        <v>42277.0</v>
      </c>
      <c r="G361" s="2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5" t="str">
        <f t="shared" si="149"/>
        <v>88914</v>
      </c>
      <c r="B362" s="16" t="s">
        <v>521</v>
      </c>
      <c r="C362" s="16" t="s">
        <v>11</v>
      </c>
      <c r="D362" s="16" t="s">
        <v>519</v>
      </c>
      <c r="E362" s="17">
        <v>40130.0</v>
      </c>
      <c r="F362" s="17">
        <v>41943.0</v>
      </c>
      <c r="G362" s="2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2" t="str">
        <f t="shared" ref="A363:A364" si="150">HYPERLINK("javascript:void%20window.open('https://ds3.dhss.ak.local/dsds/ds3/index.cfm?fuseaction=pro.view&amp;entityId=184e629d-9e21-18a3-39ee-1db561b3d666')","102834")</f>
        <v>102834</v>
      </c>
      <c r="B363" s="13" t="s">
        <v>522</v>
      </c>
      <c r="C363" s="13" t="s">
        <v>11</v>
      </c>
      <c r="D363" s="13" t="s">
        <v>523</v>
      </c>
      <c r="E363" s="14">
        <v>40452.0</v>
      </c>
      <c r="F363" s="14">
        <v>41882.0</v>
      </c>
      <c r="G363" s="2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5" t="str">
        <f t="shared" si="150"/>
        <v>102834</v>
      </c>
      <c r="B364" s="16" t="s">
        <v>524</v>
      </c>
      <c r="C364" s="16" t="s">
        <v>11</v>
      </c>
      <c r="D364" s="16" t="s">
        <v>523</v>
      </c>
      <c r="E364" s="17">
        <v>40452.0</v>
      </c>
      <c r="F364" s="17">
        <v>41882.0</v>
      </c>
      <c r="G364" s="2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2" t="str">
        <f>HYPERLINK("javascript:void%20window.open('https://ds3.dhss.ak.local/dsds/ds3/index.cfm?fuseaction=pro.view&amp;entityId=7f04efce-da73-679b-a473-7cfa248ef39e')","89968")</f>
        <v>89968</v>
      </c>
      <c r="B365" s="13" t="s">
        <v>525</v>
      </c>
      <c r="C365" s="13" t="s">
        <v>11</v>
      </c>
      <c r="D365" s="13" t="s">
        <v>526</v>
      </c>
      <c r="E365" s="14">
        <v>40207.0</v>
      </c>
      <c r="F365" s="14">
        <v>42004.0</v>
      </c>
      <c r="G365" s="2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5" t="str">
        <f>HYPERLINK("javascript:void%20window.open('https://ds3.dhss.ak.local/dsds/ds3/index.cfm?fuseaction=pro.view&amp;entityId=e6abce27-cea7-984f-b806-3fea382f6878')","69613")</f>
        <v>69613</v>
      </c>
      <c r="B366" s="16" t="s">
        <v>527</v>
      </c>
      <c r="C366" s="16" t="s">
        <v>11</v>
      </c>
      <c r="D366" s="16" t="s">
        <v>528</v>
      </c>
      <c r="E366" s="17">
        <v>39679.0</v>
      </c>
      <c r="F366" s="17">
        <v>42216.0</v>
      </c>
      <c r="G366" s="2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2" t="str">
        <f>HYPERLINK("javascript:void%20window.open('https://ds3.dhss.ak.local/dsds/ds3/index.cfm?fuseaction=pro.view&amp;entityId=d10d29f4-6315-439a-8819-77f51bfab37e')","30771")</f>
        <v>30771</v>
      </c>
      <c r="B367" s="13" t="s">
        <v>529</v>
      </c>
      <c r="C367" s="13" t="s">
        <v>11</v>
      </c>
      <c r="D367" s="13" t="s">
        <v>530</v>
      </c>
      <c r="E367" s="14">
        <v>39052.0</v>
      </c>
      <c r="F367" s="14">
        <v>42004.0</v>
      </c>
      <c r="G367" s="2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5" t="str">
        <f>HYPERLINK("javascript:void%20window.open('https://ds3.dhss.ak.local/dsds/ds3/index.cfm?fuseaction=pro.view&amp;entityId=6217e47b-bcc4-5bd8-cbd9-55fd4116569a')","98500")</f>
        <v>98500</v>
      </c>
      <c r="B368" s="16" t="s">
        <v>531</v>
      </c>
      <c r="C368" s="16" t="s">
        <v>11</v>
      </c>
      <c r="D368" s="16" t="s">
        <v>532</v>
      </c>
      <c r="E368" s="17">
        <v>40340.0</v>
      </c>
      <c r="F368" s="17">
        <v>42155.0</v>
      </c>
      <c r="G368" s="2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9" t="str">
        <f>HYPERLINK("javascript:void%20window.open('https://ds3.dhss.ak.local/dsds/ds3/index.cfm?fuseaction=pro.view&amp;entityId=429549cd-5056-bc68-730d-61cddb603d35')","143088")</f>
        <v>143088</v>
      </c>
      <c r="B369" s="10" t="s">
        <v>533</v>
      </c>
      <c r="C369" s="10" t="s">
        <v>11</v>
      </c>
      <c r="D369" s="10" t="s">
        <v>534</v>
      </c>
      <c r="E369" s="11">
        <v>41456.0</v>
      </c>
      <c r="F369" s="11">
        <v>42185.0</v>
      </c>
      <c r="G369" s="2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9" t="str">
        <f>HYPERLINK("javascript:void%20window.open('https://ds3.dhss.ak.local/dsds/ds3/index.cfm?fuseaction=pro.view&amp;entityId=8df2f8b5-5056-bc68-7368-8630e65dbe91')","154703")</f>
        <v>154703</v>
      </c>
      <c r="B370" s="10" t="s">
        <v>535</v>
      </c>
      <c r="C370" s="10" t="s">
        <v>11</v>
      </c>
      <c r="D370" s="10" t="s">
        <v>536</v>
      </c>
      <c r="E370" s="11">
        <v>41493.0</v>
      </c>
      <c r="F370" s="11">
        <v>42582.0</v>
      </c>
      <c r="G370" s="2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9" t="str">
        <f>HYPERLINK("javascript:void%20window.open('https://ds3.dhss.ak.local/dsds/ds3/index.cfm?fuseaction=pro.view&amp;entityId=b2002505-b6b3-a039-2a03-3b8b962513c8')","110462")</f>
        <v>110462</v>
      </c>
      <c r="B371" s="10" t="s">
        <v>537</v>
      </c>
      <c r="C371" s="10" t="s">
        <v>11</v>
      </c>
      <c r="D371" s="10" t="s">
        <v>538</v>
      </c>
      <c r="E371" s="11">
        <v>41730.0</v>
      </c>
      <c r="F371" s="11">
        <v>42551.0</v>
      </c>
      <c r="G371" s="2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5" t="str">
        <f>HYPERLINK("javascript:void%20window.open('https://ds3.dhss.ak.local/dsds/ds3/index.cfm?fuseaction=pro.view&amp;entityId=29b6693e-05c6-7084-2ec8-4a69d20ae2ff')","104015")</f>
        <v>104015</v>
      </c>
      <c r="B372" s="16" t="s">
        <v>539</v>
      </c>
      <c r="C372" s="16" t="s">
        <v>11</v>
      </c>
      <c r="D372" s="16" t="s">
        <v>540</v>
      </c>
      <c r="E372" s="17">
        <v>40609.0</v>
      </c>
      <c r="F372" s="17">
        <v>42428.0</v>
      </c>
      <c r="G372" s="2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2" t="str">
        <f>HYPERLINK("javascript:void%20window.open('https://ds3.dhss.ak.local/dsds/ds3/index.cfm?fuseaction=pro.view&amp;entityId=224fb85e-d0f1-704c-de87-9b8673a5100c')","113941")</f>
        <v>113941</v>
      </c>
      <c r="B373" s="13" t="s">
        <v>541</v>
      </c>
      <c r="C373" s="13" t="s">
        <v>11</v>
      </c>
      <c r="D373" s="13" t="s">
        <v>542</v>
      </c>
      <c r="E373" s="14">
        <v>40759.0</v>
      </c>
      <c r="F373" s="14">
        <v>42582.0</v>
      </c>
      <c r="G373" s="2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9" t="str">
        <f>HYPERLINK("javascript:void%20window.open('https://ds3.dhss.ak.local/dsds/ds3/index.cfm?fuseaction=pro.view&amp;entityId=3c930f93-5056-bc68-7377-4e9a147a067f')","158644")</f>
        <v>158644</v>
      </c>
      <c r="B374" s="10" t="s">
        <v>543</v>
      </c>
      <c r="C374" s="10" t="s">
        <v>11</v>
      </c>
      <c r="D374" s="10" t="s">
        <v>544</v>
      </c>
      <c r="E374" s="11">
        <v>41708.0</v>
      </c>
      <c r="F374" s="11">
        <v>42063.0</v>
      </c>
      <c r="G374" s="2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2" t="str">
        <f>HYPERLINK("javascript:void%20window.open('https://ds3.dhss.ak.local/dsds/ds3/index.cfm?fuseaction=pro.view&amp;entityId=f53de00e-3807-4932-903d-29bee0535faa')","31741")</f>
        <v>31741</v>
      </c>
      <c r="B375" s="13" t="s">
        <v>545</v>
      </c>
      <c r="C375" s="13" t="s">
        <v>11</v>
      </c>
      <c r="D375" s="13" t="s">
        <v>546</v>
      </c>
      <c r="E375" s="14">
        <v>39358.0</v>
      </c>
      <c r="F375" s="14">
        <v>42338.0</v>
      </c>
      <c r="G375" s="2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5" t="str">
        <f>HYPERLINK("javascript:void%20window.open('https://ds3.dhss.ak.local/dsds/ds3/index.cfm?fuseaction=pro.view&amp;entityId=d154df0f-ac65-2fc0-9440-f3e8c58a5224')","126699")</f>
        <v>126699</v>
      </c>
      <c r="B376" s="16" t="s">
        <v>547</v>
      </c>
      <c r="C376" s="16" t="s">
        <v>11</v>
      </c>
      <c r="D376" s="16" t="s">
        <v>548</v>
      </c>
      <c r="E376" s="17">
        <v>40882.0</v>
      </c>
      <c r="F376" s="17">
        <v>42613.0</v>
      </c>
      <c r="G376" s="2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2" t="str">
        <f>HYPERLINK("javascript:void%20window.open('https://ds3.dhss.ak.local/dsds/ds3/index.cfm?fuseaction=pro.view&amp;entityId=e9107f46-e98b-aab5-2b0f-8d2db5883352')","102799")</f>
        <v>102799</v>
      </c>
      <c r="B377" s="13" t="s">
        <v>549</v>
      </c>
      <c r="C377" s="13" t="s">
        <v>11</v>
      </c>
      <c r="D377" s="13" t="s">
        <v>550</v>
      </c>
      <c r="E377" s="14">
        <v>40206.0</v>
      </c>
      <c r="F377" s="14">
        <v>42369.0</v>
      </c>
      <c r="G377" s="2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5" t="str">
        <f>HYPERLINK("javascript:void%20window.open('https://ds3.dhss.ak.local/dsds/ds3/index.cfm?fuseaction=pro.view&amp;entityId=8f320a0c-fcc1-4b6d-8580-0bf48915ca39')","36823")</f>
        <v>36823</v>
      </c>
      <c r="B378" s="16" t="s">
        <v>551</v>
      </c>
      <c r="C378" s="16" t="s">
        <v>11</v>
      </c>
      <c r="D378" s="16" t="s">
        <v>552</v>
      </c>
      <c r="E378" s="17">
        <v>40704.0</v>
      </c>
      <c r="F378" s="17">
        <v>41851.0</v>
      </c>
      <c r="G378" s="2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9" t="str">
        <f>HYPERLINK("javascript:void%20window.open('https://ds3.dhss.ak.local/dsds/ds3/index.cfm?fuseaction=pro.view&amp;entityId=e09bc392-90c0-44b0-8a2d-56d7307db664')","32668")</f>
        <v>32668</v>
      </c>
      <c r="B379" s="10" t="s">
        <v>553</v>
      </c>
      <c r="C379" s="10" t="s">
        <v>11</v>
      </c>
      <c r="D379" s="10" t="s">
        <v>554</v>
      </c>
      <c r="E379" s="11">
        <v>41487.0</v>
      </c>
      <c r="F379" s="11">
        <v>42216.0</v>
      </c>
      <c r="G379" s="2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5" t="str">
        <f>HYPERLINK("javascript:void%20window.open('https://ds3.dhss.ak.local/dsds/ds3/index.cfm?fuseaction=pro.view&amp;entityId=b51af803-acf0-b6bf-2493-c2ea7fbcdd68')","131108")</f>
        <v>131108</v>
      </c>
      <c r="B380" s="16" t="s">
        <v>555</v>
      </c>
      <c r="C380" s="16" t="s">
        <v>11</v>
      </c>
      <c r="D380" s="16" t="s">
        <v>556</v>
      </c>
      <c r="E380" s="17">
        <v>40980.0</v>
      </c>
      <c r="F380" s="17">
        <v>41912.0</v>
      </c>
      <c r="G380" s="2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2" t="str">
        <f>HYPERLINK("javascript:void%20window.open('https://ds3.dhss.ak.local/dsds/ds3/index.cfm?fuseaction=pro.view&amp;entityId=1b5a2171-65be-f484-0018-4b260437b332')","65790")</f>
        <v>65790</v>
      </c>
      <c r="B381" s="13" t="s">
        <v>557</v>
      </c>
      <c r="C381" s="13" t="s">
        <v>11</v>
      </c>
      <c r="D381" s="13" t="s">
        <v>558</v>
      </c>
      <c r="E381" s="14">
        <v>39469.0</v>
      </c>
      <c r="F381" s="14">
        <v>42369.0</v>
      </c>
      <c r="G381" s="2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9" t="str">
        <f>HYPERLINK("javascript:void%20window.open('https://ds3.dhss.ak.local/dsds/ds3/index.cfm?fuseaction=pro.view&amp;entityId=24daf5ce-ae15-49da-8a60-520b44b9299a')","32293")</f>
        <v>32293</v>
      </c>
      <c r="B382" s="10" t="s">
        <v>559</v>
      </c>
      <c r="C382" s="10" t="s">
        <v>11</v>
      </c>
      <c r="D382" s="10" t="s">
        <v>560</v>
      </c>
      <c r="E382" s="11">
        <v>41456.0</v>
      </c>
      <c r="F382" s="11">
        <v>42185.0</v>
      </c>
      <c r="G382" s="2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2" t="str">
        <f>HYPERLINK("javascript:void%20window.open('https://ds3.dhss.ak.local/dsds/ds3/index.cfm?fuseaction=pro.view&amp;entityId=9779de13-05e2-4ab6-86eb-a31386a4e71f')","30331")</f>
        <v>30331</v>
      </c>
      <c r="B383" s="13" t="s">
        <v>561</v>
      </c>
      <c r="C383" s="13" t="s">
        <v>11</v>
      </c>
      <c r="D383" s="13" t="s">
        <v>562</v>
      </c>
      <c r="E383" s="14">
        <v>39142.0</v>
      </c>
      <c r="F383" s="14">
        <v>42063.0</v>
      </c>
      <c r="G383" s="2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5" t="str">
        <f>HYPERLINK("javascript:void%20window.open('https://ds3.dhss.ak.local/dsds/ds3/index.cfm?fuseaction=pro.view&amp;entityId=5f614faa-8a1e-440f-9184-07541f7e9808')","31432")</f>
        <v>31432</v>
      </c>
      <c r="B384" s="16" t="s">
        <v>563</v>
      </c>
      <c r="C384" s="16" t="s">
        <v>11</v>
      </c>
      <c r="D384" s="16" t="s">
        <v>564</v>
      </c>
      <c r="E384" s="17">
        <v>38899.0</v>
      </c>
      <c r="F384" s="17">
        <v>42551.0</v>
      </c>
      <c r="G384" s="2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2" t="str">
        <f>HYPERLINK("javascript:void%20window.open('https://ds3.dhss.ak.local/dsds/ds3/index.cfm?fuseaction=pro.view&amp;entityId=2a2d5360-9c46-90c5-e5cb-fa0f53b751cc')","104019")</f>
        <v>104019</v>
      </c>
      <c r="B385" s="13" t="s">
        <v>565</v>
      </c>
      <c r="C385" s="13" t="s">
        <v>11</v>
      </c>
      <c r="D385" s="13" t="s">
        <v>566</v>
      </c>
      <c r="E385" s="14">
        <v>40567.0</v>
      </c>
      <c r="F385" s="14">
        <v>42400.0</v>
      </c>
      <c r="G385" s="2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5" t="str">
        <f>HYPERLINK("javascript:void%20window.open('https://ds3.dhss.ak.local/dsds/ds3/index.cfm?fuseaction=pro.view&amp;entityId=846adc51-6e96-4e7f-a0fb-394dcac0fcb9')","31612")</f>
        <v>31612</v>
      </c>
      <c r="B386" s="16" t="s">
        <v>567</v>
      </c>
      <c r="C386" s="16" t="s">
        <v>11</v>
      </c>
      <c r="D386" s="16" t="s">
        <v>568</v>
      </c>
      <c r="E386" s="16"/>
      <c r="F386" s="17">
        <v>42004.0</v>
      </c>
      <c r="G386" s="2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9" t="str">
        <f>HYPERLINK("javascript:void%20window.open('https://ds3.dhss.ak.local/dsds/ds3/index.cfm?fuseaction=pro.view&amp;entityId=a2999ff4-5056-bc68-7330-0b6898700fa7')","163900")</f>
        <v>163900</v>
      </c>
      <c r="B387" s="10" t="s">
        <v>569</v>
      </c>
      <c r="C387" s="10" t="s">
        <v>11</v>
      </c>
      <c r="D387" s="10" t="s">
        <v>570</v>
      </c>
      <c r="E387" s="11">
        <v>41821.0</v>
      </c>
      <c r="F387" s="11">
        <v>42185.0</v>
      </c>
      <c r="G387" s="2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5" t="str">
        <f>HYPERLINK("javascript:void%20window.open('https://ds3.dhss.ak.local/dsds/ds3/index.cfm?fuseaction=pro.view&amp;entityId=6d67f4f9-b627-359c-a306-7bfdf1796838')","105735")</f>
        <v>105735</v>
      </c>
      <c r="B388" s="16" t="s">
        <v>571</v>
      </c>
      <c r="C388" s="16" t="s">
        <v>11</v>
      </c>
      <c r="D388" s="16" t="s">
        <v>572</v>
      </c>
      <c r="E388" s="17">
        <v>40421.0</v>
      </c>
      <c r="F388" s="17">
        <v>42004.0</v>
      </c>
      <c r="G388" s="2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2" t="str">
        <f>HYPERLINK("javascript:void%20window.open('https://ds3.dhss.ak.local/dsds/ds3/index.cfm?fuseaction=pro.view&amp;entityId=1edf2b42-b2f6-4b7f-863d-01aa9b7190e1')","30737")</f>
        <v>30737</v>
      </c>
      <c r="B389" s="13" t="s">
        <v>573</v>
      </c>
      <c r="C389" s="13" t="s">
        <v>11</v>
      </c>
      <c r="D389" s="13" t="s">
        <v>574</v>
      </c>
      <c r="E389" s="14">
        <v>39058.0</v>
      </c>
      <c r="F389" s="14">
        <v>42004.0</v>
      </c>
      <c r="G389" s="2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5" t="str">
        <f>HYPERLINK("javascript:void%20window.open('https://ds3.dhss.ak.local/dsds/ds3/index.cfm?fuseaction=pro.view&amp;entityId=6a2bd0a7-a6a9-6dd8-3ba1-5364720b0b8a')","117854")</f>
        <v>117854</v>
      </c>
      <c r="B390" s="16" t="s">
        <v>575</v>
      </c>
      <c r="C390" s="16" t="s">
        <v>11</v>
      </c>
      <c r="D390" s="16" t="s">
        <v>576</v>
      </c>
      <c r="E390" s="17">
        <v>40563.0</v>
      </c>
      <c r="F390" s="17">
        <v>42004.0</v>
      </c>
      <c r="G390" s="2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9" t="str">
        <f>HYPERLINK("javascript:void%20window.open('https://ds3.dhss.ak.local/dsds/ds3/index.cfm?fuseaction=pro.view&amp;entityId=b7eb390f-5056-bc68-737b-66df768507f9')","161322")</f>
        <v>161322</v>
      </c>
      <c r="B391" s="10" t="s">
        <v>577</v>
      </c>
      <c r="C391" s="10" t="s">
        <v>11</v>
      </c>
      <c r="D391" s="10" t="s">
        <v>578</v>
      </c>
      <c r="E391" s="11">
        <v>41722.0</v>
      </c>
      <c r="F391" s="11">
        <v>42063.0</v>
      </c>
      <c r="G391" s="2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9" t="str">
        <f>HYPERLINK("javascript:void%20window.open('https://ds3.dhss.ak.local/dsds/ds3/index.cfm?fuseaction=pro.view&amp;entityId=1f945963-0e39-cf3c-7e86-f348a57f9497')","129568")</f>
        <v>129568</v>
      </c>
      <c r="B392" s="10" t="s">
        <v>579</v>
      </c>
      <c r="C392" s="10" t="s">
        <v>11</v>
      </c>
      <c r="D392" s="10" t="s">
        <v>580</v>
      </c>
      <c r="E392" s="11">
        <v>41548.0</v>
      </c>
      <c r="F392" s="11">
        <v>42094.0</v>
      </c>
      <c r="G392" s="2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2" t="str">
        <f>HYPERLINK("javascript:void%20window.open('https://ds3.dhss.ak.local/dsds/ds3/index.cfm?fuseaction=pro.view&amp;entityId=158eba28-63b5-4e9c-b0d5-10a66eb7856f')","30090")</f>
        <v>30090</v>
      </c>
      <c r="B393" s="13" t="s">
        <v>581</v>
      </c>
      <c r="C393" s="13" t="s">
        <v>11</v>
      </c>
      <c r="D393" s="13" t="s">
        <v>582</v>
      </c>
      <c r="E393" s="14">
        <v>39508.0</v>
      </c>
      <c r="F393" s="14">
        <v>42429.0</v>
      </c>
      <c r="G393" s="2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5" t="str">
        <f>HYPERLINK("javascript:void%20window.open('https://ds3.dhss.ak.local/dsds/ds3/index.cfm?fuseaction=pro.view&amp;entityId=da4b0ef3-d409-5767-7d7c-e8bc7f16442b')","73473")</f>
        <v>73473</v>
      </c>
      <c r="B394" s="16" t="s">
        <v>583</v>
      </c>
      <c r="C394" s="16" t="s">
        <v>11</v>
      </c>
      <c r="D394" s="16" t="s">
        <v>584</v>
      </c>
      <c r="E394" s="17">
        <v>39825.0</v>
      </c>
      <c r="F394" s="17">
        <v>42004.0</v>
      </c>
      <c r="G394" s="2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9" t="str">
        <f>HYPERLINK("javascript:void%20window.open('https://ds3.dhss.ak.local/dsds/ds3/index.cfm?fuseaction=pro.view&amp;entityId=99adea12-5056-bc68-7359-c8499a6a45e0')","156108")</f>
        <v>156108</v>
      </c>
      <c r="B395" s="10" t="s">
        <v>585</v>
      </c>
      <c r="C395" s="10" t="s">
        <v>11</v>
      </c>
      <c r="D395" s="10" t="s">
        <v>586</v>
      </c>
      <c r="E395" s="11">
        <v>41556.0</v>
      </c>
      <c r="F395" s="11">
        <v>42643.0</v>
      </c>
      <c r="G395" s="2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5" t="str">
        <f>HYPERLINK("javascript:void%20window.open('https://ds3.dhss.ak.local/dsds/ds3/index.cfm?fuseaction=pro.view&amp;entityId=763aa2c9-ca2a-dbae-4d85-a82f9bed87f3')","68792")</f>
        <v>68792</v>
      </c>
      <c r="B396" s="16" t="s">
        <v>587</v>
      </c>
      <c r="C396" s="16" t="s">
        <v>11</v>
      </c>
      <c r="D396" s="16" t="s">
        <v>588</v>
      </c>
      <c r="E396" s="17">
        <v>38991.0</v>
      </c>
      <c r="F396" s="17">
        <v>42613.0</v>
      </c>
      <c r="G396" s="2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12" t="str">
        <f>HYPERLINK("javascript:void%20window.open('https://ds3.dhss.ak.local/dsds/ds3/index.cfm?fuseaction=pro.view&amp;entityId=e6a67587-b094-82e3-03dc-4daf2e6da3f7')","69612")</f>
        <v>69612</v>
      </c>
      <c r="B397" s="13" t="s">
        <v>589</v>
      </c>
      <c r="C397" s="13" t="s">
        <v>11</v>
      </c>
      <c r="D397" s="13" t="s">
        <v>590</v>
      </c>
      <c r="E397" s="14">
        <v>39681.0</v>
      </c>
      <c r="F397" s="14">
        <v>42216.0</v>
      </c>
      <c r="G397" s="2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15" t="str">
        <f>HYPERLINK("javascript:void%20window.open('https://ds3.dhss.ak.local/dsds/ds3/index.cfm?fuseaction=pro.view&amp;entityId=29e3abc6-f140-b822-487a-d1d75cc06613')","91283")</f>
        <v>91283</v>
      </c>
      <c r="B398" s="16" t="s">
        <v>591</v>
      </c>
      <c r="C398" s="16" t="s">
        <v>11</v>
      </c>
      <c r="D398" s="16" t="s">
        <v>592</v>
      </c>
      <c r="E398" s="17">
        <v>40210.0</v>
      </c>
      <c r="F398" s="17">
        <v>42400.0</v>
      </c>
      <c r="G398" s="2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12" t="str">
        <f>HYPERLINK("javascript:void%20window.open('https://ds3.dhss.ak.local/dsds/ds3/index.cfm?fuseaction=pro.view&amp;entityId=4db8ddd6-4b5e-4c6d-a7c7-d17271b6760f')","32765")</f>
        <v>32765</v>
      </c>
      <c r="B399" s="13" t="s">
        <v>593</v>
      </c>
      <c r="C399" s="13" t="s">
        <v>11</v>
      </c>
      <c r="D399" s="13" t="s">
        <v>594</v>
      </c>
      <c r="E399" s="14">
        <v>39268.0</v>
      </c>
      <c r="F399" s="14">
        <v>42551.0</v>
      </c>
      <c r="G399" s="2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15" t="str">
        <f>HYPERLINK("javascript:void%20window.open('https://ds3.dhss.ak.local/dsds/ds3/index.cfm?fuseaction=pro.view&amp;entityId=38374c3f-ad38-eaa9-296d-a6438651dafd')","68530")</f>
        <v>68530</v>
      </c>
      <c r="B400" s="16" t="s">
        <v>595</v>
      </c>
      <c r="C400" s="16" t="s">
        <v>11</v>
      </c>
      <c r="D400" s="16" t="s">
        <v>596</v>
      </c>
      <c r="E400" s="17">
        <v>39647.0</v>
      </c>
      <c r="F400" s="17">
        <v>42551.0</v>
      </c>
      <c r="G400" s="2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12" t="str">
        <f>HYPERLINK("javascript:void%20window.open('https://ds3.dhss.ak.local/dsds/ds3/index.cfm?fuseaction=pro.view&amp;entityId=5937a71e-d8f7-5b00-a7b4-a935563dfaba')","84501")</f>
        <v>84501</v>
      </c>
      <c r="B401" s="13" t="s">
        <v>597</v>
      </c>
      <c r="C401" s="13" t="s">
        <v>11</v>
      </c>
      <c r="D401" s="13" t="s">
        <v>598</v>
      </c>
      <c r="E401" s="14">
        <v>40042.0</v>
      </c>
      <c r="F401" s="14">
        <v>42582.0</v>
      </c>
      <c r="G401" s="2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15" t="str">
        <f>HYPERLINK("javascript:void%20window.open('https://ds3.dhss.ak.local/dsds/ds3/index.cfm?fuseaction=pro.view&amp;entityId=1654c137-1057-40f1-b9b0-93cb7120e819')","32376")</f>
        <v>32376</v>
      </c>
      <c r="B402" s="16" t="s">
        <v>599</v>
      </c>
      <c r="C402" s="16" t="s">
        <v>11</v>
      </c>
      <c r="D402" s="16" t="s">
        <v>600</v>
      </c>
      <c r="E402" s="17">
        <v>39234.0</v>
      </c>
      <c r="F402" s="17">
        <v>42155.0</v>
      </c>
      <c r="G402" s="2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12" t="str">
        <f>HYPERLINK("javascript:void%20window.open('https://ds3.dhss.ak.local/dsds/ds3/index.cfm?fuseaction=pro.view&amp;entityId=1b56c64e-65be-f484-05c1-95c10d419774')","65789")</f>
        <v>65789</v>
      </c>
      <c r="B403" s="13" t="s">
        <v>601</v>
      </c>
      <c r="C403" s="13" t="s">
        <v>11</v>
      </c>
      <c r="D403" s="13" t="s">
        <v>602</v>
      </c>
      <c r="E403" s="14">
        <v>39469.0</v>
      </c>
      <c r="F403" s="14">
        <v>42369.0</v>
      </c>
      <c r="G403" s="2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9" t="str">
        <f>HYPERLINK("javascript:void%20window.open('https://ds3.dhss.ak.local/dsds/ds3/index.cfm?fuseaction=pro.view&amp;entityId=c3541552-5056-bc68-7356-79ba72d55f9a')","161219")</f>
        <v>161219</v>
      </c>
      <c r="B404" s="10" t="s">
        <v>603</v>
      </c>
      <c r="C404" s="10" t="s">
        <v>11</v>
      </c>
      <c r="D404" s="10" t="s">
        <v>604</v>
      </c>
      <c r="E404" s="11">
        <v>41827.0</v>
      </c>
      <c r="F404" s="11">
        <v>42185.0</v>
      </c>
      <c r="G404" s="2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12" t="str">
        <f>HYPERLINK("javascript:void%20window.open('https://ds3.dhss.ak.local/dsds/ds3/index.cfm?fuseaction=pro.view&amp;entityId=c2f13cfd-aa8f-49b4-a830-b6c65463ab9a')","107394")</f>
        <v>107394</v>
      </c>
      <c r="B405" s="13" t="s">
        <v>605</v>
      </c>
      <c r="C405" s="13" t="s">
        <v>11</v>
      </c>
      <c r="D405" s="13" t="s">
        <v>606</v>
      </c>
      <c r="E405" s="14">
        <v>40641.0</v>
      </c>
      <c r="F405" s="14">
        <v>41851.0</v>
      </c>
      <c r="G405" s="2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15" t="str">
        <f>HYPERLINK("javascript:void%20window.open('https://ds3.dhss.ak.local/dsds/ds3/index.cfm?fuseaction=pro.view&amp;entityId=5ad2e21b-ac2e-ed71-1fc7-0e129597c115')","86933")</f>
        <v>86933</v>
      </c>
      <c r="B406" s="16" t="s">
        <v>607</v>
      </c>
      <c r="C406" s="16" t="s">
        <v>11</v>
      </c>
      <c r="D406" s="16" t="s">
        <v>608</v>
      </c>
      <c r="E406" s="17">
        <v>40099.0</v>
      </c>
      <c r="F406" s="17">
        <v>42490.0</v>
      </c>
      <c r="G406" s="2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12" t="str">
        <f>HYPERLINK("javascript:void%20window.open('https://ds3.dhss.ak.local/dsds/ds3/index.cfm?fuseaction=pro.view&amp;entityId=9e0bc278-b68b-48b4-4d80-8a1b1ed9135f')","126622")</f>
        <v>126622</v>
      </c>
      <c r="B407" s="13" t="s">
        <v>609</v>
      </c>
      <c r="C407" s="13" t="s">
        <v>11</v>
      </c>
      <c r="D407" s="13" t="s">
        <v>610</v>
      </c>
      <c r="E407" s="14">
        <v>41214.0</v>
      </c>
      <c r="F407" s="14">
        <v>42338.0</v>
      </c>
      <c r="G407" s="2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15" t="str">
        <f>HYPERLINK("javascript:void%20window.open('https://ds3.dhss.ak.local/dsds/ds3/index.cfm?fuseaction=pro.view&amp;entityId=05f3ec0c-4f54-4875-a17f-70e6fd4ffea4')","61276")</f>
        <v>61276</v>
      </c>
      <c r="B408" s="16" t="s">
        <v>611</v>
      </c>
      <c r="C408" s="16" t="s">
        <v>11</v>
      </c>
      <c r="D408" s="16" t="s">
        <v>612</v>
      </c>
      <c r="E408" s="17">
        <v>41180.0</v>
      </c>
      <c r="F408" s="17">
        <v>42277.0</v>
      </c>
      <c r="G408" s="2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12" t="str">
        <f>HYPERLINK("javascript:void%20window.open('https://ds3.dhss.ak.local/dsds/ds3/index.cfm?fuseaction=pro.view&amp;entityId=60bd1347-93f3-778f-fe59-7e4fd4f8adc7')","133212")</f>
        <v>133212</v>
      </c>
      <c r="B409" s="13" t="s">
        <v>613</v>
      </c>
      <c r="C409" s="13" t="s">
        <v>11</v>
      </c>
      <c r="D409" s="13" t="s">
        <v>614</v>
      </c>
      <c r="E409" s="14">
        <v>41096.0</v>
      </c>
      <c r="F409" s="14">
        <v>42216.0</v>
      </c>
      <c r="G409" s="2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15" t="str">
        <f>HYPERLINK("javascript:void%20window.open('https://ds3.dhss.ak.local/dsds/ds3/index.cfm?fuseaction=pro.view&amp;entityId=f5e37491-d048-4f03-9b46-1305ca1c7618')","31905")</f>
        <v>31905</v>
      </c>
      <c r="B410" s="16" t="s">
        <v>615</v>
      </c>
      <c r="C410" s="16" t="s">
        <v>11</v>
      </c>
      <c r="D410" s="16" t="s">
        <v>616</v>
      </c>
      <c r="E410" s="17">
        <v>39885.0</v>
      </c>
      <c r="F410" s="17">
        <v>42521.0</v>
      </c>
      <c r="G410" s="2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12" t="str">
        <f>HYPERLINK("javascript:void%20window.open('https://ds3.dhss.ak.local/dsds/ds3/index.cfm?fuseaction=pro.view&amp;entityId=80360774-b73b-4582-84ff-35881eb407a0')","32390")</f>
        <v>32390</v>
      </c>
      <c r="B411" s="13" t="s">
        <v>617</v>
      </c>
      <c r="C411" s="13" t="s">
        <v>11</v>
      </c>
      <c r="D411" s="13" t="s">
        <v>618</v>
      </c>
      <c r="E411" s="14">
        <v>38991.0</v>
      </c>
      <c r="F411" s="14">
        <v>41882.0</v>
      </c>
      <c r="G411" s="2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15" t="str">
        <f>HYPERLINK("javascript:void%20window.open('https://ds3.dhss.ak.local/dsds/ds3/index.cfm?fuseaction=pro.view&amp;entityId=29dba70f-efa0-1220-d360-60d560badd54')","91280")</f>
        <v>91280</v>
      </c>
      <c r="B412" s="16" t="s">
        <v>619</v>
      </c>
      <c r="C412" s="16" t="s">
        <v>11</v>
      </c>
      <c r="D412" s="16" t="s">
        <v>620</v>
      </c>
      <c r="E412" s="17">
        <v>40210.0</v>
      </c>
      <c r="F412" s="17">
        <v>42400.0</v>
      </c>
      <c r="G412" s="2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12" t="str">
        <f>HYPERLINK("javascript:void%20window.open('https://ds3.dhss.ak.local/dsds/ds3/index.cfm?fuseaction=pro.view&amp;entityId=c9d1061a-df0c-423e-ad08-8fe6c48170e3')","36428")</f>
        <v>36428</v>
      </c>
      <c r="B413" s="13" t="s">
        <v>621</v>
      </c>
      <c r="C413" s="13" t="s">
        <v>11</v>
      </c>
      <c r="D413" s="13" t="s">
        <v>622</v>
      </c>
      <c r="E413" s="14">
        <v>39721.0</v>
      </c>
      <c r="F413" s="14">
        <v>42551.0</v>
      </c>
      <c r="G413" s="2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15" t="str">
        <f>HYPERLINK("javascript:void%20window.open('https://ds3.dhss.ak.local/dsds/ds3/index.cfm?fuseaction=pro.view&amp;entityId=11df3a6c-5056-bc68-73b2-60c2a5b1626e')","145340")</f>
        <v>145340</v>
      </c>
      <c r="B414" s="16" t="s">
        <v>623</v>
      </c>
      <c r="C414" s="16" t="s">
        <v>11</v>
      </c>
      <c r="D414" s="16" t="s">
        <v>624</v>
      </c>
      <c r="E414" s="17">
        <v>41282.0</v>
      </c>
      <c r="F414" s="17">
        <v>41882.0</v>
      </c>
      <c r="G414" s="2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12" t="str">
        <f>HYPERLINK("javascript:void%20window.open('https://ds3.dhss.ak.local/dsds/ds3/index.cfm?fuseaction=pro.view&amp;entityId=c3b70247-ec4f-c715-f583-ec71a427c55b')","85420")</f>
        <v>85420</v>
      </c>
      <c r="B415" s="13" t="s">
        <v>625</v>
      </c>
      <c r="C415" s="13" t="s">
        <v>11</v>
      </c>
      <c r="D415" s="13" t="s">
        <v>626</v>
      </c>
      <c r="E415" s="14">
        <v>40071.0</v>
      </c>
      <c r="F415" s="14">
        <v>42551.0</v>
      </c>
      <c r="G415" s="2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15" t="str">
        <f>HYPERLINK("javascript:void%20window.open('https://ds3.dhss.ak.local/dsds/ds3/index.cfm?fuseaction=pro.view&amp;entityId=fad64ac0-cfc3-442d-8f2c-35d5c44ebfba')","122673")</f>
        <v>122673</v>
      </c>
      <c r="B416" s="16" t="s">
        <v>627</v>
      </c>
      <c r="C416" s="16" t="s">
        <v>11</v>
      </c>
      <c r="D416" s="16" t="s">
        <v>628</v>
      </c>
      <c r="E416" s="17">
        <v>41141.0</v>
      </c>
      <c r="F416" s="17">
        <v>41882.0</v>
      </c>
      <c r="G416" s="2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12" t="str">
        <f>HYPERLINK("javascript:void%20window.open('https://ds3.dhss.ak.local/dsds/ds3/index.cfm?fuseaction=pro.view&amp;entityId=4e3fee19-0acb-9f69-3024-9673e20fa9bd')","93991")</f>
        <v>93991</v>
      </c>
      <c r="B417" s="13" t="s">
        <v>629</v>
      </c>
      <c r="C417" s="13" t="s">
        <v>11</v>
      </c>
      <c r="D417" s="13" t="s">
        <v>630</v>
      </c>
      <c r="E417" s="14">
        <v>40373.0</v>
      </c>
      <c r="F417" s="14">
        <v>42185.0</v>
      </c>
      <c r="G417" s="2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15" t="str">
        <f>HYPERLINK("javascript:void%20window.open('https://ds3.dhss.ak.local/dsds/ds3/index.cfm?fuseaction=pro.view&amp;entityId=60a6d126-d2a6-436c-98f3-5ee44a13ceb7')","147218")</f>
        <v>147218</v>
      </c>
      <c r="B418" s="16" t="s">
        <v>631</v>
      </c>
      <c r="C418" s="16" t="s">
        <v>11</v>
      </c>
      <c r="D418" s="16" t="s">
        <v>632</v>
      </c>
      <c r="E418" s="17">
        <v>41330.0</v>
      </c>
      <c r="F418" s="17">
        <v>42521.0</v>
      </c>
      <c r="G418" s="2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12" t="str">
        <f>HYPERLINK("javascript:void%20window.open('https://ds3.dhss.ak.local/dsds/ds3/index.cfm?fuseaction=pro.view&amp;entityId=c48ba676-c0bd-437d-886a-ab191a46bef2')","32498")</f>
        <v>32498</v>
      </c>
      <c r="B419" s="13" t="s">
        <v>633</v>
      </c>
      <c r="C419" s="13" t="s">
        <v>11</v>
      </c>
      <c r="D419" s="13" t="s">
        <v>634</v>
      </c>
      <c r="E419" s="14">
        <v>40878.0</v>
      </c>
      <c r="F419" s="14">
        <v>41973.0</v>
      </c>
      <c r="G419" s="2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9" t="str">
        <f>HYPERLINK("javascript:void%20window.open('https://ds3.dhss.ak.local/dsds/ds3/index.cfm?fuseaction=pro.view&amp;entityId=83dfcf89-65be-f484-0404-00d2888556be')","63613")</f>
        <v>63613</v>
      </c>
      <c r="B420" s="10" t="s">
        <v>635</v>
      </c>
      <c r="C420" s="10" t="s">
        <v>11</v>
      </c>
      <c r="D420" s="10" t="s">
        <v>636</v>
      </c>
      <c r="E420" s="11">
        <v>41821.0</v>
      </c>
      <c r="F420" s="11">
        <v>42124.0</v>
      </c>
      <c r="G420" s="2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12" t="str">
        <f>HYPERLINK("javascript:void%20window.open('https://ds3.dhss.ak.local/dsds/ds3/index.cfm?fuseaction=pro.view&amp;entityId=13291313-e305-8bbd-373d-0b8eb156f381')","82064")</f>
        <v>82064</v>
      </c>
      <c r="B421" s="13" t="s">
        <v>637</v>
      </c>
      <c r="C421" s="13" t="s">
        <v>11</v>
      </c>
      <c r="D421" s="13" t="s">
        <v>638</v>
      </c>
      <c r="E421" s="14">
        <v>40150.0</v>
      </c>
      <c r="F421" s="14">
        <v>42004.0</v>
      </c>
      <c r="G421" s="2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15" t="str">
        <f>HYPERLINK("javascript:void%20window.open('https://ds3.dhss.ak.local/dsds/ds3/index.cfm?fuseaction=pro.view&amp;entityId=dbfadef6-e8e5-c055-4d5f-771cd335b737')","127384")</f>
        <v>127384</v>
      </c>
      <c r="B422" s="16" t="s">
        <v>639</v>
      </c>
      <c r="C422" s="16" t="s">
        <v>11</v>
      </c>
      <c r="D422" s="16" t="s">
        <v>640</v>
      </c>
      <c r="E422" s="17">
        <v>41037.0</v>
      </c>
      <c r="F422" s="17">
        <v>42124.0</v>
      </c>
      <c r="G422" s="2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9" t="str">
        <f>HYPERLINK("javascript:void%20window.open('https://ds3.dhss.ak.local/dsds/ds3/index.cfm?fuseaction=pro.view&amp;entityId=70b4d982-edb5-442b-bcda-9874277bf136')","44040")</f>
        <v>44040</v>
      </c>
      <c r="B423" s="10" t="s">
        <v>641</v>
      </c>
      <c r="C423" s="10" t="s">
        <v>11</v>
      </c>
      <c r="D423" s="10" t="s">
        <v>642</v>
      </c>
      <c r="E423" s="11">
        <v>41557.0</v>
      </c>
      <c r="F423" s="11">
        <v>42643.0</v>
      </c>
      <c r="G423" s="2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9" t="str">
        <f>HYPERLINK("javascript:void%20window.open('https://ds3.dhss.ak.local/dsds/ds3/index.cfm?fuseaction=pro.view&amp;entityId=fd6f74fe-5056-bc68-73e7-c5abe1de0670')","151075")</f>
        <v>151075</v>
      </c>
      <c r="B424" s="10" t="s">
        <v>643</v>
      </c>
      <c r="C424" s="10" t="s">
        <v>11</v>
      </c>
      <c r="D424" s="10" t="s">
        <v>644</v>
      </c>
      <c r="E424" s="11">
        <v>41548.0</v>
      </c>
      <c r="F424" s="11">
        <v>41912.0</v>
      </c>
      <c r="G424" s="2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12" t="str">
        <f>HYPERLINK("javascript:void%20window.open('https://ds3.dhss.ak.local/dsds/ds3/index.cfm?fuseaction=pro.view&amp;entityId=2a7529cb-9af0-4c1d-b52e-613da68484bc')","101467")</f>
        <v>101467</v>
      </c>
      <c r="B425" s="13" t="s">
        <v>645</v>
      </c>
      <c r="C425" s="13" t="s">
        <v>11</v>
      </c>
      <c r="D425" s="13" t="s">
        <v>646</v>
      </c>
      <c r="E425" s="14">
        <v>40829.0</v>
      </c>
      <c r="F425" s="14">
        <v>41912.0</v>
      </c>
      <c r="G425" s="2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15" t="str">
        <f>HYPERLINK("javascript:void%20window.open('https://ds3.dhss.ak.local/dsds/ds3/index.cfm?fuseaction=pro.view&amp;entityId=96cade31-d936-430b-8e6c-2929f2f0043d')","91761")</f>
        <v>91761</v>
      </c>
      <c r="B426" s="16" t="s">
        <v>647</v>
      </c>
      <c r="C426" s="16" t="s">
        <v>11</v>
      </c>
      <c r="D426" s="16" t="s">
        <v>648</v>
      </c>
      <c r="E426" s="17">
        <v>40583.0</v>
      </c>
      <c r="F426" s="17">
        <v>41882.0</v>
      </c>
      <c r="G426" s="2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9" t="str">
        <f>HYPERLINK("javascript:void%20window.open('https://ds3.dhss.ak.local/dsds/ds3/index.cfm?fuseaction=pro.view&amp;entityId=fea356b0-91d7-43b1-930d-dc67c7137052')","120926")</f>
        <v>120926</v>
      </c>
      <c r="B427" s="10" t="s">
        <v>649</v>
      </c>
      <c r="C427" s="10" t="s">
        <v>11</v>
      </c>
      <c r="D427" s="10" t="s">
        <v>650</v>
      </c>
      <c r="E427" s="11">
        <v>41689.0</v>
      </c>
      <c r="F427" s="11">
        <v>42035.0</v>
      </c>
      <c r="G427" s="2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15" t="str">
        <f>HYPERLINK("javascript:void%20window.open('https://ds3.dhss.ak.local/dsds/ds3/index.cfm?fuseaction=pro.view&amp;entityId=be06411c-b5d2-cee3-157d-fe468d5502c1')","75391")</f>
        <v>75391</v>
      </c>
      <c r="B428" s="16" t="s">
        <v>651</v>
      </c>
      <c r="C428" s="16" t="s">
        <v>11</v>
      </c>
      <c r="D428" s="16" t="s">
        <v>652</v>
      </c>
      <c r="E428" s="17">
        <v>41153.0</v>
      </c>
      <c r="F428" s="17">
        <v>41882.0</v>
      </c>
      <c r="G428" s="2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9" t="str">
        <f>HYPERLINK("javascript:void%20window.open('https://ds3.dhss.ak.local/dsds/ds3/index.cfm?fuseaction=pro.view&amp;entityId=702a56c9-5056-bc68-7331-45575aeef942')","165257")</f>
        <v>165257</v>
      </c>
      <c r="B429" s="10" t="s">
        <v>653</v>
      </c>
      <c r="C429" s="10" t="s">
        <v>11</v>
      </c>
      <c r="D429" s="10" t="s">
        <v>654</v>
      </c>
      <c r="E429" s="11">
        <v>41768.0</v>
      </c>
      <c r="F429" s="11">
        <v>42124.0</v>
      </c>
      <c r="G429" s="2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15" t="str">
        <f>HYPERLINK("javascript:void%20window.open('https://ds3.dhss.ak.local/dsds/ds3/index.cfm?fuseaction=pro.view&amp;entityId=d411ef19-c4b0-e91a-98de-326de1ab12b7')","77556")</f>
        <v>77556</v>
      </c>
      <c r="B430" s="16" t="s">
        <v>655</v>
      </c>
      <c r="C430" s="16" t="s">
        <v>11</v>
      </c>
      <c r="D430" s="16" t="s">
        <v>656</v>
      </c>
      <c r="E430" s="17">
        <v>39777.0</v>
      </c>
      <c r="F430" s="17">
        <v>41912.0</v>
      </c>
      <c r="G430" s="2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9" t="str">
        <f>HYPERLINK("javascript:void%20window.open('https://ds3.dhss.ak.local/dsds/ds3/index.cfm?fuseaction=pro.view&amp;entityId=f9cb21ca-5056-bc68-7307-47a2903da76c')","161992")</f>
        <v>161992</v>
      </c>
      <c r="B431" s="10" t="s">
        <v>657</v>
      </c>
      <c r="C431" s="10" t="s">
        <v>11</v>
      </c>
      <c r="D431" s="10" t="s">
        <v>658</v>
      </c>
      <c r="E431" s="11">
        <v>41684.0</v>
      </c>
      <c r="F431" s="11">
        <v>42035.0</v>
      </c>
      <c r="G431" s="2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15" t="str">
        <f>HYPERLINK("javascript:void%20window.open('https://ds3.dhss.ak.local/dsds/ds3/index.cfm?fuseaction=pro.view&amp;entityId=63a43cc1-b0af-401c-b871-80e935165cb1')","32604")</f>
        <v>32604</v>
      </c>
      <c r="B432" s="16" t="s">
        <v>659</v>
      </c>
      <c r="C432" s="16" t="s">
        <v>11</v>
      </c>
      <c r="D432" s="16" t="s">
        <v>660</v>
      </c>
      <c r="E432" s="17">
        <v>38831.0</v>
      </c>
      <c r="F432" s="17">
        <v>42308.0</v>
      </c>
      <c r="G432" s="2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12" t="str">
        <f>HYPERLINK("javascript:void%20window.open('https://ds3.dhss.ak.local/dsds/ds3/index.cfm?fuseaction=pro.view&amp;entityId=2d118bf6-82a3-42b1-a7c5-089d04f6e2e2')","32150")</f>
        <v>32150</v>
      </c>
      <c r="B433" s="13" t="s">
        <v>661</v>
      </c>
      <c r="C433" s="13" t="s">
        <v>11</v>
      </c>
      <c r="D433" s="13" t="s">
        <v>662</v>
      </c>
      <c r="E433" s="14">
        <v>38359.0</v>
      </c>
      <c r="F433" s="14">
        <v>42277.0</v>
      </c>
      <c r="G433" s="2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15" t="str">
        <f>HYPERLINK("javascript:void%20window.open('https://ds3.dhss.ak.local/dsds/ds3/index.cfm?fuseaction=pro.view&amp;entityId=f2027709-6dfd-4c7b-b13a-e5a121cd1ab0')","32601")</f>
        <v>32601</v>
      </c>
      <c r="B434" s="16" t="s">
        <v>663</v>
      </c>
      <c r="C434" s="16" t="s">
        <v>11</v>
      </c>
      <c r="D434" s="16" t="s">
        <v>664</v>
      </c>
      <c r="E434" s="17">
        <v>39356.0</v>
      </c>
      <c r="F434" s="17">
        <v>42277.0</v>
      </c>
      <c r="G434" s="2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9" t="str">
        <f>HYPERLINK("javascript:void%20window.open('https://ds3.dhss.ak.local/dsds/ds3/index.cfm?fuseaction=pro.view&amp;entityId=33654946-7e60-41a5-8c51-a4b1e5afbadb')","156892")</f>
        <v>156892</v>
      </c>
      <c r="B435" s="10" t="s">
        <v>665</v>
      </c>
      <c r="C435" s="10" t="s">
        <v>11</v>
      </c>
      <c r="D435" s="10" t="s">
        <v>666</v>
      </c>
      <c r="E435" s="11">
        <v>41768.0</v>
      </c>
      <c r="F435" s="11">
        <v>42124.0</v>
      </c>
      <c r="G435" s="2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15" t="str">
        <f>HYPERLINK("javascript:void%20window.open('https://ds3.dhss.ak.local/dsds/ds3/index.cfm?fuseaction=pro.view&amp;entityId=7627a8f2-9f19-4c78-3e67-e4d829d1a92d')","108601")</f>
        <v>108601</v>
      </c>
      <c r="B436" s="16" t="s">
        <v>667</v>
      </c>
      <c r="C436" s="16" t="s">
        <v>11</v>
      </c>
      <c r="D436" s="16" t="s">
        <v>668</v>
      </c>
      <c r="E436" s="17">
        <v>40664.0</v>
      </c>
      <c r="F436" s="17">
        <v>42124.0</v>
      </c>
      <c r="G436" s="2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12" t="str">
        <f>HYPERLINK("javascript:void%20window.open('https://ds3.dhss.ak.local/dsds/ds3/index.cfm?fuseaction=pro.view&amp;entityId=ebab2d67-5056-bc68-7358-226ea5288adf')","145970")</f>
        <v>145970</v>
      </c>
      <c r="B437" s="13" t="s">
        <v>669</v>
      </c>
      <c r="C437" s="13" t="s">
        <v>11</v>
      </c>
      <c r="D437" s="13" t="s">
        <v>670</v>
      </c>
      <c r="E437" s="14">
        <v>41348.0</v>
      </c>
      <c r="F437" s="14">
        <v>42429.0</v>
      </c>
      <c r="G437" s="2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15" t="str">
        <f>HYPERLINK("javascript:void%20window.open('https://ds3.dhss.ak.local/dsds/ds3/index.cfm?fuseaction=pro.view&amp;entityId=0d379072-d011-49e6-a527-eaadff838057')","38871")</f>
        <v>38871</v>
      </c>
      <c r="B438" s="16" t="s">
        <v>671</v>
      </c>
      <c r="C438" s="16" t="s">
        <v>11</v>
      </c>
      <c r="D438" s="16" t="s">
        <v>672</v>
      </c>
      <c r="E438" s="17">
        <v>39793.0</v>
      </c>
      <c r="F438" s="17">
        <v>41270.0</v>
      </c>
      <c r="G438" s="2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12" t="str">
        <f>HYPERLINK("javascript:void%20window.open('https://ds3.dhss.ak.local/dsds/ds3/index.cfm?fuseaction=pro.view&amp;entityId=0d079124-f18c-c6ab-881d-c8a5f42395ac')","118894")</f>
        <v>118894</v>
      </c>
      <c r="B439" s="13" t="s">
        <v>673</v>
      </c>
      <c r="C439" s="13" t="s">
        <v>11</v>
      </c>
      <c r="D439" s="13" t="s">
        <v>674</v>
      </c>
      <c r="E439" s="14">
        <v>40821.0</v>
      </c>
      <c r="F439" s="14">
        <v>41912.0</v>
      </c>
      <c r="G439" s="2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9" t="str">
        <f>HYPERLINK("javascript:void%20window.open('https://ds3.dhss.ak.local/dsds/ds3/index.cfm?fuseaction=pro.view&amp;entityId=8e212366-5056-bc68-7359-488d4975fd87')","161150")</f>
        <v>161150</v>
      </c>
      <c r="B440" s="10" t="s">
        <v>675</v>
      </c>
      <c r="C440" s="10" t="s">
        <v>11</v>
      </c>
      <c r="D440" s="10" t="s">
        <v>676</v>
      </c>
      <c r="E440" s="11">
        <v>41670.0</v>
      </c>
      <c r="F440" s="11">
        <v>42004.0</v>
      </c>
      <c r="G440" s="2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12" t="str">
        <f>HYPERLINK("javascript:void%20window.open('https://ds3.dhss.ak.local/dsds/ds3/index.cfm?fuseaction=pro.view&amp;entityId=cc5e900d-d285-52ea-f381-b5e252b7c0bb')","132673")</f>
        <v>132673</v>
      </c>
      <c r="B441" s="13" t="s">
        <v>677</v>
      </c>
      <c r="C441" s="13" t="s">
        <v>11</v>
      </c>
      <c r="D441" s="13" t="s">
        <v>678</v>
      </c>
      <c r="E441" s="14">
        <v>41164.0</v>
      </c>
      <c r="F441" s="14">
        <v>42247.0</v>
      </c>
      <c r="G441" s="2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15" t="str">
        <f>HYPERLINK("javascript:void%20window.open('https://ds3.dhss.ak.local/dsds/ds3/index.cfm?fuseaction=pro.view&amp;entityId=ba1b46a8-5056-bc68-73f5-067ee990359c')","147524")</f>
        <v>147524</v>
      </c>
      <c r="B442" s="16" t="s">
        <v>679</v>
      </c>
      <c r="C442" s="16" t="s">
        <v>11</v>
      </c>
      <c r="D442" s="16" t="s">
        <v>680</v>
      </c>
      <c r="E442" s="16"/>
      <c r="F442" s="16"/>
      <c r="G442" s="2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12" t="str">
        <f>HYPERLINK("javascript:void%20window.open('https://ds3.dhss.ak.local/dsds/ds3/index.cfm?fuseaction=pro.view&amp;entityId=6723a42e-998f-91c2-e1f0-9d0fd85b5bf2')","132393")</f>
        <v>132393</v>
      </c>
      <c r="B443" s="13" t="s">
        <v>681</v>
      </c>
      <c r="C443" s="13" t="s">
        <v>11</v>
      </c>
      <c r="D443" s="13" t="s">
        <v>682</v>
      </c>
      <c r="E443" s="13"/>
      <c r="F443" s="13"/>
      <c r="G443" s="2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15" t="str">
        <f>HYPERLINK("javascript:void%20window.open('https://ds3.dhss.ak.local/dsds/ds3/index.cfm?fuseaction=pro.view&amp;entityId=67eb09b3-fc9b-b597-6315-628119e2930a')","132398")</f>
        <v>132398</v>
      </c>
      <c r="B444" s="16" t="s">
        <v>683</v>
      </c>
      <c r="C444" s="16" t="s">
        <v>11</v>
      </c>
      <c r="D444" s="16" t="s">
        <v>684</v>
      </c>
      <c r="E444" s="16"/>
      <c r="F444" s="16"/>
      <c r="G444" s="2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12" t="str">
        <f>HYPERLINK("javascript:void%20window.open('https://ds3.dhss.ak.local/dsds/ds3/index.cfm?fuseaction=pro.view&amp;entityId=656ee296-a58d-5c0c-8b01-3b729069dfca')","132385")</f>
        <v>132385</v>
      </c>
      <c r="B445" s="13" t="s">
        <v>685</v>
      </c>
      <c r="C445" s="13" t="s">
        <v>11</v>
      </c>
      <c r="D445" s="13" t="s">
        <v>686</v>
      </c>
      <c r="E445" s="13"/>
      <c r="F445" s="13"/>
      <c r="G445" s="2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15" t="str">
        <f>HYPERLINK("javascript:void%20window.open('https://ds3.dhss.ak.local/dsds/ds3/index.cfm?fuseaction=pro.view&amp;entityId=6663df02-a908-ed02-e54d-e2c33f3fe333')","132390")</f>
        <v>132390</v>
      </c>
      <c r="B446" s="16" t="s">
        <v>687</v>
      </c>
      <c r="C446" s="16" t="s">
        <v>11</v>
      </c>
      <c r="D446" s="16" t="s">
        <v>688</v>
      </c>
      <c r="E446" s="16"/>
      <c r="F446" s="16"/>
      <c r="G446" s="2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9" t="str">
        <f>HYPERLINK("javascript:void%20window.open('https://ds3.dhss.ak.local/dsds/ds3/index.cfm?fuseaction=pro.view&amp;entityId=68288e0a-acc0-c2b4-5749-e12e31bed63e')","132401")</f>
        <v>132401</v>
      </c>
      <c r="B447" s="10" t="s">
        <v>689</v>
      </c>
      <c r="C447" s="10" t="s">
        <v>11</v>
      </c>
      <c r="D447" s="10" t="s">
        <v>690</v>
      </c>
      <c r="E447" s="11">
        <v>41640.0</v>
      </c>
      <c r="F447" s="11">
        <v>42004.0</v>
      </c>
      <c r="G447" s="2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15" t="str">
        <f>HYPERLINK("javascript:void%20window.open('https://ds3.dhss.ak.local/dsds/ds3/index.cfm?fuseaction=pro.view&amp;entityId=7be0125f-d618-dd1a-f0fc-2c1018f1c35c')","128628")</f>
        <v>128628</v>
      </c>
      <c r="B448" s="16" t="s">
        <v>691</v>
      </c>
      <c r="C448" s="16" t="s">
        <v>11</v>
      </c>
      <c r="D448" s="16" t="s">
        <v>692</v>
      </c>
      <c r="E448" s="16"/>
      <c r="F448" s="16"/>
      <c r="G448" s="2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12" t="str">
        <f>HYPERLINK("javascript:void%20window.open('https://ds3.dhss.ak.local/dsds/ds3/index.cfm?fuseaction=pro.view&amp;entityId=66cbc089-9b2a-c9b7-2b28-8d90abfb3b53')","132392")</f>
        <v>132392</v>
      </c>
      <c r="B449" s="13" t="s">
        <v>693</v>
      </c>
      <c r="C449" s="13" t="s">
        <v>11</v>
      </c>
      <c r="D449" s="13" t="s">
        <v>694</v>
      </c>
      <c r="E449" s="13"/>
      <c r="F449" s="13"/>
      <c r="G449" s="2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15" t="str">
        <f>HYPERLINK("javascript:void%20window.open('https://ds3.dhss.ak.local/dsds/ds3/index.cfm?fuseaction=pro.view&amp;entityId=293c9e61-b39f-18a9-35cc-0c09c36c35c9')","130499")</f>
        <v>130499</v>
      </c>
      <c r="B450" s="16" t="s">
        <v>695</v>
      </c>
      <c r="C450" s="16" t="s">
        <v>11</v>
      </c>
      <c r="D450" s="16" t="s">
        <v>696</v>
      </c>
      <c r="E450" s="17">
        <v>41114.0</v>
      </c>
      <c r="F450" s="17">
        <v>42185.0</v>
      </c>
      <c r="G450" s="2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12" t="str">
        <f>HYPERLINK("javascript:void%20window.open('https://ds3.dhss.ak.local/dsds/ds3/index.cfm?fuseaction=pro.view&amp;entityId=6783deaa-ae31-ba5d-42b1-cf6c6956ba2a')","132395")</f>
        <v>132395</v>
      </c>
      <c r="B451" s="13" t="s">
        <v>697</v>
      </c>
      <c r="C451" s="13" t="s">
        <v>11</v>
      </c>
      <c r="D451" s="13" t="s">
        <v>698</v>
      </c>
      <c r="E451" s="13"/>
      <c r="F451" s="13"/>
      <c r="G451" s="2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15" t="str">
        <f>HYPERLINK("javascript:void%20window.open('https://ds3.dhss.ak.local/dsds/ds3/index.cfm?fuseaction=pro.view&amp;entityId=68701c24-90de-d9ba-b171-73c85266febc')","132402")</f>
        <v>132402</v>
      </c>
      <c r="B452" s="16" t="s">
        <v>699</v>
      </c>
      <c r="C452" s="16" t="s">
        <v>11</v>
      </c>
      <c r="D452" s="16" t="s">
        <v>700</v>
      </c>
      <c r="E452" s="16"/>
      <c r="F452" s="16"/>
      <c r="G452" s="2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12" t="str">
        <f>HYPERLINK("javascript:void%20window.open('https://ds3.dhss.ak.local/dsds/ds3/index.cfm?fuseaction=pro.view&amp;entityId=a4d09f33-5056-bc68-738c-73501bea9f15')","144382")</f>
        <v>144382</v>
      </c>
      <c r="B453" s="13" t="s">
        <v>701</v>
      </c>
      <c r="C453" s="13" t="s">
        <v>11</v>
      </c>
      <c r="D453" s="13" t="s">
        <v>702</v>
      </c>
      <c r="E453" s="14">
        <v>41367.0</v>
      </c>
      <c r="F453" s="14">
        <v>42490.0</v>
      </c>
      <c r="G453" s="2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15" t="str">
        <f>HYPERLINK("javascript:void%20window.open('https://ds3.dhss.ak.local/dsds/ds3/index.cfm?fuseaction=pro.view&amp;entityId=5ed7e5f4-f1d1-1e64-5ece-f016cc1ef44d')","114794")</f>
        <v>114794</v>
      </c>
      <c r="B454" s="16" t="s">
        <v>703</v>
      </c>
      <c r="C454" s="16" t="s">
        <v>11</v>
      </c>
      <c r="D454" s="16" t="s">
        <v>704</v>
      </c>
      <c r="E454" s="17">
        <v>40725.0</v>
      </c>
      <c r="F454" s="17">
        <v>42551.0</v>
      </c>
      <c r="G454" s="2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12" t="str">
        <f>HYPERLINK("javascript:void%20window.open('https://ds3.dhss.ak.local/dsds/ds3/index.cfm?fuseaction=pro.view&amp;entityId=644b464e-bd7e-4f57-9852-096a9fe215c2')","32669")</f>
        <v>32669</v>
      </c>
      <c r="B455" s="13" t="s">
        <v>705</v>
      </c>
      <c r="C455" s="13" t="s">
        <v>11</v>
      </c>
      <c r="D455" s="13" t="s">
        <v>706</v>
      </c>
      <c r="E455" s="14">
        <v>39508.0</v>
      </c>
      <c r="F455" s="14">
        <v>42428.0</v>
      </c>
      <c r="G455" s="2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15" t="str">
        <f>HYPERLINK("javascript:void%20window.open('https://ds3.dhss.ak.local/dsds/ds3/index.cfm?fuseaction=pro.view&amp;entityId=ffb5d2c3-0d80-4a8f-83c8-b8a94e4e1c9d')","32256")</f>
        <v>32256</v>
      </c>
      <c r="B456" s="16" t="s">
        <v>707</v>
      </c>
      <c r="C456" s="16" t="s">
        <v>11</v>
      </c>
      <c r="D456" s="16" t="s">
        <v>708</v>
      </c>
      <c r="E456" s="17">
        <v>41296.0</v>
      </c>
      <c r="F456" s="17">
        <v>41912.0</v>
      </c>
      <c r="G456" s="2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12" t="str">
        <f>HYPERLINK("javascript:void%20window.open('https://ds3.dhss.ak.local/dsds/ds3/index.cfm?fuseaction=pro.view&amp;entityId=0d236f5e-c75a-49f3-597d-fe660b97f7b4')","86143")</f>
        <v>86143</v>
      </c>
      <c r="B457" s="13" t="s">
        <v>709</v>
      </c>
      <c r="C457" s="13" t="s">
        <v>11</v>
      </c>
      <c r="D457" s="13" t="s">
        <v>710</v>
      </c>
      <c r="E457" s="14">
        <v>40084.0</v>
      </c>
      <c r="F457" s="14">
        <v>41912.0</v>
      </c>
      <c r="G457" s="2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15" t="str">
        <f>HYPERLINK("javascript:void%20window.open('https://ds3.dhss.ak.local/dsds/ds3/index.cfm?fuseaction=pro.view&amp;entityId=1b9969be-9406-650e-1589-2efafd371e15')","102199")</f>
        <v>102199</v>
      </c>
      <c r="B458" s="16" t="s">
        <v>711</v>
      </c>
      <c r="C458" s="16" t="s">
        <v>11</v>
      </c>
      <c r="D458" s="16" t="s">
        <v>712</v>
      </c>
      <c r="E458" s="17">
        <v>40813.0</v>
      </c>
      <c r="F458" s="17">
        <v>41882.0</v>
      </c>
      <c r="G458" s="2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12" t="str">
        <f>HYPERLINK("javascript:void%20window.open('https://ds3.dhss.ak.local/dsds/ds3/index.cfm?fuseaction=pro.view&amp;entityId=463b937c-348a-4cc6-a017-9cc6a9f70137')","31427")</f>
        <v>31427</v>
      </c>
      <c r="B459" s="13" t="s">
        <v>713</v>
      </c>
      <c r="C459" s="13" t="s">
        <v>11</v>
      </c>
      <c r="D459" s="13" t="s">
        <v>714</v>
      </c>
      <c r="E459" s="14">
        <v>38899.0</v>
      </c>
      <c r="F459" s="14">
        <v>42521.0</v>
      </c>
      <c r="G459" s="2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15" t="str">
        <f>HYPERLINK("javascript:void%20window.open('https://ds3.dhss.ak.local/dsds/ds3/index.cfm?fuseaction=pro.view&amp;entityId=9b0a3048-6dfe-47ec-9ad6-a29cf7ad8654')","31722")</f>
        <v>31722</v>
      </c>
      <c r="B460" s="16" t="s">
        <v>715</v>
      </c>
      <c r="C460" s="16" t="s">
        <v>11</v>
      </c>
      <c r="D460" s="16" t="s">
        <v>716</v>
      </c>
      <c r="E460" s="17">
        <v>41306.0</v>
      </c>
      <c r="F460" s="17">
        <v>42400.0</v>
      </c>
      <c r="G460" s="2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12" t="str">
        <f>HYPERLINK("javascript:void%20window.open('https://ds3.dhss.ak.local/dsds/ds3/index.cfm?fuseaction=pro.view&amp;entityId=eab0cd12-5f8e-4857-ae32-8dc13dd57f28')","32105")</f>
        <v>32105</v>
      </c>
      <c r="B461" s="13" t="s">
        <v>717</v>
      </c>
      <c r="C461" s="13" t="s">
        <v>11</v>
      </c>
      <c r="D461" s="13" t="s">
        <v>718</v>
      </c>
      <c r="E461" s="14">
        <v>38991.0</v>
      </c>
      <c r="F461" s="14">
        <v>42582.0</v>
      </c>
      <c r="G461" s="2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15" t="str">
        <f>HYPERLINK("javascript:void%20window.open('https://ds3.dhss.ak.local/dsds/ds3/index.cfm?fuseaction=pro.view&amp;entityId=86ecf289-b4b8-c724-35ab-81020ebf0c5f')","131705")</f>
        <v>131705</v>
      </c>
      <c r="B462" s="16" t="s">
        <v>719</v>
      </c>
      <c r="C462" s="16" t="s">
        <v>11</v>
      </c>
      <c r="D462" s="16" t="s">
        <v>720</v>
      </c>
      <c r="E462" s="17">
        <v>41073.0</v>
      </c>
      <c r="F462" s="17">
        <v>41943.0</v>
      </c>
      <c r="G462" s="2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12" t="str">
        <f>HYPERLINK("javascript:void%20window.open('https://ds3.dhss.ak.local/dsds/ds3/index.cfm?fuseaction=pro.view&amp;entityId=93733859-d3dd-4dad-997f-c4133bb778da')","32793")</f>
        <v>32793</v>
      </c>
      <c r="B463" s="13" t="s">
        <v>721</v>
      </c>
      <c r="C463" s="13" t="s">
        <v>11</v>
      </c>
      <c r="D463" s="13" t="s">
        <v>722</v>
      </c>
      <c r="E463" s="14">
        <v>39307.0</v>
      </c>
      <c r="F463" s="14">
        <v>41912.0</v>
      </c>
      <c r="G463" s="2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15" t="str">
        <f>HYPERLINK("javascript:void%20window.open('https://ds3.dhss.ak.local/dsds/ds3/index.cfm?fuseaction=pro.view&amp;entityId=15dae815-a382-4a06-a15f-931618c7677b')","69653")</f>
        <v>69653</v>
      </c>
      <c r="B464" s="16" t="s">
        <v>723</v>
      </c>
      <c r="C464" s="16" t="s">
        <v>11</v>
      </c>
      <c r="D464" s="16" t="s">
        <v>724</v>
      </c>
      <c r="E464" s="16"/>
      <c r="F464" s="16"/>
      <c r="G464" s="2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12" t="str">
        <f>HYPERLINK("javascript:void%20window.open('https://ds3.dhss.ak.local/dsds/ds3/index.cfm?fuseaction=pro.view&amp;entityId=5f82abc6-0268-4eca-83b3-a9bd86b46d42')","31761")</f>
        <v>31761</v>
      </c>
      <c r="B465" s="13" t="s">
        <v>725</v>
      </c>
      <c r="C465" s="13" t="s">
        <v>11</v>
      </c>
      <c r="D465" s="13" t="s">
        <v>726</v>
      </c>
      <c r="E465" s="14">
        <v>38899.0</v>
      </c>
      <c r="F465" s="14">
        <v>42460.0</v>
      </c>
      <c r="G465" s="2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15" t="str">
        <f>HYPERLINK("javascript:void%20window.open('https://ds3.dhss.ak.local/dsds/ds3/index.cfm?fuseaction=pro.view&amp;entityId=07ea742e-a9fb-c9f3-e7c4-6b729bb5f05f')","66998")</f>
        <v>66998</v>
      </c>
      <c r="B466" s="16" t="s">
        <v>727</v>
      </c>
      <c r="C466" s="16" t="s">
        <v>11</v>
      </c>
      <c r="D466" s="16" t="s">
        <v>728</v>
      </c>
      <c r="E466" s="17">
        <v>39722.0</v>
      </c>
      <c r="F466" s="17">
        <v>42094.0</v>
      </c>
      <c r="G466" s="2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12" t="str">
        <f>HYPERLINK("javascript:void%20window.open('https://ds3.dhss.ak.local/dsds/ds3/index.cfm?fuseaction=pro.view&amp;entityId=c062f61c-92ab-caf4-bf6c-c49f6618330d')","66616")</f>
        <v>66616</v>
      </c>
      <c r="B467" s="13" t="s">
        <v>729</v>
      </c>
      <c r="C467" s="13" t="s">
        <v>11</v>
      </c>
      <c r="D467" s="13" t="s">
        <v>730</v>
      </c>
      <c r="E467" s="14">
        <v>39562.0</v>
      </c>
      <c r="F467" s="14">
        <v>42094.0</v>
      </c>
      <c r="G467" s="2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15" t="str">
        <f>HYPERLINK("javascript:void%20window.open('https://ds3.dhss.ak.local/dsds/ds3/index.cfm?fuseaction=pro.view&amp;entityId=175b99ef-cf7e-4432-b43d-f4eeba854ac7')","31797")</f>
        <v>31797</v>
      </c>
      <c r="B468" s="16" t="s">
        <v>731</v>
      </c>
      <c r="C468" s="16" t="s">
        <v>11</v>
      </c>
      <c r="D468" s="16" t="s">
        <v>732</v>
      </c>
      <c r="E468" s="17">
        <v>40814.0</v>
      </c>
      <c r="F468" s="17">
        <v>41912.0</v>
      </c>
      <c r="G468" s="2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12" t="str">
        <f>HYPERLINK("javascript:void%20window.open('https://ds3.dhss.ak.local/dsds/ds3/index.cfm?fuseaction=pro.view&amp;entityId=a631f751-be19-85ca-6582-2c2bc7275057')","79126")</f>
        <v>79126</v>
      </c>
      <c r="B469" s="13" t="s">
        <v>733</v>
      </c>
      <c r="C469" s="13" t="s">
        <v>11</v>
      </c>
      <c r="D469" s="13" t="s">
        <v>734</v>
      </c>
      <c r="E469" s="14">
        <v>39907.0</v>
      </c>
      <c r="F469" s="14">
        <v>42308.0</v>
      </c>
      <c r="G469" s="2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15" t="str">
        <f>HYPERLINK("javascript:void%20window.open('https://ds3.dhss.ak.local/dsds/ds3/index.cfm?fuseaction=pro.view&amp;entityId=5f1c6b8a-8714-4939-ab7e-304a114a9cc4')","31798")</f>
        <v>31798</v>
      </c>
      <c r="B470" s="16" t="s">
        <v>735</v>
      </c>
      <c r="C470" s="16" t="s">
        <v>11</v>
      </c>
      <c r="D470" s="16" t="s">
        <v>736</v>
      </c>
      <c r="E470" s="17">
        <v>39234.0</v>
      </c>
      <c r="F470" s="17">
        <v>42155.0</v>
      </c>
      <c r="G470" s="2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12" t="str">
        <f>HYPERLINK("javascript:void%20window.open('https://ds3.dhss.ak.local/dsds/ds3/index.cfm?fuseaction=pro.view&amp;entityId=1d44540a-65be-f484-0e57-a62743bbe04c')","63093")</f>
        <v>63093</v>
      </c>
      <c r="B471" s="13" t="s">
        <v>737</v>
      </c>
      <c r="C471" s="13" t="s">
        <v>11</v>
      </c>
      <c r="D471" s="13" t="s">
        <v>738</v>
      </c>
      <c r="E471" s="14">
        <v>39514.0</v>
      </c>
      <c r="F471" s="14">
        <v>42155.0</v>
      </c>
      <c r="G471" s="2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15" t="str">
        <f>HYPERLINK("javascript:void%20window.open('https://ds3.dhss.ak.local/dsds/ds3/index.cfm?fuseaction=pro.view&amp;entityId=15470fbd-5056-bc68-7339-9593a91f6183')","144561")</f>
        <v>144561</v>
      </c>
      <c r="B472" s="16" t="s">
        <v>739</v>
      </c>
      <c r="C472" s="16" t="s">
        <v>11</v>
      </c>
      <c r="D472" s="16" t="s">
        <v>740</v>
      </c>
      <c r="E472" s="17">
        <v>40940.0</v>
      </c>
      <c r="F472" s="17">
        <v>42035.0</v>
      </c>
      <c r="G472" s="2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12" t="str">
        <f>HYPERLINK("javascript:void%20window.open('https://ds3.dhss.ak.local/dsds/ds3/index.cfm?fuseaction=pro.view&amp;entityId=deb9b100-b5fd-45a1-b5cf-c001c9de1136')","32751")</f>
        <v>32751</v>
      </c>
      <c r="B473" s="13" t="s">
        <v>741</v>
      </c>
      <c r="C473" s="13" t="s">
        <v>11</v>
      </c>
      <c r="D473" s="13" t="s">
        <v>742</v>
      </c>
      <c r="E473" s="14">
        <v>40921.0</v>
      </c>
      <c r="F473" s="14">
        <v>42490.0</v>
      </c>
      <c r="G473" s="2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9" t="str">
        <f>HYPERLINK("javascript:void%20window.open('https://ds3.dhss.ak.local/dsds/ds3/index.cfm?fuseaction=pro.view&amp;entityId=ce54f64f-5056-bc68-73e6-386b5b48adc8')","149885")</f>
        <v>149885</v>
      </c>
      <c r="B474" s="10" t="s">
        <v>743</v>
      </c>
      <c r="C474" s="10" t="s">
        <v>11</v>
      </c>
      <c r="D474" s="10" t="s">
        <v>744</v>
      </c>
      <c r="E474" s="11">
        <v>41544.0</v>
      </c>
      <c r="F474" s="11">
        <v>41882.0</v>
      </c>
      <c r="G474" s="2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12" t="str">
        <f>HYPERLINK("javascript:void%20window.open('https://ds3.dhss.ak.local/dsds/ds3/index.cfm?fuseaction=pro.view&amp;entityId=05fd41d0-5056-bc68-7349-ae046a8f4c86')","142213")</f>
        <v>142213</v>
      </c>
      <c r="B475" s="13" t="s">
        <v>745</v>
      </c>
      <c r="C475" s="13" t="s">
        <v>11</v>
      </c>
      <c r="D475" s="13" t="s">
        <v>746</v>
      </c>
      <c r="E475" s="14">
        <v>41275.0</v>
      </c>
      <c r="F475" s="14">
        <v>42004.0</v>
      </c>
      <c r="G475" s="2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9" t="str">
        <f>HYPERLINK("javascript:void%20window.open('https://ds3.dhss.ak.local/dsds/ds3/index.cfm?fuseaction=pro.view&amp;entityId=f86e8251-5056-bc68-7374-fd7685b77dd5')","162892")</f>
        <v>162892</v>
      </c>
      <c r="B476" s="10" t="s">
        <v>747</v>
      </c>
      <c r="C476" s="10" t="s">
        <v>11</v>
      </c>
      <c r="D476" s="10" t="s">
        <v>748</v>
      </c>
      <c r="E476" s="11">
        <v>41821.0</v>
      </c>
      <c r="F476" s="11">
        <v>42124.0</v>
      </c>
      <c r="G476" s="2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12" t="str">
        <f>HYPERLINK("javascript:void%20window.open('https://ds3.dhss.ak.local/dsds/ds3/index.cfm?fuseaction=pro.view&amp;entityId=5e652905-65be-f484-000e-0704d395e87d')","62123")</f>
        <v>62123</v>
      </c>
      <c r="B477" s="13" t="s">
        <v>749</v>
      </c>
      <c r="C477" s="13" t="s">
        <v>11</v>
      </c>
      <c r="D477" s="13" t="s">
        <v>750</v>
      </c>
      <c r="E477" s="14">
        <v>39377.0</v>
      </c>
      <c r="F477" s="14">
        <v>42490.0</v>
      </c>
      <c r="G477" s="2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15" t="str">
        <f>HYPERLINK("javascript:void%20window.open('https://ds3.dhss.ak.local/dsds/ds3/index.cfm?fuseaction=pro.view&amp;entityId=20ed032a-ad0d-416a-960e-1910d0c1b627')","58806")</f>
        <v>58806</v>
      </c>
      <c r="B478" s="16" t="s">
        <v>751</v>
      </c>
      <c r="C478" s="16" t="s">
        <v>11</v>
      </c>
      <c r="D478" s="16" t="s">
        <v>752</v>
      </c>
      <c r="E478" s="17">
        <v>38991.0</v>
      </c>
      <c r="F478" s="17">
        <v>41943.0</v>
      </c>
      <c r="G478" s="2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12" t="str">
        <f>HYPERLINK("javascript:void%20window.open('https://ds3.dhss.ak.local/dsds/ds3/index.cfm?fuseaction=pro.view&amp;entityId=e08f94a3-ef4e-57e7-67c6-5bd0e8f9a843')","127403")</f>
        <v>127403</v>
      </c>
      <c r="B479" s="13" t="s">
        <v>753</v>
      </c>
      <c r="C479" s="13" t="s">
        <v>11</v>
      </c>
      <c r="D479" s="13" t="s">
        <v>754</v>
      </c>
      <c r="E479" s="14">
        <v>40898.0</v>
      </c>
      <c r="F479" s="14">
        <v>41912.0</v>
      </c>
      <c r="G479" s="2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15" t="str">
        <f>HYPERLINK("javascript:void%20window.open('https://ds3.dhss.ak.local/dsds/ds3/index.cfm?fuseaction=pro.view&amp;entityId=46c268f9-a7bb-be6b-5333-bf5e505ca049')","135429")</f>
        <v>135429</v>
      </c>
      <c r="B480" s="16" t="s">
        <v>755</v>
      </c>
      <c r="C480" s="16" t="s">
        <v>11</v>
      </c>
      <c r="D480" s="16" t="s">
        <v>756</v>
      </c>
      <c r="E480" s="17">
        <v>41214.0</v>
      </c>
      <c r="F480" s="17">
        <v>41943.0</v>
      </c>
      <c r="G480" s="2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12" t="str">
        <f>HYPERLINK("javascript:void%20window.open('https://ds3.dhss.ak.local/dsds/ds3/index.cfm?fuseaction=pro.view&amp;entityId=a980291d-107d-4cde-ae10-a4a818f810f8')","30106")</f>
        <v>30106</v>
      </c>
      <c r="B481" s="13" t="s">
        <v>757</v>
      </c>
      <c r="C481" s="13" t="s">
        <v>11</v>
      </c>
      <c r="D481" s="13" t="s">
        <v>758</v>
      </c>
      <c r="E481" s="14">
        <v>38504.0</v>
      </c>
      <c r="F481" s="14">
        <v>41790.0</v>
      </c>
      <c r="G481" s="2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15" t="str">
        <f>HYPERLINK("javascript:void%20window.open('https://ds3.dhss.ak.local/dsds/ds3/index.cfm?fuseaction=pro.view&amp;entityId=7a3be6d6-fb49-aa60-bd8a-5fb2da99f413')","119437")</f>
        <v>119437</v>
      </c>
      <c r="B482" s="16" t="s">
        <v>759</v>
      </c>
      <c r="C482" s="16" t="s">
        <v>11</v>
      </c>
      <c r="D482" s="16" t="s">
        <v>760</v>
      </c>
      <c r="E482" s="17">
        <v>40739.0</v>
      </c>
      <c r="F482" s="17">
        <v>41912.0</v>
      </c>
      <c r="G482" s="2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12" t="str">
        <f>HYPERLINK("javascript:void%20window.open('https://ds3.dhss.ak.local/dsds/ds3/index.cfm?fuseaction=pro.view&amp;entityId=e48655ad-5056-bc68-73d9-9da471bc256d')","153164")</f>
        <v>153164</v>
      </c>
      <c r="B483" s="13" t="s">
        <v>761</v>
      </c>
      <c r="C483" s="13" t="s">
        <v>11</v>
      </c>
      <c r="D483" s="13" t="s">
        <v>762</v>
      </c>
      <c r="E483" s="14">
        <v>41443.0</v>
      </c>
      <c r="F483" s="14">
        <v>42521.0</v>
      </c>
      <c r="G483" s="2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15" t="str">
        <f>HYPERLINK("javascript:void%20window.open('https://ds3.dhss.ak.local/dsds/ds3/index.cfm?fuseaction=pro.view&amp;entityId=c47042e3-0994-b0e0-065d-ecbe166154ac')","92798")</f>
        <v>92798</v>
      </c>
      <c r="B484" s="16" t="s">
        <v>763</v>
      </c>
      <c r="C484" s="16" t="s">
        <v>11</v>
      </c>
      <c r="D484" s="16" t="s">
        <v>764</v>
      </c>
      <c r="E484" s="17">
        <v>40219.0</v>
      </c>
      <c r="F484" s="17">
        <v>42613.0</v>
      </c>
      <c r="G484" s="2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9" t="str">
        <f>HYPERLINK("javascript:void%20window.open('https://ds3.dhss.ak.local/dsds/ds3/index.cfm?fuseaction=pro.view&amp;entityId=67f76b02-9a24-67f2-033d-566d1e56e7e1')","70574")</f>
        <v>70574</v>
      </c>
      <c r="B485" s="10" t="s">
        <v>765</v>
      </c>
      <c r="C485" s="10" t="s">
        <v>11</v>
      </c>
      <c r="D485" s="10" t="s">
        <v>766</v>
      </c>
      <c r="E485" s="11">
        <v>41487.0</v>
      </c>
      <c r="F485" s="11">
        <v>42216.0</v>
      </c>
      <c r="G485" s="2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15" t="str">
        <f>HYPERLINK("javascript:void%20window.open('https://ds3.dhss.ak.local/dsds/ds3/index.cfm?fuseaction=pro.view&amp;entityId=573d32aa-50c0-46f5-9d4d-7f42979aa9f2')","32514")</f>
        <v>32514</v>
      </c>
      <c r="B486" s="16" t="s">
        <v>767</v>
      </c>
      <c r="C486" s="16" t="s">
        <v>11</v>
      </c>
      <c r="D486" s="16" t="s">
        <v>768</v>
      </c>
      <c r="E486" s="17">
        <v>39173.0</v>
      </c>
      <c r="F486" s="17">
        <v>42094.0</v>
      </c>
      <c r="G486" s="2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12" t="str">
        <f>HYPERLINK("javascript:void%20window.open('https://ds3.dhss.ak.local/dsds/ds3/index.cfm?fuseaction=pro.view&amp;entityId=728e907c-a4b4-6bf2-86cd-3876e440941d')","127656")</f>
        <v>127656</v>
      </c>
      <c r="B487" s="13" t="s">
        <v>769</v>
      </c>
      <c r="C487" s="13" t="s">
        <v>11</v>
      </c>
      <c r="D487" s="13" t="s">
        <v>770</v>
      </c>
      <c r="E487" s="14">
        <v>40989.0</v>
      </c>
      <c r="F487" s="14">
        <v>42063.0</v>
      </c>
      <c r="G487" s="2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15" t="str">
        <f>HYPERLINK("javascript:void%20window.open('https://ds3.dhss.ak.local/dsds/ds3/index.cfm?fuseaction=pro.view&amp;entityId=0108c67d-a33f-0714-ebe9-bcccab7d4a9b')","125938")</f>
        <v>125938</v>
      </c>
      <c r="B488" s="16" t="s">
        <v>771</v>
      </c>
      <c r="C488" s="16" t="s">
        <v>11</v>
      </c>
      <c r="D488" s="16" t="s">
        <v>772</v>
      </c>
      <c r="E488" s="17">
        <v>40988.0</v>
      </c>
      <c r="F488" s="17">
        <v>42369.0</v>
      </c>
      <c r="G488" s="2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12" t="str">
        <f>HYPERLINK("javascript:void%20window.open('https://ds3.dhss.ak.local/dsds/ds3/index.cfm?fuseaction=pro.view&amp;entityId=5120103a-03d4-ce20-c6af-6241b65f53af')","120803")</f>
        <v>120803</v>
      </c>
      <c r="B489" s="13" t="s">
        <v>773</v>
      </c>
      <c r="C489" s="13" t="s">
        <v>11</v>
      </c>
      <c r="D489" s="13" t="s">
        <v>774</v>
      </c>
      <c r="E489" s="14">
        <v>40897.0</v>
      </c>
      <c r="F489" s="14">
        <v>41973.0</v>
      </c>
      <c r="G489" s="2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15" t="str">
        <f>HYPERLINK("javascript:void%20window.open('https://ds3.dhss.ak.local/dsds/ds3/index.cfm?fuseaction=pro.view&amp;entityId=c1c530c1-88a0-49ae-a515-44d10b6a19d4')","30086")</f>
        <v>30086</v>
      </c>
      <c r="B490" s="16" t="s">
        <v>775</v>
      </c>
      <c r="C490" s="16" t="s">
        <v>11</v>
      </c>
      <c r="D490" s="16" t="s">
        <v>776</v>
      </c>
      <c r="E490" s="17">
        <v>39356.0</v>
      </c>
      <c r="F490" s="17">
        <v>42277.0</v>
      </c>
      <c r="G490" s="2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12" t="str">
        <f>HYPERLINK("javascript:void%20window.open('https://ds3.dhss.ak.local/dsds/ds3/index.cfm?fuseaction=pro.view&amp;entityId=cc2d76ab-90a2-340e-1fdb-0cf5ec0b83c4')","116191")</f>
        <v>116191</v>
      </c>
      <c r="B491" s="13" t="s">
        <v>777</v>
      </c>
      <c r="C491" s="13" t="s">
        <v>11</v>
      </c>
      <c r="D491" s="13" t="s">
        <v>778</v>
      </c>
      <c r="E491" s="14">
        <v>40829.0</v>
      </c>
      <c r="F491" s="14">
        <v>41912.0</v>
      </c>
      <c r="G491" s="2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15" t="str">
        <f>HYPERLINK("javascript:void%20window.open('https://ds3.dhss.ak.local/dsds/ds3/index.cfm?fuseaction=pro.view&amp;entityId=426fa451-b724-44b2-b633-d2e14b56c71e')","30162")</f>
        <v>30162</v>
      </c>
      <c r="B492" s="16" t="s">
        <v>779</v>
      </c>
      <c r="C492" s="16" t="s">
        <v>11</v>
      </c>
      <c r="D492" s="16" t="s">
        <v>780</v>
      </c>
      <c r="E492" s="17">
        <v>39295.0</v>
      </c>
      <c r="F492" s="17">
        <v>42216.0</v>
      </c>
      <c r="G492" s="2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12" t="str">
        <f>HYPERLINK("javascript:void%20window.open('https://ds3.dhss.ak.local/dsds/ds3/index.cfm?fuseaction=pro.view&amp;entityId=ceb2c655-1275-4306-9f96-53e4838f58ca')","30095")</f>
        <v>30095</v>
      </c>
      <c r="B493" s="13" t="s">
        <v>781</v>
      </c>
      <c r="C493" s="13" t="s">
        <v>11</v>
      </c>
      <c r="D493" s="13" t="s">
        <v>782</v>
      </c>
      <c r="E493" s="14">
        <v>38991.0</v>
      </c>
      <c r="F493" s="14">
        <v>41912.0</v>
      </c>
      <c r="G493" s="2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15" t="str">
        <f>HYPERLINK("javascript:void%20window.open('https://ds3.dhss.ak.local/dsds/ds3/index.cfm?fuseaction=pro.view&amp;entityId=3d8cbe48-af91-fd4c-5be3-d149384b9d2d')","76220")</f>
        <v>76220</v>
      </c>
      <c r="B494" s="16" t="s">
        <v>783</v>
      </c>
      <c r="C494" s="16" t="s">
        <v>11</v>
      </c>
      <c r="D494" s="16" t="s">
        <v>784</v>
      </c>
      <c r="E494" s="17">
        <v>40077.0</v>
      </c>
      <c r="F494" s="17">
        <v>42369.0</v>
      </c>
      <c r="G494" s="2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9" t="str">
        <f>HYPERLINK("javascript:void%20window.open('https://ds3.dhss.ak.local/dsds/ds3/index.cfm?fuseaction=pro.view&amp;entityId=bf5d94d4-5056-bc68-73e9-1f2cfa93b047')","161511")</f>
        <v>161511</v>
      </c>
      <c r="B495" s="10" t="s">
        <v>785</v>
      </c>
      <c r="C495" s="10" t="s">
        <v>11</v>
      </c>
      <c r="D495" s="10" t="s">
        <v>786</v>
      </c>
      <c r="E495" s="11">
        <v>41760.0</v>
      </c>
      <c r="F495" s="11">
        <v>42124.0</v>
      </c>
      <c r="G495" s="2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15" t="str">
        <f>HYPERLINK("javascript:void%20window.open('https://ds3.dhss.ak.local/dsds/ds3/index.cfm?fuseaction=pro.view&amp;entityId=f1c7b061-65be-f484-0d97-7a6a130de611')","65596")</f>
        <v>65596</v>
      </c>
      <c r="B496" s="16" t="s">
        <v>787</v>
      </c>
      <c r="C496" s="16" t="s">
        <v>11</v>
      </c>
      <c r="D496" s="16" t="s">
        <v>788</v>
      </c>
      <c r="E496" s="17">
        <v>39533.0</v>
      </c>
      <c r="F496" s="17">
        <v>42490.0</v>
      </c>
      <c r="G496" s="2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12" t="str">
        <f>HYPERLINK("javascript:void%20window.open('https://ds3.dhss.ak.local/dsds/ds3/index.cfm?fuseaction=pro.view&amp;entityId=b1beaedb-5056-bc68-7302-54d0f35c0056')","145711")</f>
        <v>145711</v>
      </c>
      <c r="B497" s="13" t="s">
        <v>789</v>
      </c>
      <c r="C497" s="13" t="s">
        <v>11</v>
      </c>
      <c r="D497" s="13" t="s">
        <v>790</v>
      </c>
      <c r="E497" s="14">
        <v>41362.0</v>
      </c>
      <c r="F497" s="14">
        <v>42063.0</v>
      </c>
      <c r="G497" s="2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9" t="str">
        <f>HYPERLINK("javascript:void%20window.open('https://ds3.dhss.ak.local/dsds/ds3/index.cfm?fuseaction=pro.view&amp;entityId=9d75fa16-5056-bc68-73ab-42313372a895')","163468")</f>
        <v>163468</v>
      </c>
      <c r="B498" s="10" t="s">
        <v>791</v>
      </c>
      <c r="C498" s="10" t="s">
        <v>11</v>
      </c>
      <c r="D498" s="10" t="s">
        <v>792</v>
      </c>
      <c r="E498" s="11">
        <v>41732.0</v>
      </c>
      <c r="F498" s="11">
        <v>42094.0</v>
      </c>
      <c r="G498" s="2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12" t="str">
        <f>HYPERLINK("javascript:void%20window.open('https://ds3.dhss.ak.local/dsds/ds3/index.cfm?fuseaction=pro.view&amp;entityId=7eef6715-d4d3-96b4-a3af-f4222530810c')","89961")</f>
        <v>89961</v>
      </c>
      <c r="B499" s="13" t="s">
        <v>793</v>
      </c>
      <c r="C499" s="13" t="s">
        <v>11</v>
      </c>
      <c r="D499" s="13" t="s">
        <v>794</v>
      </c>
      <c r="E499" s="14">
        <v>40484.0</v>
      </c>
      <c r="F499" s="14">
        <v>41670.0</v>
      </c>
      <c r="G499" s="2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15" t="str">
        <f>HYPERLINK("javascript:void%20window.open('https://ds3.dhss.ak.local/dsds/ds3/index.cfm?fuseaction=pro.view&amp;entityId=0954b2a5-04a1-a791-fc65-87aa6f93946e')","81982")</f>
        <v>81982</v>
      </c>
      <c r="B500" s="16" t="s">
        <v>795</v>
      </c>
      <c r="C500" s="16" t="s">
        <v>11</v>
      </c>
      <c r="D500" s="16" t="s">
        <v>796</v>
      </c>
      <c r="E500" s="17">
        <v>40148.0</v>
      </c>
      <c r="F500" s="17">
        <v>41973.0</v>
      </c>
      <c r="G500" s="2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12" t="str">
        <f>HYPERLINK("javascript:void%20window.open('https://ds3.dhss.ak.local/dsds/ds3/index.cfm?fuseaction=pro.view&amp;entityId=fef4b0cd-cb82-4761-ed59-17556a214eb1')","95543")</f>
        <v>95543</v>
      </c>
      <c r="B501" s="13" t="s">
        <v>797</v>
      </c>
      <c r="C501" s="13" t="s">
        <v>11</v>
      </c>
      <c r="D501" s="13" t="s">
        <v>798</v>
      </c>
      <c r="E501" s="14">
        <v>40281.0</v>
      </c>
      <c r="F501" s="14">
        <v>42308.0</v>
      </c>
      <c r="G501" s="2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15" t="str">
        <f>HYPERLINK("javascript:void%20window.open('https://ds3.dhss.ak.local/dsds/ds3/index.cfm?fuseaction=pro.view&amp;entityId=9cb0115b-97d8-4b6f-b670-4b29827ef18d')","33156")</f>
        <v>33156</v>
      </c>
      <c r="B502" s="16" t="s">
        <v>799</v>
      </c>
      <c r="C502" s="16" t="s">
        <v>11</v>
      </c>
      <c r="D502" s="16" t="s">
        <v>800</v>
      </c>
      <c r="E502" s="17">
        <v>40830.0</v>
      </c>
      <c r="F502" s="17">
        <v>42035.0</v>
      </c>
      <c r="G502" s="2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9" t="str">
        <f>HYPERLINK("javascript:void%20window.open('https://ds3.dhss.ak.local/dsds/ds3/index.cfm?fuseaction=pro.view&amp;entityId=23a22d95-fb1a-9ef5-3cd8-ad76928715b1')","132125")</f>
        <v>132125</v>
      </c>
      <c r="B503" s="10" t="s">
        <v>801</v>
      </c>
      <c r="C503" s="10" t="s">
        <v>11</v>
      </c>
      <c r="D503" s="10" t="s">
        <v>802</v>
      </c>
      <c r="E503" s="11">
        <v>41548.0</v>
      </c>
      <c r="F503" s="11">
        <v>42094.0</v>
      </c>
      <c r="G503" s="2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15" t="str">
        <f>HYPERLINK("javascript:void%20window.open('https://ds3.dhss.ak.local/dsds/ds3/index.cfm?fuseaction=pro.view&amp;entityId=3a25a919-a106-0cd4-38df-6049dfe3faec')","118932")</f>
        <v>118932</v>
      </c>
      <c r="B504" s="16" t="s">
        <v>803</v>
      </c>
      <c r="C504" s="16" t="s">
        <v>11</v>
      </c>
      <c r="D504" s="16" t="s">
        <v>804</v>
      </c>
      <c r="E504" s="17">
        <v>40725.0</v>
      </c>
      <c r="F504" s="17">
        <v>42551.0</v>
      </c>
      <c r="G504" s="2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12" t="str">
        <f>HYPERLINK("javascript:void%20window.open('https://ds3.dhss.ak.local/dsds/ds3/index.cfm?fuseaction=pro.view&amp;entityId=2d67a85c-46f4-492b-bb9e-f57cb5925d28')","31573")</f>
        <v>31573</v>
      </c>
      <c r="B505" s="13" t="s">
        <v>805</v>
      </c>
      <c r="C505" s="13" t="s">
        <v>11</v>
      </c>
      <c r="D505" s="13" t="s">
        <v>806</v>
      </c>
      <c r="E505" s="14">
        <v>38899.0</v>
      </c>
      <c r="F505" s="14">
        <v>42490.0</v>
      </c>
      <c r="G505" s="2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15" t="str">
        <f>HYPERLINK("javascript:void%20window.open('https://ds3.dhss.ak.local/dsds/ds3/index.cfm?fuseaction=pro.view&amp;entityId=ade8f398-5056-bc68-73af-52cb1efeb2b6')","144218")</f>
        <v>144218</v>
      </c>
      <c r="B506" s="16" t="s">
        <v>807</v>
      </c>
      <c r="C506" s="16" t="s">
        <v>11</v>
      </c>
      <c r="D506" s="16" t="s">
        <v>808</v>
      </c>
      <c r="E506" s="17">
        <v>41254.0</v>
      </c>
      <c r="F506" s="17">
        <v>42490.0</v>
      </c>
      <c r="G506" s="2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12" t="str">
        <f>HYPERLINK("javascript:void%20window.open('https://ds3.dhss.ak.local/dsds/ds3/index.cfm?fuseaction=pro.view&amp;entityId=6cc7dc40-242a-4aac-9ec0-61ca05b6d5a9')","82440")</f>
        <v>82440</v>
      </c>
      <c r="B507" s="13" t="s">
        <v>809</v>
      </c>
      <c r="C507" s="13" t="s">
        <v>11</v>
      </c>
      <c r="D507" s="13" t="s">
        <v>810</v>
      </c>
      <c r="E507" s="14">
        <v>41362.0</v>
      </c>
      <c r="F507" s="14">
        <v>42429.0</v>
      </c>
      <c r="G507" s="2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15" t="str">
        <f>HYPERLINK("javascript:void%20window.open('https://ds3.dhss.ak.local/dsds/ds3/index.cfm?fuseaction=pro.view&amp;entityId=2893f13f-ee78-b59e-245a-d400dfd385be')","104825")</f>
        <v>104825</v>
      </c>
      <c r="B508" s="16" t="s">
        <v>811</v>
      </c>
      <c r="C508" s="16" t="s">
        <v>11</v>
      </c>
      <c r="D508" s="16" t="s">
        <v>812</v>
      </c>
      <c r="E508" s="17">
        <v>41144.0</v>
      </c>
      <c r="F508" s="17">
        <v>42551.0</v>
      </c>
      <c r="G508" s="2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12" t="str">
        <f>HYPERLINK("javascript:void%20window.open('https://ds3.dhss.ak.local/dsds/ds3/index.cfm?fuseaction=pro.view&amp;entityId=07c54188-82a5-4337-b1fe-81b708ebed3f')","30697")</f>
        <v>30697</v>
      </c>
      <c r="B509" s="13" t="s">
        <v>813</v>
      </c>
      <c r="C509" s="13" t="s">
        <v>11</v>
      </c>
      <c r="D509" s="13" t="s">
        <v>814</v>
      </c>
      <c r="E509" s="14">
        <v>39387.0</v>
      </c>
      <c r="F509" s="14">
        <v>42308.0</v>
      </c>
      <c r="G509" s="2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15" t="str">
        <f>HYPERLINK("javascript:void%20window.open('https://ds3.dhss.ak.local/dsds/ds3/index.cfm?fuseaction=pro.view&amp;entityId=bb60f21b-9b91-4eaf-b0f5-1609f5458eb6')","30693")</f>
        <v>30693</v>
      </c>
      <c r="B510" s="16" t="s">
        <v>815</v>
      </c>
      <c r="C510" s="16" t="s">
        <v>11</v>
      </c>
      <c r="D510" s="16" t="s">
        <v>816</v>
      </c>
      <c r="E510" s="17">
        <v>39387.0</v>
      </c>
      <c r="F510" s="17">
        <v>42308.0</v>
      </c>
      <c r="G510" s="2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12" t="str">
        <f>HYPERLINK("javascript:void%20window.open('https://ds3.dhss.ak.local/dsds/ds3/index.cfm?fuseaction=pro.view&amp;entityId=288428c9-aceb-4396-8e2f-dceaa5bd10d5')","30698")</f>
        <v>30698</v>
      </c>
      <c r="B511" s="13" t="s">
        <v>817</v>
      </c>
      <c r="C511" s="13" t="s">
        <v>11</v>
      </c>
      <c r="D511" s="13" t="s">
        <v>818</v>
      </c>
      <c r="E511" s="14">
        <v>39387.0</v>
      </c>
      <c r="F511" s="14">
        <v>42308.0</v>
      </c>
      <c r="G511" s="2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15" t="str">
        <f>HYPERLINK("javascript:void%20window.open('https://ds3.dhss.ak.local/dsds/ds3/index.cfm?fuseaction=pro.view&amp;entityId=5a37b159-e3e3-c8dc-7e5e-47e312a6d068')","67410")</f>
        <v>67410</v>
      </c>
      <c r="B512" s="16" t="s">
        <v>819</v>
      </c>
      <c r="C512" s="16" t="s">
        <v>11</v>
      </c>
      <c r="D512" s="16" t="s">
        <v>820</v>
      </c>
      <c r="E512" s="17">
        <v>39387.0</v>
      </c>
      <c r="F512" s="17">
        <v>42308.0</v>
      </c>
      <c r="G512" s="2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12" t="str">
        <f>HYPERLINK("javascript:void%20window.open('https://ds3.dhss.ak.local/dsds/ds3/index.cfm?fuseaction=pro.view&amp;entityId=d32c77d4-6dd5-4144-8ebd-fa6e4c2bbbc3')","30691")</f>
        <v>30691</v>
      </c>
      <c r="B513" s="13" t="s">
        <v>821</v>
      </c>
      <c r="C513" s="13" t="s">
        <v>11</v>
      </c>
      <c r="D513" s="13" t="s">
        <v>822</v>
      </c>
      <c r="E513" s="14">
        <v>39387.0</v>
      </c>
      <c r="F513" s="14">
        <v>42308.0</v>
      </c>
      <c r="G513" s="2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15" t="str">
        <f>HYPERLINK("javascript:void%20window.open('https://ds3.dhss.ak.local/dsds/ds3/index.cfm?fuseaction=pro.view&amp;entityId=5a3d99eb-c114-6cb6-4ff9-894fcb09d98e')","67411")</f>
        <v>67411</v>
      </c>
      <c r="B514" s="16" t="s">
        <v>823</v>
      </c>
      <c r="C514" s="16" t="s">
        <v>11</v>
      </c>
      <c r="D514" s="16" t="s">
        <v>824</v>
      </c>
      <c r="E514" s="17">
        <v>39387.0</v>
      </c>
      <c r="F514" s="17">
        <v>42308.0</v>
      </c>
      <c r="G514" s="2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12" t="str">
        <f>HYPERLINK("javascript:void%20window.open('https://ds3.dhss.ak.local/dsds/ds3/index.cfm?fuseaction=pro.view&amp;entityId=f8ce9a78-a7c5-4462-bce5-2260dc14fd5c')","30700")</f>
        <v>30700</v>
      </c>
      <c r="B515" s="13" t="s">
        <v>825</v>
      </c>
      <c r="C515" s="13" t="s">
        <v>11</v>
      </c>
      <c r="D515" s="13" t="s">
        <v>826</v>
      </c>
      <c r="E515" s="14">
        <v>39387.0</v>
      </c>
      <c r="F515" s="14">
        <v>42308.0</v>
      </c>
      <c r="G515" s="2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15" t="str">
        <f>HYPERLINK("javascript:void%20window.open('https://ds3.dhss.ak.local/dsds/ds3/index.cfm?fuseaction=pro.view&amp;entityId=9a75ffd8-f4a9-4b70-a9d8-34957da167d7')","30696")</f>
        <v>30696</v>
      </c>
      <c r="B516" s="16" t="s">
        <v>827</v>
      </c>
      <c r="C516" s="16" t="s">
        <v>11</v>
      </c>
      <c r="D516" s="16" t="s">
        <v>828</v>
      </c>
      <c r="E516" s="17">
        <v>39387.0</v>
      </c>
      <c r="F516" s="17">
        <v>42308.0</v>
      </c>
      <c r="G516" s="2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12" t="str">
        <f>HYPERLINK("javascript:void%20window.open('https://ds3.dhss.ak.local/dsds/ds3/index.cfm?fuseaction=pro.view&amp;entityId=397cc9c9-d9bb-4313-a0a0-12cecd0c0b03')","30695")</f>
        <v>30695</v>
      </c>
      <c r="B517" s="13" t="s">
        <v>829</v>
      </c>
      <c r="C517" s="13" t="s">
        <v>11</v>
      </c>
      <c r="D517" s="13" t="s">
        <v>830</v>
      </c>
      <c r="E517" s="14">
        <v>39387.0</v>
      </c>
      <c r="F517" s="14">
        <v>42308.0</v>
      </c>
      <c r="G517" s="2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15" t="str">
        <f>HYPERLINK("javascript:void%20window.open('https://ds3.dhss.ak.local/dsds/ds3/index.cfm?fuseaction=pro.view&amp;entityId=d7408301-1e8a-4fde-9297-d9f32613cf32')","30692")</f>
        <v>30692</v>
      </c>
      <c r="B518" s="16" t="s">
        <v>831</v>
      </c>
      <c r="C518" s="16" t="s">
        <v>11</v>
      </c>
      <c r="D518" s="16" t="s">
        <v>832</v>
      </c>
      <c r="E518" s="17">
        <v>41130.0</v>
      </c>
      <c r="F518" s="17">
        <v>42308.0</v>
      </c>
      <c r="G518" s="2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12" t="str">
        <f>HYPERLINK("javascript:void%20window.open('https://ds3.dhss.ak.local/dsds/ds3/index.cfm?fuseaction=pro.view&amp;entityId=c0e22100-0f8d-4299-a1d5-6d2b27ae75ca')","30694")</f>
        <v>30694</v>
      </c>
      <c r="B519" s="13" t="s">
        <v>833</v>
      </c>
      <c r="C519" s="13" t="s">
        <v>11</v>
      </c>
      <c r="D519" s="13" t="s">
        <v>834</v>
      </c>
      <c r="E519" s="14">
        <v>39387.0</v>
      </c>
      <c r="F519" s="14">
        <v>42308.0</v>
      </c>
      <c r="G519" s="2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15" t="str">
        <f>HYPERLINK("javascript:void%20window.open('https://ds3.dhss.ak.local/dsds/ds3/index.cfm?fuseaction=pro.view&amp;entityId=4e3ee968-30c6-48d3-93ba-e80ecdc62385')","30688")</f>
        <v>30688</v>
      </c>
      <c r="B520" s="16" t="s">
        <v>835</v>
      </c>
      <c r="C520" s="16" t="s">
        <v>11</v>
      </c>
      <c r="D520" s="16" t="s">
        <v>836</v>
      </c>
      <c r="E520" s="17">
        <v>39387.0</v>
      </c>
      <c r="F520" s="17">
        <v>42308.0</v>
      </c>
      <c r="G520" s="2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12" t="str">
        <f>HYPERLINK("javascript:void%20window.open('https://ds3.dhss.ak.local/dsds/ds3/index.cfm?fuseaction=pro.view&amp;entityId=5a332c52-ed7d-cfb6-c388-1b3cfef8fc72')","67408")</f>
        <v>67408</v>
      </c>
      <c r="B521" s="13" t="s">
        <v>837</v>
      </c>
      <c r="C521" s="13" t="s">
        <v>11</v>
      </c>
      <c r="D521" s="13" t="s">
        <v>838</v>
      </c>
      <c r="E521" s="14">
        <v>39387.0</v>
      </c>
      <c r="F521" s="14">
        <v>42308.0</v>
      </c>
      <c r="G521" s="2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15" t="str">
        <f>HYPERLINK("javascript:void%20window.open('https://ds3.dhss.ak.local/dsds/ds3/index.cfm?fuseaction=pro.view&amp;entityId=ee8a88c1-2fea-47e3-93a0-cf037c9516a2')","32272")</f>
        <v>32272</v>
      </c>
      <c r="B522" s="16" t="s">
        <v>839</v>
      </c>
      <c r="C522" s="16" t="s">
        <v>11</v>
      </c>
      <c r="D522" s="16" t="s">
        <v>840</v>
      </c>
      <c r="E522" s="17">
        <v>38899.0</v>
      </c>
      <c r="F522" s="17">
        <v>42521.0</v>
      </c>
      <c r="G522" s="2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12" t="str">
        <f>HYPERLINK("javascript:void%20window.open('https://ds3.dhss.ak.local/dsds/ds3/index.cfm?fuseaction=pro.view&amp;entityId=5e429a38-f810-a50d-7ecd-1b554d8c051e')","116976")</f>
        <v>116976</v>
      </c>
      <c r="B523" s="13" t="s">
        <v>841</v>
      </c>
      <c r="C523" s="13" t="s">
        <v>11</v>
      </c>
      <c r="D523" s="13" t="s">
        <v>842</v>
      </c>
      <c r="E523" s="14">
        <v>40471.0</v>
      </c>
      <c r="F523" s="14">
        <v>42004.0</v>
      </c>
      <c r="G523" s="2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15" t="str">
        <f>HYPERLINK("javascript:void%20window.open('https://ds3.dhss.ak.local/dsds/ds3/index.cfm?fuseaction=pro.view&amp;entityId=79e8356f-30a7-4452-bfe8-825afcf661e9')","32257")</f>
        <v>32257</v>
      </c>
      <c r="B524" s="16" t="s">
        <v>843</v>
      </c>
      <c r="C524" s="16" t="s">
        <v>11</v>
      </c>
      <c r="D524" s="16" t="s">
        <v>844</v>
      </c>
      <c r="E524" s="17">
        <v>38899.0</v>
      </c>
      <c r="F524" s="17">
        <v>42521.0</v>
      </c>
      <c r="G524" s="2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12" t="str">
        <f>HYPERLINK("javascript:void%20window.open('https://ds3.dhss.ak.local/dsds/ds3/index.cfm?fuseaction=pro.view&amp;entityId=6fc50276-8949-4707-82fb-af9d59f53970')","31577")</f>
        <v>31577</v>
      </c>
      <c r="B525" s="13" t="s">
        <v>845</v>
      </c>
      <c r="C525" s="13" t="s">
        <v>11</v>
      </c>
      <c r="D525" s="13" t="s">
        <v>846</v>
      </c>
      <c r="E525" s="14">
        <v>38899.0</v>
      </c>
      <c r="F525" s="14">
        <v>42551.0</v>
      </c>
      <c r="G525" s="2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15" t="str">
        <f>HYPERLINK("javascript:void%20window.open('https://ds3.dhss.ak.local/dsds/ds3/index.cfm?fuseaction=pro.view&amp;entityId=b4e4609b-6e12-4add-847b-cbcc6d3c1b7d')","31334")</f>
        <v>31334</v>
      </c>
      <c r="B526" s="16" t="s">
        <v>847</v>
      </c>
      <c r="C526" s="16" t="s">
        <v>11</v>
      </c>
      <c r="D526" s="16" t="s">
        <v>848</v>
      </c>
      <c r="E526" s="17">
        <v>39383.0</v>
      </c>
      <c r="F526" s="17">
        <v>42004.0</v>
      </c>
      <c r="G526" s="2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12" t="str">
        <f>HYPERLINK("javascript:void%20window.open('https://ds3.dhss.ak.local/dsds/ds3/index.cfm?fuseaction=pro.view&amp;entityId=7c53e235-65be-f484-04b4-392ad5c9a81e')","64893")</f>
        <v>64893</v>
      </c>
      <c r="B527" s="13" t="s">
        <v>849</v>
      </c>
      <c r="C527" s="13" t="s">
        <v>11</v>
      </c>
      <c r="D527" s="13" t="s">
        <v>850</v>
      </c>
      <c r="E527" s="14">
        <v>39423.0</v>
      </c>
      <c r="F527" s="14">
        <v>41973.0</v>
      </c>
      <c r="G527" s="2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15" t="str">
        <f>HYPERLINK("javascript:void%20window.open('https://ds3.dhss.ak.local/dsds/ds3/index.cfm?fuseaction=pro.view&amp;entityId=e7a91a95-65c2-4f22-80f3-0050f18a3eb7')","37466")</f>
        <v>37466</v>
      </c>
      <c r="B528" s="16" t="s">
        <v>851</v>
      </c>
      <c r="C528" s="16" t="s">
        <v>11</v>
      </c>
      <c r="D528" s="16" t="s">
        <v>852</v>
      </c>
      <c r="E528" s="17">
        <v>38991.0</v>
      </c>
      <c r="F528" s="17">
        <v>42613.0</v>
      </c>
      <c r="G528" s="2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12" t="str">
        <f>HYPERLINK("javascript:void%20window.open('https://ds3.dhss.ak.local/dsds/ds3/index.cfm?fuseaction=pro.view&amp;entityId=528f93f1-5056-bc68-7315-b6dd2e83edd4')","138684")</f>
        <v>138684</v>
      </c>
      <c r="B529" s="13" t="s">
        <v>853</v>
      </c>
      <c r="C529" s="13" t="s">
        <v>11</v>
      </c>
      <c r="D529" s="13" t="s">
        <v>854</v>
      </c>
      <c r="E529" s="14">
        <v>41426.0</v>
      </c>
      <c r="F529" s="14">
        <v>42582.0</v>
      </c>
      <c r="G529" s="2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15" t="str">
        <f>HYPERLINK("javascript:void%20window.open('https://ds3.dhss.ak.local/dsds/ds3/index.cfm?fuseaction=pro.view&amp;entityId=f04b1905-0f5f-3b38-634f-4e9f88746477')","88640")</f>
        <v>88640</v>
      </c>
      <c r="B530" s="16" t="s">
        <v>855</v>
      </c>
      <c r="C530" s="16" t="s">
        <v>11</v>
      </c>
      <c r="D530" s="16" t="s">
        <v>856</v>
      </c>
      <c r="E530" s="17">
        <v>40121.0</v>
      </c>
      <c r="F530" s="17">
        <v>42582.0</v>
      </c>
      <c r="G530" s="2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12" t="str">
        <f>HYPERLINK("javascript:void%20window.open('https://ds3.dhss.ak.local/dsds/ds3/index.cfm?fuseaction=pro.view&amp;entityId=6a800cd1-b7ff-41ab-b7f3-a6f4ead968fd')","32441")</f>
        <v>32441</v>
      </c>
      <c r="B531" s="13" t="s">
        <v>857</v>
      </c>
      <c r="C531" s="13" t="s">
        <v>11</v>
      </c>
      <c r="D531" s="13" t="s">
        <v>858</v>
      </c>
      <c r="E531" s="14">
        <v>38899.0</v>
      </c>
      <c r="F531" s="14">
        <v>41973.0</v>
      </c>
      <c r="G531" s="2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15" t="str">
        <f>HYPERLINK("javascript:void%20window.open('https://ds3.dhss.ak.local/dsds/ds3/index.cfm?fuseaction=pro.view&amp;entityId=ff4dfbe9-a673-d15f-7c62-8fc419a97dcd')","97657")</f>
        <v>97657</v>
      </c>
      <c r="B532" s="16" t="s">
        <v>859</v>
      </c>
      <c r="C532" s="16" t="s">
        <v>11</v>
      </c>
      <c r="D532" s="16" t="s">
        <v>860</v>
      </c>
      <c r="E532" s="17">
        <v>40801.0</v>
      </c>
      <c r="F532" s="17">
        <v>42551.0</v>
      </c>
      <c r="G532" s="2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12" t="str">
        <f>HYPERLINK("javascript:void%20window.open('https://ds3.dhss.ak.local/dsds/ds3/index.cfm?fuseaction=pro.view&amp;entityId=49bb20d3-5056-bc68-73f3-fcf099ae5c48')","137854")</f>
        <v>137854</v>
      </c>
      <c r="B533" s="13" t="s">
        <v>861</v>
      </c>
      <c r="C533" s="13" t="s">
        <v>11</v>
      </c>
      <c r="D533" s="13" t="s">
        <v>862</v>
      </c>
      <c r="E533" s="14">
        <v>41276.0</v>
      </c>
      <c r="F533" s="14">
        <v>42369.0</v>
      </c>
      <c r="G533" s="2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15" t="str">
        <f>HYPERLINK("javascript:void%20window.open('https://ds3.dhss.ak.local/dsds/ds3/index.cfm?fuseaction=pro.view&amp;entityId=f63ea05e-5d4e-4ad0-aed2-8b33360f7765')","32295")</f>
        <v>32295</v>
      </c>
      <c r="B534" s="16" t="s">
        <v>863</v>
      </c>
      <c r="C534" s="16" t="s">
        <v>11</v>
      </c>
      <c r="D534" s="16" t="s">
        <v>864</v>
      </c>
      <c r="E534" s="17">
        <v>39113.0</v>
      </c>
      <c r="F534" s="17">
        <v>42035.0</v>
      </c>
      <c r="G534" s="2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12" t="str">
        <f>HYPERLINK("javascript:void%20window.open('https://ds3.dhss.ak.local/dsds/ds3/index.cfm?fuseaction=pro.view&amp;entityId=2b5cea98-bdf0-4b6e-8294-e93732cdcb76')","32730")</f>
        <v>32730</v>
      </c>
      <c r="B535" s="13" t="s">
        <v>865</v>
      </c>
      <c r="C535" s="13" t="s">
        <v>11</v>
      </c>
      <c r="D535" s="13" t="s">
        <v>866</v>
      </c>
      <c r="E535" s="14">
        <v>40528.0</v>
      </c>
      <c r="F535" s="14">
        <v>41912.0</v>
      </c>
      <c r="G535" s="2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15" t="str">
        <f>HYPERLINK("javascript:void%20window.open('https://ds3.dhss.ak.local/dsds/ds3/index.cfm?fuseaction=pro.view&amp;entityId=28873bbe-ecec-4c49-841d-fbcff701174d')","30599")</f>
        <v>30599</v>
      </c>
      <c r="B536" s="16" t="s">
        <v>867</v>
      </c>
      <c r="C536" s="16" t="s">
        <v>11</v>
      </c>
      <c r="D536" s="16" t="s">
        <v>868</v>
      </c>
      <c r="E536" s="17">
        <v>38899.0</v>
      </c>
      <c r="F536" s="17">
        <v>42551.0</v>
      </c>
      <c r="G536" s="2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12" t="str">
        <f>HYPERLINK("javascript:void%20window.open('https://ds3.dhss.ak.local/dsds/ds3/index.cfm?fuseaction=pro.view&amp;entityId=ffdf3a0b-948c-4531-93fc-dbd15022701f')","32188")</f>
        <v>32188</v>
      </c>
      <c r="B537" s="13" t="s">
        <v>869</v>
      </c>
      <c r="C537" s="13" t="s">
        <v>11</v>
      </c>
      <c r="D537" s="13" t="s">
        <v>870</v>
      </c>
      <c r="E537" s="14">
        <v>38991.0</v>
      </c>
      <c r="F537" s="14">
        <v>41943.0</v>
      </c>
      <c r="G537" s="2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9" t="str">
        <f>HYPERLINK("javascript:void%20window.open('https://ds3.dhss.ak.local/dsds/ds3/index.cfm?fuseaction=pro.view&amp;entityId=bcef0e00-54e1-4d32-896f-c53664cabd50')","30151")</f>
        <v>30151</v>
      </c>
      <c r="B538" s="10" t="s">
        <v>871</v>
      </c>
      <c r="C538" s="10" t="s">
        <v>11</v>
      </c>
      <c r="D538" s="10" t="s">
        <v>872</v>
      </c>
      <c r="E538" s="11">
        <v>41518.0</v>
      </c>
      <c r="F538" s="11">
        <v>42551.0</v>
      </c>
      <c r="G538" s="2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12" t="str">
        <f>HYPERLINK("javascript:void%20window.open('https://ds3.dhss.ak.local/dsds/ds3/index.cfm?fuseaction=pro.view&amp;entityId=2318fc5a-dde3-4a40-b7d3-bcb52e3b6e8b')","30171")</f>
        <v>30171</v>
      </c>
      <c r="B539" s="13" t="s">
        <v>873</v>
      </c>
      <c r="C539" s="13" t="s">
        <v>11</v>
      </c>
      <c r="D539" s="13" t="s">
        <v>874</v>
      </c>
      <c r="E539" s="14">
        <v>40658.0</v>
      </c>
      <c r="F539" s="14">
        <v>41882.0</v>
      </c>
      <c r="G539" s="2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9" t="str">
        <f>HYPERLINK("javascript:void%20window.open('https://ds3.dhss.ak.local/dsds/ds3/index.cfm?fuseaction=pro.view&amp;entityId=fea69701-d079-bd47-2fca-90f25c55a70f')","132272")</f>
        <v>132272</v>
      </c>
      <c r="B540" s="10" t="s">
        <v>875</v>
      </c>
      <c r="C540" s="10" t="s">
        <v>11</v>
      </c>
      <c r="D540" s="10" t="s">
        <v>876</v>
      </c>
      <c r="E540" s="11">
        <v>41662.0</v>
      </c>
      <c r="F540" s="11">
        <v>42004.0</v>
      </c>
      <c r="G540" s="2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12" t="str">
        <f>HYPERLINK("javascript:void%20window.open('https://ds3.dhss.ak.local/dsds/ds3/index.cfm?fuseaction=pro.view&amp;entityId=15a12c95-5056-bc68-738b-ade404625431')","144562")</f>
        <v>144562</v>
      </c>
      <c r="B541" s="13" t="s">
        <v>877</v>
      </c>
      <c r="C541" s="13" t="s">
        <v>11</v>
      </c>
      <c r="D541" s="13" t="s">
        <v>878</v>
      </c>
      <c r="E541" s="14">
        <v>41276.0</v>
      </c>
      <c r="F541" s="14">
        <v>42369.0</v>
      </c>
      <c r="G541" s="2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15" t="str">
        <f>HYPERLINK("javascript:void%20window.open('https://ds3.dhss.ak.local/dsds/ds3/index.cfm?fuseaction=pro.view&amp;entityId=b7f93e0f-8177-48f2-9e2d-57a7d8135f97')","30577")</f>
        <v>30577</v>
      </c>
      <c r="B542" s="16" t="s">
        <v>879</v>
      </c>
      <c r="C542" s="16" t="s">
        <v>11</v>
      </c>
      <c r="D542" s="16" t="s">
        <v>880</v>
      </c>
      <c r="E542" s="17">
        <v>38899.0</v>
      </c>
      <c r="F542" s="17">
        <v>41912.0</v>
      </c>
      <c r="G542" s="2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12" t="str">
        <f>HYPERLINK("javascript:void%20window.open('https://ds3.dhss.ak.local/dsds/ds3/index.cfm?fuseaction=pro.view&amp;entityId=771163c9-bc2a-248e-3e50-8d624465a825')","126909")</f>
        <v>126909</v>
      </c>
      <c r="B543" s="13" t="s">
        <v>881</v>
      </c>
      <c r="C543" s="13" t="s">
        <v>11</v>
      </c>
      <c r="D543" s="13" t="s">
        <v>882</v>
      </c>
      <c r="E543" s="14">
        <v>41261.0</v>
      </c>
      <c r="F543" s="14">
        <v>42338.0</v>
      </c>
      <c r="G543" s="2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15" t="str">
        <f>HYPERLINK("javascript:void%20window.open('https://ds3.dhss.ak.local/dsds/ds3/index.cfm?fuseaction=pro.view&amp;entityId=43f381ae-5391-4bdb-a47d-102c878aa3b3')","32315")</f>
        <v>32315</v>
      </c>
      <c r="B544" s="16" t="s">
        <v>883</v>
      </c>
      <c r="C544" s="16" t="s">
        <v>11</v>
      </c>
      <c r="D544" s="16" t="s">
        <v>884</v>
      </c>
      <c r="E544" s="17">
        <v>39113.0</v>
      </c>
      <c r="F544" s="17">
        <v>42035.0</v>
      </c>
      <c r="G544" s="2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12" t="str">
        <f>HYPERLINK("javascript:void%20window.open('https://ds3.dhss.ak.local/dsds/ds3/index.cfm?fuseaction=pro.view&amp;entityId=af321a3d-7c30-4289-aad6-2dc41e43a35a')","30425")</f>
        <v>30425</v>
      </c>
      <c r="B545" s="13" t="s">
        <v>885</v>
      </c>
      <c r="C545" s="13" t="s">
        <v>11</v>
      </c>
      <c r="D545" s="13" t="s">
        <v>886</v>
      </c>
      <c r="E545" s="14">
        <v>38777.0</v>
      </c>
      <c r="F545" s="14">
        <v>42429.0</v>
      </c>
      <c r="G545" s="2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15" t="str">
        <f>HYPERLINK("javascript:void%20window.open('https://ds3.dhss.ak.local/dsds/ds3/index.cfm?fuseaction=pro.view&amp;entityId=b6a4c9ee-5c2e-40c4-b6aa-f84c1eddcf74')","95974")</f>
        <v>95974</v>
      </c>
      <c r="B546" s="16" t="s">
        <v>887</v>
      </c>
      <c r="C546" s="16" t="s">
        <v>11</v>
      </c>
      <c r="D546" s="16" t="s">
        <v>888</v>
      </c>
      <c r="E546" s="17">
        <v>40634.0</v>
      </c>
      <c r="F546" s="17">
        <v>42094.0</v>
      </c>
      <c r="G546" s="2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12" t="str">
        <f>HYPERLINK("javascript:void%20window.open('https://ds3.dhss.ak.local/dsds/ds3/index.cfm?fuseaction=pro.view&amp;entityId=80adaf15-654c-4bc5-aea3-aae64ce4efd8')","31436")</f>
        <v>31436</v>
      </c>
      <c r="B547" s="13" t="s">
        <v>889</v>
      </c>
      <c r="C547" s="13" t="s">
        <v>11</v>
      </c>
      <c r="D547" s="13" t="s">
        <v>890</v>
      </c>
      <c r="E547" s="14">
        <v>38718.0</v>
      </c>
      <c r="F547" s="14">
        <v>42004.0</v>
      </c>
      <c r="G547" s="2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15" t="str">
        <f>HYPERLINK("javascript:void%20window.open('https://ds3.dhss.ak.local/dsds/ds3/index.cfm?fuseaction=pro.view&amp;entityId=c5e184ed-b0b4-9190-1cde-1cb4fbc440c8')","67910")</f>
        <v>67910</v>
      </c>
      <c r="B548" s="16" t="s">
        <v>891</v>
      </c>
      <c r="C548" s="16" t="s">
        <v>11</v>
      </c>
      <c r="D548" s="16" t="s">
        <v>892</v>
      </c>
      <c r="E548" s="17">
        <v>39625.0</v>
      </c>
      <c r="F548" s="17">
        <v>42155.0</v>
      </c>
      <c r="G548" s="2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12" t="str">
        <f>HYPERLINK("javascript:void%20window.open('https://ds3.dhss.ak.local/dsds/ds3/index.cfm?fuseaction=pro.view&amp;entityId=3aca180c-abab-e1ce-44b3-bf6162a9d34d')","133824")</f>
        <v>133824</v>
      </c>
      <c r="B549" s="13" t="s">
        <v>893</v>
      </c>
      <c r="C549" s="13" t="s">
        <v>11</v>
      </c>
      <c r="D549" s="13" t="s">
        <v>894</v>
      </c>
      <c r="E549" s="14">
        <v>41165.0</v>
      </c>
      <c r="F549" s="14">
        <v>41943.0</v>
      </c>
      <c r="G549" s="2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15" t="str">
        <f>HYPERLINK("javascript:void%20window.open('https://ds3.dhss.ak.local/dsds/ds3/index.cfm?fuseaction=pro.view&amp;entityId=b03a89a8-2355-42c4-9bc4-d59d961a5cd7')","32282")</f>
        <v>32282</v>
      </c>
      <c r="B550" s="16" t="s">
        <v>895</v>
      </c>
      <c r="C550" s="16" t="s">
        <v>11</v>
      </c>
      <c r="D550" s="16" t="s">
        <v>896</v>
      </c>
      <c r="E550" s="17">
        <v>39052.0</v>
      </c>
      <c r="F550" s="17">
        <v>41943.0</v>
      </c>
      <c r="G550" s="2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12" t="str">
        <f>HYPERLINK("javascript:void%20window.open('https://ds3.dhss.ak.local/dsds/ds3/index.cfm?fuseaction=pro.view&amp;entityId=1c77cc48-65be-f484-0de2-95c65f04796b')","61779")</f>
        <v>61779</v>
      </c>
      <c r="B551" s="13" t="s">
        <v>897</v>
      </c>
      <c r="C551" s="13" t="s">
        <v>11</v>
      </c>
      <c r="D551" s="13" t="s">
        <v>898</v>
      </c>
      <c r="E551" s="14">
        <v>39392.0</v>
      </c>
      <c r="F551" s="14">
        <v>41943.0</v>
      </c>
      <c r="G551" s="2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15" t="str">
        <f>HYPERLINK("javascript:void%20window.open('https://ds3.dhss.ak.local/dsds/ds3/index.cfm?fuseaction=pro.view&amp;entityId=24484170-5996-4f45-907f-3d84e044723e')","32311")</f>
        <v>32311</v>
      </c>
      <c r="B552" s="16" t="s">
        <v>899</v>
      </c>
      <c r="C552" s="16" t="s">
        <v>11</v>
      </c>
      <c r="D552" s="16" t="s">
        <v>900</v>
      </c>
      <c r="E552" s="17">
        <v>40725.0</v>
      </c>
      <c r="F552" s="17">
        <v>42185.0</v>
      </c>
      <c r="G552" s="2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12" t="str">
        <f>HYPERLINK("javascript:void%20window.open('https://ds3.dhss.ak.local/dsds/ds3/index.cfm?fuseaction=pro.view&amp;entityId=5a22850c-1c0d-445b-9cd7-62a338e71134')","84054")</f>
        <v>84054</v>
      </c>
      <c r="B553" s="13" t="s">
        <v>901</v>
      </c>
      <c r="C553" s="13" t="s">
        <v>11</v>
      </c>
      <c r="D553" s="13" t="s">
        <v>902</v>
      </c>
      <c r="E553" s="14">
        <v>40725.0</v>
      </c>
      <c r="F553" s="14">
        <v>42185.0</v>
      </c>
      <c r="G553" s="2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9" t="str">
        <f>HYPERLINK("javascript:void%20window.open('https://ds3.dhss.ak.local/dsds/ds3/index.cfm?fuseaction=pro.view&amp;entityId=67beb571-5056-bc68-73a8-d3c8d13590ee')","163028")</f>
        <v>163028</v>
      </c>
      <c r="B554" s="10" t="s">
        <v>903</v>
      </c>
      <c r="C554" s="10" t="s">
        <v>11</v>
      </c>
      <c r="D554" s="10" t="s">
        <v>904</v>
      </c>
      <c r="E554" s="11">
        <v>41745.0</v>
      </c>
      <c r="F554" s="11">
        <v>42094.0</v>
      </c>
      <c r="G554" s="2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12" t="str">
        <f>HYPERLINK("javascript:void%20window.open('https://ds3.dhss.ak.local/dsds/ds3/index.cfm?fuseaction=pro.view&amp;entityId=048542bf-1025-4f6c-9cad-5b12b20ae8b2')","32436")</f>
        <v>32436</v>
      </c>
      <c r="B555" s="13" t="s">
        <v>905</v>
      </c>
      <c r="C555" s="13" t="s">
        <v>11</v>
      </c>
      <c r="D555" s="13" t="s">
        <v>906</v>
      </c>
      <c r="E555" s="14">
        <v>41365.0</v>
      </c>
      <c r="F555" s="14">
        <v>42094.0</v>
      </c>
      <c r="G555" s="2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15" t="str">
        <f>HYPERLINK("javascript:void%20window.open('https://ds3.dhss.ak.local/dsds/ds3/index.cfm?fuseaction=pro.view&amp;entityId=c8109880-edc3-79b5-8e07-25110adfe886')","105631")</f>
        <v>105631</v>
      </c>
      <c r="B556" s="16" t="s">
        <v>907</v>
      </c>
      <c r="C556" s="16" t="s">
        <v>11</v>
      </c>
      <c r="D556" s="16" t="s">
        <v>908</v>
      </c>
      <c r="E556" s="17">
        <v>40564.0</v>
      </c>
      <c r="F556" s="17">
        <v>41698.0</v>
      </c>
      <c r="G556" s="2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12" t="str">
        <f>HYPERLINK("javascript:void%20window.open('https://ds3.dhss.ak.local/dsds/ds3/index.cfm?fuseaction=pro.view&amp;entityId=e39c64ea-1e53-447b-98f1-5ccb9270e195')","32254")</f>
        <v>32254</v>
      </c>
      <c r="B557" s="13" t="s">
        <v>909</v>
      </c>
      <c r="C557" s="13" t="s">
        <v>11</v>
      </c>
      <c r="D557" s="13" t="s">
        <v>910</v>
      </c>
      <c r="E557" s="14">
        <v>38899.0</v>
      </c>
      <c r="F557" s="14">
        <v>42460.0</v>
      </c>
      <c r="G557" s="2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15" t="str">
        <f>HYPERLINK("javascript:void%20window.open('https://ds3.dhss.ak.local/dsds/ds3/index.cfm?fuseaction=pro.view&amp;entityId=4bcf4453-e305-9af6-4f1c-c7576b490f1c')","119901")</f>
        <v>119901</v>
      </c>
      <c r="B558" s="16" t="s">
        <v>911</v>
      </c>
      <c r="C558" s="16" t="s">
        <v>11</v>
      </c>
      <c r="D558" s="16" t="s">
        <v>912</v>
      </c>
      <c r="E558" s="17">
        <v>40787.0</v>
      </c>
      <c r="F558" s="17">
        <v>42582.0</v>
      </c>
      <c r="G558" s="2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9" t="str">
        <f>HYPERLINK("javascript:void%20window.open('https://ds3.dhss.ak.local/dsds/ds3/index.cfm?fuseaction=pro.view&amp;entityId=8a353ceb-5056-bc68-73f3-fdef899f5e84')","155414")</f>
        <v>155414</v>
      </c>
      <c r="B559" s="10" t="s">
        <v>913</v>
      </c>
      <c r="C559" s="10" t="s">
        <v>11</v>
      </c>
      <c r="D559" s="10" t="s">
        <v>914</v>
      </c>
      <c r="E559" s="11">
        <v>41509.0</v>
      </c>
      <c r="F559" s="11">
        <v>42582.0</v>
      </c>
      <c r="G559" s="2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9" t="str">
        <f>HYPERLINK("javascript:void%20window.open('https://ds3.dhss.ak.local/dsds/ds3/index.cfm?fuseaction=pro.view&amp;entityId=485dd534-5056-bc68-73b2-f59b31c09535')","167128")</f>
        <v>167128</v>
      </c>
      <c r="B560" s="10" t="s">
        <v>915</v>
      </c>
      <c r="C560" s="10" t="s">
        <v>11</v>
      </c>
      <c r="D560" s="10" t="s">
        <v>916</v>
      </c>
      <c r="E560" s="11">
        <v>41838.0</v>
      </c>
      <c r="F560" s="11">
        <v>42185.0</v>
      </c>
      <c r="G560" s="2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12" t="str">
        <f>HYPERLINK("javascript:void%20window.open('https://ds3.dhss.ak.local/dsds/ds3/index.cfm?fuseaction=pro.view&amp;entityId=60484ed1-62af-409c-9578-1238a43972fa')","32896")</f>
        <v>32896</v>
      </c>
      <c r="B561" s="13" t="s">
        <v>917</v>
      </c>
      <c r="C561" s="13" t="s">
        <v>11</v>
      </c>
      <c r="D561" s="13" t="s">
        <v>918</v>
      </c>
      <c r="E561" s="14">
        <v>40422.0</v>
      </c>
      <c r="F561" s="14">
        <v>41882.0</v>
      </c>
      <c r="G561" s="2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9" t="str">
        <f>HYPERLINK("javascript:void%20window.open('https://ds3.dhss.ak.local/dsds/ds3/index.cfm?fuseaction=pro.view&amp;entityId=2902a530-4c34-408e-88cd-5c797a33f2f3')","155253")</f>
        <v>155253</v>
      </c>
      <c r="B562" s="10" t="s">
        <v>919</v>
      </c>
      <c r="C562" s="10" t="s">
        <v>11</v>
      </c>
      <c r="D562" s="10" t="s">
        <v>920</v>
      </c>
      <c r="E562" s="11">
        <v>41786.0</v>
      </c>
      <c r="F562" s="11">
        <v>42124.0</v>
      </c>
      <c r="G562" s="2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12" t="str">
        <f>HYPERLINK("javascript:void%20window.open('https://ds3.dhss.ak.local/dsds/ds3/index.cfm?fuseaction=pro.view&amp;entityId=173af03b-e858-4d2f-30e4-2943382aad95')","86256")</f>
        <v>86256</v>
      </c>
      <c r="B563" s="13" t="s">
        <v>921</v>
      </c>
      <c r="C563" s="13" t="s">
        <v>11</v>
      </c>
      <c r="D563" s="13" t="s">
        <v>922</v>
      </c>
      <c r="E563" s="14">
        <v>40087.0</v>
      </c>
      <c r="F563" s="14">
        <v>42643.0</v>
      </c>
      <c r="G563" s="2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15" t="str">
        <f>HYPERLINK("javascript:void%20window.open('https://ds3.dhss.ak.local/dsds/ds3/index.cfm?fuseaction=pro.view&amp;entityId=c3b1d2ee-c536-4c77-8bc8-ea4645a9d1a6')","31735")</f>
        <v>31735</v>
      </c>
      <c r="B564" s="16" t="s">
        <v>923</v>
      </c>
      <c r="C564" s="16" t="s">
        <v>11</v>
      </c>
      <c r="D564" s="16" t="s">
        <v>924</v>
      </c>
      <c r="E564" s="17">
        <v>41115.0</v>
      </c>
      <c r="F564" s="17">
        <v>42400.0</v>
      </c>
      <c r="G564" s="2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9" t="str">
        <f>HYPERLINK("javascript:void%20window.open('https://ds3.dhss.ak.local/dsds/ds3/index.cfm?fuseaction=pro.view&amp;entityId=b67f6a32-5056-bc68-738f-c50f797779ad')","160813")</f>
        <v>160813</v>
      </c>
      <c r="B565" s="10" t="s">
        <v>925</v>
      </c>
      <c r="C565" s="10" t="s">
        <v>11</v>
      </c>
      <c r="D565" s="10" t="s">
        <v>926</v>
      </c>
      <c r="E565" s="11">
        <v>41680.0</v>
      </c>
      <c r="F565" s="11">
        <v>42035.0</v>
      </c>
      <c r="G565" s="2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9" t="str">
        <f>HYPERLINK("javascript:void%20window.open('https://ds3.dhss.ak.local/dsds/ds3/index.cfm?fuseaction=pro.view&amp;entityId=0f1fc65b-5056-bc68-73d6-bdf11a9d5127')","143281")</f>
        <v>143281</v>
      </c>
      <c r="B566" s="10" t="s">
        <v>927</v>
      </c>
      <c r="C566" s="10" t="s">
        <v>11</v>
      </c>
      <c r="D566" s="10" t="s">
        <v>928</v>
      </c>
      <c r="E566" s="11">
        <v>41548.0</v>
      </c>
      <c r="F566" s="11">
        <v>42551.0</v>
      </c>
      <c r="G566" s="2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12" t="str">
        <f>HYPERLINK("javascript:void%20window.open('https://ds3.dhss.ak.local/dsds/ds3/index.cfm?fuseaction=pro.view&amp;entityId=5ff0ba40-5056-bc68-73fd-bfabf683dbb4')","149553")</f>
        <v>149553</v>
      </c>
      <c r="B567" s="13" t="s">
        <v>929</v>
      </c>
      <c r="C567" s="13" t="s">
        <v>11</v>
      </c>
      <c r="D567" s="13" t="s">
        <v>930</v>
      </c>
      <c r="E567" s="14">
        <v>41415.0</v>
      </c>
      <c r="F567" s="14">
        <v>42490.0</v>
      </c>
      <c r="G567" s="2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15" t="str">
        <f>HYPERLINK("javascript:void%20window.open('https://ds3.dhss.ak.local/dsds/ds3/index.cfm?fuseaction=pro.view&amp;entityId=ce042709-5056-bc68-7305-361cd4c0e795')","149371")</f>
        <v>149371</v>
      </c>
      <c r="B568" s="16" t="s">
        <v>931</v>
      </c>
      <c r="C568" s="16" t="s">
        <v>11</v>
      </c>
      <c r="D568" s="16" t="s">
        <v>932</v>
      </c>
      <c r="E568" s="17">
        <v>41358.0</v>
      </c>
      <c r="F568" s="17">
        <v>42429.0</v>
      </c>
      <c r="G568" s="2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12" t="str">
        <f>HYPERLINK("javascript:void%20window.open('https://ds3.dhss.ak.local/dsds/ds3/index.cfm?fuseaction=pro.view&amp;entityId=8f626b78-d79e-4e99-9040-1be6907b26fa')","132923")</f>
        <v>132923</v>
      </c>
      <c r="B569" s="13" t="s">
        <v>933</v>
      </c>
      <c r="C569" s="13" t="s">
        <v>11</v>
      </c>
      <c r="D569" s="13" t="s">
        <v>934</v>
      </c>
      <c r="E569" s="14">
        <v>41353.0</v>
      </c>
      <c r="F569" s="14">
        <v>41882.0</v>
      </c>
      <c r="G569" s="2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15" t="str">
        <f>HYPERLINK("javascript:void%20window.open('https://ds3.dhss.ak.local/dsds/ds3/index.cfm?fuseaction=pro.view&amp;entityId=a4550a1b-b687-48b1-a772-76b5beada852')","32231")</f>
        <v>32231</v>
      </c>
      <c r="B570" s="16" t="s">
        <v>935</v>
      </c>
      <c r="C570" s="16" t="s">
        <v>11</v>
      </c>
      <c r="D570" s="16" t="s">
        <v>936</v>
      </c>
      <c r="E570" s="17">
        <v>39443.0</v>
      </c>
      <c r="F570" s="17">
        <v>41973.0</v>
      </c>
      <c r="G570" s="2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9" t="str">
        <f>HYPERLINK("javascript:void%20window.open('https://ds3.dhss.ak.local/dsds/ds3/index.cfm?fuseaction=pro.view&amp;entityId=4b0ea327-8ab1-4f8b-90b6-fae47f4d36b3')","144316")</f>
        <v>144316</v>
      </c>
      <c r="B571" s="10" t="s">
        <v>937</v>
      </c>
      <c r="C571" s="10" t="s">
        <v>11</v>
      </c>
      <c r="D571" s="10" t="s">
        <v>938</v>
      </c>
      <c r="E571" s="11">
        <v>41491.0</v>
      </c>
      <c r="F571" s="11">
        <v>42582.0</v>
      </c>
      <c r="G571" s="2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15" t="str">
        <f>HYPERLINK("javascript:void%20window.open('https://ds3.dhss.ak.local/dsds/ds3/index.cfm?fuseaction=pro.view&amp;entityId=c225441a-0586-dab7-87ca-02c76602c506')","123062")</f>
        <v>123062</v>
      </c>
      <c r="B572" s="16" t="s">
        <v>939</v>
      </c>
      <c r="C572" s="16" t="s">
        <v>11</v>
      </c>
      <c r="D572" s="16" t="s">
        <v>940</v>
      </c>
      <c r="E572" s="17">
        <v>40885.0</v>
      </c>
      <c r="F572" s="17">
        <v>41882.0</v>
      </c>
      <c r="G572" s="2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12" t="str">
        <f>HYPERLINK("javascript:void%20window.open('https://ds3.dhss.ak.local/dsds/ds3/index.cfm?fuseaction=pro.view&amp;entityId=ffe073b8-c789-a9a8-b44e-dfcb13f569a3')","104659")</f>
        <v>104659</v>
      </c>
      <c r="B573" s="13" t="s">
        <v>941</v>
      </c>
      <c r="C573" s="13" t="s">
        <v>11</v>
      </c>
      <c r="D573" s="13" t="s">
        <v>942</v>
      </c>
      <c r="E573" s="14">
        <v>40480.0</v>
      </c>
      <c r="F573" s="14">
        <v>41912.0</v>
      </c>
      <c r="G573" s="2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15" t="str">
        <f>HYPERLINK("javascript:void%20window.open('https://ds3.dhss.ak.local/dsds/ds3/index.cfm?fuseaction=pro.view&amp;entityId=5ea5715f-5056-bc68-7313-ea67ecc9fb42')","148711")</f>
        <v>148711</v>
      </c>
      <c r="B574" s="16" t="s">
        <v>943</v>
      </c>
      <c r="C574" s="16" t="s">
        <v>11</v>
      </c>
      <c r="D574" s="16" t="s">
        <v>944</v>
      </c>
      <c r="E574" s="17">
        <v>41352.0</v>
      </c>
      <c r="F574" s="17">
        <v>41882.0</v>
      </c>
      <c r="G574" s="2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12" t="str">
        <f>HYPERLINK("javascript:void%20window.open('https://ds3.dhss.ak.local/dsds/ds3/index.cfm?fuseaction=pro.view&amp;entityId=a3fc69c3-808e-4282-a60f-ac9c7ced4c34')","30676")</f>
        <v>30676</v>
      </c>
      <c r="B575" s="13" t="s">
        <v>945</v>
      </c>
      <c r="C575" s="13" t="s">
        <v>11</v>
      </c>
      <c r="D575" s="13" t="s">
        <v>946</v>
      </c>
      <c r="E575" s="14">
        <v>39142.0</v>
      </c>
      <c r="F575" s="14">
        <v>42063.0</v>
      </c>
      <c r="G575" s="2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15" t="str">
        <f>HYPERLINK("javascript:void%20window.open('https://ds3.dhss.ak.local/dsds/ds3/index.cfm?fuseaction=pro.view&amp;entityId=3d2fc234-df74-19e8-0338-18e87d1f16d3')","98118")</f>
        <v>98118</v>
      </c>
      <c r="B576" s="16" t="s">
        <v>947</v>
      </c>
      <c r="C576" s="16" t="s">
        <v>11</v>
      </c>
      <c r="D576" s="16" t="s">
        <v>948</v>
      </c>
      <c r="E576" s="17">
        <v>40617.0</v>
      </c>
      <c r="F576" s="17">
        <v>42429.0</v>
      </c>
      <c r="G576" s="2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12" t="str">
        <f>HYPERLINK("javascript:void%20window.open('https://ds3.dhss.ak.local/dsds/ds3/index.cfm?fuseaction=pro.view&amp;entityId=d18e14d3-2a2a-4e70-9b28-e1b21728f38f')","30005")</f>
        <v>30005</v>
      </c>
      <c r="B577" s="13" t="s">
        <v>949</v>
      </c>
      <c r="C577" s="13" t="s">
        <v>11</v>
      </c>
      <c r="D577" s="13" t="s">
        <v>950</v>
      </c>
      <c r="E577" s="14">
        <v>38799.0</v>
      </c>
      <c r="F577" s="14">
        <v>42428.0</v>
      </c>
      <c r="G577" s="2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15" t="str">
        <f>HYPERLINK("javascript:void%20window.open('https://ds3.dhss.ak.local/dsds/ds3/index.cfm?fuseaction=pro.view&amp;entityId=6c1c4cdf-7195-459b-94de-d5b0072a81bb')","32737")</f>
        <v>32737</v>
      </c>
      <c r="B578" s="16" t="s">
        <v>951</v>
      </c>
      <c r="C578" s="16" t="s">
        <v>11</v>
      </c>
      <c r="D578" s="16" t="s">
        <v>952</v>
      </c>
      <c r="E578" s="17">
        <v>38899.0</v>
      </c>
      <c r="F578" s="17">
        <v>41912.0</v>
      </c>
      <c r="G578" s="2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12" t="str">
        <f>HYPERLINK("javascript:void%20window.open('https://ds3.dhss.ak.local/dsds/ds3/index.cfm?fuseaction=pro.view&amp;entityId=7fecb735-5fee-404d-bfbf-c338fc79ae23')","32174")</f>
        <v>32174</v>
      </c>
      <c r="B579" s="13" t="s">
        <v>953</v>
      </c>
      <c r="C579" s="13" t="s">
        <v>11</v>
      </c>
      <c r="D579" s="13" t="s">
        <v>954</v>
      </c>
      <c r="E579" s="14">
        <v>39326.0</v>
      </c>
      <c r="F579" s="14">
        <v>42277.0</v>
      </c>
      <c r="G579" s="2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15" t="str">
        <f>HYPERLINK("javascript:void%20window.open('https://ds3.dhss.ak.local/dsds/ds3/index.cfm?fuseaction=pro.view&amp;entityId=fd3b5a6f-3776-43ed-977b-f2de8035c450')","32618")</f>
        <v>32618</v>
      </c>
      <c r="B580" s="16" t="s">
        <v>955</v>
      </c>
      <c r="C580" s="16" t="s">
        <v>11</v>
      </c>
      <c r="D580" s="16" t="s">
        <v>956</v>
      </c>
      <c r="E580" s="17">
        <v>39326.0</v>
      </c>
      <c r="F580" s="17">
        <v>42277.0</v>
      </c>
      <c r="G580" s="2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9" t="str">
        <f>HYPERLINK("javascript:void%20window.open('https://ds3.dhss.ak.local/dsds/ds3/index.cfm?fuseaction=pro.view&amp;entityId=23e665ca-e769-494c-a765-ddb8c6aa76b4')","141999")</f>
        <v>141999</v>
      </c>
      <c r="B581" s="10" t="s">
        <v>957</v>
      </c>
      <c r="C581" s="10" t="s">
        <v>11</v>
      </c>
      <c r="D581" s="10" t="s">
        <v>958</v>
      </c>
      <c r="E581" s="11">
        <v>41485.0</v>
      </c>
      <c r="F581" s="11">
        <v>42124.0</v>
      </c>
      <c r="G581" s="2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15" t="str">
        <f>HYPERLINK("javascript:void%20window.open('https://ds3.dhss.ak.local/dsds/ds3/index.cfm?fuseaction=pro.view&amp;entityId=c821bd46-f52d-74f7-89e5-d78992022322')","104406")</f>
        <v>104406</v>
      </c>
      <c r="B582" s="16" t="s">
        <v>959</v>
      </c>
      <c r="C582" s="16" t="s">
        <v>11</v>
      </c>
      <c r="D582" s="16" t="s">
        <v>960</v>
      </c>
      <c r="E582" s="17">
        <v>40340.0</v>
      </c>
      <c r="F582" s="17">
        <v>42155.0</v>
      </c>
      <c r="G582" s="2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9" t="str">
        <f>HYPERLINK("javascript:void%20window.open('https://ds3.dhss.ak.local/dsds/ds3/index.cfm?fuseaction=pro.view&amp;entityId=8b3743e1-5056-bc68-7346-78526b27cb25')","156228")</f>
        <v>156228</v>
      </c>
      <c r="B583" s="10" t="s">
        <v>961</v>
      </c>
      <c r="C583" s="10" t="s">
        <v>11</v>
      </c>
      <c r="D583" s="10" t="s">
        <v>962</v>
      </c>
      <c r="E583" s="11">
        <v>41701.0</v>
      </c>
      <c r="F583" s="11">
        <v>42063.0</v>
      </c>
      <c r="G583" s="2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15" t="str">
        <f>HYPERLINK("javascript:void%20window.open('https://ds3.dhss.ak.local/dsds/ds3/index.cfm?fuseaction=pro.view&amp;entityId=6efb92db-dcc4-04d9-6732-68cae255b668')","135736")</f>
        <v>135736</v>
      </c>
      <c r="B584" s="16" t="s">
        <v>963</v>
      </c>
      <c r="C584" s="16" t="s">
        <v>11</v>
      </c>
      <c r="D584" s="16" t="s">
        <v>964</v>
      </c>
      <c r="E584" s="17">
        <v>41153.0</v>
      </c>
      <c r="F584" s="17">
        <v>42613.0</v>
      </c>
      <c r="G584" s="2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12" t="str">
        <f>HYPERLINK("javascript:void%20window.open('https://ds3.dhss.ak.local/dsds/ds3/index.cfm?fuseaction=pro.view&amp;entityId=65cd83a8-bf38-4a2f-b4c4-90039e164edf')","31428")</f>
        <v>31428</v>
      </c>
      <c r="B585" s="13" t="s">
        <v>965</v>
      </c>
      <c r="C585" s="13" t="s">
        <v>11</v>
      </c>
      <c r="D585" s="13" t="s">
        <v>966</v>
      </c>
      <c r="E585" s="14">
        <v>38899.0</v>
      </c>
      <c r="F585" s="14">
        <v>42521.0</v>
      </c>
      <c r="G585" s="2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15" t="str">
        <f>HYPERLINK("javascript:void%20window.open('https://ds3.dhss.ak.local/dsds/ds3/index.cfm?fuseaction=pro.view&amp;entityId=c5c24de1-b3e0-9e5f-c739-427a16cac091')","66668")</f>
        <v>66668</v>
      </c>
      <c r="B586" s="16" t="s">
        <v>967</v>
      </c>
      <c r="C586" s="16" t="s">
        <v>11</v>
      </c>
      <c r="D586" s="16" t="s">
        <v>968</v>
      </c>
      <c r="E586" s="17">
        <v>40647.0</v>
      </c>
      <c r="F586" s="17">
        <v>42460.0</v>
      </c>
      <c r="G586" s="2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12" t="str">
        <f>HYPERLINK("javascript:void%20window.open('https://ds3.dhss.ak.local/dsds/ds3/index.cfm?fuseaction=pro.view&amp;entityId=26e29ef9-e7e3-4c1b-b778-f3bd2c0c2178')","32243")</f>
        <v>32243</v>
      </c>
      <c r="B587" s="13" t="s">
        <v>969</v>
      </c>
      <c r="C587" s="13" t="s">
        <v>11</v>
      </c>
      <c r="D587" s="13" t="s">
        <v>970</v>
      </c>
      <c r="E587" s="14">
        <v>39417.0</v>
      </c>
      <c r="F587" s="14">
        <v>42338.0</v>
      </c>
      <c r="G587" s="2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15" t="str">
        <f>HYPERLINK("javascript:void%20window.open('https://ds3.dhss.ak.local/dsds/ds3/index.cfm?fuseaction=pro.view&amp;entityId=8f64665b-b1fc-4855-8462-6831ca765947')","31221")</f>
        <v>31221</v>
      </c>
      <c r="B588" s="16" t="s">
        <v>971</v>
      </c>
      <c r="C588" s="16" t="s">
        <v>11</v>
      </c>
      <c r="D588" s="16" t="s">
        <v>972</v>
      </c>
      <c r="E588" s="17">
        <v>38991.0</v>
      </c>
      <c r="F588" s="17">
        <v>42551.0</v>
      </c>
      <c r="G588" s="2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12" t="str">
        <f>HYPERLINK("javascript:void%20window.open('https://ds3.dhss.ak.local/dsds/ds3/index.cfm?fuseaction=pro.view&amp;entityId=273903eb-501a-4366-840d-909553b75365')","41946")</f>
        <v>41946</v>
      </c>
      <c r="B589" s="13" t="s">
        <v>973</v>
      </c>
      <c r="C589" s="13" t="s">
        <v>11</v>
      </c>
      <c r="D589" s="13" t="s">
        <v>974</v>
      </c>
      <c r="E589" s="14">
        <v>40452.0</v>
      </c>
      <c r="F589" s="14">
        <v>42490.0</v>
      </c>
      <c r="G589" s="2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15" t="str">
        <f>HYPERLINK("javascript:void%20window.open('https://ds3.dhss.ak.local/dsds/ds3/index.cfm?fuseaction=pro.view&amp;entityId=e264c89f-d39c-a643-7ec1-4be48163c256')","90773")</f>
        <v>90773</v>
      </c>
      <c r="B590" s="16" t="s">
        <v>975</v>
      </c>
      <c r="C590" s="16" t="s">
        <v>11</v>
      </c>
      <c r="D590" s="16" t="s">
        <v>976</v>
      </c>
      <c r="E590" s="17">
        <v>40627.0</v>
      </c>
      <c r="F590" s="17">
        <v>41973.0</v>
      </c>
      <c r="G590" s="2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12" t="str">
        <f>HYPERLINK("javascript:void%20window.open('https://ds3.dhss.ak.local/dsds/ds3/index.cfm?fuseaction=pro.view&amp;entityId=350a1573-76b6-4af7-9e86-c5ed95219799')","89105")</f>
        <v>89105</v>
      </c>
      <c r="B591" s="13" t="s">
        <v>977</v>
      </c>
      <c r="C591" s="13" t="s">
        <v>11</v>
      </c>
      <c r="D591" s="13" t="s">
        <v>978</v>
      </c>
      <c r="E591" s="14">
        <v>40513.0</v>
      </c>
      <c r="F591" s="14">
        <v>42490.0</v>
      </c>
      <c r="G591" s="2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15" t="str">
        <f>HYPERLINK("javascript:void%20window.open('https://ds3.dhss.ak.local/dsds/ds3/index.cfm?fuseaction=pro.view&amp;entityId=4514e1a6-c3c2-6b69-f3c2-836c8bdd7b11')","107585")</f>
        <v>107585</v>
      </c>
      <c r="B592" s="16" t="s">
        <v>979</v>
      </c>
      <c r="C592" s="16" t="s">
        <v>11</v>
      </c>
      <c r="D592" s="16" t="s">
        <v>980</v>
      </c>
      <c r="E592" s="17">
        <v>41030.0</v>
      </c>
      <c r="F592" s="17">
        <v>42490.0</v>
      </c>
      <c r="G592" s="2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12" t="str">
        <f>HYPERLINK("javascript:void%20window.open('https://ds3.dhss.ak.local/dsds/ds3/index.cfm?fuseaction=pro.view&amp;entityId=b4bb45c3-3515-43b1-9e89-c108bb43bd3b')","31490")</f>
        <v>31490</v>
      </c>
      <c r="B593" s="13" t="s">
        <v>981</v>
      </c>
      <c r="C593" s="13" t="s">
        <v>11</v>
      </c>
      <c r="D593" s="13" t="s">
        <v>982</v>
      </c>
      <c r="E593" s="14">
        <v>38799.0</v>
      </c>
      <c r="F593" s="14">
        <v>42428.0</v>
      </c>
      <c r="G593" s="2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15" t="str">
        <f>HYPERLINK("javascript:void%20window.open('https://ds3.dhss.ak.local/dsds/ds3/index.cfm?fuseaction=pro.view&amp;entityId=d4be6cfc-2125-4d2a-8b14-21e76845a41c')","32325")</f>
        <v>32325</v>
      </c>
      <c r="B594" s="16" t="s">
        <v>983</v>
      </c>
      <c r="C594" s="16" t="s">
        <v>11</v>
      </c>
      <c r="D594" s="16" t="s">
        <v>984</v>
      </c>
      <c r="E594" s="17">
        <v>40817.0</v>
      </c>
      <c r="F594" s="17">
        <v>42094.0</v>
      </c>
      <c r="G594" s="2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12" t="str">
        <f>HYPERLINK("javascript:void%20window.open('https://ds3.dhss.ak.local/dsds/ds3/index.cfm?fuseaction=pro.view&amp;entityId=afd37580-b7e6-a3c1-b81e-404a2f25ac72')","110460")</f>
        <v>110460</v>
      </c>
      <c r="B595" s="13" t="s">
        <v>985</v>
      </c>
      <c r="C595" s="13" t="s">
        <v>11</v>
      </c>
      <c r="D595" s="13" t="s">
        <v>986</v>
      </c>
      <c r="E595" s="14">
        <v>40664.0</v>
      </c>
      <c r="F595" s="14">
        <v>42490.0</v>
      </c>
      <c r="G595" s="2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15" t="str">
        <f>HYPERLINK("javascript:void%20window.open('https://ds3.dhss.ak.local/dsds/ds3/index.cfm?fuseaction=pro.view&amp;entityId=6ae844b0-e618-d10f-2d78-b56258e7391f')","68687")</f>
        <v>68687</v>
      </c>
      <c r="B596" s="16" t="s">
        <v>987</v>
      </c>
      <c r="C596" s="16" t="s">
        <v>11</v>
      </c>
      <c r="D596" s="16" t="s">
        <v>988</v>
      </c>
      <c r="E596" s="17">
        <v>39625.0</v>
      </c>
      <c r="F596" s="17">
        <v>42521.0</v>
      </c>
      <c r="G596" s="2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12" t="str">
        <f>HYPERLINK("javascript:void%20window.open('https://ds3.dhss.ak.local/dsds/ds3/index.cfm?fuseaction=pro.view&amp;entityId=9295a0e4-3c95-46b7-8a7a-5a6d444aa3a4')","33221")</f>
        <v>33221</v>
      </c>
      <c r="B597" s="13" t="s">
        <v>989</v>
      </c>
      <c r="C597" s="13" t="s">
        <v>11</v>
      </c>
      <c r="D597" s="13" t="s">
        <v>990</v>
      </c>
      <c r="E597" s="14">
        <v>40690.0</v>
      </c>
      <c r="F597" s="14">
        <v>42429.0</v>
      </c>
      <c r="G597" s="2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15" t="str">
        <f>HYPERLINK("javascript:void%20window.open('https://ds3.dhss.ak.local/dsds/ds3/index.cfm?fuseaction=pro.view&amp;entityId=9fedd6d0-9caa-4e59-1e2c-e494fe03d4da')","107064")</f>
        <v>107064</v>
      </c>
      <c r="B598" s="16" t="s">
        <v>991</v>
      </c>
      <c r="C598" s="16" t="s">
        <v>11</v>
      </c>
      <c r="D598" s="16" t="s">
        <v>992</v>
      </c>
      <c r="E598" s="17">
        <v>40647.0</v>
      </c>
      <c r="F598" s="17">
        <v>42460.0</v>
      </c>
      <c r="G598" s="2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9" t="str">
        <f>HYPERLINK("javascript:void%20window.open('https://ds3.dhss.ak.local/dsds/ds3/index.cfm?fuseaction=pro.view&amp;entityId=eaa6865e-5056-bc68-7331-16bb0570fc0a')","167857")</f>
        <v>167857</v>
      </c>
      <c r="B599" s="10" t="s">
        <v>993</v>
      </c>
      <c r="C599" s="10" t="s">
        <v>11</v>
      </c>
      <c r="D599" s="10" t="s">
        <v>994</v>
      </c>
      <c r="E599" s="11">
        <v>41851.0</v>
      </c>
      <c r="F599" s="11">
        <v>42185.0</v>
      </c>
      <c r="G599" s="2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15" t="str">
        <f>HYPERLINK("javascript:void%20window.open('https://ds3.dhss.ak.local/dsds/ds3/index.cfm?fuseaction=pro.view&amp;entityId=5714ba58-c3c2-448b-9c8a-674c985474aa')","32535")</f>
        <v>32535</v>
      </c>
      <c r="B600" s="16" t="s">
        <v>995</v>
      </c>
      <c r="C600" s="16" t="s">
        <v>11</v>
      </c>
      <c r="D600" s="16" t="s">
        <v>996</v>
      </c>
      <c r="E600" s="17">
        <v>38899.0</v>
      </c>
      <c r="F600" s="17">
        <v>42551.0</v>
      </c>
      <c r="G600" s="2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9" t="str">
        <f>HYPERLINK("javascript:void%20window.open('https://ds3.dhss.ak.local/dsds/ds3/index.cfm?fuseaction=pro.view&amp;entityId=c1d36116-e0c5-921c-63f2-e2e9686c6991')","132844")</f>
        <v>132844</v>
      </c>
      <c r="B601" s="10" t="s">
        <v>997</v>
      </c>
      <c r="C601" s="10" t="s">
        <v>11</v>
      </c>
      <c r="D601" s="10" t="s">
        <v>998</v>
      </c>
      <c r="E601" s="11">
        <v>41487.0</v>
      </c>
      <c r="F601" s="11">
        <v>42216.0</v>
      </c>
      <c r="G601" s="2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15" t="str">
        <f>HYPERLINK("javascript:void%20window.open('https://ds3.dhss.ak.local/dsds/ds3/index.cfm?fuseaction=pro.view&amp;entityId=0bc705cc-5056-bc68-73a2-645ad99886d3')","144732")</f>
        <v>144732</v>
      </c>
      <c r="B602" s="16" t="s">
        <v>999</v>
      </c>
      <c r="C602" s="16" t="s">
        <v>11</v>
      </c>
      <c r="D602" s="16" t="s">
        <v>1000</v>
      </c>
      <c r="E602" s="17">
        <v>41285.0</v>
      </c>
      <c r="F602" s="17">
        <v>42582.0</v>
      </c>
      <c r="G602" s="2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12" t="str">
        <f>HYPERLINK("javascript:void%20window.open('https://ds3.dhss.ak.local/dsds/ds3/index.cfm?fuseaction=pro.view&amp;entityId=0a24af9d-ccb7-4338-8cf3-0da04640ed63')","71354")</f>
        <v>71354</v>
      </c>
      <c r="B603" s="13" t="s">
        <v>1001</v>
      </c>
      <c r="C603" s="13" t="s">
        <v>11</v>
      </c>
      <c r="D603" s="13" t="s">
        <v>1002</v>
      </c>
      <c r="E603" s="14">
        <v>39479.0</v>
      </c>
      <c r="F603" s="14">
        <v>42400.0</v>
      </c>
      <c r="G603" s="2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15" t="str">
        <f>HYPERLINK("javascript:void%20window.open('https://ds3.dhss.ak.local/dsds/ds3/index.cfm?fuseaction=pro.view&amp;entityId=345ea943-e6ab-1a71-7fbd-ba2bd02fa766')","91417")</f>
        <v>91417</v>
      </c>
      <c r="B604" s="16" t="s">
        <v>1003</v>
      </c>
      <c r="C604" s="16" t="s">
        <v>11</v>
      </c>
      <c r="D604" s="16" t="s">
        <v>1004</v>
      </c>
      <c r="E604" s="17">
        <v>40193.0</v>
      </c>
      <c r="F604" s="17">
        <v>42308.0</v>
      </c>
      <c r="G604" s="2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12" t="str">
        <f>HYPERLINK("javascript:void%20window.open('https://ds3.dhss.ak.local/dsds/ds3/index.cfm?fuseaction=pro.view&amp;entityId=95c6dc1e-8282-46ba-9616-47388cdaf38c')","61225")</f>
        <v>61225</v>
      </c>
      <c r="B605" s="13" t="s">
        <v>1005</v>
      </c>
      <c r="C605" s="13" t="s">
        <v>11</v>
      </c>
      <c r="D605" s="13" t="s">
        <v>1006</v>
      </c>
      <c r="E605" s="14">
        <v>39574.0</v>
      </c>
      <c r="F605" s="14">
        <v>42124.0</v>
      </c>
      <c r="G605" s="2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15" t="str">
        <f>HYPERLINK("javascript:void%20window.open('https://ds3.dhss.ak.local/dsds/ds3/index.cfm?fuseaction=pro.view&amp;entityId=537e6919-fa4f-46f5-bc7e-e8b982b8247b')","32583")</f>
        <v>32583</v>
      </c>
      <c r="B606" s="16" t="s">
        <v>1007</v>
      </c>
      <c r="C606" s="16" t="s">
        <v>11</v>
      </c>
      <c r="D606" s="16" t="s">
        <v>1008</v>
      </c>
      <c r="E606" s="17">
        <v>40787.0</v>
      </c>
      <c r="F606" s="17">
        <v>41882.0</v>
      </c>
      <c r="G606" s="2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12" t="str">
        <f>HYPERLINK("javascript:void%20window.open('https://ds3.dhss.ak.local/dsds/ds3/index.cfm?fuseaction=pro.view&amp;entityId=2225afb1-f521-7917-f85d-43b47ec0200b')","74113")</f>
        <v>74113</v>
      </c>
      <c r="B607" s="13" t="s">
        <v>1009</v>
      </c>
      <c r="C607" s="13" t="s">
        <v>11</v>
      </c>
      <c r="D607" s="13" t="s">
        <v>1010</v>
      </c>
      <c r="E607" s="14">
        <v>39841.0</v>
      </c>
      <c r="F607" s="14">
        <v>42004.0</v>
      </c>
      <c r="G607" s="2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15" t="str">
        <f>HYPERLINK("javascript:void%20window.open('https://ds3.dhss.ak.local/dsds/ds3/index.cfm?fuseaction=pro.view&amp;entityId=1b94dcbf-edc8-7b7d-20e8-f9ebfd035424')","130454")</f>
        <v>130454</v>
      </c>
      <c r="B608" s="16" t="s">
        <v>1011</v>
      </c>
      <c r="C608" s="16" t="s">
        <v>11</v>
      </c>
      <c r="D608" s="16" t="s">
        <v>1012</v>
      </c>
      <c r="E608" s="17">
        <v>41153.0</v>
      </c>
      <c r="F608" s="17">
        <v>42247.0</v>
      </c>
      <c r="G608" s="2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12" t="str">
        <f>HYPERLINK("javascript:void%20window.open('https://ds3.dhss.ak.local/dsds/ds3/index.cfm?fuseaction=pro.view&amp;entityId=589370c9-f40e-ae6f-52c8-3a8630a9a41a')","124539")</f>
        <v>124539</v>
      </c>
      <c r="B609" s="13" t="s">
        <v>1013</v>
      </c>
      <c r="C609" s="13" t="s">
        <v>11</v>
      </c>
      <c r="D609" s="13" t="s">
        <v>1014</v>
      </c>
      <c r="E609" s="14">
        <v>40836.0</v>
      </c>
      <c r="F609" s="14">
        <v>41912.0</v>
      </c>
      <c r="G609" s="2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15" t="str">
        <f>HYPERLINK("javascript:void%20window.open('https://ds3.dhss.ak.local/dsds/ds3/index.cfm?fuseaction=pro.view&amp;entityId=5890a085-518d-44e7-b613-fa5935cefe5f')","30864")</f>
        <v>30864</v>
      </c>
      <c r="B610" s="16" t="s">
        <v>1015</v>
      </c>
      <c r="C610" s="16" t="s">
        <v>11</v>
      </c>
      <c r="D610" s="16" t="s">
        <v>1016</v>
      </c>
      <c r="E610" s="17">
        <v>38777.0</v>
      </c>
      <c r="F610" s="17">
        <v>42429.0</v>
      </c>
      <c r="G610" s="2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12" t="str">
        <f>HYPERLINK("javascript:void%20window.open('https://ds3.dhss.ak.local/dsds/ds3/index.cfm?fuseaction=pro.view&amp;entityId=4c50109d-992d-8df6-c1bf-2fe73f4d3c26')","89457")</f>
        <v>89457</v>
      </c>
      <c r="B611" s="13" t="s">
        <v>1017</v>
      </c>
      <c r="C611" s="13" t="s">
        <v>11</v>
      </c>
      <c r="D611" s="13" t="s">
        <v>1018</v>
      </c>
      <c r="E611" s="14">
        <v>40140.0</v>
      </c>
      <c r="F611" s="14">
        <v>42613.0</v>
      </c>
      <c r="G611" s="2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15" t="str">
        <f>HYPERLINK("javascript:void%20window.open('https://ds3.dhss.ak.local/dsds/ds3/index.cfm?fuseaction=pro.view&amp;entityId=04a36e15-5056-bc68-7318-9c62706120aa')","142011")</f>
        <v>142011</v>
      </c>
      <c r="B612" s="16" t="s">
        <v>1019</v>
      </c>
      <c r="C612" s="16" t="s">
        <v>11</v>
      </c>
      <c r="D612" s="16" t="s">
        <v>1020</v>
      </c>
      <c r="E612" s="17">
        <v>41227.0</v>
      </c>
      <c r="F612" s="17">
        <v>42613.0</v>
      </c>
      <c r="G612" s="2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12" t="str">
        <f>HYPERLINK("javascript:void%20window.open('https://ds3.dhss.ak.local/dsds/ds3/index.cfm?fuseaction=pro.view&amp;entityId=9c270bcd-2099-430c-97b0-44e26f530e28')","30205")</f>
        <v>30205</v>
      </c>
      <c r="B613" s="13" t="s">
        <v>1021</v>
      </c>
      <c r="C613" s="13" t="s">
        <v>11</v>
      </c>
      <c r="D613" s="13" t="s">
        <v>1022</v>
      </c>
      <c r="E613" s="14">
        <v>40391.0</v>
      </c>
      <c r="F613" s="14">
        <v>41851.0</v>
      </c>
      <c r="G613" s="2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15" t="str">
        <f>HYPERLINK("javascript:void%20window.open('https://ds3.dhss.ak.local/dsds/ds3/index.cfm?fuseaction=pro.view&amp;entityId=3936a086-be5b-441c-99cc-1db8baf7cc1c')","112885")</f>
        <v>112885</v>
      </c>
      <c r="B614" s="16" t="s">
        <v>1023</v>
      </c>
      <c r="C614" s="16" t="s">
        <v>11</v>
      </c>
      <c r="D614" s="16" t="s">
        <v>1024</v>
      </c>
      <c r="E614" s="17">
        <v>40648.0</v>
      </c>
      <c r="F614" s="17">
        <v>42521.0</v>
      </c>
      <c r="G614" s="2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12" t="str">
        <f>HYPERLINK("javascript:void%20window.open('https://ds3.dhss.ak.local/dsds/ds3/index.cfm?fuseaction=pro.view&amp;entityId=bec72eab-fef3-11c8-f851-78b1a4153840')","102767")</f>
        <v>102767</v>
      </c>
      <c r="B615" s="13" t="s">
        <v>1025</v>
      </c>
      <c r="C615" s="13" t="s">
        <v>11</v>
      </c>
      <c r="D615" s="13" t="s">
        <v>1026</v>
      </c>
      <c r="E615" s="14">
        <v>40551.0</v>
      </c>
      <c r="F615" s="14">
        <v>42400.0</v>
      </c>
      <c r="G615" s="2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9" t="str">
        <f>HYPERLINK("javascript:void%20window.open('https://ds3.dhss.ak.local/dsds/ds3/index.cfm?fuseaction=pro.view&amp;entityId=c6ffa439-5056-bc68-73ae-50cafe7098fa')","163913")</f>
        <v>163913</v>
      </c>
      <c r="B616" s="10" t="s">
        <v>1027</v>
      </c>
      <c r="C616" s="10" t="s">
        <v>11</v>
      </c>
      <c r="D616" s="10" t="s">
        <v>1028</v>
      </c>
      <c r="E616" s="11">
        <v>41733.0</v>
      </c>
      <c r="F616" s="11">
        <v>42094.0</v>
      </c>
      <c r="G616" s="2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12" t="str">
        <f>HYPERLINK("javascript:void%20window.open('https://ds3.dhss.ak.local/dsds/ds3/index.cfm?fuseaction=pro.view&amp;entityId=b6eecaf6-5056-bc68-73bb-d08568cd3276')","139063")</f>
        <v>139063</v>
      </c>
      <c r="B617" s="13" t="s">
        <v>1029</v>
      </c>
      <c r="C617" s="13" t="s">
        <v>11</v>
      </c>
      <c r="D617" s="13" t="s">
        <v>1030</v>
      </c>
      <c r="E617" s="14">
        <v>41164.0</v>
      </c>
      <c r="F617" s="14">
        <v>42551.0</v>
      </c>
      <c r="G617" s="2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15" t="str">
        <f>HYPERLINK("javascript:void%20window.open('https://ds3.dhss.ak.local/dsds/ds3/index.cfm?fuseaction=pro.view&amp;entityId=12891add-929b-4b91-b0c9-fcd321ae0e19')","117453")</f>
        <v>117453</v>
      </c>
      <c r="B618" s="16" t="s">
        <v>1031</v>
      </c>
      <c r="C618" s="16" t="s">
        <v>11</v>
      </c>
      <c r="D618" s="16" t="s">
        <v>1032</v>
      </c>
      <c r="E618" s="17">
        <v>41344.0</v>
      </c>
      <c r="F618" s="17">
        <v>42551.0</v>
      </c>
      <c r="G618" s="2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12" t="str">
        <f>HYPERLINK("javascript:void%20window.open('https://ds3.dhss.ak.local/dsds/ds3/index.cfm?fuseaction=pro.view&amp;entityId=931f7e3d-3aa0-46b9-9da3-fbef15d6ecc6')","32324")</f>
        <v>32324</v>
      </c>
      <c r="B619" s="13" t="s">
        <v>1033</v>
      </c>
      <c r="C619" s="13" t="s">
        <v>11</v>
      </c>
      <c r="D619" s="13" t="s">
        <v>1034</v>
      </c>
      <c r="E619" s="14">
        <v>38899.0</v>
      </c>
      <c r="F619" s="14">
        <v>42400.0</v>
      </c>
      <c r="G619" s="2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15" t="str">
        <f>HYPERLINK("javascript:void%20window.open('https://ds3.dhss.ak.local/dsds/ds3/index.cfm?fuseaction=pro.view&amp;entityId=071f9225-5fed-4d4e-a8f1-b3ec8fe751f3')","30233")</f>
        <v>30233</v>
      </c>
      <c r="B620" s="16" t="s">
        <v>1035</v>
      </c>
      <c r="C620" s="16" t="s">
        <v>11</v>
      </c>
      <c r="D620" s="16" t="s">
        <v>1036</v>
      </c>
      <c r="E620" s="17">
        <v>38991.0</v>
      </c>
      <c r="F620" s="17">
        <v>41973.0</v>
      </c>
      <c r="G620" s="2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12" t="str">
        <f>HYPERLINK("javascript:void%20window.open('https://ds3.dhss.ak.local/dsds/ds3/index.cfm?fuseaction=pro.view&amp;entityId=71c9b4d7-0366-6542-b3af-dece9e02cb74')","70689")</f>
        <v>70689</v>
      </c>
      <c r="B621" s="13" t="s">
        <v>1037</v>
      </c>
      <c r="C621" s="13" t="s">
        <v>11</v>
      </c>
      <c r="D621" s="13" t="s">
        <v>1038</v>
      </c>
      <c r="E621" s="14">
        <v>39668.0</v>
      </c>
      <c r="F621" s="14">
        <v>40939.0</v>
      </c>
      <c r="G621" s="2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9" t="str">
        <f>HYPERLINK("javascript:void%20window.open('https://ds3.dhss.ak.local/dsds/ds3/index.cfm?fuseaction=pro.view&amp;entityId=df97fa6f-5056-bc68-73e8-1d3d49b7ca0a')","153799")</f>
        <v>153799</v>
      </c>
      <c r="B622" s="10" t="s">
        <v>1039</v>
      </c>
      <c r="C622" s="10" t="s">
        <v>11</v>
      </c>
      <c r="D622" s="10" t="s">
        <v>1040</v>
      </c>
      <c r="E622" s="11">
        <v>41548.0</v>
      </c>
      <c r="F622" s="11">
        <v>42551.0</v>
      </c>
      <c r="G622" s="2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12" t="str">
        <f>HYPERLINK("javascript:void%20window.open('https://ds3.dhss.ak.local/dsds/ds3/index.cfm?fuseaction=pro.view&amp;entityId=08b51d05-f6ab-4b62-29af-ca7febcfe39d')","107369")</f>
        <v>107369</v>
      </c>
      <c r="B623" s="13" t="s">
        <v>1041</v>
      </c>
      <c r="C623" s="13" t="s">
        <v>11</v>
      </c>
      <c r="D623" s="13" t="s">
        <v>1042</v>
      </c>
      <c r="E623" s="14">
        <v>40548.0</v>
      </c>
      <c r="F623" s="14">
        <v>42369.0</v>
      </c>
      <c r="G623" s="2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15" t="str">
        <f>HYPERLINK("javascript:void%20window.open('https://ds3.dhss.ak.local/dsds/ds3/index.cfm?fuseaction=pro.view&amp;entityId=78319a4c-7c06-406b-9bd6-eb1840e36b7c')","102602")</f>
        <v>102602</v>
      </c>
      <c r="B624" s="16" t="s">
        <v>1043</v>
      </c>
      <c r="C624" s="16" t="s">
        <v>11</v>
      </c>
      <c r="D624" s="16" t="s">
        <v>1044</v>
      </c>
      <c r="E624" s="16"/>
      <c r="F624" s="16"/>
      <c r="G624" s="2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12" t="str">
        <f>HYPERLINK("javascript:void%20window.open('https://ds3.dhss.ak.local/dsds/ds3/index.cfm?fuseaction=pro.view&amp;entityId=e6241e91-5056-bc68-7356-0ea9f0233507')","138310")</f>
        <v>138310</v>
      </c>
      <c r="B625" s="13" t="s">
        <v>1045</v>
      </c>
      <c r="C625" s="13" t="s">
        <v>11</v>
      </c>
      <c r="D625" s="13" t="s">
        <v>1046</v>
      </c>
      <c r="E625" s="14">
        <v>41183.0</v>
      </c>
      <c r="F625" s="14">
        <v>42277.0</v>
      </c>
      <c r="G625" s="2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15" t="str">
        <f>HYPERLINK("javascript:void%20window.open('https://ds3.dhss.ak.local/dsds/ds3/index.cfm?fuseaction=pro.view&amp;entityId=ef6d78a7-65be-f484-05d3-ea9e0aee86e8')","62908")</f>
        <v>62908</v>
      </c>
      <c r="B626" s="16" t="s">
        <v>1047</v>
      </c>
      <c r="C626" s="16" t="s">
        <v>11</v>
      </c>
      <c r="D626" s="16" t="s">
        <v>1048</v>
      </c>
      <c r="E626" s="17">
        <v>39429.0</v>
      </c>
      <c r="F626" s="17">
        <v>41056.0</v>
      </c>
      <c r="G626" s="2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9" t="str">
        <f>HYPERLINK("javascript:void%20window.open('https://ds3.dhss.ak.local/dsds/ds3/index.cfm?fuseaction=pro.view&amp;entityId=1abd4ea3-5056-bc68-7383-09a78e821f7a')","138380")</f>
        <v>138380</v>
      </c>
      <c r="B627" s="10" t="s">
        <v>1049</v>
      </c>
      <c r="C627" s="10" t="s">
        <v>11</v>
      </c>
      <c r="D627" s="10" t="s">
        <v>1050</v>
      </c>
      <c r="E627" s="11">
        <v>41509.0</v>
      </c>
      <c r="F627" s="11">
        <v>42582.0</v>
      </c>
      <c r="G627" s="2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9" t="str">
        <f>HYPERLINK("javascript:void%20window.open('https://ds3.dhss.ak.local/dsds/ds3/index.cfm?fuseaction=pro.view&amp;entityId=18a27d8a-5056-bc68-7309-2cd83d9c99fb')","154579")</f>
        <v>154579</v>
      </c>
      <c r="B628" s="10" t="s">
        <v>1051</v>
      </c>
      <c r="C628" s="10" t="s">
        <v>11</v>
      </c>
      <c r="D628" s="10" t="s">
        <v>1052</v>
      </c>
      <c r="E628" s="11">
        <v>41627.0</v>
      </c>
      <c r="F628" s="11">
        <v>41973.0</v>
      </c>
      <c r="G628" s="2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12" t="str">
        <f>HYPERLINK("javascript:void%20window.open('https://ds3.dhss.ak.local/dsds/ds3/index.cfm?fuseaction=pro.view&amp;entityId=75c2e7df-d003-c723-313f-4613450fe11b')","82724")</f>
        <v>82724</v>
      </c>
      <c r="B629" s="13" t="s">
        <v>1053</v>
      </c>
      <c r="C629" s="13" t="s">
        <v>11</v>
      </c>
      <c r="D629" s="13" t="s">
        <v>1054</v>
      </c>
      <c r="E629" s="14">
        <v>40284.0</v>
      </c>
      <c r="F629" s="14">
        <v>42094.0</v>
      </c>
      <c r="G629" s="2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15" t="str">
        <f>HYPERLINK("javascript:void%20window.open('https://ds3.dhss.ak.local/dsds/ds3/index.cfm?fuseaction=pro.view&amp;entityId=3e30b966-f229-4be6-a371-dc407dbd1239')","32421")</f>
        <v>32421</v>
      </c>
      <c r="B630" s="16" t="s">
        <v>1055</v>
      </c>
      <c r="C630" s="16" t="s">
        <v>11</v>
      </c>
      <c r="D630" s="16" t="s">
        <v>1056</v>
      </c>
      <c r="E630" s="17">
        <v>39356.0</v>
      </c>
      <c r="F630" s="17">
        <v>42277.0</v>
      </c>
      <c r="G630" s="2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12" t="str">
        <f>HYPERLINK("javascript:void%20window.open('https://ds3.dhss.ak.local/dsds/ds3/index.cfm?fuseaction=pro.view&amp;entityId=11e9ce4c-92a4-9eac-2c09-16de383dd6ec')","79958")</f>
        <v>79958</v>
      </c>
      <c r="B631" s="13" t="s">
        <v>1057</v>
      </c>
      <c r="C631" s="13" t="s">
        <v>11</v>
      </c>
      <c r="D631" s="13" t="s">
        <v>1058</v>
      </c>
      <c r="E631" s="14">
        <v>39836.0</v>
      </c>
      <c r="F631" s="14">
        <v>42460.0</v>
      </c>
      <c r="G631" s="2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15" t="str">
        <f>HYPERLINK("javascript:void%20window.open('https://ds3.dhss.ak.local/dsds/ds3/index.cfm?fuseaction=pro.view&amp;entityId=bf2152e6-2c62-4152-bc40-e7e1eecf4a40')","31416")</f>
        <v>31416</v>
      </c>
      <c r="B632" s="16" t="s">
        <v>1059</v>
      </c>
      <c r="C632" s="16" t="s">
        <v>11</v>
      </c>
      <c r="D632" s="16" t="s">
        <v>1060</v>
      </c>
      <c r="E632" s="17">
        <v>38749.0</v>
      </c>
      <c r="F632" s="17">
        <v>41882.0</v>
      </c>
      <c r="G632" s="2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12" t="str">
        <f>HYPERLINK("javascript:void%20window.open('https://ds3.dhss.ak.local/dsds/ds3/index.cfm?fuseaction=pro.view&amp;entityId=a06a74d9-8038-4cc6-9379-7dba80f374a4')","32109")</f>
        <v>32109</v>
      </c>
      <c r="B633" s="13" t="s">
        <v>1061</v>
      </c>
      <c r="C633" s="13" t="s">
        <v>11</v>
      </c>
      <c r="D633" s="13" t="s">
        <v>1062</v>
      </c>
      <c r="E633" s="14">
        <v>39082.0</v>
      </c>
      <c r="F633" s="14">
        <v>42369.0</v>
      </c>
      <c r="G633" s="2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15" t="str">
        <f>HYPERLINK("javascript:void%20window.open('https://ds3.dhss.ak.local/dsds/ds3/index.cfm?fuseaction=pro.view&amp;entityId=c66c2131-65be-f484-09df-6880efbe90b9')","62711")</f>
        <v>62711</v>
      </c>
      <c r="B634" s="16" t="s">
        <v>1063</v>
      </c>
      <c r="C634" s="16" t="s">
        <v>11</v>
      </c>
      <c r="D634" s="16" t="s">
        <v>1064</v>
      </c>
      <c r="E634" s="17">
        <v>39417.0</v>
      </c>
      <c r="F634" s="17">
        <v>41973.0</v>
      </c>
      <c r="G634" s="2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12" t="str">
        <f>HYPERLINK("javascript:void%20window.open('https://ds3.dhss.ak.local/dsds/ds3/index.cfm?fuseaction=pro.view&amp;entityId=888345a7-cf6c-5480-6c87-9c871faa22c5')","109529")</f>
        <v>109529</v>
      </c>
      <c r="B635" s="13" t="s">
        <v>1065</v>
      </c>
      <c r="C635" s="13" t="s">
        <v>11</v>
      </c>
      <c r="D635" s="13" t="s">
        <v>1066</v>
      </c>
      <c r="E635" s="14">
        <v>40596.0</v>
      </c>
      <c r="F635" s="14">
        <v>42400.0</v>
      </c>
      <c r="G635" s="2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15" t="str">
        <f>HYPERLINK("javascript:void%20window.open('https://ds3.dhss.ak.local/dsds/ds3/index.cfm?fuseaction=pro.view&amp;entityId=529ec77b-cfd2-ceda-5ebd-11ba975ab0ab')","82471")</f>
        <v>82471</v>
      </c>
      <c r="B636" s="16" t="s">
        <v>1067</v>
      </c>
      <c r="C636" s="16" t="s">
        <v>11</v>
      </c>
      <c r="D636" s="16" t="s">
        <v>1068</v>
      </c>
      <c r="E636" s="17">
        <v>39995.0</v>
      </c>
      <c r="F636" s="17">
        <v>42521.0</v>
      </c>
      <c r="G636" s="2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12" t="str">
        <f>HYPERLINK("javascript:void%20window.open('https://ds3.dhss.ak.local/dsds/ds3/index.cfm?fuseaction=pro.view&amp;entityId=abc32046-c97b-1696-7662-4ac1f8664e7a')","126688")</f>
        <v>126688</v>
      </c>
      <c r="B637" s="13" t="s">
        <v>1069</v>
      </c>
      <c r="C637" s="13" t="s">
        <v>11</v>
      </c>
      <c r="D637" s="13" t="s">
        <v>1070</v>
      </c>
      <c r="E637" s="14">
        <v>40897.0</v>
      </c>
      <c r="F637" s="14">
        <v>41973.0</v>
      </c>
      <c r="G637" s="2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15" t="str">
        <f>HYPERLINK("javascript:void%20window.open('https://ds3.dhss.ak.local/dsds/ds3/index.cfm?fuseaction=pro.view&amp;entityId=187da0a0-7959-4342-be81-899d1521db80')","38757")</f>
        <v>38757</v>
      </c>
      <c r="B638" s="16" t="s">
        <v>1071</v>
      </c>
      <c r="C638" s="16" t="s">
        <v>11</v>
      </c>
      <c r="D638" s="16" t="s">
        <v>1072</v>
      </c>
      <c r="E638" s="17">
        <v>41124.0</v>
      </c>
      <c r="F638" s="17">
        <v>42521.0</v>
      </c>
      <c r="G638" s="2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12" t="str">
        <f>HYPERLINK("javascript:void%20window.open('https://ds3.dhss.ak.local/dsds/ds3/index.cfm?fuseaction=pro.view&amp;entityId=c366df1d-b092-57e1-3bd1-98f9fe47b9ab')","92774")</f>
        <v>92774</v>
      </c>
      <c r="B639" s="13" t="s">
        <v>1073</v>
      </c>
      <c r="C639" s="13" t="s">
        <v>11</v>
      </c>
      <c r="D639" s="13" t="s">
        <v>1074</v>
      </c>
      <c r="E639" s="14">
        <v>40217.0</v>
      </c>
      <c r="F639" s="14">
        <v>41912.0</v>
      </c>
      <c r="G639" s="2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15" t="str">
        <f>HYPERLINK("javascript:void%20window.open('https://ds3.dhss.ak.local/dsds/ds3/index.cfm?fuseaction=pro.view&amp;entityId=a7c97b95-d69f-5193-4da4-78e1b91517b5')","106712")</f>
        <v>106712</v>
      </c>
      <c r="B640" s="16" t="s">
        <v>1075</v>
      </c>
      <c r="C640" s="16" t="s">
        <v>11</v>
      </c>
      <c r="D640" s="16" t="s">
        <v>1076</v>
      </c>
      <c r="E640" s="17">
        <v>41005.0</v>
      </c>
      <c r="F640" s="17">
        <v>42004.0</v>
      </c>
      <c r="G640" s="2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12" t="str">
        <f>HYPERLINK("javascript:void%20window.open('https://ds3.dhss.ak.local/dsds/ds3/index.cfm?fuseaction=pro.view&amp;entityId=015ac2ed-aa52-4df7-b48c-c9395840d82f')","77591")</f>
        <v>77591</v>
      </c>
      <c r="B641" s="13" t="s">
        <v>1077</v>
      </c>
      <c r="C641" s="13" t="s">
        <v>11</v>
      </c>
      <c r="D641" s="13" t="s">
        <v>1078</v>
      </c>
      <c r="E641" s="14">
        <v>40325.0</v>
      </c>
      <c r="F641" s="14">
        <v>42004.0</v>
      </c>
      <c r="G641" s="2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15" t="str">
        <f>HYPERLINK("javascript:void%20window.open('https://ds3.dhss.ak.local/dsds/ds3/index.cfm?fuseaction=pro.view&amp;entityId=bceb2970-00c7-4a0b-897b-e1f6c23765bc')","31342")</f>
        <v>31342</v>
      </c>
      <c r="B642" s="16" t="s">
        <v>1079</v>
      </c>
      <c r="C642" s="16" t="s">
        <v>11</v>
      </c>
      <c r="D642" s="16" t="s">
        <v>1080</v>
      </c>
      <c r="E642" s="17">
        <v>39077.0</v>
      </c>
      <c r="F642" s="17">
        <v>42004.0</v>
      </c>
      <c r="G642" s="2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12" t="str">
        <f>HYPERLINK("javascript:void%20window.open('https://ds3.dhss.ak.local/dsds/ds3/index.cfm?fuseaction=pro.view&amp;entityId=c71a9dbf-e950-cb1c-7638-cf29f4dd9457')","88147")</f>
        <v>88147</v>
      </c>
      <c r="B643" s="13" t="s">
        <v>1081</v>
      </c>
      <c r="C643" s="13" t="s">
        <v>11</v>
      </c>
      <c r="D643" s="13" t="s">
        <v>1082</v>
      </c>
      <c r="E643" s="14">
        <v>40087.0</v>
      </c>
      <c r="F643" s="14">
        <v>42551.0</v>
      </c>
      <c r="G643" s="2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15" t="str">
        <f>HYPERLINK("javascript:void%20window.open('https://ds3.dhss.ak.local/dsds/ds3/index.cfm?fuseaction=pro.view&amp;entityId=225d9952-efcb-4370-bbd5-93b8eb29ec37')","32608")</f>
        <v>32608</v>
      </c>
      <c r="B644" s="16" t="s">
        <v>1083</v>
      </c>
      <c r="C644" s="16" t="s">
        <v>11</v>
      </c>
      <c r="D644" s="16" t="s">
        <v>1084</v>
      </c>
      <c r="E644" s="17">
        <v>38873.0</v>
      </c>
      <c r="F644" s="17">
        <v>42094.0</v>
      </c>
      <c r="G644" s="2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12" t="str">
        <f>HYPERLINK("javascript:void%20window.open('https://ds3.dhss.ak.local/dsds/ds3/index.cfm?fuseaction=pro.view&amp;entityId=e076ea63-fe4b-ae75-f306-bd45b123b890')","120477")</f>
        <v>120477</v>
      </c>
      <c r="B645" s="13" t="s">
        <v>1085</v>
      </c>
      <c r="C645" s="13" t="s">
        <v>11</v>
      </c>
      <c r="D645" s="13" t="s">
        <v>1086</v>
      </c>
      <c r="E645" s="14">
        <v>40801.0</v>
      </c>
      <c r="F645" s="14">
        <v>41882.0</v>
      </c>
      <c r="G645" s="2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15" t="str">
        <f>HYPERLINK("javascript:void%20window.open('https://ds3.dhss.ak.local/dsds/ds3/index.cfm?fuseaction=pro.view&amp;entityId=db56d422-a009-4b7f-a4fb-de82aa823d6f')","32606")</f>
        <v>32606</v>
      </c>
      <c r="B646" s="16" t="s">
        <v>1087</v>
      </c>
      <c r="C646" s="16" t="s">
        <v>11</v>
      </c>
      <c r="D646" s="16" t="s">
        <v>1088</v>
      </c>
      <c r="E646" s="17">
        <v>40087.0</v>
      </c>
      <c r="F646" s="17">
        <v>42277.0</v>
      </c>
      <c r="G646" s="2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12" t="str">
        <f>HYPERLINK("javascript:void%20window.open('https://ds3.dhss.ak.local/dsds/ds3/index.cfm?fuseaction=pro.view&amp;entityId=8d816c5a-65be-f484-0f86-9f1f7e836e72')","62436")</f>
        <v>62436</v>
      </c>
      <c r="B647" s="13" t="s">
        <v>1089</v>
      </c>
      <c r="C647" s="13" t="s">
        <v>11</v>
      </c>
      <c r="D647" s="13" t="s">
        <v>1090</v>
      </c>
      <c r="E647" s="14">
        <v>41334.0</v>
      </c>
      <c r="F647" s="14">
        <v>41912.0</v>
      </c>
      <c r="G647" s="2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9" t="str">
        <f>HYPERLINK("javascript:void%20window.open('https://ds3.dhss.ak.local/dsds/ds3/index.cfm?fuseaction=pro.view&amp;entityId=657b8d9b-a9d9-797d-b80b-6c3dc5993281')","116286")</f>
        <v>116286</v>
      </c>
      <c r="B648" s="10" t="s">
        <v>1091</v>
      </c>
      <c r="C648" s="10" t="s">
        <v>11</v>
      </c>
      <c r="D648" s="10" t="s">
        <v>1092</v>
      </c>
      <c r="E648" s="11">
        <v>41801.0</v>
      </c>
      <c r="F648" s="11">
        <v>42155.0</v>
      </c>
      <c r="G648" s="2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12" t="str">
        <f>HYPERLINK("javascript:void%20window.open('https://ds3.dhss.ak.local/dsds/ds3/index.cfm?fuseaction=pro.view&amp;entityId=8219e322-bd78-13a4-17a6-005574db426f')","128414")</f>
        <v>128414</v>
      </c>
      <c r="B649" s="13" t="s">
        <v>1093</v>
      </c>
      <c r="C649" s="13" t="s">
        <v>11</v>
      </c>
      <c r="D649" s="13" t="s">
        <v>1094</v>
      </c>
      <c r="E649" s="14">
        <v>41165.0</v>
      </c>
      <c r="F649" s="14">
        <v>42247.0</v>
      </c>
      <c r="G649" s="2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9" t="str">
        <f>HYPERLINK("javascript:void%20window.open('https://ds3.dhss.ak.local/dsds/ds3/index.cfm?fuseaction=pro.view&amp;entityId=320aff76-5056-bc68-7312-d3cc07064a81')","162950")</f>
        <v>162950</v>
      </c>
      <c r="B650" s="10" t="s">
        <v>1095</v>
      </c>
      <c r="C650" s="10" t="s">
        <v>11</v>
      </c>
      <c r="D650" s="10" t="s">
        <v>1096</v>
      </c>
      <c r="E650" s="11">
        <v>41786.0</v>
      </c>
      <c r="F650" s="11">
        <v>42124.0</v>
      </c>
      <c r="G650" s="2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12" t="str">
        <f>HYPERLINK("javascript:void%20window.open('https://ds3.dhss.ak.local/dsds/ds3/index.cfm?fuseaction=pro.view&amp;entityId=c60bcc8e-2d10-482c-9837-ca0ed3f49a98')","32387")</f>
        <v>32387</v>
      </c>
      <c r="B651" s="13" t="s">
        <v>1097</v>
      </c>
      <c r="C651" s="13" t="s">
        <v>11</v>
      </c>
      <c r="D651" s="13" t="s">
        <v>1098</v>
      </c>
      <c r="E651" s="14">
        <v>39264.0</v>
      </c>
      <c r="F651" s="14">
        <v>42185.0</v>
      </c>
      <c r="G651" s="2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15" t="str">
        <f>HYPERLINK("javascript:void%20window.open('https://ds3.dhss.ak.local/dsds/ds3/index.cfm?fuseaction=pro.view&amp;entityId=15df590b-5056-bc68-737b-ad4cae616fa0')","144563")</f>
        <v>144563</v>
      </c>
      <c r="B652" s="16" t="s">
        <v>1099</v>
      </c>
      <c r="C652" s="16" t="s">
        <v>11</v>
      </c>
      <c r="D652" s="16" t="s">
        <v>1100</v>
      </c>
      <c r="E652" s="17">
        <v>41387.0</v>
      </c>
      <c r="F652" s="17">
        <v>42521.0</v>
      </c>
      <c r="G652" s="2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12" t="str">
        <f>HYPERLINK("javascript:void%20window.open('https://ds3.dhss.ak.local/dsds/ds3/index.cfm?fuseaction=pro.view&amp;entityId=e77418e8-04e8-0a50-7641-9c94f32a5e0b')","108964")</f>
        <v>108964</v>
      </c>
      <c r="B653" s="13" t="s">
        <v>1101</v>
      </c>
      <c r="C653" s="13" t="s">
        <v>11</v>
      </c>
      <c r="D653" s="13" t="s">
        <v>1102</v>
      </c>
      <c r="E653" s="14">
        <v>40664.0</v>
      </c>
      <c r="F653" s="14">
        <v>42004.0</v>
      </c>
      <c r="G653" s="2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15" t="str">
        <f>HYPERLINK("javascript:void%20window.open('https://ds3.dhss.ak.local/dsds/ds3/index.cfm?fuseaction=pro.view&amp;entityId=a0e96a12-264a-4d00-8907-052846406bd3')","30729")</f>
        <v>30729</v>
      </c>
      <c r="B654" s="16" t="s">
        <v>1103</v>
      </c>
      <c r="C654" s="16" t="s">
        <v>11</v>
      </c>
      <c r="D654" s="16" t="s">
        <v>1104</v>
      </c>
      <c r="E654" s="17">
        <v>39539.0</v>
      </c>
      <c r="F654" s="17">
        <v>41973.0</v>
      </c>
      <c r="G654" s="2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9" t="str">
        <f>HYPERLINK("javascript:void%20window.open('https://ds3.dhss.ak.local/dsds/ds3/index.cfm?fuseaction=pro.view&amp;entityId=03108994-5056-bc68-73c9-1663ce0a089b')","156573")</f>
        <v>156573</v>
      </c>
      <c r="B655" s="10" t="s">
        <v>1105</v>
      </c>
      <c r="C655" s="10" t="s">
        <v>11</v>
      </c>
      <c r="D655" s="10" t="s">
        <v>1106</v>
      </c>
      <c r="E655" s="11">
        <v>41624.0</v>
      </c>
      <c r="F655" s="11">
        <v>41973.0</v>
      </c>
      <c r="G655" s="2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15" t="str">
        <f>HYPERLINK("javascript:void%20window.open('https://ds3.dhss.ak.local/dsds/ds3/index.cfm?fuseaction=pro.view&amp;entityId=fa8dd0a1-38f4-43ff-8854-37d68f31a7fd')","86176")</f>
        <v>86176</v>
      </c>
      <c r="B656" s="16" t="s">
        <v>1107</v>
      </c>
      <c r="C656" s="16" t="s">
        <v>11</v>
      </c>
      <c r="D656" s="16" t="s">
        <v>1108</v>
      </c>
      <c r="E656" s="17">
        <v>41275.0</v>
      </c>
      <c r="F656" s="17">
        <v>42004.0</v>
      </c>
      <c r="G656" s="2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9" t="str">
        <f>HYPERLINK("javascript:void%20window.open('https://ds3.dhss.ak.local/dsds/ds3/index.cfm?fuseaction=pro.view&amp;entityId=b028830c-5056-bc68-735a-a23af8d8e73e')","160660")</f>
        <v>160660</v>
      </c>
      <c r="B657" s="10" t="s">
        <v>1109</v>
      </c>
      <c r="C657" s="10" t="s">
        <v>11</v>
      </c>
      <c r="D657" s="10" t="s">
        <v>1110</v>
      </c>
      <c r="E657" s="11">
        <v>41660.0</v>
      </c>
      <c r="F657" s="11">
        <v>42004.0</v>
      </c>
      <c r="G657" s="2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15" t="str">
        <f>HYPERLINK("javascript:void%20window.open('https://ds3.dhss.ak.local/dsds/ds3/index.cfm?fuseaction=pro.view&amp;entityId=71987ae7-d0b8-faf9-dc40-9947792f2edd')","126892")</f>
        <v>126892</v>
      </c>
      <c r="B658" s="16" t="s">
        <v>1111</v>
      </c>
      <c r="C658" s="16" t="s">
        <v>11</v>
      </c>
      <c r="D658" s="16" t="s">
        <v>1112</v>
      </c>
      <c r="E658" s="17">
        <v>40962.0</v>
      </c>
      <c r="F658" s="17">
        <v>42035.0</v>
      </c>
      <c r="G658" s="2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12" t="str">
        <f>HYPERLINK("javascript:void%20window.open('https://ds3.dhss.ak.local/dsds/ds3/index.cfm?fuseaction=pro.view&amp;entityId=4ed9f858-d38b-4188-9062-9024bbd60988')","31990")</f>
        <v>31990</v>
      </c>
      <c r="B659" s="13" t="s">
        <v>1113</v>
      </c>
      <c r="C659" s="13" t="s">
        <v>11</v>
      </c>
      <c r="D659" s="13" t="s">
        <v>1114</v>
      </c>
      <c r="E659" s="14">
        <v>39539.0</v>
      </c>
      <c r="F659" s="14">
        <v>42460.0</v>
      </c>
      <c r="G659" s="2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9" t="str">
        <f>HYPERLINK("javascript:void%20window.open('https://ds3.dhss.ak.local/dsds/ds3/index.cfm?fuseaction=pro.view&amp;entityId=c7bbf433-5056-bc68-736f-5059612f5cdd')","156135")</f>
        <v>156135</v>
      </c>
      <c r="B660" s="10" t="s">
        <v>1115</v>
      </c>
      <c r="C660" s="10" t="s">
        <v>11</v>
      </c>
      <c r="D660" s="10" t="s">
        <v>1116</v>
      </c>
      <c r="E660" s="11">
        <v>41605.0</v>
      </c>
      <c r="F660" s="11">
        <v>41943.0</v>
      </c>
      <c r="G660" s="2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12" t="str">
        <f>HYPERLINK("javascript:void%20window.open('https://ds3.dhss.ak.local/dsds/ds3/index.cfm?fuseaction=pro.view&amp;entityId=cff0647a-2639-4d42-9584-f63af9aa5c43')","31900")</f>
        <v>31900</v>
      </c>
      <c r="B661" s="13" t="s">
        <v>1117</v>
      </c>
      <c r="C661" s="13" t="s">
        <v>11</v>
      </c>
      <c r="D661" s="13" t="s">
        <v>1118</v>
      </c>
      <c r="E661" s="14">
        <v>39417.0</v>
      </c>
      <c r="F661" s="14">
        <v>42338.0</v>
      </c>
      <c r="G661" s="2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15" t="str">
        <f>HYPERLINK("javascript:void%20window.open('https://ds3.dhss.ak.local/dsds/ds3/index.cfm?fuseaction=pro.view&amp;entityId=6a26e365-65be-f484-0569-937d8c8fa3b2')","63451")</f>
        <v>63451</v>
      </c>
      <c r="B662" s="16" t="s">
        <v>1119</v>
      </c>
      <c r="C662" s="16" t="s">
        <v>11</v>
      </c>
      <c r="D662" s="16" t="s">
        <v>1120</v>
      </c>
      <c r="E662" s="17">
        <v>39492.0</v>
      </c>
      <c r="F662" s="17">
        <v>42035.0</v>
      </c>
      <c r="G662" s="2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12" t="str">
        <f>HYPERLINK("javascript:void%20window.open('https://ds3.dhss.ak.local/dsds/ds3/index.cfm?fuseaction=pro.view&amp;entityId=0f495ae3-e9a6-ec15-978b-623651fb156f')","82051")</f>
        <v>82051</v>
      </c>
      <c r="B663" s="13" t="s">
        <v>1121</v>
      </c>
      <c r="C663" s="13" t="s">
        <v>11</v>
      </c>
      <c r="D663" s="13" t="s">
        <v>1122</v>
      </c>
      <c r="E663" s="14">
        <v>39825.0</v>
      </c>
      <c r="F663" s="14">
        <v>42094.0</v>
      </c>
      <c r="G663" s="2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15" t="str">
        <f>HYPERLINK("javascript:void%20window.open('https://ds3.dhss.ak.local/dsds/ds3/index.cfm?fuseaction=pro.view&amp;entityId=918d72de-a72b-0832-1a51-acbe46686ab9')","92254")</f>
        <v>92254</v>
      </c>
      <c r="B664" s="16" t="s">
        <v>1123</v>
      </c>
      <c r="C664" s="16" t="s">
        <v>11</v>
      </c>
      <c r="D664" s="16" t="s">
        <v>1124</v>
      </c>
      <c r="E664" s="17">
        <v>40211.0</v>
      </c>
      <c r="F664" s="17">
        <v>42035.0</v>
      </c>
      <c r="G664" s="2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12" t="str">
        <f>HYPERLINK("javascript:void%20window.open('https://ds3.dhss.ak.local/dsds/ds3/index.cfm?fuseaction=pro.view&amp;entityId=c6749275-6b71-4937-a25c-c22d6ed0d33b')","31321")</f>
        <v>31321</v>
      </c>
      <c r="B665" s="13" t="s">
        <v>1125</v>
      </c>
      <c r="C665" s="13" t="s">
        <v>11</v>
      </c>
      <c r="D665" s="13" t="s">
        <v>1126</v>
      </c>
      <c r="E665" s="14">
        <v>39385.0</v>
      </c>
      <c r="F665" s="14">
        <v>42004.0</v>
      </c>
      <c r="G665" s="2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15" t="str">
        <f>HYPERLINK("javascript:void%20window.open('https://ds3.dhss.ak.local/dsds/ds3/index.cfm?fuseaction=pro.view&amp;entityId=cfee4539-9271-109d-e355-946ae3edebd2')","73321")</f>
        <v>73321</v>
      </c>
      <c r="B666" s="16" t="s">
        <v>1127</v>
      </c>
      <c r="C666" s="16" t="s">
        <v>11</v>
      </c>
      <c r="D666" s="16" t="s">
        <v>1128</v>
      </c>
      <c r="E666" s="17">
        <v>40299.0</v>
      </c>
      <c r="F666" s="17">
        <v>42154.0</v>
      </c>
      <c r="G666" s="2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12" t="str">
        <f>HYPERLINK("javascript:void%20window.open('https://ds3.dhss.ak.local/dsds/ds3/index.cfm?fuseaction=pro.view&amp;entityId=2fe59779-9937-f28b-3c85-a31c6a838421')","71976")</f>
        <v>71976</v>
      </c>
      <c r="B667" s="13" t="s">
        <v>1129</v>
      </c>
      <c r="C667" s="13" t="s">
        <v>11</v>
      </c>
      <c r="D667" s="13" t="s">
        <v>1130</v>
      </c>
      <c r="E667" s="14">
        <v>39744.0</v>
      </c>
      <c r="F667" s="14">
        <v>42277.0</v>
      </c>
      <c r="G667" s="2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9" t="str">
        <f>HYPERLINK("javascript:void%20window.open('https://ds3.dhss.ak.local/dsds/ds3/index.cfm?fuseaction=pro.view&amp;entityId=990035d6-5056-bc68-73f8-bd18d83f7eab')","150762")</f>
        <v>150762</v>
      </c>
      <c r="B668" s="10" t="s">
        <v>1131</v>
      </c>
      <c r="C668" s="10" t="s">
        <v>11</v>
      </c>
      <c r="D668" s="10" t="s">
        <v>1132</v>
      </c>
      <c r="E668" s="11">
        <v>41481.0</v>
      </c>
      <c r="F668" s="11">
        <v>42551.0</v>
      </c>
      <c r="G668" s="2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9" t="str">
        <f>HYPERLINK("javascript:void%20window.open('https://ds3.dhss.ak.local/dsds/ds3/index.cfm?fuseaction=pro.view&amp;entityId=77f1fcaa-68e0-4912-8193-08e94207ca24')","31820")</f>
        <v>31820</v>
      </c>
      <c r="B669" s="10" t="s">
        <v>1133</v>
      </c>
      <c r="C669" s="10" t="s">
        <v>11</v>
      </c>
      <c r="D669" s="10" t="s">
        <v>1134</v>
      </c>
      <c r="E669" s="11">
        <v>41487.0</v>
      </c>
      <c r="F669" s="11">
        <v>42216.0</v>
      </c>
      <c r="G669" s="2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9" t="str">
        <f>HYPERLINK("javascript:void%20window.open('https://ds3.dhss.ak.local/dsds/ds3/index.cfm?fuseaction=pro.view&amp;entityId=be76dfd4-5056-bc68-73f4-a90f5bddc62e')","155082")</f>
        <v>155082</v>
      </c>
      <c r="B670" s="10" t="s">
        <v>1135</v>
      </c>
      <c r="C670" s="10" t="s">
        <v>11</v>
      </c>
      <c r="D670" s="10" t="s">
        <v>1136</v>
      </c>
      <c r="E670" s="11">
        <v>41698.0</v>
      </c>
      <c r="F670" s="11">
        <v>42035.0</v>
      </c>
      <c r="G670" s="2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9" t="str">
        <f>HYPERLINK("javascript:void%20window.open('https://ds3.dhss.ak.local/dsds/ds3/index.cfm?fuseaction=pro.view&amp;entityId=01c88621-9146-dcbe-cd6b-2f4f6599d742')","85984")</f>
        <v>85984</v>
      </c>
      <c r="B671" s="10" t="s">
        <v>1137</v>
      </c>
      <c r="C671" s="10" t="s">
        <v>11</v>
      </c>
      <c r="D671" s="10" t="s">
        <v>1138</v>
      </c>
      <c r="E671" s="11">
        <v>41609.0</v>
      </c>
      <c r="F671" s="11">
        <v>41943.0</v>
      </c>
      <c r="G671" s="2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15" t="str">
        <f>HYPERLINK("javascript:void%20window.open('https://ds3.dhss.ak.local/dsds/ds3/index.cfm?fuseaction=pro.view&amp;entityId=c8115859-4e61-4bd9-95e5-d7722c27b549')","31872")</f>
        <v>31872</v>
      </c>
      <c r="B672" s="16" t="s">
        <v>1139</v>
      </c>
      <c r="C672" s="16" t="s">
        <v>11</v>
      </c>
      <c r="D672" s="16" t="s">
        <v>1140</v>
      </c>
      <c r="E672" s="17">
        <v>39289.0</v>
      </c>
      <c r="F672" s="17">
        <v>42216.0</v>
      </c>
      <c r="G672" s="2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9" t="str">
        <f>HYPERLINK("javascript:void%20window.open('https://ds3.dhss.ak.local/dsds/ds3/index.cfm?fuseaction=pro.view&amp;entityId=c8691423-3007-4233-a830-3d27d54bb588')","30796")</f>
        <v>30796</v>
      </c>
      <c r="B673" s="10" t="s">
        <v>1141</v>
      </c>
      <c r="C673" s="10" t="s">
        <v>11</v>
      </c>
      <c r="D673" s="10" t="s">
        <v>1142</v>
      </c>
      <c r="E673" s="11">
        <v>41456.0</v>
      </c>
      <c r="F673" s="11">
        <v>41943.0</v>
      </c>
      <c r="G673" s="2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15" t="str">
        <f>HYPERLINK("javascript:void%20window.open('https://ds3.dhss.ak.local/dsds/ds3/index.cfm?fuseaction=pro.view&amp;entityId=84d69234-4d5c-4cec-8e67-20a84e9455ca')","32638")</f>
        <v>32638</v>
      </c>
      <c r="B674" s="16" t="s">
        <v>1143</v>
      </c>
      <c r="C674" s="16" t="s">
        <v>11</v>
      </c>
      <c r="D674" s="16" t="s">
        <v>1144</v>
      </c>
      <c r="E674" s="17">
        <v>38899.0</v>
      </c>
      <c r="F674" s="17">
        <v>42551.0</v>
      </c>
      <c r="G674" s="2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12" t="str">
        <f>HYPERLINK("javascript:void%20window.open('https://ds3.dhss.ak.local/dsds/ds3/index.cfm?fuseaction=pro.view&amp;entityId=8ee07498-b1fb-aa48-2f2a-d51481368601')","132420")</f>
        <v>132420</v>
      </c>
      <c r="B675" s="13" t="s">
        <v>1145</v>
      </c>
      <c r="C675" s="13" t="s">
        <v>11</v>
      </c>
      <c r="D675" s="13" t="s">
        <v>1146</v>
      </c>
      <c r="E675" s="14">
        <v>41017.0</v>
      </c>
      <c r="F675" s="14">
        <v>41912.0</v>
      </c>
      <c r="G675" s="2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9" t="str">
        <f>HYPERLINK("javascript:void%20window.open('https://ds3.dhss.ak.local/dsds/ds3/index.cfm?fuseaction=pro.view&amp;entityId=eb5e93bc-5056-bc68-737a-bd9f246a0e24')","166844")</f>
        <v>166844</v>
      </c>
      <c r="B676" s="10" t="s">
        <v>1147</v>
      </c>
      <c r="C676" s="10" t="s">
        <v>11</v>
      </c>
      <c r="D676" s="10" t="s">
        <v>1148</v>
      </c>
      <c r="E676" s="11">
        <v>41806.0</v>
      </c>
      <c r="F676" s="11">
        <v>42155.0</v>
      </c>
      <c r="G676" s="2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12" t="str">
        <f>HYPERLINK("javascript:void%20window.open('https://ds3.dhss.ak.local/dsds/ds3/index.cfm?fuseaction=pro.view&amp;entityId=b58f6e24-37f8-407b-835a-bf8322fdd987')","103401")</f>
        <v>103401</v>
      </c>
      <c r="B677" s="13" t="s">
        <v>1149</v>
      </c>
      <c r="C677" s="13" t="s">
        <v>11</v>
      </c>
      <c r="D677" s="13" t="s">
        <v>1150</v>
      </c>
      <c r="E677" s="14">
        <v>40651.0</v>
      </c>
      <c r="F677" s="14">
        <v>41912.0</v>
      </c>
      <c r="G677" s="2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15" t="str">
        <f>HYPERLINK("javascript:void%20window.open('https://ds3.dhss.ak.local/dsds/ds3/index.cfm?fuseaction=pro.view&amp;entityId=3c7bbd2a-c6c5-4f36-af94-5f40dd544937')","32258")</f>
        <v>32258</v>
      </c>
      <c r="B678" s="16" t="s">
        <v>1151</v>
      </c>
      <c r="C678" s="16" t="s">
        <v>11</v>
      </c>
      <c r="D678" s="16" t="s">
        <v>1152</v>
      </c>
      <c r="E678" s="17">
        <v>38930.0</v>
      </c>
      <c r="F678" s="17">
        <v>41882.0</v>
      </c>
      <c r="G678" s="2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12" t="str">
        <f>HYPERLINK("javascript:void%20window.open('https://ds3.dhss.ak.local/dsds/ds3/index.cfm?fuseaction=pro.view&amp;entityId=48f83074-4c40-4dfa-b504-429d2e49966f')","72937")</f>
        <v>72937</v>
      </c>
      <c r="B679" s="13" t="s">
        <v>1153</v>
      </c>
      <c r="C679" s="13" t="s">
        <v>11</v>
      </c>
      <c r="D679" s="13" t="s">
        <v>1154</v>
      </c>
      <c r="E679" s="14">
        <v>40016.0</v>
      </c>
      <c r="F679" s="14">
        <v>42613.0</v>
      </c>
      <c r="G679" s="2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9" t="str">
        <f>HYPERLINK("javascript:void%20window.open('https://ds3.dhss.ak.local/dsds/ds3/index.cfm?fuseaction=pro.view&amp;entityId=f1d381a3-04b0-a85e-608f-55ba763ad5fd')","123125")</f>
        <v>123125</v>
      </c>
      <c r="B680" s="10" t="s">
        <v>1155</v>
      </c>
      <c r="C680" s="10" t="s">
        <v>11</v>
      </c>
      <c r="D680" s="10" t="s">
        <v>1156</v>
      </c>
      <c r="E680" s="11">
        <v>41548.0</v>
      </c>
      <c r="F680" s="11">
        <v>42582.0</v>
      </c>
      <c r="G680" s="2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12" t="str">
        <f>HYPERLINK("javascript:void%20window.open('https://ds3.dhss.ak.local/dsds/ds3/index.cfm?fuseaction=pro.view&amp;entityId=b8f3c758-6fb4-4704-97d9-6273b68d8928')","32123")</f>
        <v>32123</v>
      </c>
      <c r="B681" s="13" t="s">
        <v>1157</v>
      </c>
      <c r="C681" s="13" t="s">
        <v>11</v>
      </c>
      <c r="D681" s="13" t="s">
        <v>1158</v>
      </c>
      <c r="E681" s="14">
        <v>39022.0</v>
      </c>
      <c r="F681" s="14">
        <v>41943.0</v>
      </c>
      <c r="G681" s="2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15" t="str">
        <f>HYPERLINK("javascript:void%20window.open('https://ds3.dhss.ak.local/dsds/ds3/index.cfm?fuseaction=pro.view&amp;entityId=b7af66b2-fd49-4491-b835-d982af712b6f')","32803")</f>
        <v>32803</v>
      </c>
      <c r="B682" s="16" t="s">
        <v>1159</v>
      </c>
      <c r="C682" s="16" t="s">
        <v>11</v>
      </c>
      <c r="D682" s="16" t="s">
        <v>1160</v>
      </c>
      <c r="E682" s="17">
        <v>39304.0</v>
      </c>
      <c r="F682" s="17">
        <v>41882.0</v>
      </c>
      <c r="G682" s="2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12" t="str">
        <f>HYPERLINK("javascript:void%20window.open('https://ds3.dhss.ak.local/dsds/ds3/index.cfm?fuseaction=pro.view&amp;entityId=d727aad5-def5-4c0b-b8b9-25978d561969')","126507")</f>
        <v>126507</v>
      </c>
      <c r="B683" s="13" t="s">
        <v>1161</v>
      </c>
      <c r="C683" s="13" t="s">
        <v>11</v>
      </c>
      <c r="D683" s="13" t="s">
        <v>1162</v>
      </c>
      <c r="E683" s="14">
        <v>41333.0</v>
      </c>
      <c r="F683" s="14">
        <v>42400.0</v>
      </c>
      <c r="G683" s="2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15" t="str">
        <f>HYPERLINK("javascript:void%20window.open('https://ds3.dhss.ak.local/dsds/ds3/index.cfm?fuseaction=pro.view&amp;entityId=8b086993-5056-bc68-73a2-d64aa866a5d3')","139011")</f>
        <v>139011</v>
      </c>
      <c r="B684" s="16" t="s">
        <v>1163</v>
      </c>
      <c r="C684" s="16" t="s">
        <v>11</v>
      </c>
      <c r="D684" s="16" t="s">
        <v>1164</v>
      </c>
      <c r="E684" s="17">
        <v>41061.0</v>
      </c>
      <c r="F684" s="17">
        <v>42582.0</v>
      </c>
      <c r="G684" s="2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12" t="str">
        <f>HYPERLINK("javascript:void%20window.open('https://ds3.dhss.ak.local/dsds/ds3/index.cfm?fuseaction=pro.view&amp;entityId=2a11413b-53fd-48c8-b980-df3375083b93')","139686")</f>
        <v>139686</v>
      </c>
      <c r="B685" s="13" t="s">
        <v>1165</v>
      </c>
      <c r="C685" s="13" t="s">
        <v>11</v>
      </c>
      <c r="D685" s="13" t="s">
        <v>1166</v>
      </c>
      <c r="E685" s="13"/>
      <c r="F685" s="13"/>
      <c r="G685" s="2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15" t="str">
        <f>HYPERLINK("javascript:void%20window.open('https://ds3.dhss.ak.local/dsds/ds3/index.cfm?fuseaction=pro.view&amp;entityId=55072ce9-b5d5-d9cc-0537-d7142d03165b')","129323")</f>
        <v>129323</v>
      </c>
      <c r="B686" s="16" t="s">
        <v>1167</v>
      </c>
      <c r="C686" s="16" t="s">
        <v>11</v>
      </c>
      <c r="D686" s="16" t="s">
        <v>1168</v>
      </c>
      <c r="E686" s="17">
        <v>41000.0</v>
      </c>
      <c r="F686" s="17">
        <v>42429.0</v>
      </c>
      <c r="G686" s="2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12" t="str">
        <f>HYPERLINK("javascript:void%20window.open('https://ds3.dhss.ak.local/dsds/ds3/index.cfm?fuseaction=pro.view&amp;entityId=5bec0ed9-2636-4875-8571-9d61a75c8d4a')","82856")</f>
        <v>82856</v>
      </c>
      <c r="B687" s="13" t="s">
        <v>1169</v>
      </c>
      <c r="C687" s="13" t="s">
        <v>11</v>
      </c>
      <c r="D687" s="13" t="s">
        <v>1170</v>
      </c>
      <c r="E687" s="14">
        <v>40026.0</v>
      </c>
      <c r="F687" s="14">
        <v>41912.0</v>
      </c>
      <c r="G687" s="2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15" t="str">
        <f>HYPERLINK("javascript:void%20window.open('https://ds3.dhss.ak.local/dsds/ds3/index.cfm?fuseaction=pro.view&amp;entityId=1a8cdd93-65be-f484-0209-7bbad1a87db5')","65774")</f>
        <v>65774</v>
      </c>
      <c r="B688" s="16" t="s">
        <v>1171</v>
      </c>
      <c r="C688" s="16" t="s">
        <v>11</v>
      </c>
      <c r="D688" s="16" t="s">
        <v>1172</v>
      </c>
      <c r="E688" s="17">
        <v>39543.0</v>
      </c>
      <c r="F688" s="17">
        <v>42490.0</v>
      </c>
      <c r="G688" s="2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12" t="str">
        <f>HYPERLINK("javascript:void%20window.open('https://ds3.dhss.ak.local/dsds/ds3/index.cfm?fuseaction=pro.view&amp;entityId=c7832a9a-d82d-5d39-2a9d-879b824a1d49')","83252")</f>
        <v>83252</v>
      </c>
      <c r="B689" s="13" t="s">
        <v>1173</v>
      </c>
      <c r="C689" s="13" t="s">
        <v>11</v>
      </c>
      <c r="D689" s="13" t="s">
        <v>1174</v>
      </c>
      <c r="E689" s="14">
        <v>40043.0</v>
      </c>
      <c r="F689" s="14">
        <v>41882.0</v>
      </c>
      <c r="G689" s="2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9" t="str">
        <f>HYPERLINK("javascript:void%20window.open('https://ds3.dhss.ak.local/dsds/ds3/index.cfm?fuseaction=pro.view&amp;entityId=992fa97c-738d-44e5-90f6-aa9a404d6cca')","32394")</f>
        <v>32394</v>
      </c>
      <c r="B690" s="10" t="s">
        <v>1175</v>
      </c>
      <c r="C690" s="10" t="s">
        <v>11</v>
      </c>
      <c r="D690" s="10" t="s">
        <v>1176</v>
      </c>
      <c r="E690" s="11">
        <v>41794.0</v>
      </c>
      <c r="F690" s="11">
        <v>42247.0</v>
      </c>
      <c r="G690" s="2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9" t="str">
        <f>HYPERLINK("javascript:void%20window.open('https://ds3.dhss.ak.local/dsds/ds3/index.cfm?fuseaction=pro.view&amp;entityId=d8e07784-5056-bc68-7385-3fff9155ca28')","152479")</f>
        <v>152479</v>
      </c>
      <c r="B691" s="10" t="s">
        <v>1177</v>
      </c>
      <c r="C691" s="10" t="s">
        <v>11</v>
      </c>
      <c r="D691" s="10" t="s">
        <v>1178</v>
      </c>
      <c r="E691" s="11">
        <v>41521.0</v>
      </c>
      <c r="F691" s="11">
        <v>42613.0</v>
      </c>
      <c r="G691" s="2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9" t="str">
        <f>HYPERLINK("javascript:void%20window.open('https://ds3.dhss.ak.local/dsds/ds3/index.cfm?fuseaction=pro.view&amp;entityId=df153a0a-ec86-801e-c4fd-0e1268abbe52')","95270")</f>
        <v>95270</v>
      </c>
      <c r="B692" s="10" t="s">
        <v>1179</v>
      </c>
      <c r="C692" s="10" t="s">
        <v>11</v>
      </c>
      <c r="D692" s="10" t="s">
        <v>1180</v>
      </c>
      <c r="E692" s="11">
        <v>41456.0</v>
      </c>
      <c r="F692" s="11">
        <v>42185.0</v>
      </c>
      <c r="G692" s="2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12" t="str">
        <f>HYPERLINK("javascript:void%20window.open('https://ds3.dhss.ak.local/dsds/ds3/index.cfm?fuseaction=pro.view&amp;entityId=94b8337c-b15c-dd52-e841-cce96ac59923')","117079")</f>
        <v>117079</v>
      </c>
      <c r="B693" s="13" t="s">
        <v>1181</v>
      </c>
      <c r="C693" s="13" t="s">
        <v>11</v>
      </c>
      <c r="D693" s="13" t="s">
        <v>1182</v>
      </c>
      <c r="E693" s="14">
        <v>40758.0</v>
      </c>
      <c r="F693" s="14">
        <v>41912.0</v>
      </c>
      <c r="G693" s="2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15" t="str">
        <f>HYPERLINK("javascript:void%20window.open('https://ds3.dhss.ak.local/dsds/ds3/index.cfm?fuseaction=pro.view&amp;entityId=a5448a28-5056-bc68-7365-f0a91bd522a1')","144383")</f>
        <v>144383</v>
      </c>
      <c r="B694" s="16" t="s">
        <v>1183</v>
      </c>
      <c r="C694" s="16" t="s">
        <v>11</v>
      </c>
      <c r="D694" s="16" t="s">
        <v>1184</v>
      </c>
      <c r="E694" s="17">
        <v>41351.0</v>
      </c>
      <c r="F694" s="17">
        <v>42429.0</v>
      </c>
      <c r="G694" s="2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9" t="str">
        <f>HYPERLINK("javascript:void%20window.open('https://ds3.dhss.ak.local/dsds/ds3/index.cfm?fuseaction=pro.view&amp;entityId=e2550a45-5056-bc68-7314-7204138c8509')","159183")</f>
        <v>159183</v>
      </c>
      <c r="B695" s="10" t="s">
        <v>1185</v>
      </c>
      <c r="C695" s="10" t="s">
        <v>11</v>
      </c>
      <c r="D695" s="10" t="s">
        <v>1186</v>
      </c>
      <c r="E695" s="11">
        <v>41663.0</v>
      </c>
      <c r="F695" s="11">
        <v>42004.0</v>
      </c>
      <c r="G695" s="2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15" t="str">
        <f>HYPERLINK("javascript:void%20window.open('https://ds3.dhss.ak.local/dsds/ds3/index.cfm?fuseaction=pro.view&amp;entityId=50cde6ed-0c67-1b8c-6a95-33faae145907')","89497")</f>
        <v>89497</v>
      </c>
      <c r="B696" s="16" t="s">
        <v>1187</v>
      </c>
      <c r="C696" s="16" t="s">
        <v>11</v>
      </c>
      <c r="D696" s="16" t="s">
        <v>1188</v>
      </c>
      <c r="E696" s="17">
        <v>40141.0</v>
      </c>
      <c r="F696" s="17">
        <v>41943.0</v>
      </c>
      <c r="G696" s="2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12" t="str">
        <f>HYPERLINK("javascript:void%20window.open('https://ds3.dhss.ak.local/dsds/ds3/index.cfm?fuseaction=pro.view&amp;entityId=2c14f099-e69d-40ed-9296-2d2561cfe9a4')","32597")</f>
        <v>32597</v>
      </c>
      <c r="B697" s="13" t="s">
        <v>1189</v>
      </c>
      <c r="C697" s="13" t="s">
        <v>11</v>
      </c>
      <c r="D697" s="13" t="s">
        <v>1190</v>
      </c>
      <c r="E697" s="14">
        <v>40087.0</v>
      </c>
      <c r="F697" s="14">
        <v>42277.0</v>
      </c>
      <c r="G697" s="2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15" t="str">
        <f>HYPERLINK("javascript:void%20window.open('https://ds3.dhss.ak.local/dsds/ds3/index.cfm?fuseaction=pro.view&amp;entityId=1d7d35d1-5056-bc68-73e7-4352681f3666')","145543")</f>
        <v>145543</v>
      </c>
      <c r="B698" s="16" t="s">
        <v>1191</v>
      </c>
      <c r="C698" s="16" t="s">
        <v>11</v>
      </c>
      <c r="D698" s="16" t="s">
        <v>1192</v>
      </c>
      <c r="E698" s="17">
        <v>41360.0</v>
      </c>
      <c r="F698" s="17">
        <v>41790.0</v>
      </c>
      <c r="G698" s="2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12" t="str">
        <f>HYPERLINK("javascript:void%20window.open('https://ds3.dhss.ak.local/dsds/ds3/index.cfm?fuseaction=pro.view&amp;entityId=185af3a3-aed7-086e-87dc-f6570be9e73c')","129043")</f>
        <v>129043</v>
      </c>
      <c r="B699" s="13" t="s">
        <v>1193</v>
      </c>
      <c r="C699" s="13" t="s">
        <v>11</v>
      </c>
      <c r="D699" s="13" t="s">
        <v>1194</v>
      </c>
      <c r="E699" s="14">
        <v>40940.0</v>
      </c>
      <c r="F699" s="14">
        <v>41973.0</v>
      </c>
      <c r="G699" s="2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9" t="str">
        <f>HYPERLINK("javascript:void%20window.open('https://ds3.dhss.ak.local/dsds/ds3/index.cfm?fuseaction=pro.view&amp;entityId=befcc7b2-ae79-4d01-94b0-fbce9eaa8436')","30867")</f>
        <v>30867</v>
      </c>
      <c r="B700" s="10" t="s">
        <v>1195</v>
      </c>
      <c r="C700" s="10" t="s">
        <v>11</v>
      </c>
      <c r="D700" s="10" t="s">
        <v>1196</v>
      </c>
      <c r="E700" s="11">
        <v>41671.0</v>
      </c>
      <c r="F700" s="11">
        <v>42247.0</v>
      </c>
      <c r="G700" s="2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9" t="str">
        <f>HYPERLINK("javascript:void%20window.open('https://ds3.dhss.ak.local/dsds/ds3/index.cfm?fuseaction=pro.view&amp;entityId=a32519e6-56ca-49d4-aff1-fad97dda61c4')","31674")</f>
        <v>31674</v>
      </c>
      <c r="B701" s="10" t="s">
        <v>1197</v>
      </c>
      <c r="C701" s="10" t="s">
        <v>11</v>
      </c>
      <c r="D701" s="10" t="s">
        <v>1198</v>
      </c>
      <c r="E701" s="11">
        <v>41671.0</v>
      </c>
      <c r="F701" s="11">
        <v>41973.0</v>
      </c>
      <c r="G701" s="2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15" t="str">
        <f>HYPERLINK("javascript:void%20window.open('https://ds3.dhss.ak.local/dsds/ds3/index.cfm?fuseaction=pro.view&amp;entityId=8a4231bb-00a2-57fa-b868-ceadfa007288')","98912")</f>
        <v>98912</v>
      </c>
      <c r="B702" s="16" t="s">
        <v>1199</v>
      </c>
      <c r="C702" s="16" t="s">
        <v>11</v>
      </c>
      <c r="D702" s="16" t="s">
        <v>1200</v>
      </c>
      <c r="E702" s="17">
        <v>40360.0</v>
      </c>
      <c r="F702" s="17">
        <v>42551.0</v>
      </c>
      <c r="G702" s="2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12" t="str">
        <f>HYPERLINK("javascript:void%20window.open('https://ds3.dhss.ak.local/dsds/ds3/index.cfm?fuseaction=pro.view&amp;entityId=d3c56781-5056-bc68-733d-7485d67ae7fb')","142149")</f>
        <v>142149</v>
      </c>
      <c r="B703" s="13" t="s">
        <v>1201</v>
      </c>
      <c r="C703" s="13" t="s">
        <v>11</v>
      </c>
      <c r="D703" s="13" t="s">
        <v>1202</v>
      </c>
      <c r="E703" s="14">
        <v>41331.0</v>
      </c>
      <c r="F703" s="14">
        <v>42400.0</v>
      </c>
      <c r="G703" s="2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15" t="str">
        <f>HYPERLINK("javascript:void%20window.open('https://ds3.dhss.ak.local/dsds/ds3/index.cfm?fuseaction=pro.view&amp;entityId=1e648517-5056-bc68-7353-6381e8a47291')","146014")</f>
        <v>146014</v>
      </c>
      <c r="B704" s="16" t="s">
        <v>1203</v>
      </c>
      <c r="C704" s="16" t="s">
        <v>11</v>
      </c>
      <c r="D704" s="16" t="s">
        <v>1204</v>
      </c>
      <c r="E704" s="17">
        <v>41361.0</v>
      </c>
      <c r="F704" s="17">
        <v>42429.0</v>
      </c>
      <c r="G704" s="2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12" t="str">
        <f>HYPERLINK("javascript:void%20window.open('https://ds3.dhss.ak.local/dsds/ds3/index.cfm?fuseaction=pro.view&amp;entityId=6b1ea3a5-002d-4698-8a81-7ffdadca323e')","31310")</f>
        <v>31310</v>
      </c>
      <c r="B705" s="13" t="s">
        <v>1205</v>
      </c>
      <c r="C705" s="13" t="s">
        <v>11</v>
      </c>
      <c r="D705" s="13" t="s">
        <v>1206</v>
      </c>
      <c r="E705" s="14">
        <v>39384.0</v>
      </c>
      <c r="F705" s="14">
        <v>42004.0</v>
      </c>
      <c r="G705" s="2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15" t="str">
        <f>HYPERLINK("javascript:void%20window.open('https://ds3.dhss.ak.local/dsds/ds3/index.cfm?fuseaction=pro.view&amp;entityId=77f64bf3-56e4-45bb-94bb-2a796810f4ae')","32344")</f>
        <v>32344</v>
      </c>
      <c r="B706" s="16" t="s">
        <v>1207</v>
      </c>
      <c r="C706" s="16" t="s">
        <v>11</v>
      </c>
      <c r="D706" s="16" t="s">
        <v>1208</v>
      </c>
      <c r="E706" s="17">
        <v>39203.0</v>
      </c>
      <c r="F706" s="17">
        <v>42124.0</v>
      </c>
      <c r="G706" s="2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12" t="str">
        <f>HYPERLINK("javascript:void%20window.open('https://ds3.dhss.ak.local/dsds/ds3/index.cfm?fuseaction=pro.view&amp;entityId=b28082e9-5056-bc68-7350-dbd16c4acf95')","145057")</f>
        <v>145057</v>
      </c>
      <c r="B707" s="13" t="s">
        <v>1209</v>
      </c>
      <c r="C707" s="13" t="s">
        <v>11</v>
      </c>
      <c r="D707" s="13" t="s">
        <v>1210</v>
      </c>
      <c r="E707" s="14">
        <v>41274.0</v>
      </c>
      <c r="F707" s="14">
        <v>42124.0</v>
      </c>
      <c r="G707" s="2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9" t="str">
        <f>HYPERLINK("javascript:void%20window.open('https://ds3.dhss.ak.local/dsds/ds3/index.cfm?fuseaction=pro.view&amp;entityId=9b548005-5056-bc68-73ee-7100fc4653b7')","163873")</f>
        <v>163873</v>
      </c>
      <c r="B708" s="10" t="s">
        <v>1211</v>
      </c>
      <c r="C708" s="10" t="s">
        <v>11</v>
      </c>
      <c r="D708" s="10" t="s">
        <v>1212</v>
      </c>
      <c r="E708" s="11">
        <v>41738.0</v>
      </c>
      <c r="F708" s="11">
        <v>42094.0</v>
      </c>
      <c r="G708" s="2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12" t="str">
        <f>HYPERLINK("javascript:void%20window.open('https://ds3.dhss.ak.local/dsds/ds3/index.cfm?fuseaction=pro.view&amp;entityId=c084e3af-5d5b-4a21-8137-216eee4ac4cc')","59906")</f>
        <v>59906</v>
      </c>
      <c r="B709" s="13" t="s">
        <v>1213</v>
      </c>
      <c r="C709" s="13" t="s">
        <v>11</v>
      </c>
      <c r="D709" s="13" t="s">
        <v>1214</v>
      </c>
      <c r="E709" s="14">
        <v>38899.0</v>
      </c>
      <c r="F709" s="14">
        <v>41912.0</v>
      </c>
      <c r="G709" s="2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15" t="str">
        <f>HYPERLINK("javascript:void%20window.open('https://ds3.dhss.ak.local/dsds/ds3/index.cfm?fuseaction=pro.view&amp;entityId=fc037d1f-5056-bc68-7371-879dbe2f4ba2')","142185")</f>
        <v>142185</v>
      </c>
      <c r="B710" s="16" t="s">
        <v>1215</v>
      </c>
      <c r="C710" s="16" t="s">
        <v>11</v>
      </c>
      <c r="D710" s="16" t="s">
        <v>1216</v>
      </c>
      <c r="E710" s="17">
        <v>41234.0</v>
      </c>
      <c r="F710" s="17">
        <v>42551.0</v>
      </c>
      <c r="G710" s="2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12" t="str">
        <f>HYPERLINK("javascript:void%20window.open('https://ds3.dhss.ak.local/dsds/ds3/index.cfm?fuseaction=pro.view&amp;entityId=e8930353-a1dd-e98c-7f68-8f3d0e356ca8')","71561")</f>
        <v>71561</v>
      </c>
      <c r="B711" s="13" t="s">
        <v>1217</v>
      </c>
      <c r="C711" s="13" t="s">
        <v>11</v>
      </c>
      <c r="D711" s="13" t="s">
        <v>1218</v>
      </c>
      <c r="E711" s="14">
        <v>39717.0</v>
      </c>
      <c r="F711" s="14">
        <v>41912.0</v>
      </c>
      <c r="G711" s="2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15" t="str">
        <f>HYPERLINK("javascript:void%20window.open('https://ds3.dhss.ak.local/dsds/ds3/index.cfm?fuseaction=pro.view&amp;entityId=c28f5a5b-cf10-e354-0874-39b4b3094f83')","116156")</f>
        <v>116156</v>
      </c>
      <c r="B712" s="16" t="s">
        <v>1219</v>
      </c>
      <c r="C712" s="16" t="s">
        <v>11</v>
      </c>
      <c r="D712" s="16" t="s">
        <v>1220</v>
      </c>
      <c r="E712" s="17">
        <v>40828.0</v>
      </c>
      <c r="F712" s="17">
        <v>41912.0</v>
      </c>
      <c r="G712" s="2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12" t="str">
        <f>HYPERLINK("javascript:void%20window.open('https://ds3.dhss.ak.local/dsds/ds3/index.cfm?fuseaction=pro.view&amp;entityId=4fbf2955-dcff-d7c1-481e-1e7e93e11dcc')","67340")</f>
        <v>67340</v>
      </c>
      <c r="B713" s="13" t="s">
        <v>1221</v>
      </c>
      <c r="C713" s="13" t="s">
        <v>11</v>
      </c>
      <c r="D713" s="13" t="s">
        <v>1222</v>
      </c>
      <c r="E713" s="14">
        <v>39574.0</v>
      </c>
      <c r="F713" s="14">
        <v>41912.0</v>
      </c>
      <c r="G713" s="2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9" t="str">
        <f>HYPERLINK("javascript:void%20window.open('https://ds3.dhss.ak.local/dsds/ds3/index.cfm?fuseaction=pro.view&amp;entityId=5e1508fc-7c32-491b-a8a7-a4e03b5609ad')","148142")</f>
        <v>148142</v>
      </c>
      <c r="B714" s="10" t="s">
        <v>1223</v>
      </c>
      <c r="C714" s="10" t="s">
        <v>11</v>
      </c>
      <c r="D714" s="10" t="s">
        <v>1224</v>
      </c>
      <c r="E714" s="11">
        <v>41650.0</v>
      </c>
      <c r="F714" s="11">
        <v>42004.0</v>
      </c>
      <c r="G714" s="2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12" t="str">
        <f>HYPERLINK("javascript:void%20window.open('https://ds3.dhss.ak.local/dsds/ds3/index.cfm?fuseaction=pro.view&amp;entityId=5ef14f14-9e41-8b0b-8a69-22c282bfd3e1')","131555")</f>
        <v>131555</v>
      </c>
      <c r="B715" s="13" t="s">
        <v>1225</v>
      </c>
      <c r="C715" s="13" t="s">
        <v>11</v>
      </c>
      <c r="D715" s="13" t="s">
        <v>1226</v>
      </c>
      <c r="E715" s="14">
        <v>41232.0</v>
      </c>
      <c r="F715" s="14">
        <v>42308.0</v>
      </c>
      <c r="G715" s="2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9" t="str">
        <f>HYPERLINK("javascript:void%20window.open('https://ds3.dhss.ak.local/dsds/ds3/index.cfm?fuseaction=pro.view&amp;entityId=7787e714-99f2-4b2c-96a2-4911eb9216ee')","32524")</f>
        <v>32524</v>
      </c>
      <c r="B716" s="10" t="s">
        <v>1227</v>
      </c>
      <c r="C716" s="10" t="s">
        <v>11</v>
      </c>
      <c r="D716" s="10" t="s">
        <v>1228</v>
      </c>
      <c r="E716" s="11">
        <v>41487.0</v>
      </c>
      <c r="F716" s="11">
        <v>42216.0</v>
      </c>
      <c r="G716" s="2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12" t="str">
        <f>HYPERLINK("javascript:void%20window.open('https://ds3.dhss.ak.local/dsds/ds3/index.cfm?fuseaction=pro.view&amp;entityId=5c3d8773-8449-45ee-b61f-c8d7f04cc227')","36994")</f>
        <v>36994</v>
      </c>
      <c r="B717" s="13" t="s">
        <v>1229</v>
      </c>
      <c r="C717" s="13" t="s">
        <v>11</v>
      </c>
      <c r="D717" s="13" t="s">
        <v>1230</v>
      </c>
      <c r="E717" s="14">
        <v>38991.0</v>
      </c>
      <c r="F717" s="14">
        <v>41152.0</v>
      </c>
      <c r="G717" s="2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15" t="str">
        <f>HYPERLINK("javascript:void%20window.open('https://ds3.dhss.ak.local/dsds/ds3/index.cfm?fuseaction=pro.view&amp;entityId=def184e4-9a7c-476f-aea1-628f5ab65c7b')","30040")</f>
        <v>30040</v>
      </c>
      <c r="B718" s="16" t="s">
        <v>1231</v>
      </c>
      <c r="C718" s="16" t="s">
        <v>11</v>
      </c>
      <c r="D718" s="16" t="s">
        <v>1232</v>
      </c>
      <c r="E718" s="17">
        <v>38035.0</v>
      </c>
      <c r="F718" s="17">
        <v>42094.0</v>
      </c>
      <c r="G718" s="2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12" t="str">
        <f>HYPERLINK("javascript:void%20window.open('https://ds3.dhss.ak.local/dsds/ds3/index.cfm?fuseaction=pro.view&amp;entityId=3dec5b97-d7e6-4c40-8e2f-55a3002f6ce9')","31894")</f>
        <v>31894</v>
      </c>
      <c r="B719" s="13" t="s">
        <v>1233</v>
      </c>
      <c r="C719" s="13" t="s">
        <v>11</v>
      </c>
      <c r="D719" s="13" t="s">
        <v>1234</v>
      </c>
      <c r="E719" s="14">
        <v>38899.0</v>
      </c>
      <c r="F719" s="14">
        <v>42521.0</v>
      </c>
      <c r="G719" s="2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15" t="str">
        <f>HYPERLINK("javascript:void%20window.open('https://ds3.dhss.ak.local/dsds/ds3/index.cfm?fuseaction=pro.view&amp;entityId=d1cbeb77-5056-bc68-7381-c96254af7225')","142140")</f>
        <v>142140</v>
      </c>
      <c r="B720" s="16" t="s">
        <v>1235</v>
      </c>
      <c r="C720" s="16" t="s">
        <v>11</v>
      </c>
      <c r="D720" s="16" t="s">
        <v>1236</v>
      </c>
      <c r="E720" s="17">
        <v>41229.0</v>
      </c>
      <c r="F720" s="17">
        <v>41882.0</v>
      </c>
      <c r="G720" s="2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12" t="str">
        <f>HYPERLINK("javascript:void%20window.open('https://ds3.dhss.ak.local/dsds/ds3/index.cfm?fuseaction=pro.view&amp;entityId=05d7cf51-5056-bc68-73c8-65b7519ace36')","143952")</f>
        <v>143952</v>
      </c>
      <c r="B721" s="13" t="s">
        <v>1237</v>
      </c>
      <c r="C721" s="13" t="s">
        <v>11</v>
      </c>
      <c r="D721" s="13" t="s">
        <v>1238</v>
      </c>
      <c r="E721" s="14">
        <v>41254.0</v>
      </c>
      <c r="F721" s="14">
        <v>42400.0</v>
      </c>
      <c r="G721" s="2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15" t="str">
        <f>HYPERLINK("javascript:void%20window.open('https://ds3.dhss.ak.local/dsds/ds3/index.cfm?fuseaction=pro.view&amp;entityId=7371a9b4-922f-9a96-189b-999ace5e868f')","72479")</f>
        <v>72479</v>
      </c>
      <c r="B722" s="16" t="s">
        <v>1239</v>
      </c>
      <c r="C722" s="16" t="s">
        <v>11</v>
      </c>
      <c r="D722" s="16" t="s">
        <v>1240</v>
      </c>
      <c r="E722" s="17">
        <v>39749.0</v>
      </c>
      <c r="F722" s="17">
        <v>42551.0</v>
      </c>
      <c r="G722" s="2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12" t="str">
        <f>HYPERLINK("javascript:void%20window.open('https://ds3.dhss.ak.local/dsds/ds3/index.cfm?fuseaction=pro.view&amp;entityId=5c9c4549-f0da-cac7-79a6-7efde3f94cb2')","68672")</f>
        <v>68672</v>
      </c>
      <c r="B723" s="13" t="s">
        <v>1241</v>
      </c>
      <c r="C723" s="13" t="s">
        <v>11</v>
      </c>
      <c r="D723" s="13" t="s">
        <v>1242</v>
      </c>
      <c r="E723" s="14">
        <v>39644.0</v>
      </c>
      <c r="F723" s="14">
        <v>42521.0</v>
      </c>
      <c r="G723" s="2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9" t="str">
        <f>HYPERLINK("javascript:void%20window.open('https://ds3.dhss.ak.local/dsds/ds3/index.cfm?fuseaction=pro.view&amp;entityId=7cd7e461-80d9-4ed1-bfbf-7484f1146c37')","32213")</f>
        <v>32213</v>
      </c>
      <c r="B724" s="10" t="s">
        <v>1243</v>
      </c>
      <c r="C724" s="10" t="s">
        <v>11</v>
      </c>
      <c r="D724" s="10" t="s">
        <v>1244</v>
      </c>
      <c r="E724" s="11">
        <v>41548.0</v>
      </c>
      <c r="F724" s="11">
        <v>42155.0</v>
      </c>
      <c r="G724" s="2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12" t="str">
        <f>HYPERLINK("javascript:void%20window.open('https://ds3.dhss.ak.local/dsds/ds3/index.cfm?fuseaction=pro.view&amp;entityId=3d5f1da1-9d03-4135-b8e4-ba926b1b7c74')","32667")</f>
        <v>32667</v>
      </c>
      <c r="B725" s="13" t="s">
        <v>1245</v>
      </c>
      <c r="C725" s="13" t="s">
        <v>11</v>
      </c>
      <c r="D725" s="13" t="s">
        <v>1246</v>
      </c>
      <c r="E725" s="14">
        <v>41024.0</v>
      </c>
      <c r="F725" s="14">
        <v>41882.0</v>
      </c>
      <c r="G725" s="2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15" t="str">
        <f>HYPERLINK("javascript:void%20window.open('https://ds3.dhss.ak.local/dsds/ds3/index.cfm?fuseaction=pro.view&amp;entityId=45e73509-9bf1-53f4-05ea-5c817f18dfcc')","107586")</f>
        <v>107586</v>
      </c>
      <c r="B726" s="16" t="s">
        <v>1247</v>
      </c>
      <c r="C726" s="16" t="s">
        <v>11</v>
      </c>
      <c r="D726" s="16" t="s">
        <v>1248</v>
      </c>
      <c r="E726" s="17">
        <v>40562.0</v>
      </c>
      <c r="F726" s="17">
        <v>41943.0</v>
      </c>
      <c r="G726" s="2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12" t="str">
        <f>HYPERLINK("javascript:void%20window.open('https://ds3.dhss.ak.local/dsds/ds3/index.cfm?fuseaction=pro.view&amp;entityId=59f553d9-73c2-45d6-8210-35225cbaa4f1')","32512")</f>
        <v>32512</v>
      </c>
      <c r="B727" s="13" t="s">
        <v>1249</v>
      </c>
      <c r="C727" s="13" t="s">
        <v>11</v>
      </c>
      <c r="D727" s="13" t="s">
        <v>1250</v>
      </c>
      <c r="E727" s="14">
        <v>38899.0</v>
      </c>
      <c r="F727" s="14">
        <v>42643.0</v>
      </c>
      <c r="G727" s="2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9" t="str">
        <f>HYPERLINK("javascript:void%20window.open('https://ds3.dhss.ak.local/dsds/ds3/index.cfm?fuseaction=pro.view&amp;entityId=5667dc31-a1cf-4b88-819d-b3c4a74abd55')","82864")</f>
        <v>82864</v>
      </c>
      <c r="B728" s="10" t="s">
        <v>1251</v>
      </c>
      <c r="C728" s="10" t="s">
        <v>11</v>
      </c>
      <c r="D728" s="10" t="s">
        <v>1252</v>
      </c>
      <c r="E728" s="11">
        <v>41802.0</v>
      </c>
      <c r="F728" s="11">
        <v>42155.0</v>
      </c>
      <c r="G728" s="2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9" t="str">
        <f>HYPERLINK("javascript:void%20window.open('https://ds3.dhss.ak.local/dsds/ds3/index.cfm?fuseaction=pro.view&amp;entityId=b32fd8d3-5056-bc68-730f-95f5068a8f21')","160798")</f>
        <v>160798</v>
      </c>
      <c r="B729" s="10" t="s">
        <v>1253</v>
      </c>
      <c r="C729" s="10" t="s">
        <v>11</v>
      </c>
      <c r="D729" s="10" t="s">
        <v>1254</v>
      </c>
      <c r="E729" s="11">
        <v>41662.0</v>
      </c>
      <c r="F729" s="11">
        <v>42004.0</v>
      </c>
      <c r="G729" s="2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9" t="str">
        <f>HYPERLINK("javascript:void%20window.open('https://ds3.dhss.ak.local/dsds/ds3/index.cfm?fuseaction=pro.view&amp;entityId=94c392a3-fefa-4d71-ae53-20b8478d8729')","120843")</f>
        <v>120843</v>
      </c>
      <c r="B730" s="10" t="s">
        <v>1255</v>
      </c>
      <c r="C730" s="10" t="s">
        <v>11</v>
      </c>
      <c r="D730" s="10" t="s">
        <v>1256</v>
      </c>
      <c r="E730" s="11">
        <v>41575.0</v>
      </c>
      <c r="F730" s="11">
        <v>41912.0</v>
      </c>
      <c r="G730" s="2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12" t="str">
        <f>HYPERLINK("javascript:void%20window.open('https://ds3.dhss.ak.local/dsds/ds3/index.cfm?fuseaction=pro.view&amp;entityId=f8d124e5-7037-4cc5-861b-4a6b12287c8a')","131955")</f>
        <v>131955</v>
      </c>
      <c r="B731" s="13" t="s">
        <v>1257</v>
      </c>
      <c r="C731" s="13" t="s">
        <v>11</v>
      </c>
      <c r="D731" s="13" t="s">
        <v>1258</v>
      </c>
      <c r="E731" s="14">
        <v>41263.0</v>
      </c>
      <c r="F731" s="14">
        <v>42094.0</v>
      </c>
      <c r="G731" s="2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15" t="str">
        <f>HYPERLINK("javascript:void%20window.open('https://ds3.dhss.ak.local/dsds/ds3/index.cfm?fuseaction=pro.view&amp;entityId=857ccfa1-68e8-4e81-acff-4d7076d72954')","94464")</f>
        <v>94464</v>
      </c>
      <c r="B732" s="16" t="s">
        <v>1259</v>
      </c>
      <c r="C732" s="16" t="s">
        <v>11</v>
      </c>
      <c r="D732" s="16" t="s">
        <v>1260</v>
      </c>
      <c r="E732" s="17">
        <v>41045.0</v>
      </c>
      <c r="F732" s="17">
        <v>42004.0</v>
      </c>
      <c r="G732" s="2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12" t="str">
        <f>HYPERLINK("javascript:void%20window.open('https://ds3.dhss.ak.local/dsds/ds3/index.cfm?fuseaction=pro.view&amp;entityId=48225656-8252-442e-874c-ca6ca24de712')","32662")</f>
        <v>32662</v>
      </c>
      <c r="B733" s="13" t="s">
        <v>1261</v>
      </c>
      <c r="C733" s="13" t="s">
        <v>11</v>
      </c>
      <c r="D733" s="13" t="s">
        <v>1262</v>
      </c>
      <c r="E733" s="14">
        <v>39395.0</v>
      </c>
      <c r="F733" s="14">
        <v>41943.0</v>
      </c>
      <c r="G733" s="2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15" t="str">
        <f>HYPERLINK("javascript:void%20window.open('https://ds3.dhss.ak.local/dsds/ds3/index.cfm?fuseaction=pro.view&amp;entityId=b39b3781-d9e4-c9ac-1d9c-f42144586bbd')","107720")</f>
        <v>107720</v>
      </c>
      <c r="B734" s="16" t="s">
        <v>1263</v>
      </c>
      <c r="C734" s="16" t="s">
        <v>11</v>
      </c>
      <c r="D734" s="16" t="s">
        <v>1264</v>
      </c>
      <c r="E734" s="17">
        <v>40564.0</v>
      </c>
      <c r="F734" s="17">
        <v>41698.0</v>
      </c>
      <c r="G734" s="2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9" t="str">
        <f>HYPERLINK("javascript:void%20window.open('https://ds3.dhss.ak.local/dsds/ds3/index.cfm?fuseaction=pro.view&amp;entityId=014ef575-5056-bc68-7358-dd1cc75feb67')","156570")</f>
        <v>156570</v>
      </c>
      <c r="B735" s="10" t="s">
        <v>1265</v>
      </c>
      <c r="C735" s="10" t="s">
        <v>11</v>
      </c>
      <c r="D735" s="10" t="s">
        <v>1266</v>
      </c>
      <c r="E735" s="11">
        <v>41558.0</v>
      </c>
      <c r="F735" s="11">
        <v>41912.0</v>
      </c>
      <c r="G735" s="2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15" t="str">
        <f>HYPERLINK("javascript:void%20window.open('https://ds3.dhss.ak.local/dsds/ds3/index.cfm?fuseaction=pro.view&amp;entityId=de68da53-945e-49a7-9249-b4621ad0c000')","77800")</f>
        <v>77800</v>
      </c>
      <c r="B736" s="16" t="s">
        <v>1267</v>
      </c>
      <c r="C736" s="16" t="s">
        <v>11</v>
      </c>
      <c r="D736" s="16" t="s">
        <v>1268</v>
      </c>
      <c r="E736" s="17">
        <v>39979.0</v>
      </c>
      <c r="F736" s="17">
        <v>42400.0</v>
      </c>
      <c r="G736" s="2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12" t="str">
        <f>HYPERLINK("javascript:void%20window.open('https://ds3.dhss.ak.local/dsds/ds3/index.cfm?fuseaction=pro.view&amp;entityId=49f96fc8-adf8-4f7a-407f-1f0ee10b78d4')","101626")</f>
        <v>101626</v>
      </c>
      <c r="B737" s="13" t="s">
        <v>1269</v>
      </c>
      <c r="C737" s="13" t="s">
        <v>11</v>
      </c>
      <c r="D737" s="13" t="s">
        <v>1270</v>
      </c>
      <c r="E737" s="14">
        <v>40836.0</v>
      </c>
      <c r="F737" s="14">
        <v>41912.0</v>
      </c>
      <c r="G737" s="2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15" t="str">
        <f>HYPERLINK("javascript:void%20window.open('https://ds3.dhss.ak.local/dsds/ds3/index.cfm?fuseaction=pro.view&amp;entityId=d9f03d3b-f704-4125-830b-108a20272846')","32115")</f>
        <v>32115</v>
      </c>
      <c r="B738" s="16" t="s">
        <v>1271</v>
      </c>
      <c r="C738" s="16" t="s">
        <v>11</v>
      </c>
      <c r="D738" s="16" t="s">
        <v>1272</v>
      </c>
      <c r="E738" s="17">
        <v>40989.0</v>
      </c>
      <c r="F738" s="17">
        <v>42124.0</v>
      </c>
      <c r="G738" s="2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12" t="str">
        <f>HYPERLINK("javascript:void%20window.open('https://ds3.dhss.ak.local/dsds/ds3/index.cfm?fuseaction=pro.view&amp;entityId=5fe47662-02c8-4baa-ba74-5d99a2027177')","32530")</f>
        <v>32530</v>
      </c>
      <c r="B739" s="13" t="s">
        <v>1273</v>
      </c>
      <c r="C739" s="13" t="s">
        <v>11</v>
      </c>
      <c r="D739" s="13" t="s">
        <v>1274</v>
      </c>
      <c r="E739" s="14">
        <v>38899.0</v>
      </c>
      <c r="F739" s="14">
        <v>42551.0</v>
      </c>
      <c r="G739" s="2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15" t="str">
        <f>HYPERLINK("javascript:void%20window.open('https://ds3.dhss.ak.local/dsds/ds3/index.cfm?fuseaction=pro.view&amp;entityId=7a6b0526-4654-4840-a462-db46d2069bb4')","31489")</f>
        <v>31489</v>
      </c>
      <c r="B740" s="16" t="s">
        <v>1275</v>
      </c>
      <c r="C740" s="16" t="s">
        <v>11</v>
      </c>
      <c r="D740" s="16" t="s">
        <v>1276</v>
      </c>
      <c r="E740" s="17">
        <v>38808.0</v>
      </c>
      <c r="F740" s="17">
        <v>42460.0</v>
      </c>
      <c r="G740" s="2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12" t="str">
        <f>HYPERLINK("javascript:void%20window.open('https://ds3.dhss.ak.local/dsds/ds3/index.cfm?fuseaction=pro.view&amp;entityId=dee54434-0836-84dd-240c-fcbb616f45bb')","119373")</f>
        <v>119373</v>
      </c>
      <c r="B741" s="13" t="s">
        <v>1277</v>
      </c>
      <c r="C741" s="13" t="s">
        <v>11</v>
      </c>
      <c r="D741" s="13" t="s">
        <v>1278</v>
      </c>
      <c r="E741" s="14">
        <v>40989.0</v>
      </c>
      <c r="F741" s="14">
        <v>42124.0</v>
      </c>
      <c r="G741" s="2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15" t="str">
        <f>HYPERLINK("javascript:void%20window.open('https://ds3.dhss.ak.local/dsds/ds3/index.cfm?fuseaction=pro.view&amp;entityId=14f76d48-5056-bc68-7373-5340154a2c93')","144560")</f>
        <v>144560</v>
      </c>
      <c r="B742" s="16" t="s">
        <v>1279</v>
      </c>
      <c r="C742" s="16" t="s">
        <v>11</v>
      </c>
      <c r="D742" s="16" t="s">
        <v>1280</v>
      </c>
      <c r="E742" s="17">
        <v>41260.0</v>
      </c>
      <c r="F742" s="17">
        <v>42035.0</v>
      </c>
      <c r="G742" s="2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12" t="str">
        <f>HYPERLINK("javascript:void%20window.open('https://ds3.dhss.ak.local/dsds/ds3/index.cfm?fuseaction=pro.view&amp;entityId=77108be1-d6aa-473f-b617-a82ef2f771b0')","32624")</f>
        <v>32624</v>
      </c>
      <c r="B743" s="13" t="s">
        <v>1281</v>
      </c>
      <c r="C743" s="13" t="s">
        <v>11</v>
      </c>
      <c r="D743" s="13" t="s">
        <v>1282</v>
      </c>
      <c r="E743" s="14">
        <v>38899.0</v>
      </c>
      <c r="F743" s="14">
        <v>42521.0</v>
      </c>
      <c r="G743" s="2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9" t="str">
        <f>HYPERLINK("javascript:void%20window.open('https://ds3.dhss.ak.local/dsds/ds3/index.cfm?fuseaction=pro.view&amp;entityId=06a6fc30-5056-bc68-73e2-e8f1d1d5bc09')","165559")</f>
        <v>165559</v>
      </c>
      <c r="B744" s="10" t="s">
        <v>1283</v>
      </c>
      <c r="C744" s="10" t="s">
        <v>11</v>
      </c>
      <c r="D744" s="10" t="s">
        <v>1284</v>
      </c>
      <c r="E744" s="11">
        <v>41778.0</v>
      </c>
      <c r="F744" s="11">
        <v>42124.0</v>
      </c>
      <c r="G744" s="2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9" t="str">
        <f>HYPERLINK("javascript:void%20window.open('https://ds3.dhss.ak.local/dsds/ds3/index.cfm?fuseaction=pro.view&amp;entityId=dbeab8f3-5056-bc68-73ad-0bab5cc96eda')","166806")</f>
        <v>166806</v>
      </c>
      <c r="B745" s="10" t="s">
        <v>1285</v>
      </c>
      <c r="C745" s="10" t="s">
        <v>11</v>
      </c>
      <c r="D745" s="10" t="s">
        <v>1286</v>
      </c>
      <c r="E745" s="11">
        <v>41803.0</v>
      </c>
      <c r="F745" s="11">
        <v>42155.0</v>
      </c>
      <c r="G745" s="2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15" t="str">
        <f>HYPERLINK("javascript:void%20window.open('https://ds3.dhss.ak.local/dsds/ds3/index.cfm?fuseaction=pro.view&amp;entityId=e97e28a8-7593-465b-beb4-12bdd9cff42f')","61475")</f>
        <v>61475</v>
      </c>
      <c r="B746" s="16" t="s">
        <v>1287</v>
      </c>
      <c r="C746" s="16" t="s">
        <v>11</v>
      </c>
      <c r="D746" s="16" t="s">
        <v>1288</v>
      </c>
      <c r="E746" s="17">
        <v>40603.0</v>
      </c>
      <c r="F746" s="17">
        <v>42185.0</v>
      </c>
      <c r="G746" s="2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12" t="str">
        <f>HYPERLINK("javascript:void%20window.open('https://ds3.dhss.ak.local/dsds/ds3/index.cfm?fuseaction=pro.view&amp;entityId=10081a07-db7b-4b31-aa62-9ef7ddda674b')","32240")</f>
        <v>32240</v>
      </c>
      <c r="B747" s="13" t="s">
        <v>1289</v>
      </c>
      <c r="C747" s="13" t="s">
        <v>11</v>
      </c>
      <c r="D747" s="13" t="s">
        <v>1290</v>
      </c>
      <c r="E747" s="14">
        <v>41053.0</v>
      </c>
      <c r="F747" s="14">
        <v>42124.0</v>
      </c>
      <c r="G747" s="2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15" t="str">
        <f>HYPERLINK("javascript:void%20window.open('https://ds3.dhss.ak.local/dsds/ds3/index.cfm?fuseaction=pro.view&amp;entityId=2b63a8bb-80d7-4468-9bbd-92ecbe1be37d')","32361")</f>
        <v>32361</v>
      </c>
      <c r="B748" s="16" t="s">
        <v>1291</v>
      </c>
      <c r="C748" s="16" t="s">
        <v>11</v>
      </c>
      <c r="D748" s="16" t="s">
        <v>1292</v>
      </c>
      <c r="E748" s="17">
        <v>38899.0</v>
      </c>
      <c r="F748" s="17">
        <v>41912.0</v>
      </c>
      <c r="G748" s="2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12" t="str">
        <f>HYPERLINK("javascript:void%20window.open('https://ds3.dhss.ak.local/dsds/ds3/index.cfm?fuseaction=pro.view&amp;entityId=eac59d2e-4b04-4b97-85b2-3c3813ea7177')","104976")</f>
        <v>104976</v>
      </c>
      <c r="B749" s="13" t="s">
        <v>1293</v>
      </c>
      <c r="C749" s="13" t="s">
        <v>11</v>
      </c>
      <c r="D749" s="13" t="s">
        <v>1294</v>
      </c>
      <c r="E749" s="14">
        <v>40567.0</v>
      </c>
      <c r="F749" s="14">
        <v>42400.0</v>
      </c>
      <c r="G749" s="2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15" t="str">
        <f>HYPERLINK("javascript:void%20window.open('https://ds3.dhss.ak.local/dsds/ds3/index.cfm?fuseaction=pro.view&amp;entityId=8e4f99eb-0ef8-feb5-2cf0-8990f41f746a')","132419")</f>
        <v>132419</v>
      </c>
      <c r="B750" s="16" t="s">
        <v>1295</v>
      </c>
      <c r="C750" s="16" t="s">
        <v>11</v>
      </c>
      <c r="D750" s="16" t="s">
        <v>1296</v>
      </c>
      <c r="E750" s="17">
        <v>41008.0</v>
      </c>
      <c r="F750" s="17">
        <v>41912.0</v>
      </c>
      <c r="G750" s="2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12" t="str">
        <f>HYPERLINK("javascript:void%20window.open('https://ds3.dhss.ak.local/dsds/ds3/index.cfm?fuseaction=pro.view&amp;entityId=fc3400bb-de48-c927-d76e-022d4e021585')","69805")</f>
        <v>69805</v>
      </c>
      <c r="B751" s="13" t="s">
        <v>1297</v>
      </c>
      <c r="C751" s="13" t="s">
        <v>11</v>
      </c>
      <c r="D751" s="13" t="s">
        <v>1298</v>
      </c>
      <c r="E751" s="14">
        <v>38899.0</v>
      </c>
      <c r="F751" s="14">
        <v>41640.0</v>
      </c>
      <c r="G751" s="2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15" t="str">
        <f>HYPERLINK("javascript:void%20window.open('https://ds3.dhss.ak.local/dsds/ds3/index.cfm?fuseaction=pro.view&amp;entityId=3f9c19a5-65be-f484-024e-72e7ff5c254d')","61948")</f>
        <v>61948</v>
      </c>
      <c r="B752" s="16" t="s">
        <v>1299</v>
      </c>
      <c r="C752" s="16" t="s">
        <v>11</v>
      </c>
      <c r="D752" s="16" t="s">
        <v>1300</v>
      </c>
      <c r="E752" s="17">
        <v>39395.0</v>
      </c>
      <c r="F752" s="17">
        <v>41943.0</v>
      </c>
      <c r="G752" s="2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12" t="str">
        <f>HYPERLINK("javascript:void%20window.open('https://ds3.dhss.ak.local/dsds/ds3/index.cfm?fuseaction=pro.view&amp;entityId=413c6734-95df-b002-7518-131d7a5beb8c')","74396")</f>
        <v>74396</v>
      </c>
      <c r="B753" s="13" t="s">
        <v>1301</v>
      </c>
      <c r="C753" s="13" t="s">
        <v>11</v>
      </c>
      <c r="D753" s="13" t="s">
        <v>1302</v>
      </c>
      <c r="E753" s="14">
        <v>39797.0</v>
      </c>
      <c r="F753" s="14">
        <v>42338.0</v>
      </c>
      <c r="G753" s="2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15" t="str">
        <f>HYPERLINK("javascript:void%20window.open('https://ds3.dhss.ak.local/dsds/ds3/index.cfm?fuseaction=pro.view&amp;entityId=827e9410-6349-475d-a3e1-84d4b78d59b6')","32749")</f>
        <v>32749</v>
      </c>
      <c r="B754" s="16" t="s">
        <v>1193</v>
      </c>
      <c r="C754" s="16" t="s">
        <v>11</v>
      </c>
      <c r="D754" s="16" t="s">
        <v>1194</v>
      </c>
      <c r="E754" s="17">
        <v>40938.0</v>
      </c>
      <c r="F754" s="17">
        <v>41973.0</v>
      </c>
      <c r="G754" s="2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12" t="str">
        <f>HYPERLINK("javascript:void%20window.open('https://ds3.dhss.ak.local/dsds/ds3/index.cfm?fuseaction=pro.view&amp;entityId=31867cb8-d134-7842-b34a-86ccc309a0a9')","67172")</f>
        <v>67172</v>
      </c>
      <c r="B755" s="13" t="s">
        <v>1303</v>
      </c>
      <c r="C755" s="13" t="s">
        <v>11</v>
      </c>
      <c r="D755" s="13" t="s">
        <v>283</v>
      </c>
      <c r="E755" s="14">
        <v>39570.0</v>
      </c>
      <c r="F755" s="14">
        <v>42124.0</v>
      </c>
      <c r="G755" s="2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15" t="str">
        <f>HYPERLINK("javascript:void%20window.open('https://ds3.dhss.ak.local/dsds/ds3/index.cfm?fuseaction=pro.view&amp;entityId=220912ce-65be-f484-0332-9c6c9da26fa4')","63131")</f>
        <v>63131</v>
      </c>
      <c r="B756" s="16" t="s">
        <v>1304</v>
      </c>
      <c r="C756" s="16" t="s">
        <v>11</v>
      </c>
      <c r="D756" s="16" t="s">
        <v>1305</v>
      </c>
      <c r="E756" s="17">
        <v>39246.0</v>
      </c>
      <c r="F756" s="17">
        <v>42004.0</v>
      </c>
      <c r="G756" s="2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12" t="str">
        <f>HYPERLINK("javascript:void%20window.open('https://ds3.dhss.ak.local/dsds/ds3/index.cfm?fuseaction=pro.view&amp;entityId=bae80678-58f3-4268-aaa9-32c0fc35762a')","32509")</f>
        <v>32509</v>
      </c>
      <c r="B757" s="13" t="s">
        <v>1306</v>
      </c>
      <c r="C757" s="13" t="s">
        <v>11</v>
      </c>
      <c r="D757" s="13" t="s">
        <v>1307</v>
      </c>
      <c r="E757" s="14">
        <v>39417.0</v>
      </c>
      <c r="F757" s="14">
        <v>41973.0</v>
      </c>
      <c r="G757" s="2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15" t="str">
        <f>HYPERLINK("javascript:void%20window.open('https://ds3.dhss.ak.local/dsds/ds3/index.cfm?fuseaction=pro.view&amp;entityId=ef74f0f1-6a0e-43bc-9b9c-a3b497b82b78')","32327")</f>
        <v>32327</v>
      </c>
      <c r="B758" s="16" t="s">
        <v>1308</v>
      </c>
      <c r="C758" s="16" t="s">
        <v>11</v>
      </c>
      <c r="D758" s="16" t="s">
        <v>1309</v>
      </c>
      <c r="E758" s="17">
        <v>38899.0</v>
      </c>
      <c r="F758" s="17">
        <v>42521.0</v>
      </c>
      <c r="G758" s="2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12" t="str">
        <f>HYPERLINK("javascript:void%20window.open('https://ds3.dhss.ak.local/dsds/ds3/index.cfm?fuseaction=pro.view&amp;entityId=ff027e38-f990-41d6-8d51-6c4febb8dcd9')","31433")</f>
        <v>31433</v>
      </c>
      <c r="B759" s="13" t="s">
        <v>1310</v>
      </c>
      <c r="C759" s="13" t="s">
        <v>11</v>
      </c>
      <c r="D759" s="13" t="s">
        <v>1311</v>
      </c>
      <c r="E759" s="14">
        <v>38899.0</v>
      </c>
      <c r="F759" s="14">
        <v>42551.0</v>
      </c>
      <c r="G759" s="2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15" t="str">
        <f>HYPERLINK("javascript:void%20window.open('https://ds3.dhss.ak.local/dsds/ds3/index.cfm?fuseaction=pro.view&amp;entityId=c11779d9-9f75-4f95-9066-2381e93cf369')","43875")</f>
        <v>43875</v>
      </c>
      <c r="B760" s="16" t="s">
        <v>1312</v>
      </c>
      <c r="C760" s="16" t="s">
        <v>11</v>
      </c>
      <c r="D760" s="16" t="s">
        <v>1313</v>
      </c>
      <c r="E760" s="17">
        <v>39692.0</v>
      </c>
      <c r="F760" s="17">
        <v>41882.0</v>
      </c>
      <c r="G760" s="2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12" t="str">
        <f>HYPERLINK("javascript:void%20window.open('https://ds3.dhss.ak.local/dsds/ds3/index.cfm?fuseaction=pro.view&amp;entityId=9be6cb13-d684-4cb1-b3f1-259076901fbc')","30266")</f>
        <v>30266</v>
      </c>
      <c r="B761" s="13" t="s">
        <v>1314</v>
      </c>
      <c r="C761" s="13" t="s">
        <v>11</v>
      </c>
      <c r="D761" s="13" t="s">
        <v>1315</v>
      </c>
      <c r="E761" s="14">
        <v>38991.0</v>
      </c>
      <c r="F761" s="14">
        <v>41882.0</v>
      </c>
      <c r="G761" s="2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15" t="str">
        <f>HYPERLINK("javascript:void%20window.open('https://ds3.dhss.ak.local/dsds/ds3/index.cfm?fuseaction=pro.view&amp;entityId=0490713b-ccb8-4ae4-8a8a-f81d0854c93c')","31484")</f>
        <v>31484</v>
      </c>
      <c r="B762" s="16" t="s">
        <v>1316</v>
      </c>
      <c r="C762" s="16" t="s">
        <v>11</v>
      </c>
      <c r="D762" s="16" t="s">
        <v>1317</v>
      </c>
      <c r="E762" s="17">
        <v>38991.0</v>
      </c>
      <c r="F762" s="17">
        <v>41912.0</v>
      </c>
      <c r="G762" s="2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12" t="str">
        <f>HYPERLINK("javascript:void%20window.open('https://ds3.dhss.ak.local/dsds/ds3/index.cfm?fuseaction=pro.view&amp;entityId=962a49f6-d5d3-190d-287a-22c838a32bd2')","77004")</f>
        <v>77004</v>
      </c>
      <c r="B763" s="13" t="s">
        <v>1318</v>
      </c>
      <c r="C763" s="13" t="s">
        <v>11</v>
      </c>
      <c r="D763" s="13" t="s">
        <v>1319</v>
      </c>
      <c r="E763" s="14">
        <v>39846.0</v>
      </c>
      <c r="F763" s="14">
        <v>41912.0</v>
      </c>
      <c r="G763" s="2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15" t="str">
        <f>HYPERLINK("javascript:void%20window.open('https://ds3.dhss.ak.local/dsds/ds3/index.cfm?fuseaction=pro.view&amp;entityId=ef19eebc-7556-4fa7-9bb6-06b99b9d75dc')","32339")</f>
        <v>32339</v>
      </c>
      <c r="B764" s="16" t="s">
        <v>1320</v>
      </c>
      <c r="C764" s="16" t="s">
        <v>11</v>
      </c>
      <c r="D764" s="16" t="s">
        <v>1321</v>
      </c>
      <c r="E764" s="17">
        <v>39142.0</v>
      </c>
      <c r="F764" s="17">
        <v>42063.0</v>
      </c>
      <c r="G764" s="2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12" t="str">
        <f>HYPERLINK("javascript:void%20window.open('https://ds3.dhss.ak.local/dsds/ds3/index.cfm?fuseaction=pro.view&amp;entityId=288422d5-2b7c-4729-bf21-82f495bf82d2')","30180")</f>
        <v>30180</v>
      </c>
      <c r="B765" s="13" t="s">
        <v>1322</v>
      </c>
      <c r="C765" s="13" t="s">
        <v>11</v>
      </c>
      <c r="D765" s="13" t="s">
        <v>1323</v>
      </c>
      <c r="E765" s="14">
        <v>38991.0</v>
      </c>
      <c r="F765" s="14">
        <v>41912.0</v>
      </c>
      <c r="G765" s="2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9" t="str">
        <f>HYPERLINK("javascript:void%20window.open('https://ds3.dhss.ak.local/dsds/ds3/index.cfm?fuseaction=pro.view&amp;entityId=fb70d5d7-5056-bc68-7372-832b84978a6c')","148396")</f>
        <v>148396</v>
      </c>
      <c r="B766" s="10" t="s">
        <v>1324</v>
      </c>
      <c r="C766" s="10" t="s">
        <v>11</v>
      </c>
      <c r="D766" s="10" t="s">
        <v>1325</v>
      </c>
      <c r="E766" s="11">
        <v>41850.0</v>
      </c>
      <c r="F766" s="11">
        <v>41820.0</v>
      </c>
      <c r="G766" s="2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9" t="str">
        <f>HYPERLINK("javascript:void%20window.open('https://ds3.dhss.ak.local/dsds/ds3/index.cfm?fuseaction=pro.view&amp;entityId=3932813e-2a4d-4856-8270-b22060853595')","31766")</f>
        <v>31766</v>
      </c>
      <c r="B767" s="10" t="s">
        <v>1326</v>
      </c>
      <c r="C767" s="10" t="s">
        <v>11</v>
      </c>
      <c r="D767" s="10" t="s">
        <v>1327</v>
      </c>
      <c r="E767" s="11">
        <v>41656.0</v>
      </c>
      <c r="F767" s="11">
        <v>42004.0</v>
      </c>
      <c r="G767" s="2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15" t="str">
        <f>HYPERLINK("javascript:void%20window.open('https://ds3.dhss.ak.local/dsds/ds3/index.cfm?fuseaction=pro.view&amp;entityId=7ab5c190-8b56-43a8-9c21-61447d750ecc')","31937")</f>
        <v>31937</v>
      </c>
      <c r="B768" s="16" t="s">
        <v>1328</v>
      </c>
      <c r="C768" s="16" t="s">
        <v>11</v>
      </c>
      <c r="D768" s="16" t="s">
        <v>1329</v>
      </c>
      <c r="E768" s="17">
        <v>39387.0</v>
      </c>
      <c r="F768" s="17">
        <v>42308.0</v>
      </c>
      <c r="G768" s="2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12" t="str">
        <f>HYPERLINK("javascript:void%20window.open('https://ds3.dhss.ak.local/dsds/ds3/index.cfm?fuseaction=pro.view&amp;entityId=7f6940d6-97ea-f913-839f-1db90fff03e0')","110133")</f>
        <v>110133</v>
      </c>
      <c r="B769" s="13" t="s">
        <v>1330</v>
      </c>
      <c r="C769" s="13" t="s">
        <v>11</v>
      </c>
      <c r="D769" s="13" t="s">
        <v>1331</v>
      </c>
      <c r="E769" s="14">
        <v>40617.0</v>
      </c>
      <c r="F769" s="14">
        <v>41912.0</v>
      </c>
      <c r="G769" s="2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15" t="str">
        <f>HYPERLINK("javascript:void%20window.open('https://ds3.dhss.ak.local/dsds/ds3/index.cfm?fuseaction=pro.view&amp;entityId=727f05a7-73ab-4660-8b31-f602c389990d')","31686")</f>
        <v>31686</v>
      </c>
      <c r="B770" s="16" t="s">
        <v>1332</v>
      </c>
      <c r="C770" s="16" t="s">
        <v>11</v>
      </c>
      <c r="D770" s="16" t="s">
        <v>1333</v>
      </c>
      <c r="E770" s="17">
        <v>38718.0</v>
      </c>
      <c r="F770" s="17">
        <v>42369.0</v>
      </c>
      <c r="G770" s="2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12" t="str">
        <f>HYPERLINK("javascript:void%20window.open('https://ds3.dhss.ak.local/dsds/ds3/index.cfm?fuseaction=pro.view&amp;entityId=0a3038a0-f02c-75f9-b22d-b402e3243f5f')","135319")</f>
        <v>135319</v>
      </c>
      <c r="B771" s="13" t="s">
        <v>1334</v>
      </c>
      <c r="C771" s="13" t="s">
        <v>11</v>
      </c>
      <c r="D771" s="13" t="s">
        <v>1335</v>
      </c>
      <c r="E771" s="14">
        <v>41153.0</v>
      </c>
      <c r="F771" s="14">
        <v>41882.0</v>
      </c>
      <c r="G771" s="2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15" t="str">
        <f>HYPERLINK("javascript:void%20window.open('https://ds3.dhss.ak.local/dsds/ds3/index.cfm?fuseaction=pro.view&amp;entityId=c3d7eaf6-0881-42f4-b8ce-5d7835a807ef')","32658")</f>
        <v>32658</v>
      </c>
      <c r="B772" s="16" t="s">
        <v>1336</v>
      </c>
      <c r="C772" s="16" t="s">
        <v>11</v>
      </c>
      <c r="D772" s="16" t="s">
        <v>1337</v>
      </c>
      <c r="E772" s="17">
        <v>39479.0</v>
      </c>
      <c r="F772" s="17">
        <v>42400.0</v>
      </c>
      <c r="G772" s="2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9" t="str">
        <f>HYPERLINK("javascript:void%20window.open('https://ds3.dhss.ak.local/dsds/ds3/index.cfm?fuseaction=pro.view&amp;entityId=fd0e2919-1845-4860-ac4a-40b73b5ebed3')","31794")</f>
        <v>31794</v>
      </c>
      <c r="B773" s="10" t="s">
        <v>1338</v>
      </c>
      <c r="C773" s="10" t="s">
        <v>11</v>
      </c>
      <c r="D773" s="10" t="s">
        <v>1339</v>
      </c>
      <c r="E773" s="11">
        <v>41456.0</v>
      </c>
      <c r="F773" s="11">
        <v>42124.0</v>
      </c>
      <c r="G773" s="2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15" t="str">
        <f>HYPERLINK("javascript:void%20window.open('https://ds3.dhss.ak.local/dsds/ds3/index.cfm?fuseaction=pro.view&amp;entityId=ccbf62d1-966f-4ab8-b449-ff3f69b97184')","30501")</f>
        <v>30501</v>
      </c>
      <c r="B774" s="16" t="s">
        <v>1340</v>
      </c>
      <c r="C774" s="16" t="s">
        <v>11</v>
      </c>
      <c r="D774" s="16" t="s">
        <v>1341</v>
      </c>
      <c r="E774" s="17">
        <v>39264.0</v>
      </c>
      <c r="F774" s="17">
        <v>42185.0</v>
      </c>
      <c r="G774" s="2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12" t="str">
        <f>HYPERLINK("javascript:void%20window.open('https://ds3.dhss.ak.local/dsds/ds3/index.cfm?fuseaction=pro.view&amp;entityId=1c3c7fb6-94ce-edfc-8283-1bd385b73dcb')","110595")</f>
        <v>110595</v>
      </c>
      <c r="B775" s="13" t="s">
        <v>1342</v>
      </c>
      <c r="C775" s="13" t="s">
        <v>11</v>
      </c>
      <c r="D775" s="13" t="s">
        <v>1343</v>
      </c>
      <c r="E775" s="14">
        <v>40641.0</v>
      </c>
      <c r="F775" s="14">
        <v>41912.0</v>
      </c>
      <c r="G775" s="2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9" t="str">
        <f>HYPERLINK("javascript:void%20window.open('https://ds3.dhss.ak.local/dsds/ds3/index.cfm?fuseaction=pro.view&amp;entityId=7b990ee5-5056-bc68-7374-a161f6112220')","166718")</f>
        <v>166718</v>
      </c>
      <c r="B776" s="10" t="s">
        <v>1344</v>
      </c>
      <c r="C776" s="10" t="s">
        <v>11</v>
      </c>
      <c r="D776" s="10" t="s">
        <v>1345</v>
      </c>
      <c r="E776" s="11">
        <v>41828.0</v>
      </c>
      <c r="F776" s="11">
        <v>42185.0</v>
      </c>
      <c r="G776" s="2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12" t="str">
        <f>HYPERLINK("javascript:void%20window.open('https://ds3.dhss.ak.local/dsds/ds3/index.cfm?fuseaction=pro.view&amp;entityId=34913717-f3c1-dbc7-b8d7-ca05ddfab7bb')","105462")</f>
        <v>105462</v>
      </c>
      <c r="B777" s="13" t="s">
        <v>1346</v>
      </c>
      <c r="C777" s="13" t="s">
        <v>11</v>
      </c>
      <c r="D777" s="13" t="s">
        <v>1347</v>
      </c>
      <c r="E777" s="14">
        <v>40513.0</v>
      </c>
      <c r="F777" s="14">
        <v>41973.0</v>
      </c>
      <c r="G777" s="2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15" t="str">
        <f>HYPERLINK("javascript:void%20window.open('https://ds3.dhss.ak.local/dsds/ds3/index.cfm?fuseaction=pro.view&amp;entityId=cfcc3f2f-4272-4138-9503-fe4b2f54bb76')","30660")</f>
        <v>30660</v>
      </c>
      <c r="B778" s="16" t="s">
        <v>1348</v>
      </c>
      <c r="C778" s="16" t="s">
        <v>11</v>
      </c>
      <c r="D778" s="16" t="s">
        <v>1349</v>
      </c>
      <c r="E778" s="17">
        <v>39022.0</v>
      </c>
      <c r="F778" s="17">
        <v>42004.0</v>
      </c>
      <c r="G778" s="2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9" t="str">
        <f>HYPERLINK("javascript:void%20window.open('https://ds3.dhss.ak.local/dsds/ds3/index.cfm?fuseaction=pro.view&amp;entityId=5880c2a9-2a82-41f6-a28e-b93f703d5913')","125421")</f>
        <v>125421</v>
      </c>
      <c r="B779" s="10" t="s">
        <v>1350</v>
      </c>
      <c r="C779" s="10" t="s">
        <v>11</v>
      </c>
      <c r="D779" s="10" t="s">
        <v>1351</v>
      </c>
      <c r="E779" s="11">
        <v>41548.0</v>
      </c>
      <c r="F779" s="11">
        <v>42643.0</v>
      </c>
      <c r="G779" s="2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15" t="str">
        <f>HYPERLINK("javascript:void%20window.open('https://ds3.dhss.ak.local/dsds/ds3/index.cfm?fuseaction=pro.view&amp;entityId=b912b0eb-f7c4-6d66-9fde-6d2c4facdb0e')","108903")</f>
        <v>108903</v>
      </c>
      <c r="B780" s="16" t="s">
        <v>1352</v>
      </c>
      <c r="C780" s="16" t="s">
        <v>11</v>
      </c>
      <c r="D780" s="16" t="s">
        <v>1353</v>
      </c>
      <c r="E780" s="17">
        <v>40582.0</v>
      </c>
      <c r="F780" s="17">
        <v>42613.0</v>
      </c>
      <c r="G780" s="2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12" t="str">
        <f>HYPERLINK("javascript:void%20window.open('https://ds3.dhss.ak.local/dsds/ds3/index.cfm?fuseaction=pro.view&amp;entityId=0060436b-8242-469c-be76-12e005d5f87b')","32486")</f>
        <v>32486</v>
      </c>
      <c r="B781" s="13" t="s">
        <v>1354</v>
      </c>
      <c r="C781" s="13" t="s">
        <v>11</v>
      </c>
      <c r="D781" s="13" t="s">
        <v>1355</v>
      </c>
      <c r="E781" s="14">
        <v>38750.0</v>
      </c>
      <c r="F781" s="14">
        <v>42400.0</v>
      </c>
      <c r="G781" s="2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15" t="str">
        <f>HYPERLINK("javascript:void%20window.open('https://ds3.dhss.ak.local/dsds/ds3/index.cfm?fuseaction=pro.view&amp;entityId=dce7df03-6f70-4d32-beb6-536bd68b5632')","32292")</f>
        <v>32292</v>
      </c>
      <c r="B782" s="16" t="s">
        <v>1356</v>
      </c>
      <c r="C782" s="16" t="s">
        <v>11</v>
      </c>
      <c r="D782" s="16" t="s">
        <v>1357</v>
      </c>
      <c r="E782" s="17">
        <v>39052.0</v>
      </c>
      <c r="F782" s="17">
        <v>41973.0</v>
      </c>
      <c r="G782" s="2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12" t="str">
        <f>HYPERLINK("javascript:void%20window.open('https://ds3.dhss.ak.local/dsds/ds3/index.cfm?fuseaction=pro.view&amp;entityId=0ca10d83-d151-995e-d328-bf6928e75aaf')","128150")</f>
        <v>128150</v>
      </c>
      <c r="B783" s="13" t="s">
        <v>1358</v>
      </c>
      <c r="C783" s="13" t="s">
        <v>11</v>
      </c>
      <c r="D783" s="13" t="s">
        <v>1359</v>
      </c>
      <c r="E783" s="14">
        <v>41153.0</v>
      </c>
      <c r="F783" s="14">
        <v>42277.0</v>
      </c>
      <c r="G783" s="2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15" t="str">
        <f>HYPERLINK("javascript:void%20window.open('https://ds3.dhss.ak.local/dsds/ds3/index.cfm?fuseaction=pro.view&amp;entityId=bf09de96-c612-84f0-34c2-8d5ae3d159f9')","130121")</f>
        <v>130121</v>
      </c>
      <c r="B784" s="16" t="s">
        <v>1360</v>
      </c>
      <c r="C784" s="16" t="s">
        <v>11</v>
      </c>
      <c r="D784" s="16" t="s">
        <v>1361</v>
      </c>
      <c r="E784" s="17">
        <v>41046.0</v>
      </c>
      <c r="F784" s="17">
        <v>42124.0</v>
      </c>
      <c r="G784" s="2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12" t="str">
        <f>HYPERLINK("javascript:void%20window.open('https://ds3.dhss.ak.local/dsds/ds3/index.cfm?fuseaction=pro.view&amp;entityId=b64fb3f2-b867-f924-98fe-113fcb124108')","87769")</f>
        <v>87769</v>
      </c>
      <c r="B785" s="13" t="s">
        <v>1362</v>
      </c>
      <c r="C785" s="13" t="s">
        <v>11</v>
      </c>
      <c r="D785" s="13" t="s">
        <v>1363</v>
      </c>
      <c r="E785" s="14">
        <v>40085.0</v>
      </c>
      <c r="F785" s="14">
        <v>41882.0</v>
      </c>
      <c r="G785" s="2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15" t="str">
        <f>HYPERLINK("javascript:void%20window.open('https://ds3.dhss.ak.local/dsds/ds3/index.cfm?fuseaction=pro.view&amp;entityId=2e78a173-0a65-4902-b890-efab51cfe4a2')","32455")</f>
        <v>32455</v>
      </c>
      <c r="B786" s="16" t="s">
        <v>1364</v>
      </c>
      <c r="C786" s="16" t="s">
        <v>11</v>
      </c>
      <c r="D786" s="16" t="s">
        <v>1365</v>
      </c>
      <c r="E786" s="17">
        <v>38991.0</v>
      </c>
      <c r="F786" s="17">
        <v>41943.0</v>
      </c>
      <c r="G786" s="2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12" t="str">
        <f>HYPERLINK("javascript:void%20window.open('https://ds3.dhss.ak.local/dsds/ds3/index.cfm?fuseaction=pro.view&amp;entityId=4b07a11d-fe01-407d-87c3-6d562cde8aeb')","32732")</f>
        <v>32732</v>
      </c>
      <c r="B787" s="13" t="s">
        <v>1366</v>
      </c>
      <c r="C787" s="13" t="s">
        <v>11</v>
      </c>
      <c r="D787" s="13" t="s">
        <v>1367</v>
      </c>
      <c r="E787" s="14">
        <v>41367.0</v>
      </c>
      <c r="F787" s="14">
        <v>42490.0</v>
      </c>
      <c r="G787" s="2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15" t="str">
        <f>HYPERLINK("javascript:void%20window.open('https://ds3.dhss.ak.local/dsds/ds3/index.cfm?fuseaction=pro.view&amp;entityId=c45aa54e-aff9-3a55-14c1-0b86a67b59b3')","123075")</f>
        <v>123075</v>
      </c>
      <c r="B788" s="16" t="s">
        <v>1368</v>
      </c>
      <c r="C788" s="16" t="s">
        <v>11</v>
      </c>
      <c r="D788" s="16" t="s">
        <v>1369</v>
      </c>
      <c r="E788" s="17">
        <v>41127.0</v>
      </c>
      <c r="F788" s="17">
        <v>42400.0</v>
      </c>
      <c r="G788" s="2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12" t="str">
        <f>HYPERLINK("javascript:void%20window.open('https://ds3.dhss.ak.local/dsds/ds3/index.cfm?fuseaction=pro.view&amp;entityId=e8a61990-fc00-8f1c-e069-3cd6cf6dc633')","93163")</f>
        <v>93163</v>
      </c>
      <c r="B789" s="13" t="s">
        <v>1370</v>
      </c>
      <c r="C789" s="13" t="s">
        <v>11</v>
      </c>
      <c r="D789" s="13" t="s">
        <v>1371</v>
      </c>
      <c r="E789" s="14">
        <v>40256.0</v>
      </c>
      <c r="F789" s="14">
        <v>42063.0</v>
      </c>
      <c r="G789" s="2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15" t="str">
        <f>HYPERLINK("javascript:void%20window.open('https://ds3.dhss.ak.local/dsds/ds3/index.cfm?fuseaction=pro.view&amp;entityId=89e1a874-2704-48a8-b576-07acc1b5a8e6')","31465")</f>
        <v>31465</v>
      </c>
      <c r="B790" s="16" t="s">
        <v>1372</v>
      </c>
      <c r="C790" s="16" t="s">
        <v>11</v>
      </c>
      <c r="D790" s="16" t="s">
        <v>1373</v>
      </c>
      <c r="E790" s="17">
        <v>39326.0</v>
      </c>
      <c r="F790" s="17">
        <v>42124.0</v>
      </c>
      <c r="G790" s="2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12" t="str">
        <f>HYPERLINK("javascript:void%20window.open('https://ds3.dhss.ak.local/dsds/ds3/index.cfm?fuseaction=pro.view&amp;entityId=3fc08a6b-864e-42f6-9b11-d007f6b3fbe9')","32584")</f>
        <v>32584</v>
      </c>
      <c r="B791" s="13" t="s">
        <v>1374</v>
      </c>
      <c r="C791" s="13" t="s">
        <v>11</v>
      </c>
      <c r="D791" s="13" t="s">
        <v>1375</v>
      </c>
      <c r="E791" s="14">
        <v>38988.0</v>
      </c>
      <c r="F791" s="14">
        <v>42124.0</v>
      </c>
      <c r="G791" s="2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15" t="str">
        <f>HYPERLINK("javascript:void%20window.open('https://ds3.dhss.ak.local/dsds/ds3/index.cfm?fuseaction=pro.view&amp;entityId=8c0e9f45-9962-49b0-8c5e-057a876d190e')","30433")</f>
        <v>30433</v>
      </c>
      <c r="B792" s="16" t="s">
        <v>1376</v>
      </c>
      <c r="C792" s="16" t="s">
        <v>11</v>
      </c>
      <c r="D792" s="16" t="s">
        <v>1377</v>
      </c>
      <c r="E792" s="17">
        <v>39326.0</v>
      </c>
      <c r="F792" s="17">
        <v>42582.0</v>
      </c>
      <c r="G792" s="2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9" t="str">
        <f>HYPERLINK("javascript:void%20window.open('https://ds3.dhss.ak.local/dsds/ds3/index.cfm?fuseaction=pro.view&amp;entityId=868ef464-5056-bc68-73b9-8d3f0ea1e590')","154337")</f>
        <v>154337</v>
      </c>
      <c r="B793" s="10" t="s">
        <v>1378</v>
      </c>
      <c r="C793" s="10" t="s">
        <v>11</v>
      </c>
      <c r="D793" s="10" t="s">
        <v>1379</v>
      </c>
      <c r="E793" s="11">
        <v>41548.0</v>
      </c>
      <c r="F793" s="11">
        <v>42551.0</v>
      </c>
      <c r="G793" s="2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15" t="str">
        <f>HYPERLINK("javascript:void%20window.open('https://ds3.dhss.ak.local/dsds/ds3/index.cfm?fuseaction=pro.view&amp;entityId=b437c776-344f-45e6-a3f4-5aff202ef4aa')","56033")</f>
        <v>56033</v>
      </c>
      <c r="B794" s="16" t="s">
        <v>1380</v>
      </c>
      <c r="C794" s="16" t="s">
        <v>11</v>
      </c>
      <c r="D794" s="16" t="s">
        <v>1381</v>
      </c>
      <c r="E794" s="17">
        <v>39262.0</v>
      </c>
      <c r="F794" s="17">
        <v>41973.0</v>
      </c>
      <c r="G794" s="2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12" t="str">
        <f>HYPERLINK("javascript:void%20window.open('https://ds3.dhss.ak.local/dsds/ds3/index.cfm?fuseaction=pro.view&amp;entityId=ff0b9f2d-cdd5-9986-2490-751b5fdb04b6')","133754")</f>
        <v>133754</v>
      </c>
      <c r="B795" s="13" t="s">
        <v>1382</v>
      </c>
      <c r="C795" s="13" t="s">
        <v>11</v>
      </c>
      <c r="D795" s="13" t="s">
        <v>1383</v>
      </c>
      <c r="E795" s="14">
        <v>41038.0</v>
      </c>
      <c r="F795" s="14">
        <v>41912.0</v>
      </c>
      <c r="G795" s="2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15" t="str">
        <f>HYPERLINK("javascript:void%20window.open('https://ds3.dhss.ak.local/dsds/ds3/index.cfm?fuseaction=pro.view&amp;entityId=80d22645-72b6-4acd-aba3-01956a5a4b0e')","32634")</f>
        <v>32634</v>
      </c>
      <c r="B796" s="16" t="s">
        <v>1384</v>
      </c>
      <c r="C796" s="16" t="s">
        <v>11</v>
      </c>
      <c r="D796" s="16" t="s">
        <v>1385</v>
      </c>
      <c r="E796" s="17">
        <v>39055.0</v>
      </c>
      <c r="F796" s="17">
        <v>41790.0</v>
      </c>
      <c r="G796" s="2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12" t="str">
        <f>HYPERLINK("javascript:void%20window.open('https://ds3.dhss.ak.local/dsds/ds3/index.cfm?fuseaction=pro.view&amp;entityId=6e63eb83-0320-4cef-8a78-7106e66c41f9')","124226")</f>
        <v>124226</v>
      </c>
      <c r="B797" s="13" t="s">
        <v>1386</v>
      </c>
      <c r="C797" s="13" t="s">
        <v>11</v>
      </c>
      <c r="D797" s="13" t="s">
        <v>1387</v>
      </c>
      <c r="E797" s="14">
        <v>41144.0</v>
      </c>
      <c r="F797" s="14">
        <v>42613.0</v>
      </c>
      <c r="G797" s="2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15" t="str">
        <f>HYPERLINK("javascript:void%20window.open('https://ds3.dhss.ak.local/dsds/ds3/index.cfm?fuseaction=pro.view&amp;entityId=80d376f3-be48-baf0-64d7-36e4c56aaced')","120223")</f>
        <v>120223</v>
      </c>
      <c r="B798" s="16" t="s">
        <v>1388</v>
      </c>
      <c r="C798" s="16" t="s">
        <v>11</v>
      </c>
      <c r="D798" s="16" t="s">
        <v>1389</v>
      </c>
      <c r="E798" s="17">
        <v>40753.0</v>
      </c>
      <c r="F798" s="17">
        <v>41912.0</v>
      </c>
      <c r="G798" s="2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12" t="str">
        <f>HYPERLINK("javascript:void%20window.open('https://ds3.dhss.ak.local/dsds/ds3/index.cfm?fuseaction=pro.view&amp;entityId=2e9ad3d8-5056-bc68-7382-ebd37c59c729')","139368")</f>
        <v>139368</v>
      </c>
      <c r="B799" s="13" t="s">
        <v>1390</v>
      </c>
      <c r="C799" s="13" t="s">
        <v>11</v>
      </c>
      <c r="D799" s="13" t="s">
        <v>1391</v>
      </c>
      <c r="E799" s="14">
        <v>41164.0</v>
      </c>
      <c r="F799" s="14">
        <v>42247.0</v>
      </c>
      <c r="G799" s="2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15" t="str">
        <f>HYPERLINK("javascript:void%20window.open('https://ds3.dhss.ak.local/dsds/ds3/index.cfm?fuseaction=pro.view&amp;entityId=c5517493-728b-44ef-8475-b1666838d31b')","32461")</f>
        <v>32461</v>
      </c>
      <c r="B800" s="16" t="s">
        <v>1392</v>
      </c>
      <c r="C800" s="16" t="s">
        <v>11</v>
      </c>
      <c r="D800" s="16" t="s">
        <v>1393</v>
      </c>
      <c r="E800" s="17">
        <v>38775.0</v>
      </c>
      <c r="F800" s="17">
        <v>42400.0</v>
      </c>
      <c r="G800" s="2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12" t="str">
        <f>HYPERLINK("javascript:void%20window.open('https://ds3.dhss.ak.local/dsds/ds3/index.cfm?fuseaction=pro.view&amp;entityId=70ef4bd4-5cc1-4786-a15d-3924d75efe92')","31309")</f>
        <v>31309</v>
      </c>
      <c r="B801" s="13" t="s">
        <v>1394</v>
      </c>
      <c r="C801" s="13" t="s">
        <v>11</v>
      </c>
      <c r="D801" s="13" t="s">
        <v>1395</v>
      </c>
      <c r="E801" s="13"/>
      <c r="F801" s="13"/>
      <c r="G801" s="2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15" t="str">
        <f>HYPERLINK("javascript:void%20window.open('https://ds3.dhss.ak.local/dsds/ds3/index.cfm?fuseaction=pro.view&amp;entityId=ecb73368-fa75-7068-6718-32ec92915973')","102803")</f>
        <v>102803</v>
      </c>
      <c r="B802" s="16" t="s">
        <v>1396</v>
      </c>
      <c r="C802" s="16" t="s">
        <v>11</v>
      </c>
      <c r="D802" s="16" t="s">
        <v>1397</v>
      </c>
      <c r="E802" s="17">
        <v>40459.0</v>
      </c>
      <c r="F802" s="17">
        <v>42400.0</v>
      </c>
      <c r="G802" s="2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12" t="str">
        <f>HYPERLINK("javascript:void%20window.open('https://ds3.dhss.ak.local/dsds/ds3/index.cfm?fuseaction=pro.view&amp;entityId=f0bbd4b3-7379-48d3-94c8-4f10f8fe9ad2')","32574")</f>
        <v>32574</v>
      </c>
      <c r="B803" s="13" t="s">
        <v>1398</v>
      </c>
      <c r="C803" s="13" t="s">
        <v>11</v>
      </c>
      <c r="D803" s="13" t="s">
        <v>1399</v>
      </c>
      <c r="E803" s="14">
        <v>38889.0</v>
      </c>
      <c r="F803" s="14">
        <v>42429.0</v>
      </c>
      <c r="G803" s="2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15" t="str">
        <f>HYPERLINK("javascript:void%20window.open('https://ds3.dhss.ak.local/dsds/ds3/index.cfm?fuseaction=pro.view&amp;entityId=786ef092-92d2-3022-8343-9d5ec33437ea')","107817")</f>
        <v>107817</v>
      </c>
      <c r="B804" s="16" t="s">
        <v>1400</v>
      </c>
      <c r="C804" s="16" t="s">
        <v>11</v>
      </c>
      <c r="D804" s="16" t="s">
        <v>1401</v>
      </c>
      <c r="E804" s="17">
        <v>39490.0</v>
      </c>
      <c r="F804" s="17">
        <v>42004.0</v>
      </c>
      <c r="G804" s="2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12" t="str">
        <f>HYPERLINK("javascript:void%20window.open('https://ds3.dhss.ak.local/dsds/ds3/index.cfm?fuseaction=pro.view&amp;entityId=066445ae-1308-4e04-ae07-ad45357ad25e')","32290")</f>
        <v>32290</v>
      </c>
      <c r="B805" s="13" t="s">
        <v>1402</v>
      </c>
      <c r="C805" s="13" t="s">
        <v>11</v>
      </c>
      <c r="D805" s="13" t="s">
        <v>1403</v>
      </c>
      <c r="E805" s="14">
        <v>39083.0</v>
      </c>
      <c r="F805" s="14">
        <v>42004.0</v>
      </c>
      <c r="G805" s="2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15" t="str">
        <f>HYPERLINK("javascript:void%20window.open('https://ds3.dhss.ak.local/dsds/ds3/index.cfm?fuseaction=pro.view&amp;entityId=59bde51d-a0d1-f1fd-9ca6-f16537dd20bc')","86894")</f>
        <v>86894</v>
      </c>
      <c r="B806" s="16" t="s">
        <v>1404</v>
      </c>
      <c r="C806" s="16" t="s">
        <v>11</v>
      </c>
      <c r="D806" s="16" t="s">
        <v>1405</v>
      </c>
      <c r="E806" s="17">
        <v>40273.0</v>
      </c>
      <c r="F806" s="17">
        <v>42094.0</v>
      </c>
      <c r="G806" s="2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12" t="str">
        <f>HYPERLINK("javascript:void%20window.open('https://ds3.dhss.ak.local/dsds/ds3/index.cfm?fuseaction=pro.view&amp;entityId=18e5a1d4-e936-4dda-97d1-ace5275e107f')","30472")</f>
        <v>30472</v>
      </c>
      <c r="B807" s="13" t="s">
        <v>1406</v>
      </c>
      <c r="C807" s="13" t="s">
        <v>11</v>
      </c>
      <c r="D807" s="13" t="s">
        <v>1407</v>
      </c>
      <c r="E807" s="14">
        <v>38899.0</v>
      </c>
      <c r="F807" s="14">
        <v>42460.0</v>
      </c>
      <c r="G807" s="2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15" t="str">
        <f>HYPERLINK("javascript:void%20window.open('https://ds3.dhss.ak.local/dsds/ds3/index.cfm?fuseaction=pro.view&amp;entityId=c32398b4-4d63-4a98-9da4-12fb0b34ffdc')","32588")</f>
        <v>32588</v>
      </c>
      <c r="B808" s="16" t="s">
        <v>1408</v>
      </c>
      <c r="C808" s="16" t="s">
        <v>11</v>
      </c>
      <c r="D808" s="16" t="s">
        <v>1409</v>
      </c>
      <c r="E808" s="17">
        <v>38991.0</v>
      </c>
      <c r="F808" s="17">
        <v>41912.0</v>
      </c>
      <c r="G808" s="2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12" t="str">
        <f>HYPERLINK("javascript:void%20window.open('https://ds3.dhss.ak.local/dsds/ds3/index.cfm?fuseaction=pro.view&amp;entityId=c0a58819-b752-404b-44a2-9fbdd830c708')","66625")</f>
        <v>66625</v>
      </c>
      <c r="B809" s="13" t="s">
        <v>1410</v>
      </c>
      <c r="C809" s="13" t="s">
        <v>11</v>
      </c>
      <c r="D809" s="13" t="s">
        <v>1411</v>
      </c>
      <c r="E809" s="14">
        <v>39534.0</v>
      </c>
      <c r="F809" s="14">
        <v>42063.0</v>
      </c>
      <c r="G809" s="2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15" t="str">
        <f>HYPERLINK("javascript:void%20window.open('https://ds3.dhss.ak.local/dsds/ds3/index.cfm?fuseaction=pro.view&amp;entityId=84307b9c-7700-4286-b713-c2f4e1ff1c4d')","33656")</f>
        <v>33656</v>
      </c>
      <c r="B810" s="16" t="s">
        <v>1412</v>
      </c>
      <c r="C810" s="16" t="s">
        <v>11</v>
      </c>
      <c r="D810" s="16" t="s">
        <v>1413</v>
      </c>
      <c r="E810" s="17">
        <v>40513.0</v>
      </c>
      <c r="F810" s="17">
        <v>41973.0</v>
      </c>
      <c r="G810" s="2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12" t="str">
        <f>HYPERLINK("javascript:void%20window.open('https://ds3.dhss.ak.local/dsds/ds3/index.cfm?fuseaction=pro.view&amp;entityId=65e1bbe3-4a0f-4ff3-99c3-e738ef3ce6bb')","32523")</f>
        <v>32523</v>
      </c>
      <c r="B811" s="13" t="s">
        <v>1414</v>
      </c>
      <c r="C811" s="13" t="s">
        <v>11</v>
      </c>
      <c r="D811" s="13" t="s">
        <v>1415</v>
      </c>
      <c r="E811" s="14">
        <v>39173.0</v>
      </c>
      <c r="F811" s="14">
        <v>42094.0</v>
      </c>
      <c r="G811" s="2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15" t="str">
        <f>HYPERLINK("javascript:void%20window.open('https://ds3.dhss.ak.local/dsds/ds3/index.cfm?fuseaction=pro.view&amp;entityId=b52cca46-5056-bc68-735e-a322c3ab3c58')","145721")</f>
        <v>145721</v>
      </c>
      <c r="B812" s="16" t="s">
        <v>1416</v>
      </c>
      <c r="C812" s="16" t="s">
        <v>11</v>
      </c>
      <c r="D812" s="16" t="s">
        <v>1417</v>
      </c>
      <c r="E812" s="17">
        <v>41341.0</v>
      </c>
      <c r="F812" s="17">
        <v>42429.0</v>
      </c>
      <c r="G812" s="2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12" t="str">
        <f>HYPERLINK("javascript:void%20window.open('https://ds3.dhss.ak.local/dsds/ds3/index.cfm?fuseaction=pro.view&amp;entityId=3a7e329d-e6f7-50db-1bd9-6f3ac9dc4255')","86604")</f>
        <v>86604</v>
      </c>
      <c r="B813" s="13" t="s">
        <v>1418</v>
      </c>
      <c r="C813" s="13" t="s">
        <v>11</v>
      </c>
      <c r="D813" s="13" t="s">
        <v>1419</v>
      </c>
      <c r="E813" s="14">
        <v>40092.0</v>
      </c>
      <c r="F813" s="14">
        <v>42551.0</v>
      </c>
      <c r="G813" s="2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15" t="str">
        <f>HYPERLINK("javascript:void%20window.open('https://ds3.dhss.ak.local/dsds/ds3/index.cfm?fuseaction=pro.view&amp;entityId=e3883e1a-ef0c-43fd-a2c9-7d61c727555e')","32691")</f>
        <v>32691</v>
      </c>
      <c r="B814" s="16" t="s">
        <v>1420</v>
      </c>
      <c r="C814" s="16" t="s">
        <v>11</v>
      </c>
      <c r="D814" s="16" t="s">
        <v>1421</v>
      </c>
      <c r="E814" s="17">
        <v>39748.0</v>
      </c>
      <c r="F814" s="17">
        <v>42400.0</v>
      </c>
      <c r="G814" s="2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12" t="str">
        <f>HYPERLINK("javascript:void%20window.open('https://ds3.dhss.ak.local/dsds/ds3/index.cfm?fuseaction=pro.view&amp;entityId=b026caca-c592-1d7a-243b-261d8c26b506')","71092")</f>
        <v>71092</v>
      </c>
      <c r="B815" s="13" t="s">
        <v>1422</v>
      </c>
      <c r="C815" s="13" t="s">
        <v>11</v>
      </c>
      <c r="D815" s="13" t="s">
        <v>1423</v>
      </c>
      <c r="E815" s="14">
        <v>39686.0</v>
      </c>
      <c r="F815" s="14">
        <v>41912.0</v>
      </c>
      <c r="G815" s="2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9" t="str">
        <f>HYPERLINK("javascript:void%20window.open('https://ds3.dhss.ak.local/dsds/ds3/index.cfm?fuseaction=pro.view&amp;entityId=273334c1-e980-4d05-9a7d-cf73e7771230')","32485")</f>
        <v>32485</v>
      </c>
      <c r="B816" s="10" t="s">
        <v>1424</v>
      </c>
      <c r="C816" s="10" t="s">
        <v>11</v>
      </c>
      <c r="D816" s="10" t="s">
        <v>1425</v>
      </c>
      <c r="E816" s="11">
        <v>41548.0</v>
      </c>
      <c r="F816" s="11">
        <v>42521.0</v>
      </c>
      <c r="G816" s="2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12" t="str">
        <f>HYPERLINK("javascript:void%20window.open('https://ds3.dhss.ak.local/dsds/ds3/index.cfm?fuseaction=pro.view&amp;entityId=b1a38c40-b27f-4273-976b-6a5b6ac16006')","111213")</f>
        <v>111213</v>
      </c>
      <c r="B817" s="13" t="s">
        <v>1426</v>
      </c>
      <c r="C817" s="13" t="s">
        <v>11</v>
      </c>
      <c r="D817" s="13" t="s">
        <v>1427</v>
      </c>
      <c r="E817" s="14">
        <v>40757.0</v>
      </c>
      <c r="F817" s="14">
        <v>41605.0</v>
      </c>
      <c r="G817" s="2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9" t="str">
        <f>HYPERLINK("javascript:void%20window.open('https://ds3.dhss.ak.local/dsds/ds3/index.cfm?fuseaction=pro.view&amp;entityId=c6d93c85-a846-4f13-8ae7-61d702d6fe18')","32382")</f>
        <v>32382</v>
      </c>
      <c r="B818" s="10" t="s">
        <v>1428</v>
      </c>
      <c r="C818" s="10" t="s">
        <v>11</v>
      </c>
      <c r="D818" s="10" t="s">
        <v>1429</v>
      </c>
      <c r="E818" s="11">
        <v>41487.0</v>
      </c>
      <c r="F818" s="11">
        <v>42216.0</v>
      </c>
      <c r="G818" s="2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12" t="str">
        <f>HYPERLINK("javascript:void%20window.open('https://ds3.dhss.ak.local/dsds/ds3/index.cfm?fuseaction=pro.view&amp;entityId=71727942-d881-a206-3910-88db6c63c25d')","70678")</f>
        <v>70678</v>
      </c>
      <c r="B819" s="13" t="s">
        <v>1430</v>
      </c>
      <c r="C819" s="13" t="s">
        <v>11</v>
      </c>
      <c r="D819" s="13" t="s">
        <v>1431</v>
      </c>
      <c r="E819" s="14">
        <v>39680.0</v>
      </c>
      <c r="F819" s="14">
        <v>42216.0</v>
      </c>
      <c r="G819" s="2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15" t="str">
        <f>HYPERLINK("javascript:void%20window.open('https://ds3.dhss.ak.local/dsds/ds3/index.cfm?fuseaction=pro.view&amp;entityId=ea4c452b-c064-e660-2d6f-e3134954cd1a')","81722")</f>
        <v>81722</v>
      </c>
      <c r="B820" s="16" t="s">
        <v>1432</v>
      </c>
      <c r="C820" s="16" t="s">
        <v>11</v>
      </c>
      <c r="D820" s="16" t="s">
        <v>1433</v>
      </c>
      <c r="E820" s="17">
        <v>41361.0</v>
      </c>
      <c r="F820" s="17">
        <v>42429.0</v>
      </c>
      <c r="G820" s="2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9" t="str">
        <f>HYPERLINK("javascript:void%20window.open('https://ds3.dhss.ak.local/dsds/ds3/index.cfm?fuseaction=pro.view&amp;entityId=d239ddf5-dbd4-41c5-b02d-de89353c25ea')","32576")</f>
        <v>32576</v>
      </c>
      <c r="B821" s="10" t="s">
        <v>1434</v>
      </c>
      <c r="C821" s="10" t="s">
        <v>11</v>
      </c>
      <c r="D821" s="10" t="s">
        <v>1435</v>
      </c>
      <c r="E821" s="11">
        <v>41487.0</v>
      </c>
      <c r="F821" s="11">
        <v>42216.0</v>
      </c>
      <c r="G821" s="2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15" t="str">
        <f>HYPERLINK("javascript:void%20window.open('https://ds3.dhss.ak.local/dsds/ds3/index.cfm?fuseaction=pro.view&amp;entityId=3295a2b6-a55d-b11e-a0c7-d64f677a9876')","115910")</f>
        <v>115910</v>
      </c>
      <c r="B822" s="16" t="s">
        <v>1436</v>
      </c>
      <c r="C822" s="16" t="s">
        <v>11</v>
      </c>
      <c r="D822" s="16" t="s">
        <v>1437</v>
      </c>
      <c r="E822" s="17">
        <v>40665.0</v>
      </c>
      <c r="F822" s="17">
        <v>41912.0</v>
      </c>
      <c r="G822" s="2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12" t="str">
        <f>HYPERLINK("javascript:void%20window.open('https://ds3.dhss.ak.local/dsds/ds3/index.cfm?fuseaction=pro.view&amp;entityId=62fe61b5-f26c-99f8-c415-bcbcd915a65b')","78619")</f>
        <v>78619</v>
      </c>
      <c r="B823" s="13" t="s">
        <v>1438</v>
      </c>
      <c r="C823" s="13" t="s">
        <v>11</v>
      </c>
      <c r="D823" s="13" t="s">
        <v>1439</v>
      </c>
      <c r="E823" s="14">
        <v>39845.0</v>
      </c>
      <c r="F823" s="14">
        <v>42338.0</v>
      </c>
      <c r="G823" s="2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15" t="str">
        <f>HYPERLINK("javascript:void%20window.open('https://ds3.dhss.ak.local/dsds/ds3/index.cfm?fuseaction=pro.view&amp;entityId=07f71f6b-92cc-4745-9048-eaacaed3da20')","31776")</f>
        <v>31776</v>
      </c>
      <c r="B824" s="16" t="s">
        <v>1440</v>
      </c>
      <c r="C824" s="16" t="s">
        <v>11</v>
      </c>
      <c r="D824" s="16" t="s">
        <v>1441</v>
      </c>
      <c r="E824" s="17">
        <v>40821.0</v>
      </c>
      <c r="F824" s="17">
        <v>41912.0</v>
      </c>
      <c r="G824" s="2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12" t="str">
        <f>HYPERLINK("javascript:void%20window.open('https://ds3.dhss.ak.local/dsds/ds3/index.cfm?fuseaction=pro.view&amp;entityId=520e7898-dafa-57a6-d6cc-5a4301c78ae5')","131518")</f>
        <v>131518</v>
      </c>
      <c r="B825" s="13" t="s">
        <v>1442</v>
      </c>
      <c r="C825" s="13" t="s">
        <v>11</v>
      </c>
      <c r="D825" s="13" t="s">
        <v>1443</v>
      </c>
      <c r="E825" s="14">
        <v>41053.0</v>
      </c>
      <c r="F825" s="14">
        <v>42124.0</v>
      </c>
      <c r="G825" s="2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15" t="str">
        <f>HYPERLINK("javascript:void%20window.open('https://ds3.dhss.ak.local/dsds/ds3/index.cfm?fuseaction=pro.view&amp;entityId=789017c6-e34d-8cb0-5fbc-cea6af39c3c5')","129131")</f>
        <v>129131</v>
      </c>
      <c r="B826" s="16" t="s">
        <v>1444</v>
      </c>
      <c r="C826" s="16" t="s">
        <v>11</v>
      </c>
      <c r="D826" s="16" t="s">
        <v>1445</v>
      </c>
      <c r="E826" s="17">
        <v>40928.0</v>
      </c>
      <c r="F826" s="17">
        <v>41778.0</v>
      </c>
      <c r="G826" s="2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12" t="str">
        <f>HYPERLINK("javascript:void%20window.open('https://ds3.dhss.ak.local/dsds/ds3/index.cfm?fuseaction=pro.view&amp;entityId=9600984e-b75b-4841-9403-99c44cebe85e')","30207")</f>
        <v>30207</v>
      </c>
      <c r="B827" s="13" t="s">
        <v>1446</v>
      </c>
      <c r="C827" s="13" t="s">
        <v>11</v>
      </c>
      <c r="D827" s="13" t="s">
        <v>1447</v>
      </c>
      <c r="E827" s="14">
        <v>39356.0</v>
      </c>
      <c r="F827" s="14">
        <v>42277.0</v>
      </c>
      <c r="G827" s="2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9" t="str">
        <f>HYPERLINK("javascript:void%20window.open('https://ds3.dhss.ak.local/dsds/ds3/index.cfm?fuseaction=pro.view&amp;entityId=7b179bee-5056-bc68-7362-2185bed97d62')","138164")</f>
        <v>138164</v>
      </c>
      <c r="B828" s="10" t="s">
        <v>1448</v>
      </c>
      <c r="C828" s="10" t="s">
        <v>11</v>
      </c>
      <c r="D828" s="10" t="s">
        <v>1449</v>
      </c>
      <c r="E828" s="11">
        <v>41730.0</v>
      </c>
      <c r="F828" s="11">
        <v>42277.0</v>
      </c>
      <c r="G828" s="2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9" t="str">
        <f>HYPERLINK("javascript:void%20window.open('https://ds3.dhss.ak.local/dsds/ds3/index.cfm?fuseaction=pro.view&amp;entityId=ad5e36c7-f190-4f99-a7cb-b40bf6f3acfb')","158518")</f>
        <v>158518</v>
      </c>
      <c r="B829" s="10" t="s">
        <v>1450</v>
      </c>
      <c r="C829" s="10" t="s">
        <v>11</v>
      </c>
      <c r="D829" s="10" t="s">
        <v>1451</v>
      </c>
      <c r="E829" s="11">
        <v>41621.0</v>
      </c>
      <c r="F829" s="11">
        <v>41973.0</v>
      </c>
      <c r="G829" s="2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15" t="str">
        <f>HYPERLINK("javascript:void%20window.open('https://ds3.dhss.ak.local/dsds/ds3/index.cfm?fuseaction=pro.view&amp;entityId=833c117f-65be-f484-03b5-f36ccb6435f4')","62321")</f>
        <v>62321</v>
      </c>
      <c r="B830" s="16" t="s">
        <v>1452</v>
      </c>
      <c r="C830" s="16" t="s">
        <v>11</v>
      </c>
      <c r="D830" s="16" t="s">
        <v>1453</v>
      </c>
      <c r="E830" s="17">
        <v>40072.0</v>
      </c>
      <c r="F830" s="17">
        <v>42369.0</v>
      </c>
      <c r="G830" s="2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12" t="str">
        <f>HYPERLINK("javascript:void%20window.open('https://ds3.dhss.ak.local/dsds/ds3/index.cfm?fuseaction=pro.view&amp;entityId=ed0913b5-985d-4ef2-1bd8-928d5effd947')","69749")</f>
        <v>69749</v>
      </c>
      <c r="B831" s="13" t="s">
        <v>1454</v>
      </c>
      <c r="C831" s="13" t="s">
        <v>11</v>
      </c>
      <c r="D831" s="13" t="s">
        <v>1455</v>
      </c>
      <c r="E831" s="14">
        <v>40382.0</v>
      </c>
      <c r="F831" s="14">
        <v>41943.0</v>
      </c>
      <c r="G831" s="2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15" t="str">
        <f>HYPERLINK("javascript:void%20window.open('https://ds3.dhss.ak.local/dsds/ds3/index.cfm?fuseaction=pro.view&amp;entityId=bd275c30-bffc-f9a0-91a3-9e87ac32aa95')","75355")</f>
        <v>75355</v>
      </c>
      <c r="B832" s="16" t="s">
        <v>1456</v>
      </c>
      <c r="C832" s="16" t="s">
        <v>11</v>
      </c>
      <c r="D832" s="16" t="s">
        <v>1457</v>
      </c>
      <c r="E832" s="17">
        <v>40686.0</v>
      </c>
      <c r="F832" s="17">
        <v>41912.0</v>
      </c>
      <c r="G832" s="2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12" t="str">
        <f>HYPERLINK("javascript:void%20window.open('https://ds3.dhss.ak.local/dsds/ds3/index.cfm?fuseaction=pro.view&amp;entityId=2fed6036-5a22-485a-8b07-4dcc7541e060')","60154")</f>
        <v>60154</v>
      </c>
      <c r="B833" s="13" t="s">
        <v>1458</v>
      </c>
      <c r="C833" s="13" t="s">
        <v>11</v>
      </c>
      <c r="D833" s="13" t="s">
        <v>1459</v>
      </c>
      <c r="E833" s="14">
        <v>38899.0</v>
      </c>
      <c r="F833" s="14">
        <v>41912.0</v>
      </c>
      <c r="G833" s="2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15" t="str">
        <f>HYPERLINK("javascript:void%20window.open('https://ds3.dhss.ak.local/dsds/ds3/index.cfm?fuseaction=pro.view&amp;entityId=a34f6337-65be-f484-07e4-e8482d5e13e4')","63738")</f>
        <v>63738</v>
      </c>
      <c r="B834" s="16" t="s">
        <v>1460</v>
      </c>
      <c r="C834" s="16" t="s">
        <v>11</v>
      </c>
      <c r="D834" s="16" t="s">
        <v>1461</v>
      </c>
      <c r="E834" s="17">
        <v>39443.0</v>
      </c>
      <c r="F834" s="17">
        <v>41973.0</v>
      </c>
      <c r="G834" s="2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9" t="str">
        <f>HYPERLINK("javascript:void%20window.open('https://ds3.dhss.ak.local/dsds/ds3/index.cfm?fuseaction=pro.view&amp;entityId=7047858c-5056-bc68-7359-453c1b2033c9')","165258")</f>
        <v>165258</v>
      </c>
      <c r="B835" s="10" t="s">
        <v>1462</v>
      </c>
      <c r="C835" s="10" t="s">
        <v>11</v>
      </c>
      <c r="D835" s="10" t="s">
        <v>1463</v>
      </c>
      <c r="E835" s="11">
        <v>41768.0</v>
      </c>
      <c r="F835" s="11">
        <v>42124.0</v>
      </c>
      <c r="G835" s="2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15" t="str">
        <f>HYPERLINK("javascript:void%20window.open('https://ds3.dhss.ak.local/dsds/ds3/index.cfm?fuseaction=pro.view&amp;entityId=ff8d9bac-0182-ba98-d1f8-66588478452c')","90909")</f>
        <v>90909</v>
      </c>
      <c r="B836" s="16" t="s">
        <v>1464</v>
      </c>
      <c r="C836" s="16" t="s">
        <v>11</v>
      </c>
      <c r="D836" s="16" t="s">
        <v>1465</v>
      </c>
      <c r="E836" s="17">
        <v>40298.0</v>
      </c>
      <c r="F836" s="17">
        <v>42094.0</v>
      </c>
      <c r="G836" s="2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9" t="str">
        <f>HYPERLINK("javascript:void%20window.open('https://ds3.dhss.ak.local/dsds/ds3/index.cfm?fuseaction=pro.view&amp;entityId=a46bed23-5056-bc68-7313-b22e2c90c692')","151256")</f>
        <v>151256</v>
      </c>
      <c r="B837" s="10" t="s">
        <v>1466</v>
      </c>
      <c r="C837" s="10" t="s">
        <v>11</v>
      </c>
      <c r="D837" s="10" t="s">
        <v>1467</v>
      </c>
      <c r="E837" s="11">
        <v>41557.0</v>
      </c>
      <c r="F837" s="11">
        <v>41912.0</v>
      </c>
      <c r="G837" s="2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15" t="str">
        <f>HYPERLINK("javascript:void%20window.open('https://ds3.dhss.ak.local/dsds/ds3/index.cfm?fuseaction=pro.view&amp;entityId=b1cc0dac-09de-62ae-da55-cd0026083d18')","108151")</f>
        <v>108151</v>
      </c>
      <c r="B838" s="16" t="s">
        <v>1468</v>
      </c>
      <c r="C838" s="16" t="s">
        <v>11</v>
      </c>
      <c r="D838" s="16" t="s">
        <v>1469</v>
      </c>
      <c r="E838" s="17">
        <v>40620.0</v>
      </c>
      <c r="F838" s="17">
        <v>42429.0</v>
      </c>
      <c r="G838" s="2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12" t="str">
        <f>HYPERLINK("javascript:void%20window.open('https://ds3.dhss.ak.local/dsds/ds3/index.cfm?fuseaction=pro.view&amp;entityId=1e2cd805-9145-44e9-9da6-8cb7d0954a6f')","31864")</f>
        <v>31864</v>
      </c>
      <c r="B839" s="13" t="s">
        <v>1470</v>
      </c>
      <c r="C839" s="13" t="s">
        <v>11</v>
      </c>
      <c r="D839" s="13" t="s">
        <v>1471</v>
      </c>
      <c r="E839" s="14">
        <v>39326.0</v>
      </c>
      <c r="F839" s="14">
        <v>42277.0</v>
      </c>
      <c r="G839" s="2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15" t="str">
        <f>HYPERLINK("javascript:void%20window.open('https://ds3.dhss.ak.local/dsds/ds3/index.cfm?fuseaction=pro.view&amp;entityId=cd73c54d-7b65-4b41-8a2c-7377a3d59166')","31984")</f>
        <v>31984</v>
      </c>
      <c r="B840" s="16" t="s">
        <v>1472</v>
      </c>
      <c r="C840" s="16" t="s">
        <v>11</v>
      </c>
      <c r="D840" s="16" t="s">
        <v>1473</v>
      </c>
      <c r="E840" s="17">
        <v>38787.0</v>
      </c>
      <c r="F840" s="17">
        <v>42400.0</v>
      </c>
      <c r="G840" s="2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12" t="str">
        <f>HYPERLINK("javascript:void%20window.open('https://ds3.dhss.ak.local/dsds/ds3/index.cfm?fuseaction=pro.view&amp;entityId=d29b9a27-c154-4e33-94d2-170f3d52ebe7')","32056")</f>
        <v>32056</v>
      </c>
      <c r="B841" s="13" t="s">
        <v>1474</v>
      </c>
      <c r="C841" s="13" t="s">
        <v>11</v>
      </c>
      <c r="D841" s="13" t="s">
        <v>1475</v>
      </c>
      <c r="E841" s="14">
        <v>38991.0</v>
      </c>
      <c r="F841" s="14">
        <v>42400.0</v>
      </c>
      <c r="G841" s="2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15" t="str">
        <f>HYPERLINK("javascript:void%20window.open('https://ds3.dhss.ak.local/dsds/ds3/index.cfm?fuseaction=pro.view&amp;entityId=c3f3ae14-0055-4355-a260-f0489b303e8a')","32155")</f>
        <v>32155</v>
      </c>
      <c r="B842" s="16" t="s">
        <v>1476</v>
      </c>
      <c r="C842" s="16" t="s">
        <v>11</v>
      </c>
      <c r="D842" s="16" t="s">
        <v>1477</v>
      </c>
      <c r="E842" s="17">
        <v>39083.0</v>
      </c>
      <c r="F842" s="17">
        <v>42400.0</v>
      </c>
      <c r="G842" s="2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12" t="str">
        <f>HYPERLINK("javascript:void%20window.open('https://ds3.dhss.ak.local/dsds/ds3/index.cfm?fuseaction=pro.view&amp;entityId=c81c5c80-ae78-4ab0-998c-7224ad9ec6d2')","32023")</f>
        <v>32023</v>
      </c>
      <c r="B843" s="13" t="s">
        <v>1478</v>
      </c>
      <c r="C843" s="13" t="s">
        <v>11</v>
      </c>
      <c r="D843" s="13" t="s">
        <v>1479</v>
      </c>
      <c r="E843" s="14">
        <v>38169.0</v>
      </c>
      <c r="F843" s="14">
        <v>42490.0</v>
      </c>
      <c r="G843" s="2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15" t="str">
        <f>HYPERLINK("javascript:void%20window.open('https://ds3.dhss.ak.local/dsds/ds3/index.cfm?fuseaction=pro.view&amp;entityId=e45d9a5a-b8c6-5c24-2228-d7705630583e')","66845")</f>
        <v>66845</v>
      </c>
      <c r="B844" s="16" t="s">
        <v>1480</v>
      </c>
      <c r="C844" s="16" t="s">
        <v>11</v>
      </c>
      <c r="D844" s="16" t="s">
        <v>1481</v>
      </c>
      <c r="E844" s="17">
        <v>39600.0</v>
      </c>
      <c r="F844" s="17">
        <v>42521.0</v>
      </c>
      <c r="G844" s="2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12" t="str">
        <f>HYPERLINK("javascript:void%20window.open('https://ds3.dhss.ak.local/dsds/ds3/index.cfm?fuseaction=pro.view&amp;entityId=068196e9-b456-4c40-bead-b61eaf44ffef')","30371")</f>
        <v>30371</v>
      </c>
      <c r="B845" s="13" t="s">
        <v>1482</v>
      </c>
      <c r="C845" s="13" t="s">
        <v>11</v>
      </c>
      <c r="D845" s="13" t="s">
        <v>1483</v>
      </c>
      <c r="E845" s="14">
        <v>39142.0</v>
      </c>
      <c r="F845" s="14">
        <v>42063.0</v>
      </c>
      <c r="G845" s="2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15" t="str">
        <f>HYPERLINK("javascript:void%20window.open('https://ds3.dhss.ak.local/dsds/ds3/index.cfm?fuseaction=pro.view&amp;entityId=c4a5281b-0c00-edb0-4932-f5f9774ee8c5')","105008")</f>
        <v>105008</v>
      </c>
      <c r="B846" s="16" t="s">
        <v>1484</v>
      </c>
      <c r="C846" s="16" t="s">
        <v>11</v>
      </c>
      <c r="D846" s="16" t="s">
        <v>1485</v>
      </c>
      <c r="E846" s="17">
        <v>40501.0</v>
      </c>
      <c r="F846" s="17">
        <v>42308.0</v>
      </c>
      <c r="G846" s="2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12" t="str">
        <f>HYPERLINK("javascript:void%20window.open('https://ds3.dhss.ak.local/dsds/ds3/index.cfm?fuseaction=pro.view&amp;entityId=5cf4d6af-ecb9-4562-a868-e0da269ab732')","30962")</f>
        <v>30962</v>
      </c>
      <c r="B847" s="13" t="s">
        <v>1486</v>
      </c>
      <c r="C847" s="13" t="s">
        <v>11</v>
      </c>
      <c r="D847" s="13" t="s">
        <v>1487</v>
      </c>
      <c r="E847" s="14">
        <v>38808.0</v>
      </c>
      <c r="F847" s="14">
        <v>42460.0</v>
      </c>
      <c r="G847" s="2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15" t="str">
        <f>HYPERLINK("javascript:void%20window.open('https://ds3.dhss.ak.local/dsds/ds3/index.cfm?fuseaction=pro.view&amp;entityId=55bce723-aaea-475f-b286-346f2c24b304')","32794")</f>
        <v>32794</v>
      </c>
      <c r="B848" s="16" t="s">
        <v>1488</v>
      </c>
      <c r="C848" s="16" t="s">
        <v>11</v>
      </c>
      <c r="D848" s="16" t="s">
        <v>1489</v>
      </c>
      <c r="E848" s="17">
        <v>39343.0</v>
      </c>
      <c r="F848" s="17">
        <v>42582.0</v>
      </c>
      <c r="G848" s="2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12" t="str">
        <f>HYPERLINK("javascript:void%20window.open('https://ds3.dhss.ak.local/dsds/ds3/index.cfm?fuseaction=pro.view&amp;entityId=b3878e09-a047-4fc9-b559-a3abf131bce4')","30427")</f>
        <v>30427</v>
      </c>
      <c r="B849" s="13" t="s">
        <v>1490</v>
      </c>
      <c r="C849" s="13" t="s">
        <v>11</v>
      </c>
      <c r="D849" s="13" t="s">
        <v>1491</v>
      </c>
      <c r="E849" s="14">
        <v>38777.0</v>
      </c>
      <c r="F849" s="14">
        <v>42429.0</v>
      </c>
      <c r="G849" s="2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15" t="str">
        <f>HYPERLINK("javascript:void%20window.open('https://ds3.dhss.ak.local/dsds/ds3/index.cfm?fuseaction=pro.view&amp;entityId=6ea50bea-b0a8-49b8-0e34-0fd3708e50af')","127240")</f>
        <v>127240</v>
      </c>
      <c r="B850" s="16" t="s">
        <v>1492</v>
      </c>
      <c r="C850" s="16" t="s">
        <v>11</v>
      </c>
      <c r="D850" s="16" t="s">
        <v>1493</v>
      </c>
      <c r="E850" s="17">
        <v>40833.0</v>
      </c>
      <c r="F850" s="17">
        <v>42308.0</v>
      </c>
      <c r="G850" s="2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12" t="str">
        <f>HYPERLINK("javascript:void%20window.open('https://ds3.dhss.ak.local/dsds/ds3/index.cfm?fuseaction=pro.view&amp;entityId=a87ab70a-da6b-4121-802b-56d3b2528636')","32558")</f>
        <v>32558</v>
      </c>
      <c r="B851" s="13" t="s">
        <v>1494</v>
      </c>
      <c r="C851" s="13" t="s">
        <v>11</v>
      </c>
      <c r="D851" s="13" t="s">
        <v>1495</v>
      </c>
      <c r="E851" s="14">
        <v>38883.0</v>
      </c>
      <c r="F851" s="14">
        <v>42308.0</v>
      </c>
      <c r="G851" s="2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9" t="str">
        <f>HYPERLINK("javascript:void%20window.open('https://ds3.dhss.ak.local/dsds/ds3/index.cfm?fuseaction=pro.view&amp;entityId=3d4e9be9-931b-268d-d898-1119d4f54b1d')","98121")</f>
        <v>98121</v>
      </c>
      <c r="B852" s="10" t="s">
        <v>1496</v>
      </c>
      <c r="C852" s="10" t="s">
        <v>11</v>
      </c>
      <c r="D852" s="10" t="s">
        <v>1497</v>
      </c>
      <c r="E852" s="11">
        <v>41456.0</v>
      </c>
      <c r="F852" s="11">
        <v>42185.0</v>
      </c>
      <c r="G852" s="2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12" t="str">
        <f>HYPERLINK("javascript:void%20window.open('https://ds3.dhss.ak.local/dsds/ds3/index.cfm?fuseaction=pro.view&amp;entityId=c0e8bc4a-83a4-40cb-b268-686637c05408')","32742")</f>
        <v>32742</v>
      </c>
      <c r="B853" s="13" t="s">
        <v>1498</v>
      </c>
      <c r="C853" s="13" t="s">
        <v>11</v>
      </c>
      <c r="D853" s="13" t="s">
        <v>1499</v>
      </c>
      <c r="E853" s="14">
        <v>39209.0</v>
      </c>
      <c r="F853" s="14">
        <v>42400.0</v>
      </c>
      <c r="G853" s="2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15" t="str">
        <f>HYPERLINK("javascript:void%20window.open('https://ds3.dhss.ak.local/dsds/ds3/index.cfm?fuseaction=pro.view&amp;entityId=62606960-eaa7-4cf1-b902-914cd0ba8ebf')","30234")</f>
        <v>30234</v>
      </c>
      <c r="B854" s="16" t="s">
        <v>1500</v>
      </c>
      <c r="C854" s="16" t="s">
        <v>11</v>
      </c>
      <c r="D854" s="16" t="s">
        <v>1501</v>
      </c>
      <c r="E854" s="17">
        <v>38991.0</v>
      </c>
      <c r="F854" s="17">
        <v>41882.0</v>
      </c>
      <c r="G854" s="2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12" t="str">
        <f>HYPERLINK("javascript:void%20window.open('https://ds3.dhss.ak.local/dsds/ds3/index.cfm?fuseaction=pro.view&amp;entityId=3e0c246c-7027-4ab7-9f4a-5aa5c721e40a')","30810")</f>
        <v>30810</v>
      </c>
      <c r="B855" s="13" t="s">
        <v>1502</v>
      </c>
      <c r="C855" s="13" t="s">
        <v>11</v>
      </c>
      <c r="D855" s="13" t="s">
        <v>1503</v>
      </c>
      <c r="E855" s="14">
        <v>38899.0</v>
      </c>
      <c r="F855" s="14">
        <v>42460.0</v>
      </c>
      <c r="G855" s="2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15" t="str">
        <f>HYPERLINK("javascript:void%20window.open('https://ds3.dhss.ak.local/dsds/ds3/index.cfm?fuseaction=pro.view&amp;entityId=148548f3-ef17-463f-a64c-eac6869599fb')","30919")</f>
        <v>30919</v>
      </c>
      <c r="B856" s="16" t="s">
        <v>1504</v>
      </c>
      <c r="C856" s="16" t="s">
        <v>11</v>
      </c>
      <c r="D856" s="16" t="s">
        <v>1505</v>
      </c>
      <c r="E856" s="17">
        <v>38777.0</v>
      </c>
      <c r="F856" s="17">
        <v>42429.0</v>
      </c>
      <c r="G856" s="2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12" t="str">
        <f>HYPERLINK("javascript:void%20window.open('https://ds3.dhss.ak.local/dsds/ds3/index.cfm?fuseaction=pro.view&amp;entityId=73b03fa3-0af6-3298-d976-dfe5d9337648')","96585")</f>
        <v>96585</v>
      </c>
      <c r="B857" s="13" t="s">
        <v>1506</v>
      </c>
      <c r="C857" s="13" t="s">
        <v>11</v>
      </c>
      <c r="D857" s="13" t="s">
        <v>1507</v>
      </c>
      <c r="E857" s="14">
        <v>40304.0</v>
      </c>
      <c r="F857" s="14">
        <v>41882.0</v>
      </c>
      <c r="G857" s="2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15" t="str">
        <f>HYPERLINK("javascript:void%20window.open('https://ds3.dhss.ak.local/dsds/ds3/index.cfm?fuseaction=pro.view&amp;entityId=78584ca5-e484-48ae-9d0e-a67e922adc0d')","32682")</f>
        <v>32682</v>
      </c>
      <c r="B858" s="16" t="s">
        <v>1508</v>
      </c>
      <c r="C858" s="16" t="s">
        <v>11</v>
      </c>
      <c r="D858" s="16" t="s">
        <v>1509</v>
      </c>
      <c r="E858" s="17">
        <v>39150.0</v>
      </c>
      <c r="F858" s="17">
        <v>42613.0</v>
      </c>
      <c r="G858" s="2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12" t="str">
        <f>HYPERLINK("javascript:void%20window.open('https://ds3.dhss.ak.local/dsds/ds3/index.cfm?fuseaction=pro.view&amp;entityId=ce3e30cc-5056-bc68-73a4-0fe256af80ec')","149884")</f>
        <v>149884</v>
      </c>
      <c r="B859" s="13" t="s">
        <v>1510</v>
      </c>
      <c r="C859" s="13" t="s">
        <v>11</v>
      </c>
      <c r="D859" s="13" t="s">
        <v>1511</v>
      </c>
      <c r="E859" s="14">
        <v>41453.0</v>
      </c>
      <c r="F859" s="14">
        <v>42521.0</v>
      </c>
      <c r="G859" s="2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15" t="str">
        <f>HYPERLINK("javascript:void%20window.open('https://ds3.dhss.ak.local/dsds/ds3/index.cfm?fuseaction=pro.view&amp;entityId=ede66b9b-03db-0a9d-e9f5-4ab05b4a0eac')","77757")</f>
        <v>77757</v>
      </c>
      <c r="B860" s="16" t="s">
        <v>1512</v>
      </c>
      <c r="C860" s="16" t="s">
        <v>11</v>
      </c>
      <c r="D860" s="16" t="s">
        <v>1513</v>
      </c>
      <c r="E860" s="17">
        <v>40878.0</v>
      </c>
      <c r="F860" s="17">
        <v>41973.0</v>
      </c>
      <c r="G860" s="2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12" t="str">
        <f>HYPERLINK("javascript:void%20window.open('https://ds3.dhss.ak.local/dsds/ds3/index.cfm?fuseaction=pro.view&amp;entityId=e05fe773-df5d-4627-bba2-02eec8c16abb')","138586")</f>
        <v>138586</v>
      </c>
      <c r="B861" s="13" t="s">
        <v>1514</v>
      </c>
      <c r="C861" s="13" t="s">
        <v>11</v>
      </c>
      <c r="D861" s="13" t="s">
        <v>1515</v>
      </c>
      <c r="E861" s="14">
        <v>41170.0</v>
      </c>
      <c r="F861" s="14">
        <v>42400.0</v>
      </c>
      <c r="G861" s="2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15" t="str">
        <f>HYPERLINK("javascript:void%20window.open('https://ds3.dhss.ak.local/dsds/ds3/index.cfm?fuseaction=pro.view&amp;entityId=3f4733a9-b891-426d-8f2d-788c0376d868')","32417")</f>
        <v>32417</v>
      </c>
      <c r="B862" s="16" t="s">
        <v>1516</v>
      </c>
      <c r="C862" s="16" t="s">
        <v>11</v>
      </c>
      <c r="D862" s="16" t="s">
        <v>1517</v>
      </c>
      <c r="E862" s="17">
        <v>39356.0</v>
      </c>
      <c r="F862" s="17">
        <v>42277.0</v>
      </c>
      <c r="G862" s="2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12" t="str">
        <f>HYPERLINK("javascript:void%20window.open('https://ds3.dhss.ak.local/dsds/ds3/index.cfm?fuseaction=pro.view&amp;entityId=2e67cdc7-39f3-4c16-9714-079fad90443e')","31942")</f>
        <v>31942</v>
      </c>
      <c r="B863" s="13" t="s">
        <v>1518</v>
      </c>
      <c r="C863" s="13" t="s">
        <v>11</v>
      </c>
      <c r="D863" s="13" t="s">
        <v>1519</v>
      </c>
      <c r="E863" s="14">
        <v>38777.0</v>
      </c>
      <c r="F863" s="14">
        <v>42429.0</v>
      </c>
      <c r="G863" s="2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9" t="str">
        <f>HYPERLINK("javascript:void%20window.open('https://ds3.dhss.ak.local/dsds/ds3/index.cfm?fuseaction=pro.view&amp;entityId=155bef1b-5056-bc68-73f9-370929e3c289')","137155")</f>
        <v>137155</v>
      </c>
      <c r="B864" s="10" t="s">
        <v>1520</v>
      </c>
      <c r="C864" s="10" t="s">
        <v>11</v>
      </c>
      <c r="D864" s="10" t="s">
        <v>1521</v>
      </c>
      <c r="E864" s="11">
        <v>41786.0</v>
      </c>
      <c r="F864" s="11">
        <v>42124.0</v>
      </c>
      <c r="G864" s="2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12" t="str">
        <f>HYPERLINK("javascript:void%20window.open('https://ds3.dhss.ak.local/dsds/ds3/index.cfm?fuseaction=pro.view&amp;entityId=173700e1-d053-0aca-3ecd-09446a2173eb')","86254")</f>
        <v>86254</v>
      </c>
      <c r="B865" s="13" t="s">
        <v>1522</v>
      </c>
      <c r="C865" s="13" t="s">
        <v>11</v>
      </c>
      <c r="D865" s="13" t="s">
        <v>1523</v>
      </c>
      <c r="E865" s="14">
        <v>40087.0</v>
      </c>
      <c r="F865" s="14">
        <v>42643.0</v>
      </c>
      <c r="G865" s="2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15" t="str">
        <f>HYPERLINK("javascript:void%20window.open('https://ds3.dhss.ak.local/dsds/ds3/index.cfm?fuseaction=pro.view&amp;entityId=a223b668-b9be-4dc7-956a-766a0b81d2c6')","31397")</f>
        <v>31397</v>
      </c>
      <c r="B866" s="16" t="s">
        <v>1524</v>
      </c>
      <c r="C866" s="16" t="s">
        <v>11</v>
      </c>
      <c r="D866" s="16" t="s">
        <v>1525</v>
      </c>
      <c r="E866" s="17">
        <v>38777.0</v>
      </c>
      <c r="F866" s="17">
        <v>42429.0</v>
      </c>
      <c r="G866" s="2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9" t="str">
        <f>HYPERLINK("javascript:void%20window.open('https://ds3.dhss.ak.local/dsds/ds3/index.cfm?fuseaction=pro.view&amp;entityId=8c4b158e-5056-bc68-73ee-59bd18c15064')","154842")</f>
        <v>154842</v>
      </c>
      <c r="B867" s="10" t="s">
        <v>1526</v>
      </c>
      <c r="C867" s="10" t="s">
        <v>11</v>
      </c>
      <c r="D867" s="10" t="s">
        <v>1527</v>
      </c>
      <c r="E867" s="11">
        <v>41738.0</v>
      </c>
      <c r="F867" s="11">
        <v>42094.0</v>
      </c>
      <c r="G867" s="2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15" t="str">
        <f>HYPERLINK("javascript:void%20window.open('https://ds3.dhss.ak.local/dsds/ds3/index.cfm?fuseaction=pro.view&amp;entityId=65729b3b-8e7d-4da7-864e-96a15ecd68da')","31586")</f>
        <v>31586</v>
      </c>
      <c r="B868" s="16" t="s">
        <v>1528</v>
      </c>
      <c r="C868" s="16" t="s">
        <v>11</v>
      </c>
      <c r="D868" s="16" t="s">
        <v>1529</v>
      </c>
      <c r="E868" s="17">
        <v>41000.0</v>
      </c>
      <c r="F868" s="17">
        <v>42460.0</v>
      </c>
      <c r="G868" s="2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12" t="str">
        <f>HYPERLINK("javascript:void%20window.open('https://ds3.dhss.ak.local/dsds/ds3/index.cfm?fuseaction=pro.view&amp;entityId=0f8fdce0-fa8d-4c3f-9059-def6017e730d')","89982")</f>
        <v>89982</v>
      </c>
      <c r="B869" s="13" t="s">
        <v>1530</v>
      </c>
      <c r="C869" s="13" t="s">
        <v>11</v>
      </c>
      <c r="D869" s="13" t="s">
        <v>1531</v>
      </c>
      <c r="E869" s="14">
        <v>40221.0</v>
      </c>
      <c r="F869" s="14">
        <v>42400.0</v>
      </c>
      <c r="G869" s="2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15" t="str">
        <f>HYPERLINK("javascript:void%20window.open('https://ds3.dhss.ak.local/dsds/ds3/index.cfm?fuseaction=pro.view&amp;entityId=4d3999e5-ebc1-4517-90b0-4a3df721d8f6')","35973")</f>
        <v>35973</v>
      </c>
      <c r="B870" s="16" t="s">
        <v>1532</v>
      </c>
      <c r="C870" s="16" t="s">
        <v>11</v>
      </c>
      <c r="D870" s="16" t="s">
        <v>1533</v>
      </c>
      <c r="E870" s="17">
        <v>40806.0</v>
      </c>
      <c r="F870" s="17">
        <v>42551.0</v>
      </c>
      <c r="G870" s="2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12" t="str">
        <f>HYPERLINK("javascript:void%20window.open('https://ds3.dhss.ak.local/dsds/ds3/index.cfm?fuseaction=pro.view&amp;entityId=f6761a8f-603d-436e-a6e1-dfdda87c01d2')","32423")</f>
        <v>32423</v>
      </c>
      <c r="B871" s="13" t="s">
        <v>1534</v>
      </c>
      <c r="C871" s="13" t="s">
        <v>11</v>
      </c>
      <c r="D871" s="13" t="s">
        <v>1535</v>
      </c>
      <c r="E871" s="14">
        <v>40658.0</v>
      </c>
      <c r="F871" s="14">
        <v>41882.0</v>
      </c>
      <c r="G871" s="2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15" t="str">
        <f>HYPERLINK("javascript:void%20window.open('https://ds3.dhss.ak.local/dsds/ds3/index.cfm?fuseaction=pro.view&amp;entityId=7a4f2432-0ed8-4dd7-be83-d3669ca9b151')","104876")</f>
        <v>104876</v>
      </c>
      <c r="B872" s="16" t="s">
        <v>1536</v>
      </c>
      <c r="C872" s="16" t="s">
        <v>11</v>
      </c>
      <c r="D872" s="16" t="s">
        <v>1537</v>
      </c>
      <c r="E872" s="17">
        <v>41012.0</v>
      </c>
      <c r="F872" s="17">
        <v>42155.0</v>
      </c>
      <c r="G872" s="2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12" t="str">
        <f>HYPERLINK("javascript:void%20window.open('https://ds3.dhss.ak.local/dsds/ds3/index.cfm?fuseaction=pro.view&amp;entityId=3d780d8d-515a-47cd-92b8-2c5448af8d27')","31788")</f>
        <v>31788</v>
      </c>
      <c r="B873" s="13" t="s">
        <v>1538</v>
      </c>
      <c r="C873" s="13" t="s">
        <v>11</v>
      </c>
      <c r="D873" s="13" t="s">
        <v>1539</v>
      </c>
      <c r="E873" s="14">
        <v>39173.0</v>
      </c>
      <c r="F873" s="14">
        <v>42094.0</v>
      </c>
      <c r="G873" s="2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15" t="str">
        <f>HYPERLINK("javascript:void%20window.open('https://ds3.dhss.ak.local/dsds/ds3/index.cfm?fuseaction=pro.view&amp;entityId=5eb5a238-9f5b-4aa4-8501-c1d727bbbe4f')","100284")</f>
        <v>100284</v>
      </c>
      <c r="B874" s="16" t="s">
        <v>1540</v>
      </c>
      <c r="C874" s="16" t="s">
        <v>11</v>
      </c>
      <c r="D874" s="16" t="s">
        <v>1541</v>
      </c>
      <c r="E874" s="17">
        <v>40483.0</v>
      </c>
      <c r="F874" s="17">
        <v>41882.0</v>
      </c>
      <c r="G874" s="2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12" t="str">
        <f>HYPERLINK("javascript:void%20window.open('https://ds3.dhss.ak.local/dsds/ds3/index.cfm?fuseaction=pro.view&amp;entityId=d42ebc4a-c979-4dea-abaa-d37d29a170b3')","47380")</f>
        <v>47380</v>
      </c>
      <c r="B875" s="13" t="s">
        <v>1542</v>
      </c>
      <c r="C875" s="13" t="s">
        <v>11</v>
      </c>
      <c r="D875" s="13" t="s">
        <v>1543</v>
      </c>
      <c r="E875" s="14">
        <v>39569.0</v>
      </c>
      <c r="F875" s="14">
        <v>41943.0</v>
      </c>
      <c r="G875" s="2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15" t="str">
        <f>HYPERLINK("javascript:void%20window.open('https://ds3.dhss.ak.local/dsds/ds3/index.cfm?fuseaction=pro.view&amp;entityId=99ac81a3-f533-41ee-84d5-b4c302f3e4ea')","32313")</f>
        <v>32313</v>
      </c>
      <c r="B876" s="16" t="s">
        <v>1544</v>
      </c>
      <c r="C876" s="16" t="s">
        <v>11</v>
      </c>
      <c r="D876" s="16" t="s">
        <v>1545</v>
      </c>
      <c r="E876" s="17">
        <v>41221.0</v>
      </c>
      <c r="F876" s="17">
        <v>42247.0</v>
      </c>
      <c r="G876" s="2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12" t="str">
        <f>HYPERLINK("javascript:void%20window.open('https://ds3.dhss.ak.local/dsds/ds3/index.cfm?fuseaction=pro.view&amp;entityId=d12e9748-8ad5-49bb-b4d1-f156db77087a')","32388")</f>
        <v>32388</v>
      </c>
      <c r="B877" s="13" t="s">
        <v>1546</v>
      </c>
      <c r="C877" s="13" t="s">
        <v>11</v>
      </c>
      <c r="D877" s="13" t="s">
        <v>1547</v>
      </c>
      <c r="E877" s="14">
        <v>41091.0</v>
      </c>
      <c r="F877" s="14">
        <v>42551.0</v>
      </c>
      <c r="G877" s="2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15" t="str">
        <f>HYPERLINK("javascript:void%20window.open('https://ds3.dhss.ak.local/dsds/ds3/index.cfm?fuseaction=pro.view&amp;entityId=34b05316-5056-bc68-7341-17295f7a3beb')","151133")</f>
        <v>151133</v>
      </c>
      <c r="B878" s="16" t="s">
        <v>1548</v>
      </c>
      <c r="C878" s="16" t="s">
        <v>11</v>
      </c>
      <c r="D878" s="16" t="s">
        <v>1549</v>
      </c>
      <c r="E878" s="17">
        <v>41417.0</v>
      </c>
      <c r="F878" s="17">
        <v>42308.0</v>
      </c>
      <c r="G878" s="2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9" t="str">
        <f>HYPERLINK("javascript:void%20window.open('https://ds3.dhss.ak.local/dsds/ds3/index.cfm?fuseaction=pro.view&amp;entityId=e2faa619-5056-bc68-7309-0e59f358f48c')","167827")</f>
        <v>167827</v>
      </c>
      <c r="B879" s="10" t="s">
        <v>1550</v>
      </c>
      <c r="C879" s="10" t="s">
        <v>11</v>
      </c>
      <c r="D879" s="10" t="s">
        <v>1551</v>
      </c>
      <c r="E879" s="11">
        <v>41851.0</v>
      </c>
      <c r="F879" s="11">
        <v>41820.0</v>
      </c>
      <c r="G879" s="2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9" t="str">
        <f>HYPERLINK("javascript:void%20window.open('https://ds3.dhss.ak.local/dsds/ds3/index.cfm?fuseaction=pro.view&amp;entityId=ad8ecba8-5056-bc68-7360-79c10d384bc3')","152195")</f>
        <v>152195</v>
      </c>
      <c r="B880" s="10" t="s">
        <v>1552</v>
      </c>
      <c r="C880" s="10" t="s">
        <v>11</v>
      </c>
      <c r="D880" s="10" t="s">
        <v>1553</v>
      </c>
      <c r="E880" s="11">
        <v>41517.0</v>
      </c>
      <c r="F880" s="11">
        <v>42582.0</v>
      </c>
      <c r="G880" s="2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9" t="str">
        <f>HYPERLINK("javascript:void%20window.open('https://ds3.dhss.ak.local/dsds/ds3/index.cfm?fuseaction=pro.view&amp;entityId=8194febd-dde5-46fa-8bc1-fdfb8404af28')","160071")</f>
        <v>160071</v>
      </c>
      <c r="B881" s="10" t="s">
        <v>1554</v>
      </c>
      <c r="C881" s="10" t="s">
        <v>11</v>
      </c>
      <c r="D881" s="10" t="s">
        <v>1555</v>
      </c>
      <c r="E881" s="11">
        <v>41775.0</v>
      </c>
      <c r="F881" s="11">
        <v>42124.0</v>
      </c>
      <c r="G881" s="2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15" t="str">
        <f>HYPERLINK("javascript:void%20window.open('https://ds3.dhss.ak.local/dsds/ds3/index.cfm?fuseaction=pro.view&amp;entityId=3b05be2e-65be-f484-0880-15ec7da070ee')","61907")</f>
        <v>61907</v>
      </c>
      <c r="B882" s="16" t="s">
        <v>1556</v>
      </c>
      <c r="C882" s="16" t="s">
        <v>11</v>
      </c>
      <c r="D882" s="16" t="s">
        <v>1557</v>
      </c>
      <c r="E882" s="17">
        <v>39395.0</v>
      </c>
      <c r="F882" s="17">
        <v>42613.0</v>
      </c>
      <c r="G882" s="2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12" t="str">
        <f>HYPERLINK("javascript:void%20window.open('https://ds3.dhss.ak.local/dsds/ds3/index.cfm?fuseaction=pro.view&amp;entityId=8c7beeb6-df30-4962-b1e4-30da7d58232c')","30589")</f>
        <v>30589</v>
      </c>
      <c r="B883" s="13" t="s">
        <v>1558</v>
      </c>
      <c r="C883" s="13" t="s">
        <v>11</v>
      </c>
      <c r="D883" s="13" t="s">
        <v>1559</v>
      </c>
      <c r="E883" s="14">
        <v>38899.0</v>
      </c>
      <c r="F883" s="14">
        <v>42400.0</v>
      </c>
      <c r="G883" s="2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15" t="str">
        <f>HYPERLINK("javascript:void%20window.open('https://ds3.dhss.ak.local/dsds/ds3/index.cfm?fuseaction=pro.view&amp;entityId=8841f4df-0af6-499a-9aa6-0f07410deb74')","45705")</f>
        <v>45705</v>
      </c>
      <c r="B884" s="16" t="s">
        <v>1560</v>
      </c>
      <c r="C884" s="16" t="s">
        <v>11</v>
      </c>
      <c r="D884" s="16" t="s">
        <v>1561</v>
      </c>
      <c r="E884" s="17">
        <v>38991.0</v>
      </c>
      <c r="F884" s="17">
        <v>41882.0</v>
      </c>
      <c r="G884" s="2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12" t="str">
        <f>HYPERLINK("javascript:void%20window.open('https://ds3.dhss.ak.local/dsds/ds3/index.cfm?fuseaction=pro.view&amp;entityId=6ee0422a-cd1a-9d7d-b73a-21b4326ff9d4')","135467")</f>
        <v>135467</v>
      </c>
      <c r="B885" s="13" t="s">
        <v>1562</v>
      </c>
      <c r="C885" s="13" t="s">
        <v>11</v>
      </c>
      <c r="D885" s="13" t="s">
        <v>1563</v>
      </c>
      <c r="E885" s="14">
        <v>41043.0</v>
      </c>
      <c r="F885" s="14">
        <v>42551.0</v>
      </c>
      <c r="G885" s="2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15" t="str">
        <f>HYPERLINK("javascript:void%20window.open('https://ds3.dhss.ak.local/dsds/ds3/index.cfm?fuseaction=pro.view&amp;entityId=7a6fc11f-c2e7-76a3-598b-d6bec7b3db9a')","119438")</f>
        <v>119438</v>
      </c>
      <c r="B886" s="16" t="s">
        <v>1564</v>
      </c>
      <c r="C886" s="16" t="s">
        <v>11</v>
      </c>
      <c r="D886" s="16" t="s">
        <v>1565</v>
      </c>
      <c r="E886" s="17">
        <v>40801.0</v>
      </c>
      <c r="F886" s="17">
        <v>42490.0</v>
      </c>
      <c r="G886" s="2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9" t="str">
        <f>HYPERLINK("javascript:void%20window.open('https://ds3.dhss.ak.local/dsds/ds3/index.cfm?fuseaction=pro.view&amp;entityId=dc7a7a9a-9f6d-438e-aaba-8056ae6d2373')","97391")</f>
        <v>97391</v>
      </c>
      <c r="B887" s="10" t="s">
        <v>1566</v>
      </c>
      <c r="C887" s="10" t="s">
        <v>11</v>
      </c>
      <c r="D887" s="10" t="s">
        <v>1567</v>
      </c>
      <c r="E887" s="11">
        <v>41726.0</v>
      </c>
      <c r="F887" s="11">
        <v>42063.0</v>
      </c>
      <c r="G887" s="2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15" t="str">
        <f>HYPERLINK("javascript:void%20window.open('https://ds3.dhss.ak.local/dsds/ds3/index.cfm?fuseaction=pro.view&amp;entityId=44b54672-9ed8-510c-810c-da4ee8a60925')","135419")</f>
        <v>135419</v>
      </c>
      <c r="B888" s="16" t="s">
        <v>1568</v>
      </c>
      <c r="C888" s="16" t="s">
        <v>11</v>
      </c>
      <c r="D888" s="16" t="s">
        <v>1569</v>
      </c>
      <c r="E888" s="17">
        <v>41091.0</v>
      </c>
      <c r="F888" s="17">
        <v>42551.0</v>
      </c>
      <c r="G888" s="2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9" t="str">
        <f>HYPERLINK("javascript:void%20window.open('https://ds3.dhss.ak.local/dsds/ds3/index.cfm?fuseaction=pro.view&amp;entityId=6b64d9a6-eea6-42db-9c06-a0b46f24809a')","105446")</f>
        <v>105446</v>
      </c>
      <c r="B889" s="10" t="s">
        <v>1570</v>
      </c>
      <c r="C889" s="10" t="s">
        <v>11</v>
      </c>
      <c r="D889" s="10" t="s">
        <v>1571</v>
      </c>
      <c r="E889" s="11">
        <v>41548.0</v>
      </c>
      <c r="F889" s="11">
        <v>42582.0</v>
      </c>
      <c r="G889" s="2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15" t="str">
        <f>HYPERLINK("javascript:void%20window.open('https://ds3.dhss.ak.local/dsds/ds3/index.cfm?fuseaction=pro.view&amp;entityId=e1e37b41-8210-4a7c-9432-06f0f723127a')","51304")</f>
        <v>51304</v>
      </c>
      <c r="B890" s="16" t="s">
        <v>1572</v>
      </c>
      <c r="C890" s="16" t="s">
        <v>11</v>
      </c>
      <c r="D890" s="16" t="s">
        <v>1573</v>
      </c>
      <c r="E890" s="17">
        <v>39307.0</v>
      </c>
      <c r="F890" s="17">
        <v>41912.0</v>
      </c>
      <c r="G890" s="2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12" t="str">
        <f>HYPERLINK("javascript:void%20window.open('https://ds3.dhss.ak.local/dsds/ds3/index.cfm?fuseaction=pro.view&amp;entityId=9cf5b541-f924-4d00-aa1c-85b2816ba672')","150784")</f>
        <v>150784</v>
      </c>
      <c r="B891" s="13" t="s">
        <v>1574</v>
      </c>
      <c r="C891" s="13" t="s">
        <v>11</v>
      </c>
      <c r="D891" s="13" t="s">
        <v>1575</v>
      </c>
      <c r="E891" s="14">
        <v>41395.0</v>
      </c>
      <c r="F891" s="14">
        <v>42400.0</v>
      </c>
      <c r="G891" s="2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15" t="str">
        <f>HYPERLINK("javascript:void%20window.open('https://ds3.dhss.ak.local/dsds/ds3/index.cfm?fuseaction=pro.view&amp;entityId=62704fbb-7e84-4218-b8b2-25ba517cbee5')","82509")</f>
        <v>82509</v>
      </c>
      <c r="B892" s="16" t="s">
        <v>1576</v>
      </c>
      <c r="C892" s="16" t="s">
        <v>11</v>
      </c>
      <c r="D892" s="16" t="s">
        <v>1577</v>
      </c>
      <c r="E892" s="17">
        <v>40620.0</v>
      </c>
      <c r="F892" s="17">
        <v>42429.0</v>
      </c>
      <c r="G892" s="2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9" t="str">
        <f>HYPERLINK("javascript:void%20window.open('https://ds3.dhss.ak.local/dsds/ds3/index.cfm?fuseaction=pro.view&amp;entityId=637b4812-f2db-4434-9bc0-426d60056f1f')","32679")</f>
        <v>32679</v>
      </c>
      <c r="B893" s="10" t="s">
        <v>1578</v>
      </c>
      <c r="C893" s="10" t="s">
        <v>11</v>
      </c>
      <c r="D893" s="10" t="s">
        <v>1579</v>
      </c>
      <c r="E893" s="11">
        <v>41481.0</v>
      </c>
      <c r="F893" s="11">
        <v>42551.0</v>
      </c>
      <c r="G893" s="2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15" t="str">
        <f>HYPERLINK("javascript:void%20window.open('https://ds3.dhss.ak.local/dsds/ds3/index.cfm?fuseaction=pro.view&amp;entityId=5d86d188-daf4-b97c-ba68-0af9e3c9af2d')","121533")</f>
        <v>121533</v>
      </c>
      <c r="B894" s="16" t="s">
        <v>1580</v>
      </c>
      <c r="C894" s="16" t="s">
        <v>11</v>
      </c>
      <c r="D894" s="16" t="s">
        <v>1581</v>
      </c>
      <c r="E894" s="17">
        <v>40781.0</v>
      </c>
      <c r="F894" s="17">
        <v>41882.0</v>
      </c>
      <c r="G894" s="2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12" t="str">
        <f>HYPERLINK("javascript:void%20window.open('https://ds3.dhss.ak.local/dsds/ds3/index.cfm?fuseaction=pro.view&amp;entityId=a6056b8d-ffa5-4179-b8cf-e1048b573b31')","31454")</f>
        <v>31454</v>
      </c>
      <c r="B895" s="13" t="s">
        <v>1582</v>
      </c>
      <c r="C895" s="13" t="s">
        <v>11</v>
      </c>
      <c r="D895" s="13" t="s">
        <v>1583</v>
      </c>
      <c r="E895" s="14">
        <v>38991.0</v>
      </c>
      <c r="F895" s="14">
        <v>42582.0</v>
      </c>
      <c r="G895" s="2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15" t="str">
        <f>HYPERLINK("javascript:void%20window.open('https://ds3.dhss.ak.local/dsds/ds3/index.cfm?fuseaction=pro.view&amp;entityId=db77e312-f26c-4976-b2c8-7d793ef32fc7')","110159")</f>
        <v>110159</v>
      </c>
      <c r="B896" s="16" t="s">
        <v>1584</v>
      </c>
      <c r="C896" s="16" t="s">
        <v>11</v>
      </c>
      <c r="D896" s="16" t="s">
        <v>1585</v>
      </c>
      <c r="E896" s="17">
        <v>40820.0</v>
      </c>
      <c r="F896" s="17">
        <v>42551.0</v>
      </c>
      <c r="G896" s="2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9" t="str">
        <f>HYPERLINK("javascript:void%20window.open('https://ds3.dhss.ak.local/dsds/ds3/index.cfm?fuseaction=pro.view&amp;entityId=e211753a-5056-bc68-7388-5055e4308cab')","160387")</f>
        <v>160387</v>
      </c>
      <c r="B897" s="10" t="s">
        <v>1586</v>
      </c>
      <c r="C897" s="10" t="s">
        <v>11</v>
      </c>
      <c r="D897" s="10" t="s">
        <v>1587</v>
      </c>
      <c r="E897" s="11">
        <v>41647.0</v>
      </c>
      <c r="F897" s="11">
        <v>42004.0</v>
      </c>
      <c r="G897" s="2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15" t="str">
        <f>HYPERLINK("javascript:void%20window.open('https://ds3.dhss.ak.local/dsds/ds3/index.cfm?fuseaction=pro.view&amp;entityId=8a9b3a05-3b69-4c55-a305-478d768f7d22')","31873")</f>
        <v>31873</v>
      </c>
      <c r="B898" s="16" t="s">
        <v>1588</v>
      </c>
      <c r="C898" s="16" t="s">
        <v>11</v>
      </c>
      <c r="D898" s="16" t="s">
        <v>1589</v>
      </c>
      <c r="E898" s="17">
        <v>38899.0</v>
      </c>
      <c r="F898" s="17">
        <v>41882.0</v>
      </c>
      <c r="G898" s="2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12" t="str">
        <f>HYPERLINK("javascript:void%20window.open('https://ds3.dhss.ak.local/dsds/ds3/index.cfm?fuseaction=pro.view&amp;entityId=edf010fc-fd91-591d-5832-3187fac39567')","102808")</f>
        <v>102808</v>
      </c>
      <c r="B899" s="13" t="s">
        <v>1590</v>
      </c>
      <c r="C899" s="13" t="s">
        <v>11</v>
      </c>
      <c r="D899" s="13" t="s">
        <v>1591</v>
      </c>
      <c r="E899" s="14">
        <v>41365.0</v>
      </c>
      <c r="F899" s="14">
        <v>42369.0</v>
      </c>
      <c r="G899" s="2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9" t="str">
        <f>HYPERLINK("javascript:void%20window.open('https://ds3.dhss.ak.local/dsds/ds3/index.cfm?fuseaction=pro.view&amp;entityId=a36e7ce7-5056-bc68-73fb-30a3d71ea46e')","158366")</f>
        <v>158366</v>
      </c>
      <c r="B900" s="10" t="s">
        <v>1592</v>
      </c>
      <c r="C900" s="10" t="s">
        <v>11</v>
      </c>
      <c r="D900" s="10" t="s">
        <v>1593</v>
      </c>
      <c r="E900" s="11">
        <v>41655.0</v>
      </c>
      <c r="F900" s="11">
        <v>42004.0</v>
      </c>
      <c r="G900" s="2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12" t="str">
        <f>HYPERLINK("javascript:void%20window.open('https://ds3.dhss.ak.local/dsds/ds3/index.cfm?fuseaction=pro.view&amp;entityId=74799980-da1e-415d-b5d4-27fda0e2b0d0')","32759")</f>
        <v>32759</v>
      </c>
      <c r="B901" s="13" t="s">
        <v>1594</v>
      </c>
      <c r="C901" s="13" t="s">
        <v>11</v>
      </c>
      <c r="D901" s="13" t="s">
        <v>1595</v>
      </c>
      <c r="E901" s="14">
        <v>41429.0</v>
      </c>
      <c r="F901" s="14">
        <v>42155.0</v>
      </c>
      <c r="G901" s="2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9" t="str">
        <f>HYPERLINK("javascript:void%20window.open('https://ds3.dhss.ak.local/dsds/ds3/index.cfm?fuseaction=pro.view&amp;entityId=099a5e09-03d9-41be-abaf-6d0b3097d2c1')","32572")</f>
        <v>32572</v>
      </c>
      <c r="B902" s="10" t="s">
        <v>1596</v>
      </c>
      <c r="C902" s="10" t="s">
        <v>11</v>
      </c>
      <c r="D902" s="10" t="s">
        <v>1597</v>
      </c>
      <c r="E902" s="11">
        <v>41487.0</v>
      </c>
      <c r="F902" s="11">
        <v>42216.0</v>
      </c>
      <c r="G902" s="2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12" t="str">
        <f>HYPERLINK("javascript:void%20window.open('https://ds3.dhss.ak.local/dsds/ds3/index.cfm?fuseaction=pro.view&amp;entityId=b58b2189-5056-bc68-73e7-071a8e9e424e')","138464")</f>
        <v>138464</v>
      </c>
      <c r="B903" s="13" t="s">
        <v>1598</v>
      </c>
      <c r="C903" s="13" t="s">
        <v>11</v>
      </c>
      <c r="D903" s="13" t="s">
        <v>1599</v>
      </c>
      <c r="E903" s="14">
        <v>41282.0</v>
      </c>
      <c r="F903" s="14">
        <v>42369.0</v>
      </c>
      <c r="G903" s="2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15" t="str">
        <f>HYPERLINK("javascript:void%20window.open('https://ds3.dhss.ak.local/dsds/ds3/index.cfm?fuseaction=pro.view&amp;entityId=bbe633fe-06e1-4363-9d86-35c51b5a8c30')","30422")</f>
        <v>30422</v>
      </c>
      <c r="B904" s="16" t="s">
        <v>1600</v>
      </c>
      <c r="C904" s="16" t="s">
        <v>11</v>
      </c>
      <c r="D904" s="16" t="s">
        <v>1601</v>
      </c>
      <c r="E904" s="17">
        <v>38718.0</v>
      </c>
      <c r="F904" s="17">
        <v>42369.0</v>
      </c>
      <c r="G904" s="2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12" t="str">
        <f>HYPERLINK("javascript:void%20window.open('https://ds3.dhss.ak.local/dsds/ds3/index.cfm?fuseaction=pro.view&amp;entityId=8af5e033-15c5-4aa5-a8b1-e445cb909fe8')","34130")</f>
        <v>34130</v>
      </c>
      <c r="B905" s="13" t="s">
        <v>1602</v>
      </c>
      <c r="C905" s="13" t="s">
        <v>11</v>
      </c>
      <c r="D905" s="13" t="s">
        <v>1603</v>
      </c>
      <c r="E905" s="14">
        <v>41153.0</v>
      </c>
      <c r="F905" s="14">
        <v>42613.0</v>
      </c>
      <c r="G905" s="2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15" t="str">
        <f>HYPERLINK("javascript:void%20window.open('https://ds3.dhss.ak.local/dsds/ds3/index.cfm?fuseaction=pro.view&amp;entityId=402cc49a-e85b-a6ec-a10e-17fa42a731e6')","108526")</f>
        <v>108526</v>
      </c>
      <c r="B906" s="16" t="s">
        <v>1604</v>
      </c>
      <c r="C906" s="16" t="s">
        <v>11</v>
      </c>
      <c r="D906" s="16" t="s">
        <v>1605</v>
      </c>
      <c r="E906" s="17">
        <v>40575.0</v>
      </c>
      <c r="F906" s="17">
        <v>42460.0</v>
      </c>
      <c r="G906" s="2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12" t="str">
        <f>HYPERLINK("javascript:void%20window.open('https://ds3.dhss.ak.local/dsds/ds3/index.cfm?fuseaction=pro.view&amp;entityId=64a99c32-c2bf-4f67-847f-6d654ae254c3')","31562")</f>
        <v>31562</v>
      </c>
      <c r="B907" s="13" t="s">
        <v>1606</v>
      </c>
      <c r="C907" s="13" t="s">
        <v>11</v>
      </c>
      <c r="D907" s="13" t="s">
        <v>1607</v>
      </c>
      <c r="E907" s="14">
        <v>39923.0</v>
      </c>
      <c r="F907" s="14">
        <v>42460.0</v>
      </c>
      <c r="G907" s="2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9" t="str">
        <f>HYPERLINK("javascript:void%20window.open('https://ds3.dhss.ak.local/dsds/ds3/index.cfm?fuseaction=pro.view&amp;entityId=c74fee2a-c221-4830-b962-c4563fa296a4')","139657")</f>
        <v>139657</v>
      </c>
      <c r="B908" s="10" t="s">
        <v>1608</v>
      </c>
      <c r="C908" s="10" t="s">
        <v>11</v>
      </c>
      <c r="D908" s="10" t="s">
        <v>1609</v>
      </c>
      <c r="E908" s="11">
        <v>41768.0</v>
      </c>
      <c r="F908" s="11">
        <v>42185.0</v>
      </c>
      <c r="G908" s="2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12" t="str">
        <f>HYPERLINK("javascript:void%20window.open('https://ds3.dhss.ak.local/dsds/ds3/index.cfm?fuseaction=pro.view&amp;entityId=d3a050ec-ff81-f51c-00a2-05171b8bd4c2')","105673")</f>
        <v>105673</v>
      </c>
      <c r="B909" s="13" t="s">
        <v>1610</v>
      </c>
      <c r="C909" s="13" t="s">
        <v>11</v>
      </c>
      <c r="D909" s="13" t="s">
        <v>1611</v>
      </c>
      <c r="E909" s="14">
        <v>41293.0</v>
      </c>
      <c r="F909" s="14">
        <v>42400.0</v>
      </c>
      <c r="G909" s="2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15" t="str">
        <f>HYPERLINK("javascript:void%20window.open('https://ds3.dhss.ak.local/dsds/ds3/index.cfm?fuseaction=pro.view&amp;entityId=e688caa6-0e5c-cbe7-64ce-9a4a2303df2c')","102305")</f>
        <v>102305</v>
      </c>
      <c r="B910" s="16" t="s">
        <v>1612</v>
      </c>
      <c r="C910" s="16" t="s">
        <v>11</v>
      </c>
      <c r="D910" s="16" t="s">
        <v>1613</v>
      </c>
      <c r="E910" s="17">
        <v>40443.0</v>
      </c>
      <c r="F910" s="17">
        <v>42247.0</v>
      </c>
      <c r="G910" s="2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12" t="str">
        <f>HYPERLINK("javascript:void%20window.open('https://ds3.dhss.ak.local/dsds/ds3/index.cfm?fuseaction=pro.view&amp;entityId=e6d49cc4-4234-49e8-bbf4-3565e4fc8896')","93055")</f>
        <v>93055</v>
      </c>
      <c r="B911" s="13" t="s">
        <v>1614</v>
      </c>
      <c r="C911" s="13" t="s">
        <v>11</v>
      </c>
      <c r="D911" s="13" t="s">
        <v>1615</v>
      </c>
      <c r="E911" s="14">
        <v>40226.0</v>
      </c>
      <c r="F911" s="14">
        <v>41912.0</v>
      </c>
      <c r="G911" s="2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9" t="str">
        <f>HYPERLINK("javascript:void%20window.open('https://ds3.dhss.ak.local/dsds/ds3/index.cfm?fuseaction=pro.view&amp;entityId=432426c5-6000-4240-9b5d-891afd6d08dc')","140842")</f>
        <v>140842</v>
      </c>
      <c r="B912" s="10" t="s">
        <v>1616</v>
      </c>
      <c r="C912" s="10" t="s">
        <v>11</v>
      </c>
      <c r="D912" s="10" t="s">
        <v>1617</v>
      </c>
      <c r="E912" s="11">
        <v>41619.0</v>
      </c>
      <c r="F912" s="11">
        <v>41973.0</v>
      </c>
      <c r="G912" s="2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12" t="str">
        <f>HYPERLINK("javascript:void%20window.open('https://ds3.dhss.ak.local/dsds/ds3/index.cfm?fuseaction=pro.view&amp;entityId=4667bdb7-acab-3ef8-88eb-027012f7df75')","89390")</f>
        <v>89390</v>
      </c>
      <c r="B913" s="13" t="s">
        <v>1618</v>
      </c>
      <c r="C913" s="13" t="s">
        <v>11</v>
      </c>
      <c r="D913" s="13" t="s">
        <v>1619</v>
      </c>
      <c r="E913" s="14">
        <v>40141.0</v>
      </c>
      <c r="F913" s="14">
        <v>42400.0</v>
      </c>
      <c r="G913" s="2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15" t="str">
        <f>HYPERLINK("javascript:void%20window.open('https://ds3.dhss.ak.local/dsds/ds3/index.cfm?fuseaction=pro.view&amp;entityId=b0d4ad0e-cc63-4acf-8827-b899f4f19056')","32758")</f>
        <v>32758</v>
      </c>
      <c r="B914" s="16" t="s">
        <v>1620</v>
      </c>
      <c r="C914" s="16" t="s">
        <v>11</v>
      </c>
      <c r="D914" s="16" t="s">
        <v>1621</v>
      </c>
      <c r="E914" s="17">
        <v>39784.0</v>
      </c>
      <c r="F914" s="17">
        <v>42490.0</v>
      </c>
      <c r="G914" s="2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12" t="str">
        <f>HYPERLINK("javascript:void%20window.open('https://ds3.dhss.ak.local/dsds/ds3/index.cfm?fuseaction=pro.view&amp;entityId=2cb67904-1f33-4a12-bec0-034386de0762')","31970")</f>
        <v>31970</v>
      </c>
      <c r="B915" s="13" t="s">
        <v>1622</v>
      </c>
      <c r="C915" s="13" t="s">
        <v>11</v>
      </c>
      <c r="D915" s="13" t="s">
        <v>1623</v>
      </c>
      <c r="E915" s="14">
        <v>40280.0</v>
      </c>
      <c r="F915" s="14">
        <v>42094.0</v>
      </c>
      <c r="G915" s="2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15" t="str">
        <f>HYPERLINK("javascript:void%20window.open('https://ds3.dhss.ak.local/dsds/ds3/index.cfm?fuseaction=pro.view&amp;entityId=4564cddc-3ba5-4a79-ae21-3b73e8937ece')","52534")</f>
        <v>52534</v>
      </c>
      <c r="B916" s="16" t="s">
        <v>1624</v>
      </c>
      <c r="C916" s="16" t="s">
        <v>11</v>
      </c>
      <c r="D916" s="16" t="s">
        <v>1625</v>
      </c>
      <c r="E916" s="17">
        <v>39890.0</v>
      </c>
      <c r="F916" s="17">
        <v>42551.0</v>
      </c>
      <c r="G916" s="2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12" t="str">
        <f>HYPERLINK("javascript:void%20window.open('https://ds3.dhss.ak.local/dsds/ds3/index.cfm?fuseaction=pro.view&amp;entityId=aefd39f9-5f2b-4d75-9916-7337b3e3d3ab')","30733")</f>
        <v>30733</v>
      </c>
      <c r="B917" s="13" t="s">
        <v>1626</v>
      </c>
      <c r="C917" s="13" t="s">
        <v>11</v>
      </c>
      <c r="D917" s="13" t="s">
        <v>1627</v>
      </c>
      <c r="E917" s="14">
        <v>38991.0</v>
      </c>
      <c r="F917" s="14">
        <v>41882.0</v>
      </c>
      <c r="G917" s="2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15" t="str">
        <f>HYPERLINK("javascript:void%20window.open('https://ds3.dhss.ak.local/dsds/ds3/index.cfm?fuseaction=pro.view&amp;entityId=c95a3eee-d713-f5ca-d26d-3c8b2c053b45')","77418")</f>
        <v>77418</v>
      </c>
      <c r="B918" s="16" t="s">
        <v>1628</v>
      </c>
      <c r="C918" s="16" t="s">
        <v>11</v>
      </c>
      <c r="D918" s="16" t="s">
        <v>1629</v>
      </c>
      <c r="E918" s="17">
        <v>39842.0</v>
      </c>
      <c r="F918" s="17">
        <v>42004.0</v>
      </c>
      <c r="G918" s="2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12" t="str">
        <f>HYPERLINK("javascript:void%20window.open('https://ds3.dhss.ak.local/dsds/ds3/index.cfm?fuseaction=pro.view&amp;entityId=d1f194f7-d1f7-4d4b-bb7f-bd456eef01d3')","30823")</f>
        <v>30823</v>
      </c>
      <c r="B919" s="13" t="s">
        <v>1630</v>
      </c>
      <c r="C919" s="13" t="s">
        <v>11</v>
      </c>
      <c r="D919" s="13" t="s">
        <v>1631</v>
      </c>
      <c r="E919" s="14">
        <v>40422.0</v>
      </c>
      <c r="F919" s="14">
        <v>42277.0</v>
      </c>
      <c r="G919" s="2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15" t="str">
        <f>HYPERLINK("javascript:void%20window.open('https://ds3.dhss.ak.local/dsds/ds3/index.cfm?fuseaction=pro.view&amp;entityId=75e31247-ea30-47e0-a9f0-5dd22fb68ae6')","31932")</f>
        <v>31932</v>
      </c>
      <c r="B920" s="16" t="s">
        <v>1632</v>
      </c>
      <c r="C920" s="16" t="s">
        <v>11</v>
      </c>
      <c r="D920" s="16" t="s">
        <v>1633</v>
      </c>
      <c r="E920" s="17">
        <v>39448.0</v>
      </c>
      <c r="F920" s="17">
        <v>42369.0</v>
      </c>
      <c r="G920" s="2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12" t="str">
        <f>HYPERLINK("javascript:void%20window.open('https://ds3.dhss.ak.local/dsds/ds3/index.cfm?fuseaction=pro.view&amp;entityId=add88421-48b6-42aa-adde-2f209e90b5fb')","32300")</f>
        <v>32300</v>
      </c>
      <c r="B921" s="13" t="s">
        <v>1634</v>
      </c>
      <c r="C921" s="13" t="s">
        <v>11</v>
      </c>
      <c r="D921" s="13" t="s">
        <v>1635</v>
      </c>
      <c r="E921" s="14">
        <v>40151.0</v>
      </c>
      <c r="F921" s="14">
        <v>41973.0</v>
      </c>
      <c r="G921" s="2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15" t="str">
        <f>HYPERLINK("javascript:void%20window.open('https://ds3.dhss.ak.local/dsds/ds3/index.cfm?fuseaction=pro.view&amp;entityId=a1b56474-77bf-4952-a5e8-795d1ca87ad6')","31814")</f>
        <v>31814</v>
      </c>
      <c r="B922" s="16" t="s">
        <v>1636</v>
      </c>
      <c r="C922" s="16" t="s">
        <v>11</v>
      </c>
      <c r="D922" s="16" t="s">
        <v>1637</v>
      </c>
      <c r="E922" s="17">
        <v>39234.0</v>
      </c>
      <c r="F922" s="17">
        <v>42155.0</v>
      </c>
      <c r="G922" s="2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12" t="str">
        <f>HYPERLINK("javascript:void%20window.open('https://ds3.dhss.ak.local/dsds/ds3/index.cfm?fuseaction=pro.view&amp;entityId=19b0526b-5056-bc68-735b-5c74ce4de501')","147132")</f>
        <v>147132</v>
      </c>
      <c r="B923" s="13" t="s">
        <v>1638</v>
      </c>
      <c r="C923" s="13" t="s">
        <v>11</v>
      </c>
      <c r="D923" s="13" t="s">
        <v>1639</v>
      </c>
      <c r="E923" s="14">
        <v>41365.0</v>
      </c>
      <c r="F923" s="14">
        <v>41729.0</v>
      </c>
      <c r="G923" s="2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15" t="str">
        <f>HYPERLINK("javascript:void%20window.open('https://ds3.dhss.ak.local/dsds/ds3/index.cfm?fuseaction=pro.view&amp;entityId=ce3b3209-5056-bc68-737f-a899a762ee9b')","149883")</f>
        <v>149883</v>
      </c>
      <c r="B924" s="16" t="s">
        <v>1640</v>
      </c>
      <c r="C924" s="16" t="s">
        <v>11</v>
      </c>
      <c r="D924" s="16" t="s">
        <v>1641</v>
      </c>
      <c r="E924" s="17">
        <v>41453.0</v>
      </c>
      <c r="F924" s="17">
        <v>42521.0</v>
      </c>
      <c r="G924" s="2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12" t="str">
        <f>HYPERLINK("javascript:void%20window.open('https://ds3.dhss.ak.local/dsds/ds3/index.cfm?fuseaction=pro.view&amp;entityId=f082073e-aa59-4a50-9546-e8b6ba4f24f5')","61388")</f>
        <v>61388</v>
      </c>
      <c r="B925" s="13" t="s">
        <v>1642</v>
      </c>
      <c r="C925" s="13" t="s">
        <v>11</v>
      </c>
      <c r="D925" s="13" t="s">
        <v>1643</v>
      </c>
      <c r="E925" s="14">
        <v>40182.0</v>
      </c>
      <c r="F925" s="14">
        <v>42004.0</v>
      </c>
      <c r="G925" s="2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15" t="str">
        <f>HYPERLINK("javascript:void%20window.open('https://ds3.dhss.ak.local/dsds/ds3/index.cfm?fuseaction=pro.view&amp;entityId=5b3eca76-c8d5-4b80-8ff2-62ce71565fb3')","32783")</f>
        <v>32783</v>
      </c>
      <c r="B926" s="16" t="s">
        <v>1644</v>
      </c>
      <c r="C926" s="16" t="s">
        <v>11</v>
      </c>
      <c r="D926" s="16" t="s">
        <v>1645</v>
      </c>
      <c r="E926" s="17">
        <v>39248.0</v>
      </c>
      <c r="F926" s="17">
        <v>42490.0</v>
      </c>
      <c r="G926" s="2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12" t="str">
        <f>HYPERLINK("javascript:void%20window.open('https://ds3.dhss.ak.local/dsds/ds3/index.cfm?fuseaction=pro.view&amp;entityId=522d291d-4415-4a58-882d-6b667d3051e5')","84287")</f>
        <v>84287</v>
      </c>
      <c r="B927" s="13" t="s">
        <v>1646</v>
      </c>
      <c r="C927" s="13" t="s">
        <v>11</v>
      </c>
      <c r="D927" s="13" t="s">
        <v>1647</v>
      </c>
      <c r="E927" s="14">
        <v>41451.0</v>
      </c>
      <c r="F927" s="14">
        <v>42521.0</v>
      </c>
      <c r="G927" s="2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15" t="str">
        <f>HYPERLINK("javascript:void%20window.open('https://ds3.dhss.ak.local/dsds/ds3/index.cfm?fuseaction=pro.view&amp;entityId=d8b8232c-f871-5165-944e-3db831953b1b')","125360")</f>
        <v>125360</v>
      </c>
      <c r="B928" s="16" t="s">
        <v>1648</v>
      </c>
      <c r="C928" s="16" t="s">
        <v>11</v>
      </c>
      <c r="D928" s="16" t="s">
        <v>1649</v>
      </c>
      <c r="E928" s="17">
        <v>41153.0</v>
      </c>
      <c r="F928" s="17">
        <v>42613.0</v>
      </c>
      <c r="G928" s="2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12" t="str">
        <f>HYPERLINK("javascript:void%20window.open('https://ds3.dhss.ak.local/dsds/ds3/index.cfm?fuseaction=pro.view&amp;entityId=a9bd31b9-64a6-4cba-99e0-c751c4444151')","30852")</f>
        <v>30852</v>
      </c>
      <c r="B929" s="13" t="s">
        <v>1650</v>
      </c>
      <c r="C929" s="13" t="s">
        <v>11</v>
      </c>
      <c r="D929" s="13" t="s">
        <v>1651</v>
      </c>
      <c r="E929" s="14">
        <v>38108.0</v>
      </c>
      <c r="F929" s="14">
        <v>41873.0</v>
      </c>
      <c r="G929" s="2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15" t="str">
        <f>HYPERLINK("javascript:void%20window.open('https://ds3.dhss.ak.local/dsds/ds3/index.cfm?fuseaction=pro.view&amp;entityId=580d6cbc-6433-455b-81ba-f3f9450f09da')","32422")</f>
        <v>32422</v>
      </c>
      <c r="B930" s="16" t="s">
        <v>1652</v>
      </c>
      <c r="C930" s="16" t="s">
        <v>11</v>
      </c>
      <c r="D930" s="16" t="s">
        <v>1653</v>
      </c>
      <c r="E930" s="17">
        <v>41062.0</v>
      </c>
      <c r="F930" s="17">
        <v>41912.0</v>
      </c>
      <c r="G930" s="2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9" t="str">
        <f>HYPERLINK("javascript:void%20window.open('https://ds3.dhss.ak.local/dsds/ds3/index.cfm?fuseaction=pro.view&amp;entityId=f256acff-5056-bc68-7304-27905ba3f42b')","160731")</f>
        <v>160731</v>
      </c>
      <c r="B931" s="10" t="s">
        <v>1654</v>
      </c>
      <c r="C931" s="10" t="s">
        <v>11</v>
      </c>
      <c r="D931" s="10" t="s">
        <v>1655</v>
      </c>
      <c r="E931" s="11">
        <v>41660.0</v>
      </c>
      <c r="F931" s="11">
        <v>42004.0</v>
      </c>
      <c r="G931" s="2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15" t="str">
        <f>HYPERLINK("javascript:void%20window.open('https://ds3.dhss.ak.local/dsds/ds3/index.cfm?fuseaction=pro.view&amp;entityId=73660698-274b-40c2-b14c-e4eaa22445fc')","61383")</f>
        <v>61383</v>
      </c>
      <c r="B932" s="16" t="s">
        <v>1656</v>
      </c>
      <c r="C932" s="16" t="s">
        <v>11</v>
      </c>
      <c r="D932" s="16" t="s">
        <v>1657</v>
      </c>
      <c r="E932" s="17">
        <v>40372.0</v>
      </c>
      <c r="F932" s="17">
        <v>42185.0</v>
      </c>
      <c r="G932" s="2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12" t="str">
        <f>HYPERLINK("javascript:void%20window.open('https://ds3.dhss.ak.local/dsds/ds3/index.cfm?fuseaction=pro.view&amp;entityId=258aa759-1061-45c9-b7b9-26af855115a1')","32779")</f>
        <v>32779</v>
      </c>
      <c r="B933" s="13" t="s">
        <v>1658</v>
      </c>
      <c r="C933" s="13" t="s">
        <v>11</v>
      </c>
      <c r="D933" s="13" t="s">
        <v>1659</v>
      </c>
      <c r="E933" s="14">
        <v>39279.0</v>
      </c>
      <c r="F933" s="14">
        <v>42521.0</v>
      </c>
      <c r="G933" s="2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15" t="str">
        <f>HYPERLINK("javascript:void%20window.open('https://ds3.dhss.ak.local/dsds/ds3/index.cfm?fuseaction=pro.view&amp;entityId=bca3f1f1-79b5-49b0-94c3-3bd75c92e3a2')","32645")</f>
        <v>32645</v>
      </c>
      <c r="B934" s="16" t="s">
        <v>1660</v>
      </c>
      <c r="C934" s="16" t="s">
        <v>11</v>
      </c>
      <c r="D934" s="16" t="s">
        <v>1661</v>
      </c>
      <c r="E934" s="17">
        <v>40909.0</v>
      </c>
      <c r="F934" s="17">
        <v>42429.0</v>
      </c>
      <c r="G934" s="2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12" t="str">
        <f>HYPERLINK("javascript:void%20window.open('https://ds3.dhss.ak.local/dsds/ds3/index.cfm?fuseaction=pro.view&amp;entityId=1ebd1b91-be59-4bdb-a519-ea200e1375b2')","32712")</f>
        <v>32712</v>
      </c>
      <c r="B935" s="13" t="s">
        <v>1662</v>
      </c>
      <c r="C935" s="13" t="s">
        <v>11</v>
      </c>
      <c r="D935" s="13" t="s">
        <v>1663</v>
      </c>
      <c r="E935" s="14">
        <v>39143.0</v>
      </c>
      <c r="F935" s="14">
        <v>42429.0</v>
      </c>
      <c r="G935" s="2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15" t="str">
        <f>HYPERLINK("javascript:void%20window.open('https://ds3.dhss.ak.local/dsds/ds3/index.cfm?fuseaction=pro.view&amp;entityId=05a4a683-f655-422f-a9ae-49331f10fa0f')","102967")</f>
        <v>102967</v>
      </c>
      <c r="B936" s="16" t="s">
        <v>1664</v>
      </c>
      <c r="C936" s="16" t="s">
        <v>11</v>
      </c>
      <c r="D936" s="16" t="s">
        <v>1665</v>
      </c>
      <c r="E936" s="17">
        <v>40724.0</v>
      </c>
      <c r="F936" s="17">
        <v>41774.0</v>
      </c>
      <c r="G936" s="2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9" t="str">
        <f>HYPERLINK("javascript:void%20window.open('https://ds3.dhss.ak.local/dsds/ds3/index.cfm?fuseaction=pro.view&amp;entityId=49af218d-0a27-45eb-8004-6db7beb46fd1')","30853")</f>
        <v>30853</v>
      </c>
      <c r="B937" s="10" t="s">
        <v>1666</v>
      </c>
      <c r="C937" s="10" t="s">
        <v>11</v>
      </c>
      <c r="D937" s="10" t="s">
        <v>1667</v>
      </c>
      <c r="E937" s="11">
        <v>41548.0</v>
      </c>
      <c r="F937" s="11">
        <v>41912.0</v>
      </c>
      <c r="G937" s="2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15" t="str">
        <f>HYPERLINK("javascript:void%20window.open('https://ds3.dhss.ak.local/dsds/ds3/index.cfm?fuseaction=pro.view&amp;entityId=d46c2679-cb49-4055-a08f-56aa5b352f96')","75719")</f>
        <v>75719</v>
      </c>
      <c r="B938" s="16" t="s">
        <v>1668</v>
      </c>
      <c r="C938" s="16" t="s">
        <v>11</v>
      </c>
      <c r="D938" s="16" t="s">
        <v>1669</v>
      </c>
      <c r="E938" s="17">
        <v>39875.0</v>
      </c>
      <c r="F938" s="17">
        <v>41882.0</v>
      </c>
      <c r="G938" s="2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12" t="str">
        <f>HYPERLINK("javascript:void%20window.open('https://ds3.dhss.ak.local/dsds/ds3/index.cfm?fuseaction=pro.view&amp;entityId=617d16c7-cadb-e13b-0c49-b2e032ec338f')","82610")</f>
        <v>82610</v>
      </c>
      <c r="B939" s="13" t="s">
        <v>1670</v>
      </c>
      <c r="C939" s="13" t="s">
        <v>11</v>
      </c>
      <c r="D939" s="13" t="s">
        <v>1671</v>
      </c>
      <c r="E939" s="14">
        <v>40000.0</v>
      </c>
      <c r="F939" s="14">
        <v>42551.0</v>
      </c>
      <c r="G939" s="2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15" t="str">
        <f>HYPERLINK("javascript:void%20window.open('https://ds3.dhss.ak.local/dsds/ds3/index.cfm?fuseaction=pro.view&amp;entityId=d66bc080-5ee3-436f-9fd8-558fb4f3c94d')","142388")</f>
        <v>142388</v>
      </c>
      <c r="B940" s="16" t="s">
        <v>1672</v>
      </c>
      <c r="C940" s="16" t="s">
        <v>11</v>
      </c>
      <c r="D940" s="16" t="s">
        <v>1673</v>
      </c>
      <c r="E940" s="17">
        <v>41317.0</v>
      </c>
      <c r="F940" s="17">
        <v>41882.0</v>
      </c>
      <c r="G940" s="2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12" t="str">
        <f>HYPERLINK("javascript:void%20window.open('https://ds3.dhss.ak.local/dsds/ds3/index.cfm?fuseaction=pro.view&amp;entityId=12dda95e-c303-4513-8999-a670e95523e7')","32488")</f>
        <v>32488</v>
      </c>
      <c r="B941" s="13" t="s">
        <v>1674</v>
      </c>
      <c r="C941" s="13" t="s">
        <v>11</v>
      </c>
      <c r="D941" s="13" t="s">
        <v>1675</v>
      </c>
      <c r="E941" s="14">
        <v>38771.0</v>
      </c>
      <c r="F941" s="14">
        <v>42400.0</v>
      </c>
      <c r="G941" s="2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15" t="str">
        <f>HYPERLINK("javascript:void%20window.open('https://ds3.dhss.ak.local/dsds/ds3/index.cfm?fuseaction=pro.view&amp;entityId=7dc4ebd5-6964-492a-a23d-24ca8fd23fa7')","32316")</f>
        <v>32316</v>
      </c>
      <c r="B942" s="16" t="s">
        <v>1676</v>
      </c>
      <c r="C942" s="16" t="s">
        <v>11</v>
      </c>
      <c r="D942" s="16" t="s">
        <v>1677</v>
      </c>
      <c r="E942" s="17">
        <v>40392.0</v>
      </c>
      <c r="F942" s="17">
        <v>42185.0</v>
      </c>
      <c r="G942" s="2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12" t="str">
        <f>HYPERLINK("javascript:void%20window.open('https://ds3.dhss.ak.local/dsds/ds3/index.cfm?fuseaction=pro.view&amp;entityId=db968577-c2c0-4257-a5f1-11706f8db747')","32704")</f>
        <v>32704</v>
      </c>
      <c r="B943" s="13" t="s">
        <v>1678</v>
      </c>
      <c r="C943" s="13" t="s">
        <v>11</v>
      </c>
      <c r="D943" s="13" t="s">
        <v>1679</v>
      </c>
      <c r="E943" s="14">
        <v>38838.0</v>
      </c>
      <c r="F943" s="14">
        <v>41882.0</v>
      </c>
      <c r="G943" s="2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15" t="str">
        <f>HYPERLINK("javascript:void%20window.open('https://ds3.dhss.ak.local/dsds/ds3/index.cfm?fuseaction=pro.view&amp;entityId=ef7fbef4-051a-9deb-a934-71675a32b029')","81777")</f>
        <v>81777</v>
      </c>
      <c r="B944" s="16" t="s">
        <v>1680</v>
      </c>
      <c r="C944" s="16" t="s">
        <v>11</v>
      </c>
      <c r="D944" s="16" t="s">
        <v>1681</v>
      </c>
      <c r="E944" s="17">
        <v>39937.0</v>
      </c>
      <c r="F944" s="17">
        <v>42613.0</v>
      </c>
      <c r="G944" s="2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12" t="str">
        <f>HYPERLINK("javascript:void%20window.open('https://ds3.dhss.ak.local/dsds/ds3/index.cfm?fuseaction=pro.view&amp;entityId=2937380b-ee1f-493f-8da1-591221a830e3')","32542")</f>
        <v>32542</v>
      </c>
      <c r="B945" s="13" t="s">
        <v>1682</v>
      </c>
      <c r="C945" s="13" t="s">
        <v>11</v>
      </c>
      <c r="D945" s="13" t="s">
        <v>1683</v>
      </c>
      <c r="E945" s="14">
        <v>38875.0</v>
      </c>
      <c r="F945" s="14">
        <v>42429.0</v>
      </c>
      <c r="G945" s="2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15" t="str">
        <f>HYPERLINK("javascript:void%20window.open('https://ds3.dhss.ak.local/dsds/ds3/index.cfm?fuseaction=pro.view&amp;entityId=e07ba222-61e2-47c8-8aa6-456e04771594')","32598")</f>
        <v>32598</v>
      </c>
      <c r="B946" s="16" t="s">
        <v>1684</v>
      </c>
      <c r="C946" s="16" t="s">
        <v>11</v>
      </c>
      <c r="D946" s="16" t="s">
        <v>1685</v>
      </c>
      <c r="E946" s="17">
        <v>38899.0</v>
      </c>
      <c r="F946" s="17">
        <v>41912.0</v>
      </c>
      <c r="G946" s="2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9" t="str">
        <f>HYPERLINK("javascript:void%20window.open('https://ds3.dhss.ak.local/dsds/ds3/index.cfm?fuseaction=pro.view&amp;entityId=bc18bbb3-5056-bc68-7379-d47adaa4c0b7')","147383")</f>
        <v>147383</v>
      </c>
      <c r="B947" s="10" t="s">
        <v>1686</v>
      </c>
      <c r="C947" s="10" t="s">
        <v>11</v>
      </c>
      <c r="D947" s="10" t="s">
        <v>1687</v>
      </c>
      <c r="E947" s="11">
        <v>41548.0</v>
      </c>
      <c r="F947" s="11">
        <v>42521.0</v>
      </c>
      <c r="G947" s="2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15" t="str">
        <f>HYPERLINK("javascript:void%20window.open('https://ds3.dhss.ak.local/dsds/ds3/index.cfm?fuseaction=pro.view&amp;entityId=41e75359-65be-f484-01dc-37c0fbc9c246')","63234")</f>
        <v>63234</v>
      </c>
      <c r="B948" s="16" t="s">
        <v>1688</v>
      </c>
      <c r="C948" s="16" t="s">
        <v>11</v>
      </c>
      <c r="D948" s="16" t="s">
        <v>1689</v>
      </c>
      <c r="E948" s="17">
        <v>39422.0</v>
      </c>
      <c r="F948" s="17">
        <v>42094.0</v>
      </c>
      <c r="G948" s="2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9" t="str">
        <f>HYPERLINK("javascript:void%20window.open('https://ds3.dhss.ak.local/dsds/ds3/index.cfm?fuseaction=pro.view&amp;entityId=d67f30e8-7c52-49c8-b9db-15a545870b48')","30997")</f>
        <v>30997</v>
      </c>
      <c r="B949" s="10" t="s">
        <v>1690</v>
      </c>
      <c r="C949" s="10" t="s">
        <v>11</v>
      </c>
      <c r="D949" s="10" t="s">
        <v>1691</v>
      </c>
      <c r="E949" s="11">
        <v>41548.0</v>
      </c>
      <c r="F949" s="11">
        <v>42185.0</v>
      </c>
      <c r="G949" s="2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15" t="str">
        <f>HYPERLINK("javascript:void%20window.open('https://ds3.dhss.ak.local/dsds/ds3/index.cfm?fuseaction=pro.view&amp;entityId=b6cfb691-4d38-4705-856a-361340ae1087')","31875")</f>
        <v>31875</v>
      </c>
      <c r="B950" s="16" t="s">
        <v>1692</v>
      </c>
      <c r="C950" s="16" t="s">
        <v>11</v>
      </c>
      <c r="D950" s="16" t="s">
        <v>1693</v>
      </c>
      <c r="E950" s="17">
        <v>38991.0</v>
      </c>
      <c r="F950" s="17">
        <v>41882.0</v>
      </c>
      <c r="G950" s="2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12" t="str">
        <f>HYPERLINK("javascript:void%20window.open('https://ds3.dhss.ak.local/dsds/ds3/index.cfm?fuseaction=pro.view&amp;entityId=134b4a8a-72e9-4001-b145-411f1476eb63')","32223")</f>
        <v>32223</v>
      </c>
      <c r="B951" s="13" t="s">
        <v>1694</v>
      </c>
      <c r="C951" s="13" t="s">
        <v>11</v>
      </c>
      <c r="D951" s="13" t="s">
        <v>1695</v>
      </c>
      <c r="E951" s="14">
        <v>38869.0</v>
      </c>
      <c r="F951" s="14">
        <v>41882.0</v>
      </c>
      <c r="G951" s="2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15" t="str">
        <f>HYPERLINK("javascript:void%20window.open('https://ds3.dhss.ak.local/dsds/ds3/index.cfm?fuseaction=pro.view&amp;entityId=87665f10-37f6-4cf5-a48c-dcb2e8f5b9b5')","32224")</f>
        <v>32224</v>
      </c>
      <c r="B952" s="16" t="s">
        <v>1696</v>
      </c>
      <c r="C952" s="16" t="s">
        <v>11</v>
      </c>
      <c r="D952" s="16" t="s">
        <v>1697</v>
      </c>
      <c r="E952" s="17">
        <v>38869.0</v>
      </c>
      <c r="F952" s="17">
        <v>41882.0</v>
      </c>
      <c r="G952" s="2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12" t="str">
        <f>HYPERLINK("javascript:void%20window.open('https://ds3.dhss.ak.local/dsds/ds3/index.cfm?fuseaction=pro.view&amp;entityId=84775e64-b9ff-466a-ba43-0dbe6cb4e78b')","32225")</f>
        <v>32225</v>
      </c>
      <c r="B953" s="13" t="s">
        <v>1698</v>
      </c>
      <c r="C953" s="13" t="s">
        <v>11</v>
      </c>
      <c r="D953" s="13" t="s">
        <v>1699</v>
      </c>
      <c r="E953" s="14">
        <v>38869.0</v>
      </c>
      <c r="F953" s="14">
        <v>41882.0</v>
      </c>
      <c r="G953" s="2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15" t="str">
        <f>HYPERLINK("javascript:void%20window.open('https://ds3.dhss.ak.local/dsds/ds3/index.cfm?fuseaction=pro.view&amp;entityId=06e3de8e-25ef-47a4-b91d-34ad29c6946b')","32163")</f>
        <v>32163</v>
      </c>
      <c r="B954" s="16" t="s">
        <v>1700</v>
      </c>
      <c r="C954" s="16" t="s">
        <v>11</v>
      </c>
      <c r="D954" s="16" t="s">
        <v>1701</v>
      </c>
      <c r="E954" s="17">
        <v>38869.0</v>
      </c>
      <c r="F954" s="17">
        <v>41882.0</v>
      </c>
      <c r="G954" s="2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12" t="str">
        <f>HYPERLINK("javascript:void%20window.open('https://ds3.dhss.ak.local/dsds/ds3/index.cfm?fuseaction=pro.view&amp;entityId=c45a55c0-ee58-48b0-b965-7374cae8754e')","32226")</f>
        <v>32226</v>
      </c>
      <c r="B955" s="13" t="s">
        <v>1702</v>
      </c>
      <c r="C955" s="13" t="s">
        <v>11</v>
      </c>
      <c r="D955" s="13" t="s">
        <v>1703</v>
      </c>
      <c r="E955" s="14">
        <v>38869.0</v>
      </c>
      <c r="F955" s="14">
        <v>41882.0</v>
      </c>
      <c r="G955" s="2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15" t="str">
        <f>HYPERLINK("javascript:void%20window.open('https://ds3.dhss.ak.local/dsds/ds3/index.cfm?fuseaction=pro.view&amp;entityId=7a2342d4-6994-4a6d-b7c2-9a804804bfa6')","32227")</f>
        <v>32227</v>
      </c>
      <c r="B956" s="16" t="s">
        <v>1704</v>
      </c>
      <c r="C956" s="16" t="s">
        <v>11</v>
      </c>
      <c r="D956" s="16" t="s">
        <v>1705</v>
      </c>
      <c r="E956" s="17">
        <v>38869.0</v>
      </c>
      <c r="F956" s="17">
        <v>41882.0</v>
      </c>
      <c r="G956" s="2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12" t="str">
        <f>HYPERLINK("javascript:void%20window.open('https://ds3.dhss.ak.local/dsds/ds3/index.cfm?fuseaction=pro.view&amp;entityId=6020c698-d761-4d13-bbc6-7301d876cb4d')","31787")</f>
        <v>31787</v>
      </c>
      <c r="B957" s="13" t="s">
        <v>1706</v>
      </c>
      <c r="C957" s="13" t="s">
        <v>11</v>
      </c>
      <c r="D957" s="13" t="s">
        <v>1707</v>
      </c>
      <c r="E957" s="14">
        <v>39173.0</v>
      </c>
      <c r="F957" s="14">
        <v>42094.0</v>
      </c>
      <c r="G957" s="2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9" t="str">
        <f>HYPERLINK("javascript:void%20window.open('https://ds3.dhss.ak.local/dsds/ds3/index.cfm?fuseaction=pro.view&amp;entityId=de9bf269-5056-bc68-732b-f6f59d00280d')","153154")</f>
        <v>153154</v>
      </c>
      <c r="B958" s="10" t="s">
        <v>1708</v>
      </c>
      <c r="C958" s="10" t="s">
        <v>11</v>
      </c>
      <c r="D958" s="10" t="s">
        <v>1709</v>
      </c>
      <c r="E958" s="11">
        <v>41520.0</v>
      </c>
      <c r="F958" s="11">
        <v>41882.0</v>
      </c>
      <c r="G958" s="2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12" t="str">
        <f>HYPERLINK("javascript:void%20window.open('https://ds3.dhss.ak.local/dsds/ds3/index.cfm?fuseaction=pro.view&amp;entityId=c56bc9b7-5056-bc68-7306-a06dac019e61')","141079")</f>
        <v>141079</v>
      </c>
      <c r="B959" s="13" t="s">
        <v>1710</v>
      </c>
      <c r="C959" s="13" t="s">
        <v>11</v>
      </c>
      <c r="D959" s="13" t="s">
        <v>1711</v>
      </c>
      <c r="E959" s="14">
        <v>41291.0</v>
      </c>
      <c r="F959" s="14">
        <v>42369.0</v>
      </c>
      <c r="G959" s="2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15" t="str">
        <f>HYPERLINK("javascript:void%20window.open('https://ds3.dhss.ak.local/dsds/ds3/index.cfm?fuseaction=pro.view&amp;entityId=af193471-1be0-46fc-872b-7ac820c350ef')","31275")</f>
        <v>31275</v>
      </c>
      <c r="B960" s="16" t="s">
        <v>1712</v>
      </c>
      <c r="C960" s="16" t="s">
        <v>11</v>
      </c>
      <c r="D960" s="16" t="s">
        <v>1713</v>
      </c>
      <c r="E960" s="16"/>
      <c r="F960" s="17">
        <v>42004.0</v>
      </c>
      <c r="G960" s="2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12" t="str">
        <f>HYPERLINK("javascript:void%20window.open('https://ds3.dhss.ak.local/dsds/ds3/index.cfm?fuseaction=pro.view&amp;entityId=c133be17-5056-bc68-738b-c9b1eb131fa0')","141060")</f>
        <v>141060</v>
      </c>
      <c r="B961" s="13" t="s">
        <v>1714</v>
      </c>
      <c r="C961" s="13" t="s">
        <v>11</v>
      </c>
      <c r="D961" s="13" t="s">
        <v>1715</v>
      </c>
      <c r="E961" s="14">
        <v>41183.0</v>
      </c>
      <c r="F961" s="14">
        <v>41912.0</v>
      </c>
      <c r="G961" s="2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15" t="str">
        <f>HYPERLINK("javascript:void%20window.open('https://ds3.dhss.ak.local/dsds/ds3/index.cfm?fuseaction=pro.view&amp;entityId=ad7078b3-93e2-dc72-0823-e3556fff035f')","81278")</f>
        <v>81278</v>
      </c>
      <c r="B962" s="16" t="s">
        <v>1716</v>
      </c>
      <c r="C962" s="16" t="s">
        <v>11</v>
      </c>
      <c r="D962" s="16" t="s">
        <v>1717</v>
      </c>
      <c r="E962" s="17">
        <v>38534.0</v>
      </c>
      <c r="F962" s="17">
        <v>42185.0</v>
      </c>
      <c r="G962" s="2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12" t="str">
        <f>HYPERLINK("javascript:void%20window.open('https://ds3.dhss.ak.local/dsds/ds3/index.cfm?fuseaction=pro.view&amp;entityId=081157e8-c172-4688-b0a5-b47f4bf026ad')","31281")</f>
        <v>31281</v>
      </c>
      <c r="B963" s="13" t="s">
        <v>1718</v>
      </c>
      <c r="C963" s="13" t="s">
        <v>11</v>
      </c>
      <c r="D963" s="13" t="s">
        <v>1719</v>
      </c>
      <c r="E963" s="14">
        <v>39041.0</v>
      </c>
      <c r="F963" s="14">
        <v>42004.0</v>
      </c>
      <c r="G963" s="2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15" t="str">
        <f>HYPERLINK("javascript:void%20window.open('https://ds3.dhss.ak.local/dsds/ds3/index.cfm?fuseaction=pro.view&amp;entityId=07eb3be6-e995-4f05-8390-f93098944ef7')","78677")</f>
        <v>78677</v>
      </c>
      <c r="B964" s="16" t="s">
        <v>1720</v>
      </c>
      <c r="C964" s="16" t="s">
        <v>11</v>
      </c>
      <c r="D964" s="16" t="s">
        <v>1721</v>
      </c>
      <c r="E964" s="17">
        <v>39794.0</v>
      </c>
      <c r="F964" s="17">
        <v>42004.0</v>
      </c>
      <c r="G964" s="2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12" t="str">
        <f>HYPERLINK("javascript:void%20window.open('https://ds3.dhss.ak.local/dsds/ds3/index.cfm?fuseaction=pro.view&amp;entityId=d6a5b6d5-1638-425e-81ac-d1f747cbd4f5')","30492")</f>
        <v>30492</v>
      </c>
      <c r="B965" s="13" t="s">
        <v>1722</v>
      </c>
      <c r="C965" s="13" t="s">
        <v>11</v>
      </c>
      <c r="D965" s="13" t="s">
        <v>485</v>
      </c>
      <c r="E965" s="14">
        <v>40909.0</v>
      </c>
      <c r="F965" s="14">
        <v>42551.0</v>
      </c>
      <c r="G965" s="2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9" t="str">
        <f>HYPERLINK("javascript:void%20window.open('https://ds3.dhss.ak.local/dsds/ds3/index.cfm?fuseaction=pro.view&amp;entityId=1e24c0d6-5056-bc68-73ca-00f1ca86b9ef')","155309")</f>
        <v>155309</v>
      </c>
      <c r="B966" s="10" t="s">
        <v>1723</v>
      </c>
      <c r="C966" s="10" t="s">
        <v>11</v>
      </c>
      <c r="D966" s="10" t="s">
        <v>1724</v>
      </c>
      <c r="E966" s="11">
        <v>41576.0</v>
      </c>
      <c r="F966" s="11">
        <v>41912.0</v>
      </c>
      <c r="G966" s="2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12" t="str">
        <f>HYPERLINK("javascript:void%20window.open('https://ds3.dhss.ak.local/dsds/ds3/index.cfm?fuseaction=pro.view&amp;entityId=072bbfe8-c287-44a4-8d03-41bdb8e59656')","32788")</f>
        <v>32788</v>
      </c>
      <c r="B967" s="13" t="s">
        <v>1725</v>
      </c>
      <c r="C967" s="13" t="s">
        <v>11</v>
      </c>
      <c r="D967" s="13" t="s">
        <v>1726</v>
      </c>
      <c r="E967" s="14">
        <v>39309.0</v>
      </c>
      <c r="F967" s="14">
        <v>42582.0</v>
      </c>
      <c r="G967" s="2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15" t="str">
        <f>HYPERLINK("javascript:void%20window.open('https://ds3.dhss.ak.local/dsds/ds3/index.cfm?fuseaction=pro.view&amp;entityId=abcbfab4-e11e-27b4-9953-4c05a74468cb')","108697")</f>
        <v>108697</v>
      </c>
      <c r="B968" s="16" t="s">
        <v>1727</v>
      </c>
      <c r="C968" s="16" t="s">
        <v>11</v>
      </c>
      <c r="D968" s="16" t="s">
        <v>1728</v>
      </c>
      <c r="E968" s="17">
        <v>40781.0</v>
      </c>
      <c r="F968" s="17">
        <v>41882.0</v>
      </c>
      <c r="G968" s="2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12" t="str">
        <f>HYPERLINK("javascript:void%20window.open('https://ds3.dhss.ak.local/dsds/ds3/index.cfm?fuseaction=pro.view&amp;entityId=c4851f5b-e5ac-1a1c-b17b-144dd270e9a7')","105006")</f>
        <v>105006</v>
      </c>
      <c r="B969" s="13" t="s">
        <v>1729</v>
      </c>
      <c r="C969" s="13" t="s">
        <v>11</v>
      </c>
      <c r="D969" s="13" t="s">
        <v>1730</v>
      </c>
      <c r="E969" s="14">
        <v>40501.0</v>
      </c>
      <c r="F969" s="14">
        <v>42308.0</v>
      </c>
      <c r="G969" s="2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15" t="str">
        <f>HYPERLINK("javascript:void%20window.open('https://ds3.dhss.ak.local/dsds/ds3/index.cfm?fuseaction=pro.view&amp;entityId=d4277532-a7c4-b517-867a-0b09f05da31d')","71292")</f>
        <v>71292</v>
      </c>
      <c r="B970" s="16" t="s">
        <v>1731</v>
      </c>
      <c r="C970" s="16" t="s">
        <v>11</v>
      </c>
      <c r="D970" s="16" t="s">
        <v>1732</v>
      </c>
      <c r="E970" s="17">
        <v>39727.0</v>
      </c>
      <c r="F970" s="17">
        <v>42521.0</v>
      </c>
      <c r="G970" s="2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9" t="str">
        <f>HYPERLINK("javascript:void%20window.open('https://ds3.dhss.ak.local/dsds/ds3/index.cfm?fuseaction=pro.view&amp;entityId=d4a82dfc-5056-bc68-730d-c0b263473283')","165517")</f>
        <v>165517</v>
      </c>
      <c r="B971" s="10" t="s">
        <v>1733</v>
      </c>
      <c r="C971" s="10" t="s">
        <v>11</v>
      </c>
      <c r="D971" s="10" t="s">
        <v>1734</v>
      </c>
      <c r="E971" s="11">
        <v>41773.0</v>
      </c>
      <c r="F971" s="11">
        <v>42124.0</v>
      </c>
      <c r="G971" s="2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15" t="str">
        <f>HYPERLINK("javascript:void%20window.open('https://ds3.dhss.ak.local/dsds/ds3/index.cfm?fuseaction=pro.view&amp;entityId=50c2d925-4d9a-4173-a409-258f56b98295')","32435")</f>
        <v>32435</v>
      </c>
      <c r="B972" s="16" t="s">
        <v>1735</v>
      </c>
      <c r="C972" s="16" t="s">
        <v>11</v>
      </c>
      <c r="D972" s="16" t="s">
        <v>1736</v>
      </c>
      <c r="E972" s="17">
        <v>39142.0</v>
      </c>
      <c r="F972" s="17">
        <v>42063.0</v>
      </c>
      <c r="G972" s="2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12" t="str">
        <f>HYPERLINK("javascript:void%20window.open('https://ds3.dhss.ak.local/dsds/ds3/index.cfm?fuseaction=pro.view&amp;entityId=ac0378aa-0934-b761-1efd-8ebec0376ba3')","72944")</f>
        <v>72944</v>
      </c>
      <c r="B973" s="13" t="s">
        <v>1737</v>
      </c>
      <c r="C973" s="13" t="s">
        <v>11</v>
      </c>
      <c r="D973" s="13" t="s">
        <v>1738</v>
      </c>
      <c r="E973" s="14">
        <v>39811.0</v>
      </c>
      <c r="F973" s="14">
        <v>42338.0</v>
      </c>
      <c r="G973" s="2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15" t="str">
        <f>HYPERLINK("javascript:void%20window.open('https://ds3.dhss.ak.local/dsds/ds3/index.cfm?fuseaction=pro.view&amp;entityId=abb643be-91b2-13fd-8ad6-76afc7c78b20')","72927")</f>
        <v>72927</v>
      </c>
      <c r="B974" s="16" t="s">
        <v>1739</v>
      </c>
      <c r="C974" s="16" t="s">
        <v>11</v>
      </c>
      <c r="D974" s="16" t="s">
        <v>1740</v>
      </c>
      <c r="E974" s="17">
        <v>39811.0</v>
      </c>
      <c r="F974" s="17">
        <v>42338.0</v>
      </c>
      <c r="G974" s="2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9" t="str">
        <f>HYPERLINK("javascript:void%20window.open('https://ds3.dhss.ak.local/dsds/ds3/index.cfm?fuseaction=pro.view&amp;entityId=88e2d313-5056-bc68-73e4-f403c9250f13')","168912")</f>
        <v>168912</v>
      </c>
      <c r="B975" s="10" t="s">
        <v>1741</v>
      </c>
      <c r="C975" s="10" t="s">
        <v>11</v>
      </c>
      <c r="D975" s="10" t="s">
        <v>1742</v>
      </c>
      <c r="E975" s="11">
        <v>41856.0</v>
      </c>
      <c r="F975" s="11">
        <v>42185.0</v>
      </c>
      <c r="G975" s="2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15" t="str">
        <f>HYPERLINK("javascript:void%20window.open('https://ds3.dhss.ak.local/dsds/ds3/index.cfm?fuseaction=pro.view&amp;entityId=3a6d04f7-5056-bc68-7303-13d0f6afecc8')","151323")</f>
        <v>151323</v>
      </c>
      <c r="B976" s="16" t="s">
        <v>1743</v>
      </c>
      <c r="C976" s="16" t="s">
        <v>11</v>
      </c>
      <c r="D976" s="16" t="s">
        <v>1744</v>
      </c>
      <c r="E976" s="17">
        <v>41443.0</v>
      </c>
      <c r="F976" s="17">
        <v>42521.0</v>
      </c>
      <c r="G976" s="2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12" t="str">
        <f>HYPERLINK("javascript:void%20window.open('https://ds3.dhss.ak.local/dsds/ds3/index.cfm?fuseaction=pro.view&amp;entityId=d6a5b6d5-1638-425e-81ac-d1f747cbd4f5')","30492")</f>
        <v>30492</v>
      </c>
      <c r="B977" s="13" t="s">
        <v>1722</v>
      </c>
      <c r="C977" s="13" t="s">
        <v>11</v>
      </c>
      <c r="D977" s="13" t="s">
        <v>485</v>
      </c>
      <c r="E977" s="14">
        <v>39589.0</v>
      </c>
      <c r="F977" s="14">
        <v>40908.0</v>
      </c>
      <c r="G977" s="2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15" t="str">
        <f>HYPERLINK("javascript:void%20window.open('https://ds3.dhss.ak.local/dsds/ds3/index.cfm?fuseaction=pro.view&amp;entityId=a0f24003-c5ed-e295-ea2f-fd7858efe6b6')","134692")</f>
        <v>134692</v>
      </c>
      <c r="B978" s="16" t="s">
        <v>1745</v>
      </c>
      <c r="C978" s="16" t="s">
        <v>11</v>
      </c>
      <c r="D978" s="16" t="s">
        <v>1746</v>
      </c>
      <c r="E978" s="17">
        <v>40360.0</v>
      </c>
      <c r="F978" s="17">
        <v>41912.0</v>
      </c>
      <c r="G978" s="2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12" t="str">
        <f>HYPERLINK("javascript:void%20window.open('https://ds3.dhss.ak.local/dsds/ds3/index.cfm?fuseaction=pro.view&amp;entityId=d7c4d358-ad08-8824-17b4-43169c40bf21')","69407")</f>
        <v>69407</v>
      </c>
      <c r="B979" s="13" t="s">
        <v>1747</v>
      </c>
      <c r="C979" s="13" t="s">
        <v>11</v>
      </c>
      <c r="D979" s="13" t="s">
        <v>1748</v>
      </c>
      <c r="E979" s="14">
        <v>41178.0</v>
      </c>
      <c r="F979" s="14">
        <v>41912.0</v>
      </c>
      <c r="G979" s="2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15" t="str">
        <f>HYPERLINK("javascript:void%20window.open('https://ds3.dhss.ak.local/dsds/ds3/index.cfm?fuseaction=pro.view&amp;entityId=918ea0a4-db54-5ec1-5b4e-70883e471c50')","94561")</f>
        <v>94561</v>
      </c>
      <c r="B980" s="16" t="s">
        <v>1749</v>
      </c>
      <c r="C980" s="16" t="s">
        <v>11</v>
      </c>
      <c r="D980" s="16" t="s">
        <v>1750</v>
      </c>
      <c r="E980" s="17">
        <v>40260.0</v>
      </c>
      <c r="F980" s="17">
        <v>42063.0</v>
      </c>
      <c r="G980" s="2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12" t="str">
        <f>HYPERLINK("javascript:void%20window.open('https://ds3.dhss.ak.local/dsds/ds3/index.cfm?fuseaction=pro.view&amp;entityId=813cd31c-cba0-494a-bec5-34e9c6590f72')","32323")</f>
        <v>32323</v>
      </c>
      <c r="B981" s="13" t="s">
        <v>1751</v>
      </c>
      <c r="C981" s="13" t="s">
        <v>11</v>
      </c>
      <c r="D981" s="13" t="s">
        <v>1752</v>
      </c>
      <c r="E981" s="14">
        <v>39142.0</v>
      </c>
      <c r="F981" s="14">
        <v>42063.0</v>
      </c>
      <c r="G981" s="2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15" t="str">
        <f>HYPERLINK("javascript:void%20window.open('https://ds3.dhss.ak.local/dsds/ds3/index.cfm?fuseaction=pro.view&amp;entityId=30cca9f7-be41-4e41-860e-485131fb8905')","30898")</f>
        <v>30898</v>
      </c>
      <c r="B982" s="16" t="s">
        <v>1753</v>
      </c>
      <c r="C982" s="16" t="s">
        <v>11</v>
      </c>
      <c r="D982" s="16" t="s">
        <v>1754</v>
      </c>
      <c r="E982" s="17">
        <v>38991.0</v>
      </c>
      <c r="F982" s="17">
        <v>41973.0</v>
      </c>
      <c r="G982" s="2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12" t="str">
        <f>HYPERLINK("javascript:void%20window.open('https://ds3.dhss.ak.local/dsds/ds3/index.cfm?fuseaction=pro.view&amp;entityId=dd305c83-08c1-cd7e-a95d-8dadca4deff7')","90700")</f>
        <v>90700</v>
      </c>
      <c r="B983" s="13" t="s">
        <v>1755</v>
      </c>
      <c r="C983" s="13" t="s">
        <v>11</v>
      </c>
      <c r="D983" s="13" t="s">
        <v>1756</v>
      </c>
      <c r="E983" s="14">
        <v>40175.0</v>
      </c>
      <c r="F983" s="14">
        <v>42035.0</v>
      </c>
      <c r="G983" s="2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15" t="str">
        <f>HYPERLINK("javascript:void%20window.open('https://ds3.dhss.ak.local/dsds/ds3/index.cfm?fuseaction=pro.view&amp;entityId=870209c7-2fcf-4b34-83f6-e69636b9bd9e')","30745")</f>
        <v>30745</v>
      </c>
      <c r="B984" s="16" t="s">
        <v>1757</v>
      </c>
      <c r="C984" s="16" t="s">
        <v>11</v>
      </c>
      <c r="D984" s="16" t="s">
        <v>1758</v>
      </c>
      <c r="E984" s="17">
        <v>38991.0</v>
      </c>
      <c r="F984" s="17">
        <v>41912.0</v>
      </c>
      <c r="G984" s="2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12" t="str">
        <f>HYPERLINK("javascript:void%20window.open('https://ds3.dhss.ak.local/dsds/ds3/index.cfm?fuseaction=pro.view&amp;entityId=c85dd889-e277-2688-68dc-0a8643a441f5')","132669")</f>
        <v>132669</v>
      </c>
      <c r="B985" s="13" t="s">
        <v>1759</v>
      </c>
      <c r="C985" s="13" t="s">
        <v>11</v>
      </c>
      <c r="D985" s="13" t="s">
        <v>1760</v>
      </c>
      <c r="E985" s="14">
        <v>41016.0</v>
      </c>
      <c r="F985" s="14">
        <v>41670.0</v>
      </c>
      <c r="G985" s="2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15" t="str">
        <f>HYPERLINK("javascript:void%20window.open('https://ds3.dhss.ak.local/dsds/ds3/index.cfm?fuseaction=pro.view&amp;entityId=cb902af3-e477-cb19-0b78-05f524c7c7ed')","116185")</f>
        <v>116185</v>
      </c>
      <c r="B986" s="16" t="s">
        <v>1761</v>
      </c>
      <c r="C986" s="16" t="s">
        <v>11</v>
      </c>
      <c r="D986" s="16" t="s">
        <v>1762</v>
      </c>
      <c r="E986" s="17">
        <v>40749.0</v>
      </c>
      <c r="F986" s="17">
        <v>42551.0</v>
      </c>
      <c r="G986" s="2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12" t="str">
        <f>HYPERLINK("javascript:void%20window.open('https://ds3.dhss.ak.local/dsds/ds3/index.cfm?fuseaction=pro.view&amp;entityId=7107675c-5056-bc68-73c9-ca232e1bcc9a')","144324")</f>
        <v>144324</v>
      </c>
      <c r="B987" s="13" t="s">
        <v>1763</v>
      </c>
      <c r="C987" s="13" t="s">
        <v>11</v>
      </c>
      <c r="D987" s="13" t="s">
        <v>1764</v>
      </c>
      <c r="E987" s="14">
        <v>41334.0</v>
      </c>
      <c r="F987" s="14">
        <v>42429.0</v>
      </c>
      <c r="G987" s="2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15" t="str">
        <f>HYPERLINK("javascript:void%20window.open('https://ds3.dhss.ak.local/dsds/ds3/index.cfm?fuseaction=pro.view&amp;entityId=de47f438-0972-7ba8-c0bb-8b175fc9c6b5')","118733")</f>
        <v>118733</v>
      </c>
      <c r="B988" s="16" t="s">
        <v>1765</v>
      </c>
      <c r="C988" s="16" t="s">
        <v>11</v>
      </c>
      <c r="D988" s="16" t="s">
        <v>1766</v>
      </c>
      <c r="E988" s="17">
        <v>40749.0</v>
      </c>
      <c r="F988" s="17">
        <v>42429.0</v>
      </c>
      <c r="G988" s="2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12" t="str">
        <f>HYPERLINK("javascript:void%20window.open('https://ds3.dhss.ak.local/dsds/ds3/index.cfm?fuseaction=pro.view&amp;entityId=7115962f-5056-bc68-7315-a1470461fd89')","144325")</f>
        <v>144325</v>
      </c>
      <c r="B989" s="13" t="s">
        <v>1767</v>
      </c>
      <c r="C989" s="13" t="s">
        <v>11</v>
      </c>
      <c r="D989" s="13" t="s">
        <v>1768</v>
      </c>
      <c r="E989" s="14">
        <v>41334.0</v>
      </c>
      <c r="F989" s="14">
        <v>42429.0</v>
      </c>
      <c r="G989" s="2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15" t="str">
        <f>HYPERLINK("javascript:void%20window.open('https://ds3.dhss.ak.local/dsds/ds3/index.cfm?fuseaction=pro.view&amp;entityId=70f85a9c-5056-bc68-732e-94f83b4d7922')","144323")</f>
        <v>144323</v>
      </c>
      <c r="B990" s="16" t="s">
        <v>1769</v>
      </c>
      <c r="C990" s="16" t="s">
        <v>11</v>
      </c>
      <c r="D990" s="16" t="s">
        <v>1770</v>
      </c>
      <c r="E990" s="17">
        <v>41334.0</v>
      </c>
      <c r="F990" s="17">
        <v>42429.0</v>
      </c>
      <c r="G990" s="2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12" t="str">
        <f>HYPERLINK("javascript:void%20window.open('https://ds3.dhss.ak.local/dsds/ds3/index.cfm?fuseaction=pro.view&amp;entityId=6bd9a078-eb20-1e14-1d0d-b291b80a0bd5')","125737")</f>
        <v>125737</v>
      </c>
      <c r="B991" s="13" t="s">
        <v>1771</v>
      </c>
      <c r="C991" s="13" t="s">
        <v>11</v>
      </c>
      <c r="D991" s="13" t="s">
        <v>1772</v>
      </c>
      <c r="E991" s="14">
        <v>40801.0</v>
      </c>
      <c r="F991" s="14">
        <v>42308.0</v>
      </c>
      <c r="G991" s="2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15" t="str">
        <f>HYPERLINK("javascript:void%20window.open('https://ds3.dhss.ak.local/dsds/ds3/index.cfm?fuseaction=pro.view&amp;entityId=6ee2d8fb-ba5d-eace-030b-df284999d99b')","96532")</f>
        <v>96532</v>
      </c>
      <c r="B992" s="16" t="s">
        <v>1773</v>
      </c>
      <c r="C992" s="16" t="s">
        <v>11</v>
      </c>
      <c r="D992" s="16" t="s">
        <v>1774</v>
      </c>
      <c r="E992" s="17">
        <v>41435.0</v>
      </c>
      <c r="F992" s="17">
        <v>41882.0</v>
      </c>
      <c r="G992" s="2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9" t="str">
        <f>HYPERLINK("javascript:void%20window.open('https://ds3.dhss.ak.local/dsds/ds3/index.cfm?fuseaction=pro.view&amp;entityId=0c4b01a9-5056-bc68-733b-095a15464b6e')","152524")</f>
        <v>152524</v>
      </c>
      <c r="B993" s="10" t="s">
        <v>1775</v>
      </c>
      <c r="C993" s="10" t="s">
        <v>11</v>
      </c>
      <c r="D993" s="10" t="s">
        <v>1776</v>
      </c>
      <c r="E993" s="11">
        <v>41526.0</v>
      </c>
      <c r="F993" s="11">
        <v>41882.0</v>
      </c>
      <c r="G993" s="2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9" t="str">
        <f>HYPERLINK("javascript:void%20window.open('https://ds3.dhss.ak.local/dsds/ds3/index.cfm?fuseaction=pro.view&amp;entityId=e3ab1414-f87a-45ca-8467-3f26d0902d7a')","32750")</f>
        <v>32750</v>
      </c>
      <c r="B994" s="10" t="s">
        <v>1777</v>
      </c>
      <c r="C994" s="10" t="s">
        <v>11</v>
      </c>
      <c r="D994" s="10" t="s">
        <v>1778</v>
      </c>
      <c r="E994" s="11">
        <v>41456.0</v>
      </c>
      <c r="F994" s="11">
        <v>42521.0</v>
      </c>
      <c r="G994" s="2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9" t="str">
        <f>HYPERLINK("javascript:void%20window.open('https://ds3.dhss.ak.local/dsds/ds3/index.cfm?fuseaction=pro.view&amp;entityId=49ff5d25-5056-bc68-7350-46b32a56cb49')","154074")</f>
        <v>154074</v>
      </c>
      <c r="B995" s="10" t="s">
        <v>1779</v>
      </c>
      <c r="C995" s="10" t="s">
        <v>11</v>
      </c>
      <c r="D995" s="10" t="s">
        <v>1780</v>
      </c>
      <c r="E995" s="11">
        <v>41478.0</v>
      </c>
      <c r="F995" s="11">
        <v>42551.0</v>
      </c>
      <c r="G995" s="2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15" t="str">
        <f>HYPERLINK("javascript:void%20window.open('https://ds3.dhss.ak.local/dsds/ds3/index.cfm?fuseaction=pro.view&amp;entityId=a7803317-5056-bc68-738e-61b9380b6034')","144391")</f>
        <v>144391</v>
      </c>
      <c r="B996" s="16" t="s">
        <v>1781</v>
      </c>
      <c r="C996" s="16" t="s">
        <v>11</v>
      </c>
      <c r="D996" s="16" t="s">
        <v>1782</v>
      </c>
      <c r="E996" s="17">
        <v>41270.0</v>
      </c>
      <c r="F996" s="17">
        <v>42490.0</v>
      </c>
      <c r="G996" s="2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12" t="str">
        <f>HYPERLINK("javascript:void%20window.open('https://ds3.dhss.ak.local/dsds/ds3/index.cfm?fuseaction=pro.view&amp;entityId=b752306f-47b1-4701-92af-525e71f874c6')","102211")</f>
        <v>102211</v>
      </c>
      <c r="B997" s="13" t="s">
        <v>1783</v>
      </c>
      <c r="C997" s="13" t="s">
        <v>11</v>
      </c>
      <c r="D997" s="13" t="s">
        <v>1784</v>
      </c>
      <c r="E997" s="14">
        <v>41452.0</v>
      </c>
      <c r="F997" s="14">
        <v>41882.0</v>
      </c>
      <c r="G997" s="2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15" t="str">
        <f>HYPERLINK("javascript:void%20window.open('https://ds3.dhss.ak.local/dsds/ds3/index.cfm?fuseaction=pro.view&amp;entityId=da17bff5-5056-bc68-73ae-316701d825af')","152485")</f>
        <v>152485</v>
      </c>
      <c r="B998" s="16" t="s">
        <v>1785</v>
      </c>
      <c r="C998" s="16" t="s">
        <v>11</v>
      </c>
      <c r="D998" s="16" t="s">
        <v>1786</v>
      </c>
      <c r="E998" s="17">
        <v>41452.0</v>
      </c>
      <c r="F998" s="17">
        <v>41882.0</v>
      </c>
      <c r="G998" s="2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12" t="str">
        <f>HYPERLINK("javascript:void%20window.open('https://ds3.dhss.ak.local/dsds/ds3/index.cfm?fuseaction=pro.view&amp;entityId=913ec475-098d-e833-48fa-0f4bdd7365fc')","123013")</f>
        <v>123013</v>
      </c>
      <c r="B999" s="13" t="s">
        <v>1787</v>
      </c>
      <c r="C999" s="13" t="s">
        <v>11</v>
      </c>
      <c r="D999" s="13" t="s">
        <v>1788</v>
      </c>
      <c r="E999" s="14">
        <v>40913.0</v>
      </c>
      <c r="F999" s="14">
        <v>42004.0</v>
      </c>
      <c r="G999" s="2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9" t="str">
        <f>HYPERLINK("javascript:void%20window.open('https://ds3.dhss.ak.local/dsds/ds3/index.cfm?fuseaction=pro.view&amp;entityId=073fd1dc-7f1f-45d7-a3a7-de00affd78bd')","151507")</f>
        <v>151507</v>
      </c>
      <c r="B1000" s="10" t="s">
        <v>1789</v>
      </c>
      <c r="C1000" s="10" t="s">
        <v>11</v>
      </c>
      <c r="D1000" s="10" t="s">
        <v>1790</v>
      </c>
      <c r="E1000" s="11">
        <v>41661.0</v>
      </c>
      <c r="F1000" s="11">
        <v>42004.0</v>
      </c>
      <c r="G1000" s="2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2.75" customHeight="1">
      <c r="A1001" s="12" t="str">
        <f>HYPERLINK("javascript:void%20window.open('https://ds3.dhss.ak.local/dsds/ds3/index.cfm?fuseaction=pro.view&amp;entityId=1f85072c-4700-47dc-8b72-6e899172ab27')","32579")</f>
        <v>32579</v>
      </c>
      <c r="B1001" s="13" t="s">
        <v>1791</v>
      </c>
      <c r="C1001" s="13" t="s">
        <v>11</v>
      </c>
      <c r="D1001" s="13" t="s">
        <v>1792</v>
      </c>
      <c r="E1001" s="14">
        <v>38991.0</v>
      </c>
      <c r="F1001" s="14">
        <v>42613.0</v>
      </c>
      <c r="G1001" s="2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2.75" customHeight="1">
      <c r="A1002" s="9" t="str">
        <f>HYPERLINK("javascript:void%20window.open('https://ds3.dhss.ak.local/dsds/ds3/index.cfm?fuseaction=pro.view&amp;entityId=d172fa7a-5056-bc68-734a-0cf861728d8d')","152222")</f>
        <v>152222</v>
      </c>
      <c r="B1002" s="10" t="s">
        <v>1793</v>
      </c>
      <c r="C1002" s="10" t="s">
        <v>11</v>
      </c>
      <c r="D1002" s="10" t="s">
        <v>1794</v>
      </c>
      <c r="E1002" s="11">
        <v>41548.0</v>
      </c>
      <c r="F1002" s="11">
        <v>42521.0</v>
      </c>
      <c r="G1002" s="2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ht="12.75" customHeight="1">
      <c r="A1003" s="9" t="str">
        <f>HYPERLINK("javascript:void%20window.open('https://ds3.dhss.ak.local/dsds/ds3/index.cfm?fuseaction=pro.view&amp;entityId=ebdf1fc3-5056-bc68-7351-567e7ff96deb')","160852")</f>
        <v>160852</v>
      </c>
      <c r="B1003" s="10" t="s">
        <v>1795</v>
      </c>
      <c r="C1003" s="10" t="s">
        <v>11</v>
      </c>
      <c r="D1003" s="10" t="s">
        <v>1796</v>
      </c>
      <c r="E1003" s="11">
        <v>41661.0</v>
      </c>
      <c r="F1003" s="11">
        <v>42004.0</v>
      </c>
      <c r="G1003" s="2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ht="12.75" customHeight="1">
      <c r="A1004" s="15" t="str">
        <f>HYPERLINK("javascript:void%20window.open('https://ds3.dhss.ak.local/dsds/ds3/index.cfm?fuseaction=pro.view&amp;entityId=2eca05d9-389d-4868-b015-b61c47d05b67')","31938")</f>
        <v>31938</v>
      </c>
      <c r="B1004" s="16" t="s">
        <v>1797</v>
      </c>
      <c r="C1004" s="16" t="s">
        <v>11</v>
      </c>
      <c r="D1004" s="16" t="s">
        <v>1798</v>
      </c>
      <c r="E1004" s="17">
        <v>41365.0</v>
      </c>
      <c r="F1004" s="17">
        <v>42521.0</v>
      </c>
      <c r="G1004" s="2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ht="12.75" customHeight="1">
      <c r="A1005" s="12" t="str">
        <f>HYPERLINK("javascript:void%20window.open('https://ds3.dhss.ak.local/dsds/ds3/index.cfm?fuseaction=pro.view&amp;entityId=d85600d7-909f-402c-bdf0-bf66b6710bc3')","32264")</f>
        <v>32264</v>
      </c>
      <c r="B1005" s="13" t="s">
        <v>1799</v>
      </c>
      <c r="C1005" s="13" t="s">
        <v>11</v>
      </c>
      <c r="D1005" s="13" t="s">
        <v>1800</v>
      </c>
      <c r="E1005" s="14">
        <v>41365.0</v>
      </c>
      <c r="F1005" s="14">
        <v>41943.0</v>
      </c>
      <c r="G1005" s="2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ht="12.75" customHeight="1">
      <c r="A1006" s="15" t="str">
        <f>HYPERLINK("javascript:void%20window.open('https://ds3.dhss.ak.local/dsds/ds3/index.cfm?fuseaction=pro.view&amp;entityId=9d5f04d9-e7de-403c-c404-2b028af6657a')","127124")</f>
        <v>127124</v>
      </c>
      <c r="B1006" s="16" t="s">
        <v>1801</v>
      </c>
      <c r="C1006" s="16" t="s">
        <v>11</v>
      </c>
      <c r="D1006" s="16" t="s">
        <v>1802</v>
      </c>
      <c r="E1006" s="17">
        <v>41334.0</v>
      </c>
      <c r="F1006" s="17">
        <v>42063.0</v>
      </c>
      <c r="G1006" s="2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ht="12.75" customHeight="1">
      <c r="A1007" s="12" t="str">
        <f>HYPERLINK("javascript:void%20window.open('https://ds3.dhss.ak.local/dsds/ds3/index.cfm?fuseaction=pro.view&amp;entityId=cd1d2320-17d4-4403-a70b-61ebcd755546')","30076")</f>
        <v>30076</v>
      </c>
      <c r="B1007" s="13" t="s">
        <v>1803</v>
      </c>
      <c r="C1007" s="13" t="s">
        <v>11</v>
      </c>
      <c r="D1007" s="13" t="s">
        <v>1804</v>
      </c>
      <c r="E1007" s="14">
        <v>38991.0</v>
      </c>
      <c r="F1007" s="14">
        <v>41912.0</v>
      </c>
      <c r="G1007" s="2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ht="12.75" customHeight="1">
      <c r="A1008" s="15" t="str">
        <f>HYPERLINK("javascript:void%20window.open('https://ds3.dhss.ak.local/dsds/ds3/index.cfm?fuseaction=pro.view&amp;entityId=ad563dce-bd7c-4016-a034-289ee619c9f2')","30079")</f>
        <v>30079</v>
      </c>
      <c r="B1008" s="16" t="s">
        <v>1805</v>
      </c>
      <c r="C1008" s="16" t="s">
        <v>11</v>
      </c>
      <c r="D1008" s="16" t="s">
        <v>1806</v>
      </c>
      <c r="E1008" s="17">
        <v>38899.0</v>
      </c>
      <c r="F1008" s="17">
        <v>41882.0</v>
      </c>
      <c r="G1008" s="2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ht="12.75" customHeight="1">
      <c r="A1009" s="12" t="str">
        <f>HYPERLINK("javascript:void%20window.open('https://ds3.dhss.ak.local/dsds/ds3/index.cfm?fuseaction=pro.view&amp;entityId=2bb38086-8cdc-4db0-a291-bf7fc6d4e35d')","90121")</f>
        <v>90121</v>
      </c>
      <c r="B1009" s="13" t="s">
        <v>1807</v>
      </c>
      <c r="C1009" s="13" t="s">
        <v>11</v>
      </c>
      <c r="D1009" s="13" t="s">
        <v>1808</v>
      </c>
      <c r="E1009" s="14">
        <v>40232.0</v>
      </c>
      <c r="F1009" s="14">
        <v>41973.0</v>
      </c>
      <c r="G1009" s="2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ht="12.75" customHeight="1">
      <c r="A1010" s="15" t="str">
        <f>HYPERLINK("javascript:void%20window.open('https://ds3.dhss.ak.local/dsds/ds3/index.cfm?fuseaction=pro.view&amp;entityId=fde1476c-5d0a-4044-b504-c7dbc39d62fc')","32093")</f>
        <v>32093</v>
      </c>
      <c r="B1010" s="16" t="s">
        <v>1809</v>
      </c>
      <c r="C1010" s="16" t="s">
        <v>11</v>
      </c>
      <c r="D1010" s="16" t="s">
        <v>1810</v>
      </c>
      <c r="E1010" s="17">
        <v>38991.0</v>
      </c>
      <c r="F1010" s="17">
        <v>41912.0</v>
      </c>
      <c r="G1010" s="2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ht="12.75" customHeight="1">
      <c r="A1011" s="12" t="str">
        <f>HYPERLINK("javascript:void%20window.open('https://ds3.dhss.ak.local/dsds/ds3/index.cfm?fuseaction=pro.view&amp;entityId=60c67651-5056-bc68-730d-26149d15d9b6')","148717")</f>
        <v>148717</v>
      </c>
      <c r="B1011" s="13" t="s">
        <v>1811</v>
      </c>
      <c r="C1011" s="13" t="s">
        <v>11</v>
      </c>
      <c r="D1011" s="13" t="s">
        <v>1812</v>
      </c>
      <c r="E1011" s="14">
        <v>41353.0</v>
      </c>
      <c r="F1011" s="14">
        <v>41882.0</v>
      </c>
      <c r="G1011" s="2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ht="12.75" customHeight="1">
      <c r="A1012" s="15" t="str">
        <f>HYPERLINK("javascript:void%20window.open('https://ds3.dhss.ak.local/dsds/ds3/index.cfm?fuseaction=pro.view&amp;entityId=97ede474-cafb-0a7b-95f4-e4947c7a8bfd')","133898")</f>
        <v>133898</v>
      </c>
      <c r="B1012" s="16" t="s">
        <v>1813</v>
      </c>
      <c r="C1012" s="16" t="s">
        <v>11</v>
      </c>
      <c r="D1012" s="16" t="s">
        <v>1814</v>
      </c>
      <c r="E1012" s="17">
        <v>41047.0</v>
      </c>
      <c r="F1012" s="17">
        <v>42490.0</v>
      </c>
      <c r="G1012" s="2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ht="12.75" customHeight="1">
      <c r="A1013" s="12" t="str">
        <f>HYPERLINK("javascript:void%20window.open('https://ds3.dhss.ak.local/dsds/ds3/index.cfm?fuseaction=pro.view&amp;entityId=550f4acf-b60e-4599-aa72-cb8fd6735a4e')","123654")</f>
        <v>123654</v>
      </c>
      <c r="B1013" s="13" t="s">
        <v>1815</v>
      </c>
      <c r="C1013" s="13" t="s">
        <v>11</v>
      </c>
      <c r="D1013" s="13" t="s">
        <v>1816</v>
      </c>
      <c r="E1013" s="14">
        <v>41435.0</v>
      </c>
      <c r="F1013" s="14">
        <v>41882.0</v>
      </c>
      <c r="G1013" s="2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ht="12.75" customHeight="1">
      <c r="A1014" s="9" t="str">
        <f>HYPERLINK("javascript:void%20window.open('https://ds3.dhss.ak.local/dsds/ds3/index.cfm?fuseaction=pro.view&amp;entityId=da5465c9-e879-2e7a-68e9-66b8e74e165a')","73476")</f>
        <v>73476</v>
      </c>
      <c r="B1014" s="10">
        <v>1605075.0</v>
      </c>
      <c r="C1014" s="10" t="s">
        <v>11</v>
      </c>
      <c r="D1014" s="10" t="s">
        <v>1817</v>
      </c>
      <c r="E1014" s="11">
        <v>41548.0</v>
      </c>
      <c r="F1014" s="11">
        <v>42094.0</v>
      </c>
      <c r="G1014" s="2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ht="12.75" customHeight="1">
      <c r="A1015" s="12" t="str">
        <f>HYPERLINK("javascript:void%20window.open('https://ds3.dhss.ak.local/dsds/ds3/index.cfm?fuseaction=pro.view&amp;entityId=42c9816c-c75d-454f-8af4-1e917f15b5f6')","30678")</f>
        <v>30678</v>
      </c>
      <c r="B1015" s="13" t="s">
        <v>1818</v>
      </c>
      <c r="C1015" s="13" t="s">
        <v>11</v>
      </c>
      <c r="D1015" s="13" t="s">
        <v>1819</v>
      </c>
      <c r="E1015" s="14">
        <v>39264.0</v>
      </c>
      <c r="F1015" s="14">
        <v>42185.0</v>
      </c>
      <c r="G1015" s="2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ht="12.75" customHeight="1">
      <c r="A1016" s="9" t="str">
        <f>HYPERLINK("javascript:void%20window.open('https://ds3.dhss.ak.local/dsds/ds3/index.cfm?fuseaction=pro.view&amp;entityId=a5e64329-5056-bc68-73d5-042ec6067202')","166282")</f>
        <v>166282</v>
      </c>
      <c r="B1016" s="10" t="s">
        <v>1820</v>
      </c>
      <c r="C1016" s="10" t="s">
        <v>11</v>
      </c>
      <c r="D1016" s="10" t="s">
        <v>1821</v>
      </c>
      <c r="E1016" s="11">
        <v>41794.0</v>
      </c>
      <c r="F1016" s="11">
        <v>42155.0</v>
      </c>
      <c r="G1016" s="2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ht="12.75" customHeight="1">
      <c r="A1017" s="12" t="str">
        <f>HYPERLINK("javascript:void%20window.open('https://ds3.dhss.ak.local/dsds/ds3/index.cfm?fuseaction=pro.view&amp;entityId=7105a721-abd8-009f-a0a6-9d517cf4acbf')","126393")</f>
        <v>126393</v>
      </c>
      <c r="B1017" s="13" t="s">
        <v>1822</v>
      </c>
      <c r="C1017" s="13" t="s">
        <v>11</v>
      </c>
      <c r="D1017" s="13" t="s">
        <v>1823</v>
      </c>
      <c r="E1017" s="14">
        <v>41115.0</v>
      </c>
      <c r="F1017" s="14">
        <v>42185.0</v>
      </c>
      <c r="G1017" s="2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ht="12.75" customHeight="1">
      <c r="A1018" s="15" t="str">
        <f>HYPERLINK("javascript:void%20window.open('https://ds3.dhss.ak.local/dsds/ds3/index.cfm?fuseaction=pro.view&amp;entityId=1d2dec32-e07e-4a60-80ea-af7f8b1cc501')","32752")</f>
        <v>32752</v>
      </c>
      <c r="B1018" s="16" t="s">
        <v>1824</v>
      </c>
      <c r="C1018" s="16" t="s">
        <v>11</v>
      </c>
      <c r="D1018" s="16" t="s">
        <v>1825</v>
      </c>
      <c r="E1018" s="17">
        <v>39212.0</v>
      </c>
      <c r="F1018" s="17">
        <v>41912.0</v>
      </c>
      <c r="G1018" s="2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ht="12.75" customHeight="1">
      <c r="A1019" s="12" t="str">
        <f>HYPERLINK("javascript:void%20window.open('https://ds3.dhss.ak.local/dsds/ds3/index.cfm?fuseaction=pro.view&amp;entityId=83321eff-0396-4889-a065-3ac67569ce0b')","32469")</f>
        <v>32469</v>
      </c>
      <c r="B1019" s="13" t="s">
        <v>1826</v>
      </c>
      <c r="C1019" s="13" t="s">
        <v>11</v>
      </c>
      <c r="D1019" s="13" t="s">
        <v>1827</v>
      </c>
      <c r="E1019" s="14">
        <v>38730.0</v>
      </c>
      <c r="F1019" s="14">
        <v>41973.0</v>
      </c>
      <c r="G1019" s="2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ht="12.75" customHeight="1">
      <c r="A1020" s="15" t="str">
        <f>HYPERLINK("javascript:void%20window.open('https://ds3.dhss.ak.local/dsds/ds3/index.cfm?fuseaction=pro.view&amp;entityId=4a991e44-fce4-be0b-fdf9-49fea971553c')","110651")</f>
        <v>110651</v>
      </c>
      <c r="B1020" s="16" t="s">
        <v>1828</v>
      </c>
      <c r="C1020" s="16" t="s">
        <v>11</v>
      </c>
      <c r="D1020" s="16" t="s">
        <v>1829</v>
      </c>
      <c r="E1020" s="17">
        <v>41362.0</v>
      </c>
      <c r="F1020" s="17">
        <v>42429.0</v>
      </c>
      <c r="G1020" s="2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ht="12.75" customHeight="1">
      <c r="A1021" s="12" t="str">
        <f>HYPERLINK("javascript:void%20window.open('https://ds3.dhss.ak.local/dsds/ds3/index.cfm?fuseaction=pro.view&amp;entityId=b441e7b6-095b-405d-86d5-64e43e6b04ca')","30149")</f>
        <v>30149</v>
      </c>
      <c r="B1021" s="13" t="s">
        <v>1830</v>
      </c>
      <c r="C1021" s="13" t="s">
        <v>11</v>
      </c>
      <c r="D1021" s="13" t="s">
        <v>1831</v>
      </c>
      <c r="E1021" s="14">
        <v>39264.0</v>
      </c>
      <c r="F1021" s="14">
        <v>42185.0</v>
      </c>
      <c r="G1021" s="2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ht="12.75" customHeight="1">
      <c r="A1022" s="15" t="str">
        <f>HYPERLINK("javascript:void%20window.open('https://ds3.dhss.ak.local/dsds/ds3/index.cfm?fuseaction=pro.view&amp;entityId=cb22832d-d51a-e301-73c2-3d38520e93d7')","118012")</f>
        <v>118012</v>
      </c>
      <c r="B1022" s="16" t="s">
        <v>1832</v>
      </c>
      <c r="C1022" s="16" t="s">
        <v>11</v>
      </c>
      <c r="D1022" s="16" t="s">
        <v>1833</v>
      </c>
      <c r="E1022" s="17">
        <v>40793.0</v>
      </c>
      <c r="F1022" s="17">
        <v>41882.0</v>
      </c>
      <c r="G1022" s="2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ht="12.75" customHeight="1">
      <c r="A1023" s="12" t="str">
        <f>HYPERLINK("javascript:void%20window.open('https://ds3.dhss.ak.local/dsds/ds3/index.cfm?fuseaction=pro.view&amp;entityId=c9710dc8-45bd-45eb-aafe-2ebb38a94de6')","30792")</f>
        <v>30792</v>
      </c>
      <c r="B1023" s="13" t="s">
        <v>1834</v>
      </c>
      <c r="C1023" s="13" t="s">
        <v>11</v>
      </c>
      <c r="D1023" s="13" t="s">
        <v>1835</v>
      </c>
      <c r="E1023" s="14">
        <v>38777.0</v>
      </c>
      <c r="F1023" s="14">
        <v>42429.0</v>
      </c>
      <c r="G1023" s="2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ht="12.75" customHeight="1">
      <c r="A1024" s="15" t="str">
        <f>HYPERLINK("javascript:void%20window.open('https://ds3.dhss.ak.local/dsds/ds3/index.cfm?fuseaction=pro.view&amp;entityId=d4b37681-9eaa-4eca-89cc-4ae462ebcab3')","32214")</f>
        <v>32214</v>
      </c>
      <c r="B1024" s="16" t="s">
        <v>1836</v>
      </c>
      <c r="C1024" s="16" t="s">
        <v>11</v>
      </c>
      <c r="D1024" s="16" t="s">
        <v>1837</v>
      </c>
      <c r="E1024" s="17">
        <v>39128.0</v>
      </c>
      <c r="F1024" s="17">
        <v>42429.0</v>
      </c>
      <c r="G1024" s="2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ht="12.75" customHeight="1">
      <c r="A1025" s="12" t="str">
        <f>HYPERLINK("javascript:void%20window.open('https://ds3.dhss.ak.local/dsds/ds3/index.cfm?fuseaction=pro.view&amp;entityId=2175a7e0-3a36-4c88-af5b-09f515a2e80d')","32157")</f>
        <v>32157</v>
      </c>
      <c r="B1025" s="13" t="s">
        <v>1838</v>
      </c>
      <c r="C1025" s="13" t="s">
        <v>11</v>
      </c>
      <c r="D1025" s="13" t="s">
        <v>1839</v>
      </c>
      <c r="E1025" s="14">
        <v>38899.0</v>
      </c>
      <c r="F1025" s="14">
        <v>42400.0</v>
      </c>
      <c r="G1025" s="2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ht="12.75" customHeight="1">
      <c r="A1026" s="15" t="str">
        <f>HYPERLINK("javascript:void%20window.open('https://ds3.dhss.ak.local/dsds/ds3/index.cfm?fuseaction=pro.view&amp;entityId=132f8a1b-0923-4815-aabf-6cfadd355fd1')","32167")</f>
        <v>32167</v>
      </c>
      <c r="B1026" s="16" t="s">
        <v>1840</v>
      </c>
      <c r="C1026" s="16" t="s">
        <v>11</v>
      </c>
      <c r="D1026" s="16" t="s">
        <v>1841</v>
      </c>
      <c r="E1026" s="17">
        <v>38991.0</v>
      </c>
      <c r="F1026" s="17">
        <v>41882.0</v>
      </c>
      <c r="G1026" s="2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ht="12.75" customHeight="1">
      <c r="A1027" s="12" t="str">
        <f>HYPERLINK("javascript:void%20window.open('https://ds3.dhss.ak.local/dsds/ds3/index.cfm?fuseaction=pro.view&amp;entityId=45e67e12-c8fa-4933-8430-eb66add24b6f')","31318")</f>
        <v>31318</v>
      </c>
      <c r="B1027" s="13" t="s">
        <v>1842</v>
      </c>
      <c r="C1027" s="13" t="s">
        <v>11</v>
      </c>
      <c r="D1027" s="13" t="s">
        <v>1843</v>
      </c>
      <c r="E1027" s="14">
        <v>39020.0</v>
      </c>
      <c r="F1027" s="14">
        <v>42004.0</v>
      </c>
      <c r="G1027" s="2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ht="12.75" customHeight="1">
      <c r="A1028" s="15" t="str">
        <f>HYPERLINK("javascript:void%20window.open('https://ds3.dhss.ak.local/dsds/ds3/index.cfm?fuseaction=pro.view&amp;entityId=d5ea0ac9-d760-4d62-9f49-0db8a3335cfa')","31643")</f>
        <v>31643</v>
      </c>
      <c r="B1028" s="16" t="s">
        <v>1844</v>
      </c>
      <c r="C1028" s="16" t="s">
        <v>11</v>
      </c>
      <c r="D1028" s="16" t="s">
        <v>1845</v>
      </c>
      <c r="E1028" s="17">
        <v>40220.0</v>
      </c>
      <c r="F1028" s="17">
        <v>42035.0</v>
      </c>
      <c r="G1028" s="2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ht="12.75" customHeight="1">
      <c r="A1029" s="12" t="str">
        <f>HYPERLINK("javascript:void%20window.open('https://ds3.dhss.ak.local/dsds/ds3/index.cfm?fuseaction=pro.view&amp;entityId=df459606-54be-4848-ae2c-f75c93f6e362')","32199")</f>
        <v>32199</v>
      </c>
      <c r="B1029" s="13" t="s">
        <v>1846</v>
      </c>
      <c r="C1029" s="13" t="s">
        <v>11</v>
      </c>
      <c r="D1029" s="13" t="s">
        <v>1847</v>
      </c>
      <c r="E1029" s="14">
        <v>39173.0</v>
      </c>
      <c r="F1029" s="14">
        <v>41882.0</v>
      </c>
      <c r="G1029" s="2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ht="12.75" customHeight="1">
      <c r="A1030" s="15" t="str">
        <f>HYPERLINK("javascript:void%20window.open('https://ds3.dhss.ak.local/dsds/ds3/index.cfm?fuseaction=pro.view&amp;entityId=6fa0a453-3c1b-462b-abc4-f3b2a0729fa0')","32138")</f>
        <v>32138</v>
      </c>
      <c r="B1030" s="16" t="s">
        <v>1848</v>
      </c>
      <c r="C1030" s="16" t="s">
        <v>11</v>
      </c>
      <c r="D1030" s="16" t="s">
        <v>1849</v>
      </c>
      <c r="E1030" s="17">
        <v>39029.0</v>
      </c>
      <c r="F1030" s="17">
        <v>42004.0</v>
      </c>
      <c r="G1030" s="2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ht="12.75" customHeight="1">
      <c r="A1031" s="12" t="str">
        <f>HYPERLINK("javascript:void%20window.open('https://ds3.dhss.ak.local/dsds/ds3/index.cfm?fuseaction=pro.view&amp;entityId=4a4c426b-9c91-4b71-ce3a-1a1378593c04')","96182")</f>
        <v>96182</v>
      </c>
      <c r="B1031" s="13" t="s">
        <v>1850</v>
      </c>
      <c r="C1031" s="13" t="s">
        <v>11</v>
      </c>
      <c r="D1031" s="13" t="s">
        <v>1851</v>
      </c>
      <c r="E1031" s="14">
        <v>40213.0</v>
      </c>
      <c r="F1031" s="14">
        <v>42035.0</v>
      </c>
      <c r="G1031" s="2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ht="12.75" customHeight="1">
      <c r="A1032" s="15" t="str">
        <f>HYPERLINK("javascript:void%20window.open('https://ds3.dhss.ak.local/dsds/ds3/index.cfm?fuseaction=pro.view&amp;entityId=f84d25fa-5056-bc68-7363-032caa2e3445')","141164")</f>
        <v>141164</v>
      </c>
      <c r="B1032" s="16" t="s">
        <v>1852</v>
      </c>
      <c r="C1032" s="16" t="s">
        <v>11</v>
      </c>
      <c r="D1032" s="16" t="s">
        <v>1853</v>
      </c>
      <c r="E1032" s="17">
        <v>41249.0</v>
      </c>
      <c r="F1032" s="17">
        <v>41729.0</v>
      </c>
      <c r="G1032" s="2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ht="12.75" customHeight="1">
      <c r="A1033" s="12" t="str">
        <f>HYPERLINK("javascript:void%20window.open('https://ds3.dhss.ak.local/dsds/ds3/index.cfm?fuseaction=pro.view&amp;entityId=a6f05282-4e1e-4d1f-b4ae-5779a9c1f53c')","32306")</f>
        <v>32306</v>
      </c>
      <c r="B1033" s="13" t="s">
        <v>1854</v>
      </c>
      <c r="C1033" s="13" t="s">
        <v>11</v>
      </c>
      <c r="D1033" s="13" t="s">
        <v>1855</v>
      </c>
      <c r="E1033" s="14">
        <v>39052.0</v>
      </c>
      <c r="F1033" s="14">
        <v>41973.0</v>
      </c>
      <c r="G1033" s="2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ht="12.75" customHeight="1">
      <c r="A1034" s="15" t="str">
        <f>HYPERLINK("javascript:void%20window.open('https://ds3.dhss.ak.local/dsds/ds3/index.cfm?fuseaction=pro.view&amp;entityId=42067048-e429-4360-93d5-8da59a038d13')","61306")</f>
        <v>61306</v>
      </c>
      <c r="B1034" s="16" t="s">
        <v>1856</v>
      </c>
      <c r="C1034" s="16" t="s">
        <v>11</v>
      </c>
      <c r="D1034" s="16" t="s">
        <v>1857</v>
      </c>
      <c r="E1034" s="17">
        <v>39420.0</v>
      </c>
      <c r="F1034" s="17">
        <v>41973.0</v>
      </c>
      <c r="G1034" s="2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ht="12.75" customHeight="1">
      <c r="A1035" s="12" t="str">
        <f>HYPERLINK("javascript:void%20window.open('https://ds3.dhss.ak.local/dsds/ds3/index.cfm?fuseaction=pro.view&amp;entityId=08b79a86-ee56-9421-33f6-9775aee39db7')","118876")</f>
        <v>118876</v>
      </c>
      <c r="B1035" s="13" t="s">
        <v>1858</v>
      </c>
      <c r="C1035" s="13" t="s">
        <v>11</v>
      </c>
      <c r="D1035" s="13" t="s">
        <v>1859</v>
      </c>
      <c r="E1035" s="14">
        <v>41053.0</v>
      </c>
      <c r="F1035" s="14">
        <v>42124.0</v>
      </c>
      <c r="G1035" s="2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ht="12.75" customHeight="1">
      <c r="A1036" s="15" t="str">
        <f>HYPERLINK("javascript:void%20window.open('https://ds3.dhss.ak.local/dsds/ds3/index.cfm?fuseaction=pro.view&amp;entityId=7b721cf6-8196-47a3-b038-7666daeba737')","61280")</f>
        <v>61280</v>
      </c>
      <c r="B1036" s="16" t="s">
        <v>1860</v>
      </c>
      <c r="C1036" s="16" t="s">
        <v>11</v>
      </c>
      <c r="D1036" s="16" t="s">
        <v>1861</v>
      </c>
      <c r="E1036" s="17">
        <v>39370.0</v>
      </c>
      <c r="F1036" s="17">
        <v>41912.0</v>
      </c>
      <c r="G1036" s="2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ht="12.75" customHeight="1">
      <c r="A1037" s="12" t="str">
        <f>HYPERLINK("javascript:void%20window.open('https://ds3.dhss.ak.local/dsds/ds3/index.cfm?fuseaction=pro.view&amp;entityId=30e3801e-9643-87d3-380b-9a76d8257255')","72026")</f>
        <v>72026</v>
      </c>
      <c r="B1037" s="13" t="s">
        <v>1862</v>
      </c>
      <c r="C1037" s="13" t="s">
        <v>11</v>
      </c>
      <c r="D1037" s="13" t="s">
        <v>1863</v>
      </c>
      <c r="E1037" s="14">
        <v>39770.0</v>
      </c>
      <c r="F1037" s="14">
        <v>42308.0</v>
      </c>
      <c r="G1037" s="2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ht="12.75" customHeight="1">
      <c r="A1038" s="9" t="str">
        <f>HYPERLINK("javascript:void%20window.open('https://ds3.dhss.ak.local/dsds/ds3/index.cfm?fuseaction=pro.view&amp;entityId=d0562260-5056-bc68-7313-1f3de477a009')","157782")</f>
        <v>157782</v>
      </c>
      <c r="B1038" s="10" t="s">
        <v>1864</v>
      </c>
      <c r="C1038" s="10" t="s">
        <v>11</v>
      </c>
      <c r="D1038" s="10" t="s">
        <v>1865</v>
      </c>
      <c r="E1038" s="11">
        <v>41694.0</v>
      </c>
      <c r="F1038" s="11">
        <v>42035.0</v>
      </c>
      <c r="G1038" s="2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ht="12.75" customHeight="1">
      <c r="A1039" s="12" t="str">
        <f>HYPERLINK("javascript:void%20window.open('https://ds3.dhss.ak.local/dsds/ds3/index.cfm?fuseaction=pro.view&amp;entityId=c665fc6e-65be-f484-0f36-e41c04e36381')","62710")</f>
        <v>62710</v>
      </c>
      <c r="B1039" s="13" t="s">
        <v>1866</v>
      </c>
      <c r="C1039" s="13" t="s">
        <v>11</v>
      </c>
      <c r="D1039" s="13" t="s">
        <v>1867</v>
      </c>
      <c r="E1039" s="14">
        <v>39479.0</v>
      </c>
      <c r="F1039" s="14">
        <v>41973.0</v>
      </c>
      <c r="G1039" s="2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ht="12.75" customHeight="1">
      <c r="A1040" s="15" t="str">
        <f>HYPERLINK("javascript:void%20window.open('https://ds3.dhss.ak.local/dsds/ds3/index.cfm?fuseaction=pro.view&amp;entityId=a40d5fcf-7d7e-4fda-a725-338e79437d4f')","32612")</f>
        <v>32612</v>
      </c>
      <c r="B1040" s="16" t="s">
        <v>1868</v>
      </c>
      <c r="C1040" s="16" t="s">
        <v>11</v>
      </c>
      <c r="D1040" s="16" t="s">
        <v>1869</v>
      </c>
      <c r="E1040" s="17">
        <v>39479.0</v>
      </c>
      <c r="F1040" s="17">
        <v>41973.0</v>
      </c>
      <c r="G1040" s="2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ht="12.75" customHeight="1">
      <c r="A1041" s="12" t="str">
        <f>HYPERLINK("javascript:void%20window.open('https://ds3.dhss.ak.local/dsds/ds3/index.cfm?fuseaction=pro.view&amp;entityId=cbb72795-2897-4ded-85cc-2fa6ac459113')","32413")</f>
        <v>32413</v>
      </c>
      <c r="B1041" s="13" t="s">
        <v>1870</v>
      </c>
      <c r="C1041" s="13" t="s">
        <v>11</v>
      </c>
      <c r="D1041" s="13" t="s">
        <v>1871</v>
      </c>
      <c r="E1041" s="14">
        <v>39356.0</v>
      </c>
      <c r="F1041" s="14">
        <v>42277.0</v>
      </c>
      <c r="G1041" s="2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ht="12.75" customHeight="1">
      <c r="A1042" s="15" t="str">
        <f>HYPERLINK("javascript:void%20window.open('https://ds3.dhss.ak.local/dsds/ds3/index.cfm?fuseaction=pro.view&amp;entityId=f95afddd-5056-bc68-7370-040142a547d1')","149404")</f>
        <v>149404</v>
      </c>
      <c r="B1042" s="16" t="s">
        <v>1872</v>
      </c>
      <c r="C1042" s="16" t="s">
        <v>11</v>
      </c>
      <c r="D1042" s="16" t="s">
        <v>1873</v>
      </c>
      <c r="E1042" s="17">
        <v>41368.0</v>
      </c>
      <c r="F1042" s="17">
        <v>41912.0</v>
      </c>
      <c r="G1042" s="2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ht="12.75" customHeight="1">
      <c r="A1043" s="12" t="str">
        <f>HYPERLINK("javascript:void%20window.open('https://ds3.dhss.ak.local/dsds/ds3/index.cfm?fuseaction=pro.view&amp;entityId=a807e01c-1868-49a2-b08b-b9603375a0bf')","31447")</f>
        <v>31447</v>
      </c>
      <c r="B1043" s="13" t="s">
        <v>1874</v>
      </c>
      <c r="C1043" s="13" t="s">
        <v>11</v>
      </c>
      <c r="D1043" s="13" t="s">
        <v>1875</v>
      </c>
      <c r="E1043" s="14">
        <v>38899.0</v>
      </c>
      <c r="F1043" s="14">
        <v>42490.0</v>
      </c>
      <c r="G1043" s="2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ht="12.75" customHeight="1">
      <c r="A1044" s="15" t="str">
        <f>HYPERLINK("javascript:void%20window.open('https://ds3.dhss.ak.local/dsds/ds3/index.cfm?fuseaction=pro.view&amp;entityId=c8c49b92-5056-bc68-73d9-5a4ff339a17c')","148550")</f>
        <v>148550</v>
      </c>
      <c r="B1044" s="16" t="s">
        <v>1876</v>
      </c>
      <c r="C1044" s="16" t="s">
        <v>11</v>
      </c>
      <c r="D1044" s="16" t="s">
        <v>1877</v>
      </c>
      <c r="E1044" s="17">
        <v>41355.0</v>
      </c>
      <c r="F1044" s="17">
        <v>41882.0</v>
      </c>
      <c r="G1044" s="2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ht="12.75" customHeight="1">
      <c r="A1045" s="12" t="str">
        <f>HYPERLINK("javascript:void%20window.open('https://ds3.dhss.ak.local/dsds/ds3/index.cfm?fuseaction=pro.view&amp;entityId=c8124443-f3e2-6061-be48-7560abe8789d')","83263")</f>
        <v>83263</v>
      </c>
      <c r="B1045" s="13" t="s">
        <v>1878</v>
      </c>
      <c r="C1045" s="13" t="s">
        <v>11</v>
      </c>
      <c r="D1045" s="13" t="s">
        <v>1879</v>
      </c>
      <c r="E1045" s="14">
        <v>39979.0</v>
      </c>
      <c r="F1045" s="14">
        <v>42155.0</v>
      </c>
      <c r="G1045" s="2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ht="12.75" customHeight="1">
      <c r="A1046" s="9" t="str">
        <f>HYPERLINK("javascript:void%20window.open('https://ds3.dhss.ak.local/dsds/ds3/index.cfm?fuseaction=pro.view&amp;entityId=203cbfe3-579a-45a0-b8c7-4dbaf3f5d6d7')","73602")</f>
        <v>73602</v>
      </c>
      <c r="B1046" s="10" t="s">
        <v>1880</v>
      </c>
      <c r="C1046" s="10" t="s">
        <v>11</v>
      </c>
      <c r="D1046" s="10" t="s">
        <v>1881</v>
      </c>
      <c r="E1046" s="11">
        <v>41548.0</v>
      </c>
      <c r="F1046" s="11">
        <v>41912.0</v>
      </c>
      <c r="G1046" s="2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ht="12.75" customHeight="1">
      <c r="A1047" s="12" t="str">
        <f>HYPERLINK("javascript:void%20window.open('https://ds3.dhss.ak.local/dsds/ds3/index.cfm?fuseaction=pro.view&amp;entityId=ccda181c-e413-fb94-fc7d-ff9a0c5d8be0')","104415")</f>
        <v>104415</v>
      </c>
      <c r="B1047" s="13" t="s">
        <v>1882</v>
      </c>
      <c r="C1047" s="13" t="s">
        <v>11</v>
      </c>
      <c r="D1047" s="13" t="s">
        <v>1883</v>
      </c>
      <c r="E1047" s="14">
        <v>40483.0</v>
      </c>
      <c r="F1047" s="14">
        <v>41943.0</v>
      </c>
      <c r="G1047" s="2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ht="12.75" customHeight="1">
      <c r="A1048" s="15" t="str">
        <f>HYPERLINK("javascript:void%20window.open('https://ds3.dhss.ak.local/dsds/ds3/index.cfm?fuseaction=pro.view&amp;entityId=a945d712-08b5-475c-b0f6-db2cd4755332')","31813")</f>
        <v>31813</v>
      </c>
      <c r="B1048" s="16" t="s">
        <v>1884</v>
      </c>
      <c r="C1048" s="16" t="s">
        <v>11</v>
      </c>
      <c r="D1048" s="16" t="s">
        <v>1885</v>
      </c>
      <c r="E1048" s="17">
        <v>39295.0</v>
      </c>
      <c r="F1048" s="17">
        <v>42277.0</v>
      </c>
      <c r="G1048" s="2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 ht="12.75" customHeight="1">
      <c r="A1049" s="12" t="str">
        <f>HYPERLINK("javascript:void%20window.open('https://ds3.dhss.ak.local/dsds/ds3/index.cfm?fuseaction=pro.view&amp;entityId=72b5b5c4-bdf8-9e64-d550-15ccc916728d')","70723")</f>
        <v>70723</v>
      </c>
      <c r="B1049" s="13" t="s">
        <v>1886</v>
      </c>
      <c r="C1049" s="13" t="s">
        <v>11</v>
      </c>
      <c r="D1049" s="13" t="s">
        <v>1887</v>
      </c>
      <c r="E1049" s="14">
        <v>38991.0</v>
      </c>
      <c r="F1049" s="14">
        <v>41943.0</v>
      </c>
      <c r="G1049" s="2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 ht="12.75" customHeight="1">
      <c r="A1050" s="15" t="str">
        <f>HYPERLINK("javascript:void%20window.open('https://ds3.dhss.ak.local/dsds/ds3/index.cfm?fuseaction=pro.view&amp;entityId=58472a52-7911-4dd5-8ba6-570cf8e19372')","31630")</f>
        <v>31630</v>
      </c>
      <c r="B1050" s="16" t="s">
        <v>1888</v>
      </c>
      <c r="C1050" s="16" t="s">
        <v>11</v>
      </c>
      <c r="D1050" s="16" t="s">
        <v>1889</v>
      </c>
      <c r="E1050" s="17">
        <v>40158.0</v>
      </c>
      <c r="F1050" s="17">
        <v>42185.0</v>
      </c>
      <c r="G1050" s="2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 ht="12.75" customHeight="1">
      <c r="A1051" s="12" t="str">
        <f>HYPERLINK("javascript:void%20window.open('https://ds3.dhss.ak.local/dsds/ds3/index.cfm?fuseaction=pro.view&amp;entityId=8a24e556-ec1c-409a-ace1-a5a9c5d201ae')","32341")</f>
        <v>32341</v>
      </c>
      <c r="B1051" s="13" t="s">
        <v>1890</v>
      </c>
      <c r="C1051" s="13" t="s">
        <v>11</v>
      </c>
      <c r="D1051" s="13" t="s">
        <v>1891</v>
      </c>
      <c r="E1051" s="14">
        <v>41375.0</v>
      </c>
      <c r="F1051" s="14">
        <v>41729.0</v>
      </c>
      <c r="G1051" s="2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ht="12.75" customHeight="1">
      <c r="A1052" s="15" t="str">
        <f>HYPERLINK("javascript:void%20window.open('https://ds3.dhss.ak.local/dsds/ds3/index.cfm?fuseaction=pro.view&amp;entityId=cfbb6ab4-1ce4-4374-b79c-7233ca4a2159')","30616")</f>
        <v>30616</v>
      </c>
      <c r="B1052" s="16" t="s">
        <v>1892</v>
      </c>
      <c r="C1052" s="16" t="s">
        <v>11</v>
      </c>
      <c r="D1052" s="16" t="s">
        <v>1893</v>
      </c>
      <c r="E1052" s="17">
        <v>39203.0</v>
      </c>
      <c r="F1052" s="17">
        <v>42124.0</v>
      </c>
      <c r="G1052" s="2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 ht="12.75" customHeight="1">
      <c r="A1053" s="9" t="str">
        <f>HYPERLINK("javascript:void%20window.open('https://ds3.dhss.ak.local/dsds/ds3/index.cfm?fuseaction=pro.view&amp;entityId=c0663706-0120-4c47-e839-22c19eb62848')","66617")</f>
        <v>66617</v>
      </c>
      <c r="B1053" s="10" t="s">
        <v>1894</v>
      </c>
      <c r="C1053" s="10" t="s">
        <v>11</v>
      </c>
      <c r="D1053" s="10" t="s">
        <v>1895</v>
      </c>
      <c r="E1053" s="11">
        <v>41640.0</v>
      </c>
      <c r="F1053" s="11">
        <v>42247.0</v>
      </c>
      <c r="G1053" s="2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 ht="12.75" customHeight="1">
      <c r="A1054" s="9" t="str">
        <f>HYPERLINK("javascript:void%20window.open('https://ds3.dhss.ak.local/dsds/ds3/index.cfm?fuseaction=pro.view&amp;entityId=f03f4ed4-5056-bc68-73a5-930bc52782b4')","139501")</f>
        <v>139501</v>
      </c>
      <c r="B1054" s="10" t="s">
        <v>1896</v>
      </c>
      <c r="C1054" s="10" t="s">
        <v>11</v>
      </c>
      <c r="D1054" s="10" t="s">
        <v>1897</v>
      </c>
      <c r="E1054" s="11">
        <v>41640.0</v>
      </c>
      <c r="F1054" s="11">
        <v>42369.0</v>
      </c>
      <c r="G1054" s="2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 ht="12.75" customHeight="1">
      <c r="A1055" s="9" t="str">
        <f>HYPERLINK("javascript:void%20window.open('https://ds3.dhss.ak.local/dsds/ds3/index.cfm?fuseaction=pro.view&amp;entityId=384e1938-041a-4c00-a637-1beecfa2efac')","32338")</f>
        <v>32338</v>
      </c>
      <c r="B1055" s="10" t="s">
        <v>1898</v>
      </c>
      <c r="C1055" s="10" t="s">
        <v>11</v>
      </c>
      <c r="D1055" s="10" t="s">
        <v>1899</v>
      </c>
      <c r="E1055" s="11">
        <v>41609.0</v>
      </c>
      <c r="F1055" s="11">
        <v>42063.0</v>
      </c>
      <c r="G1055" s="2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 ht="12.75" customHeight="1">
      <c r="A1056" s="9" t="str">
        <f>HYPERLINK("javascript:void%20window.open('https://ds3.dhss.ak.local/dsds/ds3/index.cfm?fuseaction=pro.view&amp;entityId=c645be24-5056-bc68-7331-08656740d920')","148293")</f>
        <v>148293</v>
      </c>
      <c r="B1056" s="10" t="s">
        <v>1900</v>
      </c>
      <c r="C1056" s="10" t="s">
        <v>11</v>
      </c>
      <c r="D1056" s="10" t="s">
        <v>1901</v>
      </c>
      <c r="E1056" s="11">
        <v>41648.0</v>
      </c>
      <c r="F1056" s="11">
        <v>42004.0</v>
      </c>
      <c r="G1056" s="2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 ht="12.75" customHeight="1">
      <c r="A1057" s="12" t="str">
        <f>HYPERLINK("javascript:void%20window.open('https://ds3.dhss.ak.local/dsds/ds3/index.cfm?fuseaction=pro.view&amp;entityId=b5743160-3ddd-4b53-8b33-011815de30ef')","32235")</f>
        <v>32235</v>
      </c>
      <c r="B1057" s="13" t="s">
        <v>1902</v>
      </c>
      <c r="C1057" s="13" t="s">
        <v>11</v>
      </c>
      <c r="D1057" s="13" t="s">
        <v>1903</v>
      </c>
      <c r="E1057" s="14">
        <v>38899.0</v>
      </c>
      <c r="F1057" s="14">
        <v>42490.0</v>
      </c>
      <c r="G1057" s="2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 ht="12.75" customHeight="1">
      <c r="A1058" s="15" t="str">
        <f>HYPERLINK("javascript:void%20window.open('https://ds3.dhss.ak.local/dsds/ds3/index.cfm?fuseaction=pro.view&amp;entityId=0a185696-eee3-d46d-6836-07baee5c4eb4')","81994")</f>
        <v>81994</v>
      </c>
      <c r="B1058" s="16" t="s">
        <v>1904</v>
      </c>
      <c r="C1058" s="16" t="s">
        <v>11</v>
      </c>
      <c r="D1058" s="16" t="s">
        <v>1905</v>
      </c>
      <c r="E1058" s="17">
        <v>40801.0</v>
      </c>
      <c r="F1058" s="17">
        <v>41882.0</v>
      </c>
      <c r="G1058" s="2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 ht="12.75" customHeight="1">
      <c r="A1059" s="12" t="str">
        <f>HYPERLINK("javascript:void%20window.open('https://ds3.dhss.ak.local/dsds/ds3/index.cfm?fuseaction=pro.view&amp;entityId=fca65c0a-6a7d-4ba2-b360-600a14e81bc9')","32623")</f>
        <v>32623</v>
      </c>
      <c r="B1059" s="13" t="s">
        <v>1906</v>
      </c>
      <c r="C1059" s="13" t="s">
        <v>11</v>
      </c>
      <c r="D1059" s="13" t="s">
        <v>1907</v>
      </c>
      <c r="E1059" s="14">
        <v>38899.0</v>
      </c>
      <c r="F1059" s="14">
        <v>42521.0</v>
      </c>
      <c r="G1059" s="2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 ht="12.75" customHeight="1">
      <c r="A1060" s="15" t="str">
        <f>HYPERLINK("javascript:void%20window.open('https://ds3.dhss.ak.local/dsds/ds3/index.cfm?fuseaction=pro.view&amp;entityId=fafc2797-5056-bc68-737b-6ca850f538b2')","157201")</f>
        <v>157201</v>
      </c>
      <c r="B1060" s="16" t="s">
        <v>1908</v>
      </c>
      <c r="C1060" s="16" t="s">
        <v>11</v>
      </c>
      <c r="D1060" s="16" t="s">
        <v>1909</v>
      </c>
      <c r="E1060" s="17">
        <v>41305.0</v>
      </c>
      <c r="F1060" s="17">
        <v>42400.0</v>
      </c>
      <c r="G1060" s="2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 ht="12.75" customHeight="1">
      <c r="A1061" s="12" t="str">
        <f>HYPERLINK("javascript:void%20window.open('https://ds3.dhss.ak.local/dsds/ds3/index.cfm?fuseaction=pro.view&amp;entityId=bc474d25-31cc-42bd-97d0-aabfcf8aa302')","30299")</f>
        <v>30299</v>
      </c>
      <c r="B1061" s="13" t="s">
        <v>1910</v>
      </c>
      <c r="C1061" s="13" t="s">
        <v>11</v>
      </c>
      <c r="D1061" s="13" t="s">
        <v>1911</v>
      </c>
      <c r="E1061" s="14">
        <v>39295.0</v>
      </c>
      <c r="F1061" s="14">
        <v>42216.0</v>
      </c>
      <c r="G1061" s="2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 ht="12.75" customHeight="1">
      <c r="A1062" s="15" t="str">
        <f>HYPERLINK("javascript:void%20window.open('https://ds3.dhss.ak.local/dsds/ds3/index.cfm?fuseaction=pro.view&amp;entityId=69006213-7be0-4e12-84fa-2d78a6d2bcb7')","32777")</f>
        <v>32777</v>
      </c>
      <c r="B1062" s="16" t="s">
        <v>1912</v>
      </c>
      <c r="C1062" s="16" t="s">
        <v>11</v>
      </c>
      <c r="D1062" s="16" t="s">
        <v>1913</v>
      </c>
      <c r="E1062" s="17">
        <v>39289.0</v>
      </c>
      <c r="F1062" s="17">
        <v>42216.0</v>
      </c>
      <c r="G1062" s="2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 ht="12.75" customHeight="1">
      <c r="A1063" s="12" t="str">
        <f>HYPERLINK("javascript:void%20window.open('https://ds3.dhss.ak.local/dsds/ds3/index.cfm?fuseaction=pro.view&amp;entityId=7ff38c43-bd49-4148-987f-fbdd04ecbeb5')","32168")</f>
        <v>32168</v>
      </c>
      <c r="B1063" s="13" t="s">
        <v>1914</v>
      </c>
      <c r="C1063" s="13" t="s">
        <v>11</v>
      </c>
      <c r="D1063" s="13" t="s">
        <v>1915</v>
      </c>
      <c r="E1063" s="14">
        <v>38991.0</v>
      </c>
      <c r="F1063" s="14">
        <v>41882.0</v>
      </c>
      <c r="G1063" s="2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</row>
    <row r="1064" ht="12.75" customHeight="1">
      <c r="A1064" s="15" t="str">
        <f>HYPERLINK("javascript:void%20window.open('https://ds3.dhss.ak.local/dsds/ds3/index.cfm?fuseaction=pro.view&amp;entityId=16c9dd25-d0f7-f1df-b191-b796e93e348f')","108487")</f>
        <v>108487</v>
      </c>
      <c r="B1064" s="16" t="s">
        <v>1916</v>
      </c>
      <c r="C1064" s="16" t="s">
        <v>11</v>
      </c>
      <c r="D1064" s="16" t="s">
        <v>1917</v>
      </c>
      <c r="E1064" s="17">
        <v>40561.0</v>
      </c>
      <c r="F1064" s="17">
        <v>41882.0</v>
      </c>
      <c r="G1064" s="2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</row>
    <row r="1065" ht="12.75" customHeight="1">
      <c r="A1065" s="12" t="str">
        <f>HYPERLINK("javascript:void%20window.open('https://ds3.dhss.ak.local/dsds/ds3/index.cfm?fuseaction=pro.view&amp;entityId=94935051-a031-49d7-a8d7-eb05f88e5297')","32452")</f>
        <v>32452</v>
      </c>
      <c r="B1065" s="13" t="s">
        <v>1918</v>
      </c>
      <c r="C1065" s="13" t="s">
        <v>11</v>
      </c>
      <c r="D1065" s="13" t="s">
        <v>1919</v>
      </c>
      <c r="E1065" s="14">
        <v>38991.0</v>
      </c>
      <c r="F1065" s="14">
        <v>41882.0</v>
      </c>
      <c r="G1065" s="2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</row>
    <row r="1066" ht="12.75" customHeight="1">
      <c r="A1066" s="15" t="str">
        <f>HYPERLINK("javascript:void%20window.open('https://ds3.dhss.ak.local/dsds/ds3/index.cfm?fuseaction=pro.view&amp;entityId=260ce544-05c4-d2e8-c371-46ca7cc91444')","71896")</f>
        <v>71896</v>
      </c>
      <c r="B1066" s="16" t="s">
        <v>1920</v>
      </c>
      <c r="C1066" s="16" t="s">
        <v>11</v>
      </c>
      <c r="D1066" s="16" t="s">
        <v>1921</v>
      </c>
      <c r="E1066" s="17">
        <v>39692.0</v>
      </c>
      <c r="F1066" s="17">
        <v>42369.0</v>
      </c>
      <c r="G1066" s="2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</row>
    <row r="1067" ht="12.75" customHeight="1">
      <c r="A1067" s="12" t="str">
        <f>HYPERLINK("javascript:void%20window.open('https://ds3.dhss.ak.local/dsds/ds3/index.cfm?fuseaction=pro.view&amp;entityId=2e8f94ce-a54b-34ca-ab66-7b592e8a9ddb')","117583")</f>
        <v>117583</v>
      </c>
      <c r="B1067" s="13" t="s">
        <v>1922</v>
      </c>
      <c r="C1067" s="13" t="s">
        <v>11</v>
      </c>
      <c r="D1067" s="13" t="s">
        <v>1923</v>
      </c>
      <c r="E1067" s="14">
        <v>40729.0</v>
      </c>
      <c r="F1067" s="14">
        <v>41882.0</v>
      </c>
      <c r="G1067" s="2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</row>
    <row r="1068" ht="12.75" customHeight="1">
      <c r="A1068" s="15" t="str">
        <f>HYPERLINK("javascript:void%20window.open('https://ds3.dhss.ak.local/dsds/ds3/index.cfm?fuseaction=pro.view&amp;entityId=a707cda8-8da4-4906-9485-754265f6dd19')","32348")</f>
        <v>32348</v>
      </c>
      <c r="B1068" s="16" t="s">
        <v>1924</v>
      </c>
      <c r="C1068" s="16" t="s">
        <v>11</v>
      </c>
      <c r="D1068" s="16" t="s">
        <v>1925</v>
      </c>
      <c r="E1068" s="17">
        <v>38899.0</v>
      </c>
      <c r="F1068" s="17">
        <v>42490.0</v>
      </c>
      <c r="G1068" s="2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</row>
    <row r="1069" ht="12.75" customHeight="1">
      <c r="A1069" s="12" t="str">
        <f>HYPERLINK("javascript:void%20window.open('https://ds3.dhss.ak.local/dsds/ds3/index.cfm?fuseaction=pro.view&amp;entityId=a84a98c7-42e1-4396-b914-9f60544a2cc5')","118406")</f>
        <v>118406</v>
      </c>
      <c r="B1069" s="13" t="s">
        <v>1926</v>
      </c>
      <c r="C1069" s="13" t="s">
        <v>11</v>
      </c>
      <c r="D1069" s="13" t="s">
        <v>1927</v>
      </c>
      <c r="E1069" s="14">
        <v>40981.0</v>
      </c>
      <c r="F1069" s="14">
        <v>42063.0</v>
      </c>
      <c r="G1069" s="2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</row>
    <row r="1070" ht="12.75" customHeight="1">
      <c r="A1070" s="15" t="str">
        <f>HYPERLINK("javascript:void%20window.open('https://ds3.dhss.ak.local/dsds/ds3/index.cfm?fuseaction=pro.view&amp;entityId=e016e9b8-0565-4a21-a5a1-225c68a68794')","87474")</f>
        <v>87474</v>
      </c>
      <c r="B1070" s="16" t="s">
        <v>1928</v>
      </c>
      <c r="C1070" s="16" t="s">
        <v>11</v>
      </c>
      <c r="D1070" s="16" t="s">
        <v>1929</v>
      </c>
      <c r="E1070" s="17">
        <v>40830.0</v>
      </c>
      <c r="F1070" s="17">
        <v>42035.0</v>
      </c>
      <c r="G1070" s="2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</row>
    <row r="1071" ht="12.75" customHeight="1">
      <c r="A1071" s="12" t="str">
        <f>HYPERLINK("javascript:void%20window.open('https://ds3.dhss.ak.local/dsds/ds3/index.cfm?fuseaction=pro.view&amp;entityId=5f7e6c17-110e-4e35-892b-09597e7e0d0d')","99295")</f>
        <v>99295</v>
      </c>
      <c r="B1071" s="13" t="s">
        <v>1930</v>
      </c>
      <c r="C1071" s="13" t="s">
        <v>11</v>
      </c>
      <c r="D1071" s="13" t="s">
        <v>1931</v>
      </c>
      <c r="E1071" s="14">
        <v>40561.0</v>
      </c>
      <c r="F1071" s="14">
        <v>42521.0</v>
      </c>
      <c r="G1071" s="2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</row>
    <row r="1072" ht="12.75" customHeight="1">
      <c r="A1072" s="15" t="str">
        <f>HYPERLINK("javascript:void%20window.open('https://ds3.dhss.ak.local/dsds/ds3/index.cfm?fuseaction=pro.view&amp;entityId=67b75301-3a1b-4c9e-932b-a122e69af917')","30657")</f>
        <v>30657</v>
      </c>
      <c r="B1072" s="16" t="s">
        <v>1932</v>
      </c>
      <c r="C1072" s="16" t="s">
        <v>11</v>
      </c>
      <c r="D1072" s="16" t="s">
        <v>1933</v>
      </c>
      <c r="E1072" s="17">
        <v>39052.0</v>
      </c>
      <c r="F1072" s="17">
        <v>41973.0</v>
      </c>
      <c r="G1072" s="2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</row>
    <row r="1073" ht="12.75" customHeight="1">
      <c r="A1073" s="12" t="str">
        <f>HYPERLINK("javascript:void%20window.open('https://ds3.dhss.ak.local/dsds/ds3/index.cfm?fuseaction=pro.view&amp;entityId=65e92066-97b4-b5e0-8204-52dff04ebe31')","116287")</f>
        <v>116287</v>
      </c>
      <c r="B1073" s="13" t="s">
        <v>1934</v>
      </c>
      <c r="C1073" s="13" t="s">
        <v>11</v>
      </c>
      <c r="D1073" s="13" t="s">
        <v>1935</v>
      </c>
      <c r="E1073" s="14">
        <v>40672.0</v>
      </c>
      <c r="F1073" s="14">
        <v>42490.0</v>
      </c>
      <c r="G1073" s="2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</row>
    <row r="1074" ht="12.75" customHeight="1">
      <c r="A1074" s="15" t="str">
        <f>HYPERLINK("javascript:void%20window.open('https://ds3.dhss.ak.local/dsds/ds3/index.cfm?fuseaction=pro.view&amp;entityId=ee999606-b480-21fe-388c-aec16da0ad86')","104427")</f>
        <v>104427</v>
      </c>
      <c r="B1074" s="16" t="s">
        <v>1936</v>
      </c>
      <c r="C1074" s="16" t="s">
        <v>11</v>
      </c>
      <c r="D1074" s="16" t="s">
        <v>1937</v>
      </c>
      <c r="E1074" s="17">
        <v>38749.0</v>
      </c>
      <c r="F1074" s="17">
        <v>40939.0</v>
      </c>
      <c r="G1074" s="2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</row>
    <row r="1075" ht="12.75" customHeight="1">
      <c r="A1075" s="12" t="str">
        <f>HYPERLINK("javascript:void%20window.open('https://ds3.dhss.ak.local/dsds/ds3/index.cfm?fuseaction=pro.view&amp;entityId=f95dbef5-2b0e-4e3d-af20-2db85462d56f')","31816")</f>
        <v>31816</v>
      </c>
      <c r="B1075" s="13" t="s">
        <v>1938</v>
      </c>
      <c r="C1075" s="13" t="s">
        <v>11</v>
      </c>
      <c r="D1075" s="13" t="s">
        <v>1939</v>
      </c>
      <c r="E1075" s="14">
        <v>38991.0</v>
      </c>
      <c r="F1075" s="14">
        <v>42582.0</v>
      </c>
      <c r="G1075" s="2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</row>
    <row r="1076" ht="12.75" customHeight="1">
      <c r="A1076" s="15" t="str">
        <f>HYPERLINK("javascript:void%20window.open('https://ds3.dhss.ak.local/dsds/ds3/index.cfm?fuseaction=pro.view&amp;entityId=478d0442-a1b4-4d17-9060-e2a111b2dbd2')","74771")</f>
        <v>74771</v>
      </c>
      <c r="B1076" s="16" t="s">
        <v>1940</v>
      </c>
      <c r="C1076" s="16" t="s">
        <v>11</v>
      </c>
      <c r="D1076" s="16" t="s">
        <v>1941</v>
      </c>
      <c r="E1076" s="17">
        <v>40513.0</v>
      </c>
      <c r="F1076" s="17">
        <v>41973.0</v>
      </c>
      <c r="G1076" s="2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</row>
    <row r="1077" ht="12.75" customHeight="1">
      <c r="A1077" s="9" t="str">
        <f>HYPERLINK("javascript:void%20window.open('https://ds3.dhss.ak.local/dsds/ds3/index.cfm?fuseaction=pro.view&amp;entityId=a1efaef7-2cc0-4346-8481-1ce9c8098cc2')","134096")</f>
        <v>134096</v>
      </c>
      <c r="B1077" s="10" t="s">
        <v>1942</v>
      </c>
      <c r="C1077" s="10" t="s">
        <v>11</v>
      </c>
      <c r="D1077" s="10" t="s">
        <v>1943</v>
      </c>
      <c r="E1077" s="11">
        <v>41681.0</v>
      </c>
      <c r="F1077" s="11">
        <v>42035.0</v>
      </c>
      <c r="G1077" s="2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</row>
    <row r="1078" ht="12.75" customHeight="1">
      <c r="A1078" s="15" t="str">
        <f>HYPERLINK("javascript:void%20window.open('https://ds3.dhss.ak.local/dsds/ds3/index.cfm?fuseaction=pro.view&amp;entityId=92602c78-a0a0-18b9-8346-6dce08d7320f')","67648")</f>
        <v>67648</v>
      </c>
      <c r="B1078" s="16" t="s">
        <v>1944</v>
      </c>
      <c r="C1078" s="16" t="s">
        <v>11</v>
      </c>
      <c r="D1078" s="16" t="s">
        <v>1945</v>
      </c>
      <c r="E1078" s="17">
        <v>39612.0</v>
      </c>
      <c r="F1078" s="17">
        <v>42216.0</v>
      </c>
      <c r="G1078" s="2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</row>
    <row r="1079" ht="12.75" customHeight="1">
      <c r="A1079" s="12" t="str">
        <f>HYPERLINK("javascript:void%20window.open('https://ds3.dhss.ak.local/dsds/ds3/index.cfm?fuseaction=pro.view&amp;entityId=7d02a0b7-a4f8-88f1-3959-4947ffeddd96')","107844")</f>
        <v>107844</v>
      </c>
      <c r="B1079" s="13" t="s">
        <v>1946</v>
      </c>
      <c r="C1079" s="13" t="s">
        <v>11</v>
      </c>
      <c r="D1079" s="13" t="s">
        <v>1947</v>
      </c>
      <c r="E1079" s="14">
        <v>40634.0</v>
      </c>
      <c r="F1079" s="14">
        <v>42460.0</v>
      </c>
      <c r="G1079" s="2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</row>
    <row r="1080" ht="12.75" customHeight="1">
      <c r="A1080" s="15" t="str">
        <f>HYPERLINK("javascript:void%20window.open('https://ds3.dhss.ak.local/dsds/ds3/index.cfm?fuseaction=pro.view&amp;entityId=20f1ea4c-b08b-4848-858a-58079caa6f53')","32403")</f>
        <v>32403</v>
      </c>
      <c r="B1080" s="16" t="s">
        <v>1948</v>
      </c>
      <c r="C1080" s="16" t="s">
        <v>11</v>
      </c>
      <c r="D1080" s="16" t="s">
        <v>1949</v>
      </c>
      <c r="E1080" s="17">
        <v>39326.0</v>
      </c>
      <c r="F1080" s="17">
        <v>42308.0</v>
      </c>
      <c r="G1080" s="2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</row>
    <row r="1081" ht="12.75" customHeight="1">
      <c r="A1081" s="9" t="str">
        <f>HYPERLINK("javascript:void%20window.open('https://ds3.dhss.ak.local/dsds/ds3/index.cfm?fuseaction=pro.view&amp;entityId=f7849fb8-5056-bc68-738e-6bcd6429a71c')","149399")</f>
        <v>149399</v>
      </c>
      <c r="B1081" s="10" t="s">
        <v>1950</v>
      </c>
      <c r="C1081" s="10" t="s">
        <v>11</v>
      </c>
      <c r="D1081" s="10" t="s">
        <v>1951</v>
      </c>
      <c r="E1081" s="11">
        <v>41600.0</v>
      </c>
      <c r="F1081" s="11">
        <v>41943.0</v>
      </c>
      <c r="G1081" s="2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</row>
    <row r="1082" ht="12.75" customHeight="1">
      <c r="A1082" s="15" t="str">
        <f>HYPERLINK("javascript:void%20window.open('https://ds3.dhss.ak.local/dsds/ds3/index.cfm?fuseaction=pro.view&amp;entityId=ddff7e58-f5f2-bb79-45e1-11fd4b6ba5d7')","93003")</f>
        <v>93003</v>
      </c>
      <c r="B1082" s="16" t="s">
        <v>1952</v>
      </c>
      <c r="C1082" s="16" t="s">
        <v>11</v>
      </c>
      <c r="D1082" s="16" t="s">
        <v>1953</v>
      </c>
      <c r="E1082" s="17">
        <v>41351.0</v>
      </c>
      <c r="F1082" s="17">
        <v>41739.0</v>
      </c>
      <c r="G1082" s="2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</row>
    <row r="1083" ht="12.75" customHeight="1">
      <c r="A1083" s="9" t="str">
        <f>HYPERLINK("javascript:void%20window.open('https://ds3.dhss.ak.local/dsds/ds3/index.cfm?fuseaction=pro.view&amp;entityId=83b732bd-a02e-41ac-a47f-ad968f8a4de8')","30937")</f>
        <v>30937</v>
      </c>
      <c r="B1083" s="10" t="s">
        <v>1954</v>
      </c>
      <c r="C1083" s="10" t="s">
        <v>11</v>
      </c>
      <c r="D1083" s="10" t="s">
        <v>1955</v>
      </c>
      <c r="E1083" s="11">
        <v>41456.0</v>
      </c>
      <c r="F1083" s="11">
        <v>42185.0</v>
      </c>
      <c r="G1083" s="2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</row>
    <row r="1084" ht="12.75" customHeight="1">
      <c r="A1084" s="15" t="str">
        <f>HYPERLINK("javascript:void%20window.open('https://ds3.dhss.ak.local/dsds/ds3/index.cfm?fuseaction=pro.view&amp;entityId=a40ae2ed-65be-f484-01ae-25cc55b3bdde')","65154")</f>
        <v>65154</v>
      </c>
      <c r="B1084" s="16" t="s">
        <v>1956</v>
      </c>
      <c r="C1084" s="16" t="s">
        <v>11</v>
      </c>
      <c r="D1084" s="16" t="s">
        <v>1957</v>
      </c>
      <c r="E1084" s="17">
        <v>38749.0</v>
      </c>
      <c r="F1084" s="17">
        <v>42247.0</v>
      </c>
      <c r="G1084" s="2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</row>
    <row r="1085" ht="12.75" customHeight="1">
      <c r="A1085" s="12" t="str">
        <f>HYPERLINK("javascript:void%20window.open('https://ds3.dhss.ak.local/dsds/ds3/index.cfm?fuseaction=pro.view&amp;entityId=2673ac8e-dc4b-4e2f-9a69-ccbe605bc808')","32543")</f>
        <v>32543</v>
      </c>
      <c r="B1085" s="13" t="s">
        <v>1958</v>
      </c>
      <c r="C1085" s="13" t="s">
        <v>11</v>
      </c>
      <c r="D1085" s="13" t="s">
        <v>1959</v>
      </c>
      <c r="E1085" s="14">
        <v>38899.0</v>
      </c>
      <c r="F1085" s="14">
        <v>42551.0</v>
      </c>
      <c r="G1085" s="2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</row>
    <row r="1086" ht="12.75" customHeight="1">
      <c r="A1086" s="9" t="str">
        <f>HYPERLINK("javascript:void%20window.open('https://ds3.dhss.ak.local/dsds/ds3/index.cfm?fuseaction=pro.view&amp;entityId=e8adb1bc-cccc-fcc6-9177-95ff66613a5e')","131221")</f>
        <v>131221</v>
      </c>
      <c r="B1086" s="10" t="s">
        <v>1960</v>
      </c>
      <c r="C1086" s="10" t="s">
        <v>11</v>
      </c>
      <c r="D1086" s="10" t="s">
        <v>1961</v>
      </c>
      <c r="E1086" s="11">
        <v>41761.0</v>
      </c>
      <c r="F1086" s="11">
        <v>42124.0</v>
      </c>
      <c r="G1086" s="2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</row>
    <row r="1087" ht="12.75" customHeight="1">
      <c r="A1087" s="12" t="str">
        <f>HYPERLINK("javascript:void%20window.open('https://ds3.dhss.ak.local/dsds/ds3/index.cfm?fuseaction=pro.view&amp;entityId=6e21e804-3164-446d-a927-cace4c35889c')","34258")</f>
        <v>34258</v>
      </c>
      <c r="B1087" s="13" t="s">
        <v>1962</v>
      </c>
      <c r="C1087" s="13" t="s">
        <v>11</v>
      </c>
      <c r="D1087" s="13" t="s">
        <v>1963</v>
      </c>
      <c r="E1087" s="14">
        <v>40483.0</v>
      </c>
      <c r="F1087" s="14">
        <v>42521.0</v>
      </c>
      <c r="G1087" s="2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</row>
    <row r="1088" ht="12.75" customHeight="1">
      <c r="A1088" s="15" t="str">
        <f>HYPERLINK("javascript:void%20window.open('https://ds3.dhss.ak.local/dsds/ds3/index.cfm?fuseaction=pro.view&amp;entityId=cce6a4e2-5056-bc68-73c9-b9ffb0a54c0f')","149365")</f>
        <v>149365</v>
      </c>
      <c r="B1088" s="16" t="s">
        <v>1964</v>
      </c>
      <c r="C1088" s="16" t="s">
        <v>11</v>
      </c>
      <c r="D1088" s="16" t="s">
        <v>1965</v>
      </c>
      <c r="E1088" s="17">
        <v>41358.0</v>
      </c>
      <c r="F1088" s="17">
        <v>42429.0</v>
      </c>
      <c r="G1088" s="2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</row>
    <row r="1089" ht="12.75" customHeight="1">
      <c r="A1089" s="12" t="str">
        <f>HYPERLINK("javascript:void%20window.open('https://ds3.dhss.ak.local/dsds/ds3/index.cfm?fuseaction=pro.view&amp;entityId=17c60982-6591-414a-bb92-8011830181c0')","32605")</f>
        <v>32605</v>
      </c>
      <c r="B1089" s="13" t="s">
        <v>1966</v>
      </c>
      <c r="C1089" s="13" t="s">
        <v>11</v>
      </c>
      <c r="D1089" s="13" t="s">
        <v>1967</v>
      </c>
      <c r="E1089" s="14">
        <v>38991.0</v>
      </c>
      <c r="F1089" s="14">
        <v>41973.0</v>
      </c>
      <c r="G1089" s="2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</row>
    <row r="1090" ht="12.75" customHeight="1">
      <c r="A1090" s="15" t="str">
        <f>HYPERLINK("javascript:void%20window.open('https://ds3.dhss.ak.local/dsds/ds3/index.cfm?fuseaction=pro.view&amp;entityId=b5186d69-36c6-4050-84ba-a696d9805220')","32664")</f>
        <v>32664</v>
      </c>
      <c r="B1090" s="16" t="s">
        <v>1968</v>
      </c>
      <c r="C1090" s="16" t="s">
        <v>11</v>
      </c>
      <c r="D1090" s="16" t="s">
        <v>1969</v>
      </c>
      <c r="E1090" s="17">
        <v>39066.0</v>
      </c>
      <c r="F1090" s="17">
        <v>42400.0</v>
      </c>
      <c r="G1090" s="2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</row>
    <row r="1091" ht="12.75" customHeight="1">
      <c r="A1091" s="12" t="str">
        <f>HYPERLINK("javascript:void%20window.open('https://ds3.dhss.ak.local/dsds/ds3/index.cfm?fuseaction=pro.view&amp;entityId=a20d8b3a-baeb-47e6-9f6b-e53c89ecb76f')","30618")</f>
        <v>30618</v>
      </c>
      <c r="B1091" s="13" t="s">
        <v>1970</v>
      </c>
      <c r="C1091" s="13" t="s">
        <v>11</v>
      </c>
      <c r="D1091" s="13" t="s">
        <v>1971</v>
      </c>
      <c r="E1091" s="14">
        <v>39356.0</v>
      </c>
      <c r="F1091" s="14">
        <v>42277.0</v>
      </c>
      <c r="G1091" s="2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</row>
    <row r="1092" ht="12.75" customHeight="1">
      <c r="A1092" s="15" t="str">
        <f>HYPERLINK("javascript:void%20window.open('https://ds3.dhss.ak.local/dsds/ds3/index.cfm?fuseaction=pro.view&amp;entityId=2b8ffa66-5056-bc68-735b-2037ac793993')","149464")</f>
        <v>149464</v>
      </c>
      <c r="B1092" s="16" t="s">
        <v>1972</v>
      </c>
      <c r="C1092" s="16" t="s">
        <v>11</v>
      </c>
      <c r="D1092" s="16" t="s">
        <v>1973</v>
      </c>
      <c r="E1092" s="17">
        <v>41360.0</v>
      </c>
      <c r="F1092" s="17">
        <v>41698.0</v>
      </c>
      <c r="G1092" s="2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</row>
    <row r="1093" ht="12.75" customHeight="1">
      <c r="A1093" s="12" t="str">
        <f>HYPERLINK("javascript:void%20window.open('https://ds3.dhss.ak.local/dsds/ds3/index.cfm?fuseaction=pro.view&amp;entityId=3c6dc2ed-5056-bc68-733e-583239a8260b')","142539")</f>
        <v>142539</v>
      </c>
      <c r="B1093" s="13" t="s">
        <v>1974</v>
      </c>
      <c r="C1093" s="13" t="s">
        <v>11</v>
      </c>
      <c r="D1093" s="13" t="s">
        <v>1975</v>
      </c>
      <c r="E1093" s="14">
        <v>41218.0</v>
      </c>
      <c r="F1093" s="14">
        <v>42490.0</v>
      </c>
      <c r="G1093" s="2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</row>
    <row r="1094" ht="12.75" customHeight="1">
      <c r="A1094" s="15" t="str">
        <f>HYPERLINK("javascript:void%20window.open('https://ds3.dhss.ak.local/dsds/ds3/index.cfm?fuseaction=pro.view&amp;entityId=ad574236-63a8-4c7d-b7c9-9bd51059b3a4')","30634")</f>
        <v>30634</v>
      </c>
      <c r="B1094" s="16" t="s">
        <v>1976</v>
      </c>
      <c r="C1094" s="16" t="s">
        <v>11</v>
      </c>
      <c r="D1094" s="16" t="s">
        <v>1977</v>
      </c>
      <c r="E1094" s="17">
        <v>39754.0</v>
      </c>
      <c r="F1094" s="17">
        <v>42004.0</v>
      </c>
      <c r="G1094" s="2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</row>
    <row r="1095" ht="12.75" customHeight="1">
      <c r="A1095" s="12" t="str">
        <f>HYPERLINK("javascript:void%20window.open('https://ds3.dhss.ak.local/dsds/ds3/index.cfm?fuseaction=pro.view&amp;entityId=20619ae5-c1f2-abf1-cee3-b9f1a678839a')","129572")</f>
        <v>129572</v>
      </c>
      <c r="B1095" s="13" t="s">
        <v>1978</v>
      </c>
      <c r="C1095" s="13" t="s">
        <v>11</v>
      </c>
      <c r="D1095" s="13" t="s">
        <v>1979</v>
      </c>
      <c r="E1095" s="14">
        <v>41000.0</v>
      </c>
      <c r="F1095" s="14">
        <v>42063.0</v>
      </c>
      <c r="G1095" s="2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</row>
    <row r="1096" ht="12.75" customHeight="1">
      <c r="A1096" s="9" t="str">
        <f>HYPERLINK("javascript:void%20window.open('https://ds3.dhss.ak.local/dsds/ds3/index.cfm?fuseaction=pro.view&amp;entityId=b99ab7ce-5056-bc68-73ac-d7006272a2ea')","155074")</f>
        <v>155074</v>
      </c>
      <c r="B1096" s="10" t="s">
        <v>1980</v>
      </c>
      <c r="C1096" s="10" t="s">
        <v>11</v>
      </c>
      <c r="D1096" s="10" t="s">
        <v>1981</v>
      </c>
      <c r="E1096" s="11">
        <v>41662.0</v>
      </c>
      <c r="F1096" s="11">
        <v>42004.0</v>
      </c>
      <c r="G1096" s="2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</row>
    <row r="1097" ht="12.75" customHeight="1">
      <c r="A1097" s="9" t="str">
        <f>HYPERLINK("javascript:void%20window.open('https://ds3.dhss.ak.local/dsds/ds3/index.cfm?fuseaction=pro.view&amp;entityId=3be46a56-5056-bc68-7339-796796be95e2')","142527")</f>
        <v>142527</v>
      </c>
      <c r="B1097" s="10" t="s">
        <v>1982</v>
      </c>
      <c r="C1097" s="10" t="s">
        <v>11</v>
      </c>
      <c r="D1097" s="10" t="s">
        <v>1983</v>
      </c>
      <c r="E1097" s="11">
        <v>41478.0</v>
      </c>
      <c r="F1097" s="11">
        <v>42582.0</v>
      </c>
      <c r="G1097" s="2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</row>
    <row r="1098" ht="12.75" customHeight="1">
      <c r="A1098" s="9" t="str">
        <f>HYPERLINK("javascript:void%20window.open('https://ds3.dhss.ak.local/dsds/ds3/index.cfm?fuseaction=pro.view&amp;entityId=1182d4bd-5056-bc68-7369-ab727a025ced')","159041")</f>
        <v>159041</v>
      </c>
      <c r="B1098" s="10" t="s">
        <v>1984</v>
      </c>
      <c r="C1098" s="10" t="s">
        <v>11</v>
      </c>
      <c r="D1098" s="10" t="s">
        <v>1985</v>
      </c>
      <c r="E1098" s="11">
        <v>41600.0</v>
      </c>
      <c r="F1098" s="11">
        <v>41943.0</v>
      </c>
      <c r="G1098" s="2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</row>
    <row r="1099" ht="12.75" customHeight="1">
      <c r="A1099" s="12" t="str">
        <f>HYPERLINK("javascript:void%20window.open('https://ds3.dhss.ak.local/dsds/ds3/index.cfm?fuseaction=pro.view&amp;entityId=27a2fba7-73b0-44b2-9cdc-07fbb3746c35')","30099")</f>
        <v>30099</v>
      </c>
      <c r="B1099" s="13" t="s">
        <v>1986</v>
      </c>
      <c r="C1099" s="13" t="s">
        <v>11</v>
      </c>
      <c r="D1099" s="13" t="s">
        <v>1987</v>
      </c>
      <c r="E1099" s="14">
        <v>39142.0</v>
      </c>
      <c r="F1099" s="14">
        <v>42063.0</v>
      </c>
      <c r="G1099" s="2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</row>
    <row r="1100" ht="12.75" customHeight="1">
      <c r="A1100" s="15" t="str">
        <f>HYPERLINK("javascript:void%20window.open('https://ds3.dhss.ak.local/dsds/ds3/index.cfm?fuseaction=pro.view&amp;entityId=369b66ec-c430-43b2-8924-f6ca45fa8255')","31530")</f>
        <v>31530</v>
      </c>
      <c r="B1100" s="16" t="s">
        <v>1988</v>
      </c>
      <c r="C1100" s="16" t="s">
        <v>11</v>
      </c>
      <c r="D1100" s="16" t="s">
        <v>1989</v>
      </c>
      <c r="E1100" s="17">
        <v>39142.0</v>
      </c>
      <c r="F1100" s="17">
        <v>42063.0</v>
      </c>
      <c r="G1100" s="2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</row>
    <row r="1101" ht="12.75" customHeight="1">
      <c r="A1101" s="12" t="str">
        <f>HYPERLINK("javascript:void%20window.open('https://ds3.dhss.ak.local/dsds/ds3/index.cfm?fuseaction=pro.view&amp;entityId=31355455-7fdd-4092-8389-a8d6dd2ed3c3')","133359")</f>
        <v>133359</v>
      </c>
      <c r="B1101" s="13" t="s">
        <v>1990</v>
      </c>
      <c r="C1101" s="13" t="s">
        <v>11</v>
      </c>
      <c r="D1101" s="13" t="s">
        <v>1991</v>
      </c>
      <c r="E1101" s="14">
        <v>41047.0</v>
      </c>
      <c r="F1101" s="14">
        <v>42400.0</v>
      </c>
      <c r="G1101" s="2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</row>
    <row r="1102" ht="12.75" customHeight="1">
      <c r="A1102" s="15" t="str">
        <f>HYPERLINK("javascript:void%20window.open('https://ds3.dhss.ak.local/dsds/ds3/index.cfm?fuseaction=pro.view&amp;entityId=c7961e2a-dece-464b-a164-6501e6e0956f')","32785")</f>
        <v>32785</v>
      </c>
      <c r="B1102" s="16" t="s">
        <v>1992</v>
      </c>
      <c r="C1102" s="16" t="s">
        <v>11</v>
      </c>
      <c r="D1102" s="16" t="s">
        <v>1993</v>
      </c>
      <c r="E1102" s="17">
        <v>39261.0</v>
      </c>
      <c r="F1102" s="17">
        <v>42521.0</v>
      </c>
      <c r="G1102" s="2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</row>
    <row r="1103" ht="12.75" customHeight="1">
      <c r="A1103" s="12" t="str">
        <f>HYPERLINK("javascript:void%20window.open('https://ds3.dhss.ak.local/dsds/ds3/index.cfm?fuseaction=pro.view&amp;entityId=03cb2484-0fec-846b-0d11-ec24c313a3c2')","106175")</f>
        <v>106175</v>
      </c>
      <c r="B1103" s="13" t="s">
        <v>1994</v>
      </c>
      <c r="C1103" s="13" t="s">
        <v>11</v>
      </c>
      <c r="D1103" s="13" t="s">
        <v>1995</v>
      </c>
      <c r="E1103" s="14">
        <v>40683.0</v>
      </c>
      <c r="F1103" s="14">
        <v>42490.0</v>
      </c>
      <c r="G1103" s="2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</row>
    <row r="1104" ht="12.75" customHeight="1">
      <c r="A1104" s="15" t="str">
        <f>HYPERLINK("javascript:void%20window.open('https://ds3.dhss.ak.local/dsds/ds3/index.cfm?fuseaction=pro.view&amp;entityId=ce83b67a-0275-4d42-9483-7eb1a4e9928f')","30628")</f>
        <v>30628</v>
      </c>
      <c r="B1104" s="16" t="s">
        <v>1996</v>
      </c>
      <c r="C1104" s="16" t="s">
        <v>11</v>
      </c>
      <c r="D1104" s="16" t="s">
        <v>1997</v>
      </c>
      <c r="E1104" s="17">
        <v>39335.0</v>
      </c>
      <c r="F1104" s="17">
        <v>42247.0</v>
      </c>
      <c r="G1104" s="2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</row>
    <row r="1105" ht="12.75" customHeight="1">
      <c r="A1105" s="12" t="str">
        <f>HYPERLINK("javascript:void%20window.open('https://ds3.dhss.ak.local/dsds/ds3/index.cfm?fuseaction=pro.view&amp;entityId=c097ead2-a56c-824d-78a0-0edd2a2a9b36')","66622")</f>
        <v>66622</v>
      </c>
      <c r="B1105" s="13" t="s">
        <v>1998</v>
      </c>
      <c r="C1105" s="13" t="s">
        <v>11</v>
      </c>
      <c r="D1105" s="13" t="s">
        <v>1999</v>
      </c>
      <c r="E1105" s="14">
        <v>39534.0</v>
      </c>
      <c r="F1105" s="14">
        <v>42063.0</v>
      </c>
      <c r="G1105" s="2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</row>
    <row r="1106" ht="12.75" customHeight="1">
      <c r="A1106" s="15" t="str">
        <f>HYPERLINK("javascript:void%20window.open('https://ds3.dhss.ak.local/dsds/ds3/index.cfm?fuseaction=pro.view&amp;entityId=e77b89b5-a145-01f3-e802-b9487c9172c0')","128995")</f>
        <v>128995</v>
      </c>
      <c r="B1106" s="16" t="s">
        <v>2000</v>
      </c>
      <c r="C1106" s="16" t="s">
        <v>11</v>
      </c>
      <c r="D1106" s="16" t="s">
        <v>2001</v>
      </c>
      <c r="E1106" s="17">
        <v>41275.0</v>
      </c>
      <c r="F1106" s="17">
        <v>42185.0</v>
      </c>
      <c r="G1106" s="2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</row>
    <row r="1107" ht="12.75" customHeight="1">
      <c r="A1107" s="12" t="str">
        <f>HYPERLINK("javascript:void%20window.open('https://ds3.dhss.ak.local/dsds/ds3/index.cfm?fuseaction=pro.view&amp;entityId=28d25cfd-a4e7-4526-8936-606d4c2dcebf')","31512")</f>
        <v>31512</v>
      </c>
      <c r="B1107" s="13" t="s">
        <v>2002</v>
      </c>
      <c r="C1107" s="13" t="s">
        <v>11</v>
      </c>
      <c r="D1107" s="13" t="s">
        <v>2003</v>
      </c>
      <c r="E1107" s="14">
        <v>38991.0</v>
      </c>
      <c r="F1107" s="14">
        <v>41973.0</v>
      </c>
      <c r="G1107" s="2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</row>
    <row r="1108" ht="12.75" customHeight="1">
      <c r="A1108" s="9" t="str">
        <f>HYPERLINK("javascript:void%20window.open('https://ds3.dhss.ak.local/dsds/ds3/index.cfm?fuseaction=pro.view&amp;entityId=8eb9f8b0-5056-bc68-730d-7fd748b137b8')","156243")</f>
        <v>156243</v>
      </c>
      <c r="B1108" s="10" t="s">
        <v>2004</v>
      </c>
      <c r="C1108" s="10" t="s">
        <v>11</v>
      </c>
      <c r="D1108" s="10" t="s">
        <v>2005</v>
      </c>
      <c r="E1108" s="11">
        <v>41534.0</v>
      </c>
      <c r="F1108" s="11">
        <v>41882.0</v>
      </c>
      <c r="G1108" s="2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</row>
    <row r="1109" ht="12.75" customHeight="1">
      <c r="A1109" s="12" t="str">
        <f>HYPERLINK("javascript:void%20window.open('https://ds3.dhss.ak.local/dsds/ds3/index.cfm?fuseaction=pro.view&amp;entityId=ea71fdd1-4ee4-4adb-868e-2ab4b4d7f441')","32621")</f>
        <v>32621</v>
      </c>
      <c r="B1109" s="13" t="s">
        <v>2006</v>
      </c>
      <c r="C1109" s="13" t="s">
        <v>11</v>
      </c>
      <c r="D1109" s="13" t="s">
        <v>2007</v>
      </c>
      <c r="E1109" s="14">
        <v>39417.0</v>
      </c>
      <c r="F1109" s="14">
        <v>42338.0</v>
      </c>
      <c r="G1109" s="2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</row>
    <row r="1110" ht="12.75" customHeight="1">
      <c r="A1110" s="15" t="str">
        <f>HYPERLINK("javascript:void%20window.open('https://ds3.dhss.ak.local/dsds/ds3/index.cfm?fuseaction=pro.view&amp;entityId=0d596516-9345-651d-4a4b-6955d41f4560')","126775")</f>
        <v>126775</v>
      </c>
      <c r="B1110" s="16" t="s">
        <v>2008</v>
      </c>
      <c r="C1110" s="16" t="s">
        <v>11</v>
      </c>
      <c r="D1110" s="16" t="s">
        <v>2009</v>
      </c>
      <c r="E1110" s="17">
        <v>41165.0</v>
      </c>
      <c r="F1110" s="17">
        <v>42277.0</v>
      </c>
      <c r="G1110" s="2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</row>
    <row r="1111" ht="12.75" customHeight="1">
      <c r="A1111" s="12" t="str">
        <f>HYPERLINK("javascript:void%20window.open('https://ds3.dhss.ak.local/dsds/ds3/index.cfm?fuseaction=pro.view&amp;entityId=f3b9f63a-d85f-1ddf-5f02-1037da7321ea')","85963")</f>
        <v>85963</v>
      </c>
      <c r="B1111" s="13" t="s">
        <v>2010</v>
      </c>
      <c r="C1111" s="13" t="s">
        <v>11</v>
      </c>
      <c r="D1111" s="13" t="s">
        <v>2011</v>
      </c>
      <c r="E1111" s="14">
        <v>40052.0</v>
      </c>
      <c r="F1111" s="14">
        <v>41851.0</v>
      </c>
      <c r="G1111" s="2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</row>
    <row r="1112" ht="12.75" customHeight="1">
      <c r="A1112" s="9" t="str">
        <f>HYPERLINK("javascript:void%20window.open('https://ds3.dhss.ak.local/dsds/ds3/index.cfm?fuseaction=pro.view&amp;entityId=4f6fca89-5056-bc68-738c-c2b92bfe4c6c')","155211")</f>
        <v>155211</v>
      </c>
      <c r="B1112" s="10" t="s">
        <v>2012</v>
      </c>
      <c r="C1112" s="10" t="s">
        <v>11</v>
      </c>
      <c r="D1112" s="10" t="s">
        <v>2013</v>
      </c>
      <c r="E1112" s="11">
        <v>41502.0</v>
      </c>
      <c r="F1112" s="11">
        <v>42582.0</v>
      </c>
      <c r="G1112" s="2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</row>
    <row r="1113" ht="12.75" customHeight="1">
      <c r="A1113" s="12" t="str">
        <f>HYPERLINK("javascript:void%20window.open('https://ds3.dhss.ak.local/dsds/ds3/index.cfm?fuseaction=pro.view&amp;entityId=6ad92af0-b1a3-cfdd-6faa-52eaf7dcb7f9')","98606")</f>
        <v>98606</v>
      </c>
      <c r="B1113" s="13" t="s">
        <v>2014</v>
      </c>
      <c r="C1113" s="13" t="s">
        <v>11</v>
      </c>
      <c r="D1113" s="13" t="s">
        <v>2015</v>
      </c>
      <c r="E1113" s="14">
        <v>40347.0</v>
      </c>
      <c r="F1113" s="14">
        <v>41912.0</v>
      </c>
      <c r="G1113" s="2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</row>
    <row r="1114" ht="12.75" customHeight="1">
      <c r="A1114" s="15" t="str">
        <f>HYPERLINK("javascript:void%20window.open('https://ds3.dhss.ak.local/dsds/ds3/index.cfm?fuseaction=pro.view&amp;entityId=1194cad4-5056-bc68-7351-121365e51928')","152528")</f>
        <v>152528</v>
      </c>
      <c r="B1114" s="16" t="s">
        <v>2016</v>
      </c>
      <c r="C1114" s="16" t="s">
        <v>11</v>
      </c>
      <c r="D1114" s="16" t="s">
        <v>2017</v>
      </c>
      <c r="E1114" s="17">
        <v>41451.0</v>
      </c>
      <c r="F1114" s="17">
        <v>42521.0</v>
      </c>
      <c r="G1114" s="2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</row>
    <row r="1115" ht="12.75" customHeight="1">
      <c r="A1115" s="12" t="str">
        <f>HYPERLINK("javascript:void%20window.open('https://ds3.dhss.ak.local/dsds/ds3/index.cfm?fuseaction=pro.view&amp;entityId=cc760b25-bc55-d30a-39b9-1bf078288450')","105862")</f>
        <v>105862</v>
      </c>
      <c r="B1115" s="13" t="s">
        <v>2018</v>
      </c>
      <c r="C1115" s="13" t="s">
        <v>11</v>
      </c>
      <c r="D1115" s="13" t="s">
        <v>2019</v>
      </c>
      <c r="E1115" s="14">
        <v>40583.0</v>
      </c>
      <c r="F1115" s="14">
        <v>42521.0</v>
      </c>
      <c r="G1115" s="2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</row>
    <row r="1116" ht="12.75" customHeight="1">
      <c r="A1116" s="15" t="str">
        <f>HYPERLINK("javascript:void%20window.open('https://ds3.dhss.ak.local/dsds/ds3/index.cfm?fuseaction=pro.view&amp;entityId=d0c6643c-b225-47a6-75dc-2f9e8ad97323')","73352")</f>
        <v>73352</v>
      </c>
      <c r="B1116" s="16" t="s">
        <v>2020</v>
      </c>
      <c r="C1116" s="16" t="s">
        <v>11</v>
      </c>
      <c r="D1116" s="16" t="s">
        <v>2021</v>
      </c>
      <c r="E1116" s="17">
        <v>40925.0</v>
      </c>
      <c r="F1116" s="17">
        <v>41791.0</v>
      </c>
      <c r="G1116" s="2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</row>
    <row r="1117" ht="12.75" customHeight="1">
      <c r="A1117" s="12" t="str">
        <f>HYPERLINK("javascript:void%20window.open('https://ds3.dhss.ak.local/dsds/ds3/index.cfm?fuseaction=pro.view&amp;entityId=dc4aaeca-119b-4e88-8783-7fc41122afea')","34654")</f>
        <v>34654</v>
      </c>
      <c r="B1117" s="13" t="s">
        <v>2022</v>
      </c>
      <c r="C1117" s="13" t="s">
        <v>11</v>
      </c>
      <c r="D1117" s="13" t="s">
        <v>2023</v>
      </c>
      <c r="E1117" s="14">
        <v>40050.0</v>
      </c>
      <c r="F1117" s="14">
        <v>41912.0</v>
      </c>
      <c r="G1117" s="2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</row>
    <row r="1118" ht="12.75" customHeight="1">
      <c r="A1118" s="15" t="str">
        <f>HYPERLINK("javascript:void%20window.open('https://ds3.dhss.ak.local/dsds/ds3/index.cfm?fuseaction=pro.view&amp;entityId=09798ac1-6157-4623-96a8-cd1eeecbcd2e')","31812")</f>
        <v>31812</v>
      </c>
      <c r="B1118" s="16" t="s">
        <v>2024</v>
      </c>
      <c r="C1118" s="16" t="s">
        <v>11</v>
      </c>
      <c r="D1118" s="16" t="s">
        <v>2025</v>
      </c>
      <c r="E1118" s="17">
        <v>39234.0</v>
      </c>
      <c r="F1118" s="17">
        <v>42155.0</v>
      </c>
      <c r="G1118" s="2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</row>
    <row r="1119" ht="12.75" customHeight="1">
      <c r="A1119" s="12" t="str">
        <f>HYPERLINK("javascript:void%20window.open('https://ds3.dhss.ak.local/dsds/ds3/index.cfm?fuseaction=pro.view&amp;entityId=8d8143b1-b8a7-7ef8-d5f4-7bb88e8e32e7')","130066")</f>
        <v>130066</v>
      </c>
      <c r="B1119" s="13" t="s">
        <v>2026</v>
      </c>
      <c r="C1119" s="13" t="s">
        <v>11</v>
      </c>
      <c r="D1119" s="13" t="s">
        <v>2027</v>
      </c>
      <c r="E1119" s="14">
        <v>40967.0</v>
      </c>
      <c r="F1119" s="14">
        <v>42094.0</v>
      </c>
      <c r="G1119" s="2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</row>
    <row r="1120" ht="12.75" customHeight="1">
      <c r="A1120" s="15" t="str">
        <f>HYPERLINK("javascript:void%20window.open('https://ds3.dhss.ak.local/dsds/ds3/index.cfm?fuseaction=pro.view&amp;entityId=178175fd-0da2-46f6-86f1-180610e15e26')","31488")</f>
        <v>31488</v>
      </c>
      <c r="B1120" s="16" t="s">
        <v>2028</v>
      </c>
      <c r="C1120" s="16" t="s">
        <v>11</v>
      </c>
      <c r="D1120" s="16" t="s">
        <v>2029</v>
      </c>
      <c r="E1120" s="17">
        <v>38808.0</v>
      </c>
      <c r="F1120" s="17">
        <v>42460.0</v>
      </c>
      <c r="G1120" s="2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</row>
    <row r="1121" ht="12.75" customHeight="1">
      <c r="A1121" s="12" t="str">
        <f>HYPERLINK("javascript:void%20window.open('https://ds3.dhss.ak.local/dsds/ds3/index.cfm?fuseaction=pro.view&amp;entityId=ab787abe-0424-1a9a-24dc-77b58711c05b')","101856")</f>
        <v>101856</v>
      </c>
      <c r="B1121" s="13" t="s">
        <v>2030</v>
      </c>
      <c r="C1121" s="13" t="s">
        <v>11</v>
      </c>
      <c r="D1121" s="13" t="s">
        <v>2031</v>
      </c>
      <c r="E1121" s="14">
        <v>40309.0</v>
      </c>
      <c r="F1121" s="14">
        <v>42521.0</v>
      </c>
      <c r="G1121" s="2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</row>
    <row r="1122" ht="12.75" customHeight="1">
      <c r="A1122" s="15" t="str">
        <f>HYPERLINK("javascript:void%20window.open('https://ds3.dhss.ak.local/dsds/ds3/index.cfm?fuseaction=pro.view&amp;entityId=f64d66a7-b8d4-4407-80ec-7848c03e4e18')","32617")</f>
        <v>32617</v>
      </c>
      <c r="B1122" s="16" t="s">
        <v>2032</v>
      </c>
      <c r="C1122" s="16" t="s">
        <v>11</v>
      </c>
      <c r="D1122" s="16" t="s">
        <v>2033</v>
      </c>
      <c r="E1122" s="17">
        <v>39295.0</v>
      </c>
      <c r="F1122" s="17">
        <v>41517.0</v>
      </c>
      <c r="G1122" s="2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</row>
    <row r="1123" ht="12.75" customHeight="1">
      <c r="A1123" s="12" t="str">
        <f>HYPERLINK("javascript:void%20window.open('https://ds3.dhss.ak.local/dsds/ds3/index.cfm?fuseaction=pro.view&amp;entityId=ccbfb669-fb25-3bdb-a3c8-9713f0a91da6')","99411")</f>
        <v>99411</v>
      </c>
      <c r="B1123" s="13" t="s">
        <v>2034</v>
      </c>
      <c r="C1123" s="13" t="s">
        <v>11</v>
      </c>
      <c r="D1123" s="13" t="s">
        <v>2035</v>
      </c>
      <c r="E1123" s="14">
        <v>40492.0</v>
      </c>
      <c r="F1123" s="14">
        <v>41670.0</v>
      </c>
      <c r="G1123" s="2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</row>
    <row r="1124" ht="12.75" customHeight="1">
      <c r="A1124" s="15" t="str">
        <f>HYPERLINK("javascript:void%20window.open('https://ds3.dhss.ak.local/dsds/ds3/index.cfm?fuseaction=pro.view&amp;entityId=7bebe990-5056-bc68-73c3-3005465ce94f')","146257")</f>
        <v>146257</v>
      </c>
      <c r="B1124" s="16" t="s">
        <v>2036</v>
      </c>
      <c r="C1124" s="16" t="s">
        <v>11</v>
      </c>
      <c r="D1124" s="16" t="s">
        <v>2037</v>
      </c>
      <c r="E1124" s="17">
        <v>41348.0</v>
      </c>
      <c r="F1124" s="17">
        <v>42428.0</v>
      </c>
      <c r="G1124" s="2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</row>
    <row r="1125" ht="12.75" customHeight="1">
      <c r="A1125" s="12" t="str">
        <f>HYPERLINK("javascript:void%20window.open('https://ds3.dhss.ak.local/dsds/ds3/index.cfm?fuseaction=pro.view&amp;entityId=1eb44bb2-ef48-d48b-91b4-f40d6567bce3')","110056")</f>
        <v>110056</v>
      </c>
      <c r="B1125" s="13" t="s">
        <v>2038</v>
      </c>
      <c r="C1125" s="13" t="s">
        <v>11</v>
      </c>
      <c r="D1125" s="13" t="s">
        <v>2039</v>
      </c>
      <c r="E1125" s="14">
        <v>40676.0</v>
      </c>
      <c r="F1125" s="14">
        <v>42490.0</v>
      </c>
      <c r="G1125" s="2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</row>
    <row r="1126" ht="12.75" customHeight="1">
      <c r="A1126" s="15" t="str">
        <f>HYPERLINK("javascript:void%20window.open('https://ds3.dhss.ak.local/dsds/ds3/index.cfm?fuseaction=pro.view&amp;entityId=af653f8e-5056-bc68-7352-fa062a073928')","165498")</f>
        <v>165498</v>
      </c>
      <c r="B1126" s="16" t="s">
        <v>2040</v>
      </c>
      <c r="C1126" s="16" t="s">
        <v>11</v>
      </c>
      <c r="D1126" s="16" t="s">
        <v>2041</v>
      </c>
      <c r="E1126" s="16"/>
      <c r="F1126" s="17">
        <v>42004.0</v>
      </c>
      <c r="G1126" s="2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</row>
    <row r="1127" ht="12.75" customHeight="1">
      <c r="A1127" s="12" t="str">
        <f>HYPERLINK("javascript:void%20window.open('https://ds3.dhss.ak.local/dsds/ds3/index.cfm?fuseaction=pro.view&amp;entityId=fb1c1858-bebf-4539-a40b-a135a183ad55')","128733")</f>
        <v>128733</v>
      </c>
      <c r="B1127" s="13" t="s">
        <v>2042</v>
      </c>
      <c r="C1127" s="13" t="s">
        <v>11</v>
      </c>
      <c r="D1127" s="13" t="s">
        <v>2043</v>
      </c>
      <c r="E1127" s="14">
        <v>40934.0</v>
      </c>
      <c r="F1127" s="14">
        <v>41031.0</v>
      </c>
      <c r="G1127" s="2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</row>
    <row r="1128" ht="12.75" customHeight="1">
      <c r="A1128" s="2"/>
      <c r="B1128" s="2"/>
      <c r="C1128" s="2"/>
      <c r="D1128" s="2"/>
      <c r="E1128" s="2"/>
      <c r="F1128" s="2"/>
      <c r="G1128" s="2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</row>
    <row r="1129" ht="12.75" customHeight="1">
      <c r="A1129" s="2"/>
      <c r="B1129" s="2"/>
      <c r="C1129" s="2"/>
      <c r="D1129" s="2"/>
      <c r="E1129" s="2"/>
      <c r="F1129" s="2"/>
      <c r="G1129" s="2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</row>
    <row r="1130" ht="12.75" customHeight="1">
      <c r="A1130" s="18" t="s">
        <v>2044</v>
      </c>
      <c r="D1130" s="2"/>
      <c r="E1130" s="2"/>
      <c r="F1130" s="2"/>
      <c r="G1130" s="2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</row>
  </sheetData>
  <mergeCells count="5">
    <mergeCell ref="A1130:C1130"/>
    <mergeCell ref="A5:F5"/>
    <mergeCell ref="A6:F6"/>
    <mergeCell ref="A1:D1"/>
    <mergeCell ref="A3:D3"/>
  </mergeCells>
  <drawing r:id="rId1"/>
</worksheet>
</file>