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MyProject\portfolio_optimization\data\"/>
    </mc:Choice>
  </mc:AlternateContent>
  <bookViews>
    <workbookView xWindow="0" yWindow="0" windowWidth="28800" windowHeight="12255" activeTab="1"/>
  </bookViews>
  <sheets>
    <sheet name="Sheet1" sheetId="2" r:id="rId1"/>
    <sheet name="etf_result" sheetId="1" r:id="rId2"/>
  </sheets>
  <definedNames>
    <definedName name="_xlnm._FilterDatabase" localSheetId="1" hidden="1">etf_result!$A$1:$I$1</definedName>
  </definedNames>
  <calcPr calcId="0"/>
  <pivotCaches>
    <pivotCache cacheId="18" r:id="rId3"/>
  </pivotCaches>
</workbook>
</file>

<file path=xl/calcChain.xml><?xml version="1.0" encoding="utf-8"?>
<calcChain xmlns="http://schemas.openxmlformats.org/spreadsheetml/2006/main">
  <c r="D1863" i="1" l="1"/>
  <c r="D1185" i="1"/>
  <c r="D476" i="1"/>
  <c r="D1646" i="1"/>
  <c r="D1241" i="1"/>
  <c r="D1939" i="1"/>
  <c r="D505" i="1"/>
  <c r="D630" i="1"/>
  <c r="D1934" i="1"/>
  <c r="D1210" i="1"/>
  <c r="D468" i="1"/>
  <c r="D373" i="1"/>
  <c r="D467" i="1"/>
  <c r="D635" i="1"/>
  <c r="D1859" i="1"/>
  <c r="D1556" i="1"/>
  <c r="D900" i="1"/>
  <c r="D1435" i="1"/>
  <c r="D899" i="1"/>
  <c r="D432" i="1"/>
  <c r="D898" i="1"/>
  <c r="D1755" i="1"/>
  <c r="D836" i="1"/>
  <c r="D295" i="1"/>
  <c r="D35" i="1"/>
  <c r="D1320" i="1"/>
  <c r="D1319" i="1"/>
  <c r="D697" i="1"/>
  <c r="D75" i="1"/>
  <c r="D1583" i="1"/>
  <c r="D107" i="1"/>
  <c r="D488" i="1"/>
  <c r="D1197" i="1"/>
  <c r="D1318" i="1"/>
  <c r="D1242" i="1"/>
  <c r="D1651" i="1"/>
  <c r="D146" i="1"/>
  <c r="D791" i="1"/>
  <c r="D636" i="1"/>
  <c r="D434" i="1"/>
  <c r="D679" i="1"/>
  <c r="D897" i="1"/>
  <c r="D1787" i="1"/>
  <c r="D714" i="1"/>
  <c r="D211" i="1"/>
  <c r="D1434" i="1"/>
  <c r="D896" i="1"/>
  <c r="D1650" i="1"/>
  <c r="D1433" i="1"/>
  <c r="D656" i="1"/>
  <c r="D895" i="1"/>
  <c r="D1286" i="1"/>
  <c r="D1831" i="1"/>
  <c r="D1222" i="1"/>
  <c r="D210" i="1"/>
  <c r="D1694" i="1"/>
  <c r="D1836" i="1"/>
  <c r="D1221" i="1"/>
  <c r="D1690" i="1"/>
  <c r="D894" i="1"/>
  <c r="D1769" i="1"/>
  <c r="D431" i="1"/>
  <c r="D788" i="1"/>
  <c r="D893" i="1"/>
  <c r="D892" i="1"/>
  <c r="D1390" i="1"/>
  <c r="D209" i="1"/>
  <c r="D622" i="1"/>
  <c r="D244" i="1"/>
  <c r="D1220" i="1"/>
  <c r="D1257" i="1"/>
  <c r="D891" i="1"/>
  <c r="D1317" i="1"/>
  <c r="D1987" i="1"/>
  <c r="D294" i="1"/>
  <c r="D200" i="1"/>
  <c r="D1389" i="1"/>
  <c r="D1818" i="1"/>
  <c r="D196" i="1"/>
  <c r="D13" i="1"/>
  <c r="D640" i="1"/>
  <c r="D1827" i="1"/>
  <c r="D1629" i="1"/>
  <c r="D1256" i="1"/>
  <c r="D1843" i="1"/>
  <c r="D293" i="1"/>
  <c r="D63" i="1"/>
  <c r="D1679" i="1"/>
  <c r="D1797" i="1"/>
  <c r="D1804" i="1"/>
  <c r="D1432" i="1"/>
  <c r="D1255" i="1"/>
  <c r="D1667" i="1"/>
  <c r="D34" i="1"/>
  <c r="D1297" i="1"/>
  <c r="D1431" i="1"/>
  <c r="D1738" i="1"/>
  <c r="D1430" i="1"/>
  <c r="D1594" i="1"/>
  <c r="D1975" i="1"/>
  <c r="D567" i="1"/>
  <c r="D1717" i="1"/>
  <c r="D1628" i="1"/>
  <c r="D1285" i="1"/>
  <c r="D1429" i="1"/>
  <c r="D890" i="1"/>
  <c r="D889" i="1"/>
  <c r="D1428" i="1"/>
  <c r="D1703" i="1"/>
  <c r="D1427" i="1"/>
  <c r="D508" i="1"/>
  <c r="D1627" i="1"/>
  <c r="D1830" i="1"/>
  <c r="D1316" i="1"/>
  <c r="D1426" i="1"/>
  <c r="D689" i="1"/>
  <c r="D664" i="1"/>
  <c r="D597" i="1"/>
  <c r="D801" i="1"/>
  <c r="D457" i="1"/>
  <c r="D688" i="1"/>
  <c r="D814" i="1"/>
  <c r="D489" i="1"/>
  <c r="D1425" i="1"/>
  <c r="D1702" i="1"/>
  <c r="D208" i="1"/>
  <c r="D835" i="1"/>
  <c r="D1315" i="1"/>
  <c r="D1314" i="1"/>
  <c r="D106" i="1"/>
  <c r="D1842" i="1"/>
  <c r="D1666" i="1"/>
  <c r="D888" i="1"/>
  <c r="D532" i="1"/>
  <c r="D887" i="1"/>
  <c r="D1559" i="1"/>
  <c r="D1751" i="1"/>
  <c r="D269" i="1"/>
  <c r="D491" i="1"/>
  <c r="D111" i="1"/>
  <c r="D1803" i="1"/>
  <c r="D678" i="1"/>
  <c r="D81" i="1"/>
  <c r="D91" i="1"/>
  <c r="D1696" i="1"/>
  <c r="D745" i="1"/>
  <c r="D1786" i="1"/>
  <c r="D773" i="1"/>
  <c r="D1375" i="1"/>
  <c r="D886" i="1"/>
  <c r="D262" i="1"/>
  <c r="D9" i="1"/>
  <c r="D77" i="1"/>
  <c r="D1811" i="1"/>
  <c r="D772" i="1"/>
  <c r="D292" i="1"/>
  <c r="D1388" i="1"/>
  <c r="D80" i="1"/>
  <c r="D885" i="1"/>
  <c r="D358" i="1"/>
  <c r="D1658" i="1"/>
  <c r="D1582" i="1"/>
  <c r="D279" i="1"/>
  <c r="D1254" i="1"/>
  <c r="D1802" i="1"/>
  <c r="D653" i="1"/>
  <c r="D1665" i="1"/>
  <c r="D1664" i="1"/>
  <c r="D604" i="1"/>
  <c r="D1716" i="1"/>
  <c r="D1219" i="1"/>
  <c r="D610" i="1"/>
  <c r="D1424" i="1"/>
  <c r="D1695" i="1"/>
  <c r="D2006" i="1"/>
  <c r="D195" i="1"/>
  <c r="D1801" i="1"/>
  <c r="D383" i="1"/>
  <c r="D884" i="1"/>
  <c r="D1678" i="1"/>
  <c r="D565" i="1"/>
  <c r="D1649" i="1"/>
  <c r="D883" i="1"/>
  <c r="D1196" i="1"/>
  <c r="D1677" i="1"/>
  <c r="D1958" i="1"/>
  <c r="D1253" i="1"/>
  <c r="D1998" i="1"/>
  <c r="D1218" i="1"/>
  <c r="D1588" i="1"/>
  <c r="D882" i="1"/>
  <c r="D809" i="1"/>
  <c r="D207" i="1"/>
  <c r="D1423" i="1"/>
  <c r="D531" i="1"/>
  <c r="D881" i="1"/>
  <c r="D33" i="1"/>
  <c r="D603" i="1"/>
  <c r="D145" i="1"/>
  <c r="D516" i="1"/>
  <c r="D768" i="1"/>
  <c r="D440" i="1"/>
  <c r="D582" i="1"/>
  <c r="D1715" i="1"/>
  <c r="D144" i="1"/>
  <c r="D671" i="1"/>
  <c r="D880" i="1"/>
  <c r="D1663" i="1"/>
  <c r="D194" i="1"/>
  <c r="D1422" i="1"/>
  <c r="D879" i="1"/>
  <c r="D368" i="1"/>
  <c r="D291" i="1"/>
  <c r="D570" i="1"/>
  <c r="D596" i="1"/>
  <c r="D290" i="1"/>
  <c r="D1421" i="1"/>
  <c r="D1614" i="1"/>
  <c r="D243" i="1"/>
  <c r="D1741" i="1"/>
  <c r="D530" i="1"/>
  <c r="D23" i="1"/>
  <c r="D1773" i="1"/>
  <c r="D1420" i="1"/>
  <c r="D1387" i="1"/>
  <c r="D1313" i="1"/>
  <c r="D76" i="1"/>
  <c r="D878" i="1"/>
  <c r="D1312" i="1"/>
  <c r="D206" i="1"/>
  <c r="D1419" i="1"/>
  <c r="D796" i="1"/>
  <c r="D143" i="1"/>
  <c r="D575" i="1"/>
  <c r="D1195" i="1"/>
  <c r="D177" i="1"/>
  <c r="D10" i="1"/>
  <c r="D1311" i="1"/>
  <c r="D561" i="1"/>
  <c r="D677" i="1"/>
  <c r="D2023" i="1"/>
  <c r="D525" i="1"/>
  <c r="D1701" i="1"/>
  <c r="D529" i="1"/>
  <c r="D1252" i="1"/>
  <c r="D1217" i="1"/>
  <c r="D778" i="1"/>
  <c r="D19" i="1"/>
  <c r="D490" i="1"/>
  <c r="D1728" i="1"/>
  <c r="D1823" i="1"/>
  <c r="D273" i="1"/>
  <c r="D639" i="1"/>
  <c r="D382" i="1"/>
  <c r="D595" i="1"/>
  <c r="D90" i="1"/>
  <c r="D1835" i="1"/>
  <c r="D834" i="1"/>
  <c r="D1796" i="1"/>
  <c r="D1593" i="1"/>
  <c r="D1374" i="1"/>
  <c r="D1754" i="1"/>
  <c r="D877" i="1"/>
  <c r="D27" i="1"/>
  <c r="D1418" i="1"/>
  <c r="D1417" i="1"/>
  <c r="D74" i="1"/>
  <c r="D724" i="1"/>
  <c r="D289" i="1"/>
  <c r="D1416" i="1"/>
  <c r="D876" i="1"/>
  <c r="D1785" i="1"/>
  <c r="D22" i="1"/>
  <c r="D875" i="1"/>
  <c r="D1310" i="1"/>
  <c r="D288" i="1"/>
  <c r="D1626" i="1"/>
  <c r="D32" i="1"/>
  <c r="D1714" i="1"/>
  <c r="D826" i="1"/>
  <c r="D1636" i="1"/>
  <c r="D1800" i="1"/>
  <c r="D652" i="1"/>
  <c r="D1415" i="1"/>
  <c r="D1648" i="1"/>
  <c r="D205" i="1"/>
  <c r="D1216" i="1"/>
  <c r="D1414" i="1"/>
  <c r="D1784" i="1"/>
  <c r="D804" i="1"/>
  <c r="D1194" i="1"/>
  <c r="D89" i="1"/>
  <c r="D1193" i="1"/>
  <c r="D180" i="1"/>
  <c r="D1284" i="1"/>
  <c r="D66" i="1"/>
  <c r="D696" i="1"/>
  <c r="D142" i="1"/>
  <c r="D744" i="1"/>
  <c r="D833" i="1"/>
  <c r="D141" i="1"/>
  <c r="D1740" i="1"/>
  <c r="D1733" i="1"/>
  <c r="D1687" i="1"/>
  <c r="D874" i="1"/>
  <c r="D1386" i="1"/>
  <c r="D1296" i="1"/>
  <c r="D1713" i="1"/>
  <c r="D1592" i="1"/>
  <c r="D1817" i="1"/>
  <c r="D873" i="1"/>
  <c r="D872" i="1"/>
  <c r="D871" i="1"/>
  <c r="D524" i="1"/>
  <c r="D1251" i="1"/>
  <c r="D88" i="1"/>
  <c r="D287" i="1"/>
  <c r="D870" i="1"/>
  <c r="D1373" i="1"/>
  <c r="D1215" i="1"/>
  <c r="D1283" i="1"/>
  <c r="D743" i="1"/>
  <c r="D1567" i="1"/>
  <c r="D1662" i="1"/>
  <c r="D1413" i="1"/>
  <c r="D1558" i="1"/>
  <c r="D456" i="1"/>
  <c r="D1412" i="1"/>
  <c r="D1613" i="1"/>
  <c r="D175" i="1"/>
  <c r="D832" i="1"/>
  <c r="D1192" i="1"/>
  <c r="D574" i="1"/>
  <c r="D869" i="1"/>
  <c r="D204" i="1"/>
  <c r="D1834" i="1"/>
  <c r="D1214" i="1"/>
  <c r="D1191" i="1"/>
  <c r="D1282" i="1"/>
  <c r="D868" i="1"/>
  <c r="D1372" i="1"/>
  <c r="D1411" i="1"/>
  <c r="D135" i="1"/>
  <c r="D1295" i="1"/>
  <c r="D1635" i="1"/>
  <c r="D1385" i="1"/>
  <c r="D813" i="1"/>
  <c r="D1309" i="1"/>
  <c r="D1190" i="1"/>
  <c r="D1566" i="1"/>
  <c r="D1294" i="1"/>
  <c r="D1676" i="1"/>
  <c r="D174" i="1"/>
  <c r="D1700" i="1"/>
  <c r="D381" i="1"/>
  <c r="D1250" i="1"/>
  <c r="D831" i="1"/>
  <c r="D830" i="1"/>
  <c r="D1625" i="1"/>
  <c r="D87" i="1"/>
  <c r="D1410" i="1"/>
  <c r="D1409" i="1"/>
  <c r="D1408" i="1"/>
  <c r="D1407" i="1"/>
  <c r="D1213" i="1"/>
  <c r="D380" i="1"/>
  <c r="D1384" i="1"/>
  <c r="D867" i="1"/>
  <c r="D1406" i="1"/>
  <c r="D1249" i="1"/>
  <c r="D203" i="1"/>
  <c r="D286" i="1"/>
  <c r="D866" i="1"/>
  <c r="D865" i="1"/>
  <c r="D1647" i="1"/>
  <c r="D829" i="1"/>
  <c r="D864" i="1"/>
  <c r="D528" i="1"/>
  <c r="D863" i="1"/>
  <c r="D1675" i="1"/>
  <c r="D1189" i="1"/>
  <c r="D527" i="1"/>
  <c r="D828" i="1"/>
  <c r="D1405" i="1"/>
  <c r="D1308" i="1"/>
  <c r="D1661" i="1"/>
  <c r="D1712" i="1"/>
  <c r="D1783" i="1"/>
  <c r="D1711" i="1"/>
  <c r="D1248" i="1"/>
  <c r="D526" i="1"/>
  <c r="D140" i="1"/>
  <c r="D1212" i="1"/>
  <c r="D1307" i="1"/>
  <c r="D1247" i="1"/>
  <c r="D1404" i="1"/>
  <c r="D1188" i="1"/>
  <c r="D1306" i="1"/>
  <c r="D285" i="1"/>
  <c r="D1187" i="1"/>
  <c r="D284" i="1"/>
  <c r="D1211" i="1"/>
  <c r="D139" i="1"/>
  <c r="D202" i="1"/>
  <c r="D862" i="1"/>
  <c r="D861" i="1"/>
  <c r="D1403" i="1"/>
  <c r="D860" i="1"/>
  <c r="D859" i="1"/>
</calcChain>
</file>

<file path=xl/sharedStrings.xml><?xml version="1.0" encoding="utf-8"?>
<sst xmlns="http://schemas.openxmlformats.org/spreadsheetml/2006/main" count="17046" uniqueCount="6392">
  <si>
    <t>Issuer</t>
  </si>
  <si>
    <t>Name</t>
  </si>
  <si>
    <t>AUM</t>
  </si>
  <si>
    <t>3M_Return</t>
  </si>
  <si>
    <t>Expense</t>
  </si>
  <si>
    <t>Segment</t>
  </si>
  <si>
    <t>Ticker</t>
  </si>
  <si>
    <t>State Street Global Advisors</t>
  </si>
  <si>
    <t>SPDR S&amp;P 500 ETF Trust</t>
  </si>
  <si>
    <t>$410.41B</t>
  </si>
  <si>
    <t>Equity: U.S. - Large Cap</t>
  </si>
  <si>
    <t>SPY</t>
  </si>
  <si>
    <t>Blackrock</t>
  </si>
  <si>
    <t>iShares Core S&amp;P 500 ETF</t>
  </si>
  <si>
    <t>$306.72B</t>
  </si>
  <si>
    <t>IVV</t>
  </si>
  <si>
    <t>Vanguard</t>
  </si>
  <si>
    <t>Vanguard Total Stock Market ETF</t>
  </si>
  <si>
    <t>$276.07B</t>
  </si>
  <si>
    <t>Equity: U.S. - Total Market</t>
  </si>
  <si>
    <t>VTI</t>
  </si>
  <si>
    <t>Vanguard S&amp;P 500 ETF</t>
  </si>
  <si>
    <t>$259.09B</t>
  </si>
  <si>
    <t>VOO</t>
  </si>
  <si>
    <t>Invesco</t>
  </si>
  <si>
    <t>Invesco QQQ Trust</t>
  </si>
  <si>
    <t>$187.26B</t>
  </si>
  <si>
    <t>QQQ</t>
  </si>
  <si>
    <t>Vanguard FTSE Developed Markets ETF</t>
  </si>
  <si>
    <t>$108.51B</t>
  </si>
  <si>
    <t>Equity: Developed Markets Ex-U.S. - Total Market</t>
  </si>
  <si>
    <t>VEA</t>
  </si>
  <si>
    <t>iShares Core MSCI EAFE ETF</t>
  </si>
  <si>
    <t>$101.20B</t>
  </si>
  <si>
    <t>Equity: Developed Markets Ex-North America - Total Market</t>
  </si>
  <si>
    <t>IEFA</t>
  </si>
  <si>
    <t>Vanguard Value ETF</t>
  </si>
  <si>
    <t>$92.17B</t>
  </si>
  <si>
    <t>Equity: U.S. - Large Cap Value</t>
  </si>
  <si>
    <t>VTV</t>
  </si>
  <si>
    <t>Vanguard FTSE Emerging Markets ETF</t>
  </si>
  <si>
    <t>$82.19B</t>
  </si>
  <si>
    <t>Equity: Emerging Markets - Total Market</t>
  </si>
  <si>
    <t>VWO</t>
  </si>
  <si>
    <t>Vanguard Growth ETF</t>
  </si>
  <si>
    <t>$78.94B</t>
  </si>
  <si>
    <t>Equity: U.S. - Large Cap Growth</t>
  </si>
  <si>
    <t>VUG</t>
  </si>
  <si>
    <t>iShares Core MSCI Emerging Markets ETF</t>
  </si>
  <si>
    <t>$76.71B</t>
  </si>
  <si>
    <t>IEMG</t>
  </si>
  <si>
    <t>iShares Core S&amp;P Small-Cap ETF</t>
  </si>
  <si>
    <t>$69.62B</t>
  </si>
  <si>
    <t>Equity: U.S. - Small Cap</t>
  </si>
  <si>
    <t>IJR</t>
  </si>
  <si>
    <t>iShares Russell 1000 Growth ETF</t>
  </si>
  <si>
    <t>$68.16B</t>
  </si>
  <si>
    <t>IWF</t>
  </si>
  <si>
    <t>Vanguard Dividend Appreciation ETF</t>
  </si>
  <si>
    <t>$64.45B</t>
  </si>
  <si>
    <t>VIG</t>
  </si>
  <si>
    <t>iShares Core S&amp;P Mid-Cap ETF</t>
  </si>
  <si>
    <t>$62.81B</t>
  </si>
  <si>
    <t>Equity: U.S. - Mid Cap</t>
  </si>
  <si>
    <t>IJH</t>
  </si>
  <si>
    <t>iShares Russell 2000 ETF</t>
  </si>
  <si>
    <t>$60.03B</t>
  </si>
  <si>
    <t>IWM</t>
  </si>
  <si>
    <t>iShares Russell 1000 Value ETF</t>
  </si>
  <si>
    <t>$56.87B</t>
  </si>
  <si>
    <t>IWD</t>
  </si>
  <si>
    <t>iShares MSCI EAFE ETF</t>
  </si>
  <si>
    <t>$55.36B</t>
  </si>
  <si>
    <t>EFA</t>
  </si>
  <si>
    <t>Vanguard Total International Stock ETF</t>
  </si>
  <si>
    <t>$53.19B</t>
  </si>
  <si>
    <t>Equity: Global Ex-U.S. - Total Market</t>
  </si>
  <si>
    <t>VXUS</t>
  </si>
  <si>
    <t>Vanguard Mid-Cap ETF</t>
  </si>
  <si>
    <t>$52.30B</t>
  </si>
  <si>
    <t>VO</t>
  </si>
  <si>
    <t>Vanguard Information Technology ETF</t>
  </si>
  <si>
    <t>$49.20B</t>
  </si>
  <si>
    <t>Equity: U.S. Information Technology</t>
  </si>
  <si>
    <t>VGT</t>
  </si>
  <si>
    <t>Vanguard Real Estate ETF</t>
  </si>
  <si>
    <t>$45.92B</t>
  </si>
  <si>
    <t>Equity: U.S. Real Estate</t>
  </si>
  <si>
    <t>VNQ</t>
  </si>
  <si>
    <t>Technology Select Sector SPDR Fund</t>
  </si>
  <si>
    <t>$45.86B</t>
  </si>
  <si>
    <t>XLK</t>
  </si>
  <si>
    <t>Financial Select Sector SPDR Fund</t>
  </si>
  <si>
    <t>$45.50B</t>
  </si>
  <si>
    <t>Equity: U.S. Financials</t>
  </si>
  <si>
    <t>XLF</t>
  </si>
  <si>
    <t>Vanguard Small-Cap ETF</t>
  </si>
  <si>
    <t>$45.41B</t>
  </si>
  <si>
    <t>VB</t>
  </si>
  <si>
    <t>iShares Core S&amp;P Total U.S. Stock Market ETF</t>
  </si>
  <si>
    <t>$42.94B</t>
  </si>
  <si>
    <t>ITOT</t>
  </si>
  <si>
    <t>Vanguard High Dividend Yield ETF</t>
  </si>
  <si>
    <t>$42.08B</t>
  </si>
  <si>
    <t>Equity: U.S. - High Dividend Yield</t>
  </si>
  <si>
    <t>VYM</t>
  </si>
  <si>
    <t>Vanguard FTSE All-World ex-US ETF</t>
  </si>
  <si>
    <t>$35.45B</t>
  </si>
  <si>
    <t>VEU</t>
  </si>
  <si>
    <t>iShares S&amp;P 500 Growth ETF</t>
  </si>
  <si>
    <t>$35.23B</t>
  </si>
  <si>
    <t>IVW</t>
  </si>
  <si>
    <t>Health Care Select Sector SPDR Fund</t>
  </si>
  <si>
    <t>$33.96B</t>
  </si>
  <si>
    <t>Equity: U.S. Health Care</t>
  </si>
  <si>
    <t>XLV</t>
  </si>
  <si>
    <t>Charles Schwab</t>
  </si>
  <si>
    <t>Schwab U.S. Large-Cap ETF</t>
  </si>
  <si>
    <t>$32.51B</t>
  </si>
  <si>
    <t>SCHX</t>
  </si>
  <si>
    <t>iShares Core MSCI Total International Stock ETF</t>
  </si>
  <si>
    <t>$32.05B</t>
  </si>
  <si>
    <t>IXUS</t>
  </si>
  <si>
    <t>Invesco S&amp;P 500 Equal Weight ETF</t>
  </si>
  <si>
    <t>$31.48B</t>
  </si>
  <si>
    <t>RSP</t>
  </si>
  <si>
    <t>Schwab U.S. Dividend Equity ETF</t>
  </si>
  <si>
    <t>$31.43B</t>
  </si>
  <si>
    <t>SCHD</t>
  </si>
  <si>
    <t>Energy Select Sector SPDR Fund</t>
  </si>
  <si>
    <t>$31.33B</t>
  </si>
  <si>
    <t>Equity: U.S. Energy</t>
  </si>
  <si>
    <t>XLE</t>
  </si>
  <si>
    <t>iShares Russell 1000 ETF</t>
  </si>
  <si>
    <t>$29.55B</t>
  </si>
  <si>
    <t>IWB</t>
  </si>
  <si>
    <t>SPDR Dow Jones Industrial Average ETF Trust</t>
  </si>
  <si>
    <t>$29.44B</t>
  </si>
  <si>
    <t>DIA</t>
  </si>
  <si>
    <t>iShares MSCI Emerging Markets ETF</t>
  </si>
  <si>
    <t>$29.03B</t>
  </si>
  <si>
    <t>EEM</t>
  </si>
  <si>
    <t>Schwab International Equity ETF</t>
  </si>
  <si>
    <t>$28.87B</t>
  </si>
  <si>
    <t>SCHF</t>
  </si>
  <si>
    <t>iShares Russell Mid-Cap ETF</t>
  </si>
  <si>
    <t>$28.63B</t>
  </si>
  <si>
    <t>IWR</t>
  </si>
  <si>
    <t>iShares MSCI USA Min Vol Factor ETF</t>
  </si>
  <si>
    <t>$28.11B</t>
  </si>
  <si>
    <t>USMV</t>
  </si>
  <si>
    <t>Vanguard Large-Cap ETF</t>
  </si>
  <si>
    <t>$26.08B</t>
  </si>
  <si>
    <t>VV</t>
  </si>
  <si>
    <t>Vanguard Small-Cap Value ETF</t>
  </si>
  <si>
    <t>$25.60B</t>
  </si>
  <si>
    <t>Equity: U.S. - Small Cap Value</t>
  </si>
  <si>
    <t>VBR</t>
  </si>
  <si>
    <t>Vanguard Total World Stock ETF</t>
  </si>
  <si>
    <t>$24.74B</t>
  </si>
  <si>
    <t>Equity: Global - Total Market</t>
  </si>
  <si>
    <t>VT</t>
  </si>
  <si>
    <t>iShares S&amp;P 500 Value ETF</t>
  </si>
  <si>
    <t>$24.04B</t>
  </si>
  <si>
    <t>IVE</t>
  </si>
  <si>
    <t>iShares ESG Aware MSCI USA ETF</t>
  </si>
  <si>
    <t>$23.80B</t>
  </si>
  <si>
    <t>ESGU</t>
  </si>
  <si>
    <t>iShares Core Dividend Growth ETF</t>
  </si>
  <si>
    <t>$22.40B</t>
  </si>
  <si>
    <t>DGRO</t>
  </si>
  <si>
    <t>iShares MSCI USA Quality Factor ETF</t>
  </si>
  <si>
    <t>$22.33B</t>
  </si>
  <si>
    <t>QUAL</t>
  </si>
  <si>
    <t>Schwab U.S. Broad Market ETF</t>
  </si>
  <si>
    <t>$22.10B</t>
  </si>
  <si>
    <t>SCHB</t>
  </si>
  <si>
    <t>Vanguard FTSE Europe ETF</t>
  </si>
  <si>
    <t>$21.74B</t>
  </si>
  <si>
    <t>Equity: Developed Europe - Total Market</t>
  </si>
  <si>
    <t>VGK</t>
  </si>
  <si>
    <t>Consumer Discretionary Select Sector SPDR Fund</t>
  </si>
  <si>
    <t>$20.49B</t>
  </si>
  <si>
    <t>Equity: U.S. Consumer Discretionary</t>
  </si>
  <si>
    <t>XLY</t>
  </si>
  <si>
    <t>SPDR S&amp;P Dividend ETF</t>
  </si>
  <si>
    <t>$20.43B</t>
  </si>
  <si>
    <t>SDY</t>
  </si>
  <si>
    <t>iShares Select Dividend ETF</t>
  </si>
  <si>
    <t>$19.99B</t>
  </si>
  <si>
    <t>DVY</t>
  </si>
  <si>
    <t>SPDR S&amp;P Midcap 400 ETF Trust</t>
  </si>
  <si>
    <t>$19.69B</t>
  </si>
  <si>
    <t>MDY</t>
  </si>
  <si>
    <t>iShares MSCI ACWI ETF</t>
  </si>
  <si>
    <t>$17.49B</t>
  </si>
  <si>
    <t>ACWI</t>
  </si>
  <si>
    <t>Industrial Select Sector SPDR Fund</t>
  </si>
  <si>
    <t>$17.08B</t>
  </si>
  <si>
    <t>Equity: U.S. Industrials</t>
  </si>
  <si>
    <t>XLI</t>
  </si>
  <si>
    <t>iShares MSCI EAFE Value ETF</t>
  </si>
  <si>
    <t>$16.48B</t>
  </si>
  <si>
    <t xml:space="preserve">Equity: Developed Markets Ex-North America - Total Market </t>
  </si>
  <si>
    <t>EFV</t>
  </si>
  <si>
    <t>Vanguard Health Care ETF</t>
  </si>
  <si>
    <t>$15.91B</t>
  </si>
  <si>
    <t>VHT</t>
  </si>
  <si>
    <t>Vanguard Mid-Cap Value ETF</t>
  </si>
  <si>
    <t>$15.74B</t>
  </si>
  <si>
    <t>Equity: U.S. - Mid Cap Value</t>
  </si>
  <si>
    <t>VOE</t>
  </si>
  <si>
    <t>iShares MSCI USA Value Factor ETF</t>
  </si>
  <si>
    <t>$15.70B</t>
  </si>
  <si>
    <t>Equity: U.S. - Total Market Value</t>
  </si>
  <si>
    <t>VLUE</t>
  </si>
  <si>
    <t>Schwab U.S. Large-Cap Growth ETF</t>
  </si>
  <si>
    <t>$15.48B</t>
  </si>
  <si>
    <t>SCHG</t>
  </si>
  <si>
    <t>Schwab U.S. Small-Cap ETF</t>
  </si>
  <si>
    <t>$15.37B</t>
  </si>
  <si>
    <t>SCHA</t>
  </si>
  <si>
    <t>Vanguard Extended Market ETF</t>
  </si>
  <si>
    <t>$15.32B</t>
  </si>
  <si>
    <t>Equity: U.S. - Extended Market</t>
  </si>
  <si>
    <t>VXF</t>
  </si>
  <si>
    <t>iShares Russell 2000 Value ETF</t>
  </si>
  <si>
    <t>$14.83B</t>
  </si>
  <si>
    <t>IWN</t>
  </si>
  <si>
    <t>Consumer Staples Select Sector SPDR Fund</t>
  </si>
  <si>
    <t>$14.57B</t>
  </si>
  <si>
    <t>Equity: U.S. Consumer Staples</t>
  </si>
  <si>
    <t>XLP</t>
  </si>
  <si>
    <t>iShares Russell Mid-Cap Value ETF</t>
  </si>
  <si>
    <t>$14.46B</t>
  </si>
  <si>
    <t>IWS</t>
  </si>
  <si>
    <t>iShares MSCI EAFE Small-Cap ETF</t>
  </si>
  <si>
    <t>$14.45B</t>
  </si>
  <si>
    <t>Equity: Developed Markets Ex-North America - Small Cap</t>
  </si>
  <si>
    <t>SCZ</t>
  </si>
  <si>
    <t>Dimensional Fund Advisors LP</t>
  </si>
  <si>
    <t>Dimensional U.S. Core Equity 2 ETF</t>
  </si>
  <si>
    <t>$14.31B</t>
  </si>
  <si>
    <t>DFAC</t>
  </si>
  <si>
    <t>Vanguard Small-Cap Growth ETF</t>
  </si>
  <si>
    <t>$13.79B</t>
  </si>
  <si>
    <t>Equity: U.S. - Small Cap Growth</t>
  </si>
  <si>
    <t>VBK</t>
  </si>
  <si>
    <t>Goldman Sachs</t>
  </si>
  <si>
    <t>Goldman Sachs ActiveBeta U.S. Large Cap Equity ETF</t>
  </si>
  <si>
    <t>$13.66B</t>
  </si>
  <si>
    <t>GSLC</t>
  </si>
  <si>
    <t>iShares Russell Mid-Cap Growth ETF</t>
  </si>
  <si>
    <t>$13.50B</t>
  </si>
  <si>
    <t>Equity: U.S. - Mid Cap Growth</t>
  </si>
  <si>
    <t>IWP</t>
  </si>
  <si>
    <t>SPDR Portfolio S&amp;P 500 Growth ETF</t>
  </si>
  <si>
    <t>$13.49B</t>
  </si>
  <si>
    <t>SPYG</t>
  </si>
  <si>
    <t>SPDR Portfolio S&amp;P 500 Value ETF</t>
  </si>
  <si>
    <t>$13.13B</t>
  </si>
  <si>
    <t>SPYV</t>
  </si>
  <si>
    <t>Utilities Select Sector SPDR Fund</t>
  </si>
  <si>
    <t>$13.09B</t>
  </si>
  <si>
    <t>Equity: U.S. Utilities</t>
  </si>
  <si>
    <t>XLU</t>
  </si>
  <si>
    <t>SPDR Portfolio Developed World ex-US ETF</t>
  </si>
  <si>
    <t>$12.88B</t>
  </si>
  <si>
    <t>SPDW</t>
  </si>
  <si>
    <t>SPDR Portfolio S&amp;P 500 ETF</t>
  </si>
  <si>
    <t>$12.82B</t>
  </si>
  <si>
    <t>SPLG</t>
  </si>
  <si>
    <t>VanEck</t>
  </si>
  <si>
    <t>VanEck Gold Miners ETF</t>
  </si>
  <si>
    <t>$12.79B</t>
  </si>
  <si>
    <t>Equity: Global Gold Miners</t>
  </si>
  <si>
    <t>GDX</t>
  </si>
  <si>
    <t>Vanguard Mega Cap Growth ETF</t>
  </si>
  <si>
    <t>$12.78B</t>
  </si>
  <si>
    <t>MGK</t>
  </si>
  <si>
    <t>First Trust</t>
  </si>
  <si>
    <t>First Trust Value Line Dividend Index Fund</t>
  </si>
  <si>
    <t>$12.68B</t>
  </si>
  <si>
    <t>FVD</t>
  </si>
  <si>
    <t>iShares MSCI EAFE Growth ETF</t>
  </si>
  <si>
    <t>$12.64B</t>
  </si>
  <si>
    <t>Equity: Developed Markets Ex-North America - Total Market Gr</t>
  </si>
  <si>
    <t>EFG</t>
  </si>
  <si>
    <t>Communication Services Select Sector SPDR Fund</t>
  </si>
  <si>
    <t>$12.63B</t>
  </si>
  <si>
    <t>Equity: U.S. Communication Services</t>
  </si>
  <si>
    <t>XLC</t>
  </si>
  <si>
    <t>iShares MSCI USA Momentum Factor ETF</t>
  </si>
  <si>
    <t>$12.43B</t>
  </si>
  <si>
    <t>MTUM</t>
  </si>
  <si>
    <t>ARK</t>
  </si>
  <si>
    <t>ARK Innovation ETF</t>
  </si>
  <si>
    <t>$12.14B</t>
  </si>
  <si>
    <t>Equity: Global Broad Thematic</t>
  </si>
  <si>
    <t>ARKK</t>
  </si>
  <si>
    <t>iShares Core S&amp;P U.S. Growth ETF</t>
  </si>
  <si>
    <t>$12.13B</t>
  </si>
  <si>
    <t>Equity: U.S. - Total Market Growth</t>
  </si>
  <si>
    <t>IUSG</t>
  </si>
  <si>
    <t>iShares Russell 3000 ETF</t>
  </si>
  <si>
    <t>$11.83B</t>
  </si>
  <si>
    <t>IWV</t>
  </si>
  <si>
    <t>Vanguard Financials ETF</t>
  </si>
  <si>
    <t>$11.73B</t>
  </si>
  <si>
    <t>VFH</t>
  </si>
  <si>
    <t>iShares Core S&amp;P U.S. Value ETF</t>
  </si>
  <si>
    <t>$11.60B</t>
  </si>
  <si>
    <t>IUSV</t>
  </si>
  <si>
    <t>iShares MSCI Japan ETF</t>
  </si>
  <si>
    <t>$11.38B</t>
  </si>
  <si>
    <t>Equity: Japan - Total Market</t>
  </si>
  <si>
    <t>EWJ</t>
  </si>
  <si>
    <t>Vanguard Mid-Cap Growth ETF</t>
  </si>
  <si>
    <t>$10.80B</t>
  </si>
  <si>
    <t>VOT</t>
  </si>
  <si>
    <t>Schwab U.S. Large-Cap Value ETF</t>
  </si>
  <si>
    <t>$10.12B</t>
  </si>
  <si>
    <t>SCHV</t>
  </si>
  <si>
    <t>iShares Russell 2000 Growth ETF</t>
  </si>
  <si>
    <t>$9.96B</t>
  </si>
  <si>
    <t>IWO</t>
  </si>
  <si>
    <t>Schwab Fundamental U.S. Large Company Index ETF</t>
  </si>
  <si>
    <t>$9.67B</t>
  </si>
  <si>
    <t>FNDX</t>
  </si>
  <si>
    <t>Schwab Emerging Markets Equity ETF</t>
  </si>
  <si>
    <t>$9.62B</t>
  </si>
  <si>
    <t>SCHE</t>
  </si>
  <si>
    <t>JPMorgan Chase</t>
  </si>
  <si>
    <t>JPMorgan BetaBuilders Europe ETF</t>
  </si>
  <si>
    <t>$9.55B</t>
  </si>
  <si>
    <t>BBEU</t>
  </si>
  <si>
    <t>Schwab U.S. Mid-Cap ETF</t>
  </si>
  <si>
    <t>$9.45B</t>
  </si>
  <si>
    <t>SCHM</t>
  </si>
  <si>
    <t>Vanguard FTSE All-World ex-US Small-Cap ETF</t>
  </si>
  <si>
    <t>$9.43B</t>
  </si>
  <si>
    <t>Equity: Global Ex-U.S. - Small Cap</t>
  </si>
  <si>
    <t>VSS</t>
  </si>
  <si>
    <t>Invesco S&amp;P 500 Low Volatility ETF</t>
  </si>
  <si>
    <t>$9.39B</t>
  </si>
  <si>
    <t>SPLV</t>
  </si>
  <si>
    <t>iShares S&amp;P 100 ETF</t>
  </si>
  <si>
    <t>$8.90B</t>
  </si>
  <si>
    <t>OEF</t>
  </si>
  <si>
    <t>First Trust Capital Strength ETF</t>
  </si>
  <si>
    <t>$8.88B</t>
  </si>
  <si>
    <t>FTCS</t>
  </si>
  <si>
    <t>iShares Semiconductor ETF</t>
  </si>
  <si>
    <t>$8.83B</t>
  </si>
  <si>
    <t>Equity: U.S. Semiconductors</t>
  </si>
  <si>
    <t>SOXX</t>
  </si>
  <si>
    <t>iShares Biotechnology ETF</t>
  </si>
  <si>
    <t>$8.56B</t>
  </si>
  <si>
    <t>Equity: U.S. Biotechnology</t>
  </si>
  <si>
    <t>IBB</t>
  </si>
  <si>
    <t>iShares U.S. Technology ETF</t>
  </si>
  <si>
    <t>$8.48B</t>
  </si>
  <si>
    <t>IYW</t>
  </si>
  <si>
    <t>iShares S&amp;P Mid-Cap 400 Value ETF</t>
  </si>
  <si>
    <t>$8.42B</t>
  </si>
  <si>
    <t>IJJ</t>
  </si>
  <si>
    <t>iShares S&amp;P Small-Cap 600 Value ETF</t>
  </si>
  <si>
    <t>$8.38B</t>
  </si>
  <si>
    <t>IJS</t>
  </si>
  <si>
    <t>First Trust Rising Dividend Achievers ETF</t>
  </si>
  <si>
    <t>$8.22B</t>
  </si>
  <si>
    <t>RDVY</t>
  </si>
  <si>
    <t>iShares U.S. Medical Devices ETF</t>
  </si>
  <si>
    <t>$8.10B</t>
  </si>
  <si>
    <t>Equity: U.S. Health Care Equipment</t>
  </si>
  <si>
    <t>IHI</t>
  </si>
  <si>
    <t>First Trust Dow Jones Internet Index Fund</t>
  </si>
  <si>
    <t>$8.04B</t>
  </si>
  <si>
    <t>Equity: U.S. Internet</t>
  </si>
  <si>
    <t>FDN</t>
  </si>
  <si>
    <t>Materials Select Sector SPDR Fund</t>
  </si>
  <si>
    <t>$7.95B</t>
  </si>
  <si>
    <t>Equity: U.S. Materials</t>
  </si>
  <si>
    <t>XLB</t>
  </si>
  <si>
    <t>iShares MSCI EAFE Min Vol Factor ETF</t>
  </si>
  <si>
    <t>$7.81B</t>
  </si>
  <si>
    <t>EFAV</t>
  </si>
  <si>
    <t>iShares Core High Dividend ETF</t>
  </si>
  <si>
    <t>$7.63B</t>
  </si>
  <si>
    <t>HDV</t>
  </si>
  <si>
    <t>JPMorgan BetaBuilders Japan ETF</t>
  </si>
  <si>
    <t>$7.59B</t>
  </si>
  <si>
    <t>BBJP</t>
  </si>
  <si>
    <t>iShares ESG Aware MSCI EAFE ETF</t>
  </si>
  <si>
    <t>$7.53B</t>
  </si>
  <si>
    <t>ESGD</t>
  </si>
  <si>
    <t>VanEck Semiconductor ETF</t>
  </si>
  <si>
    <t>$7.47B</t>
  </si>
  <si>
    <t>Equity: Global Semiconductors</t>
  </si>
  <si>
    <t>SMH</t>
  </si>
  <si>
    <t>CICC</t>
  </si>
  <si>
    <t>KraneShares CSI China Internet ETF</t>
  </si>
  <si>
    <t>$7.41B</t>
  </si>
  <si>
    <t>Equity: China Internet</t>
  </si>
  <si>
    <t>KWEB</t>
  </si>
  <si>
    <t>iShares S&amp;P Mid-Cap 400 Growth ETF</t>
  </si>
  <si>
    <t>$7.38B</t>
  </si>
  <si>
    <t>IJK</t>
  </si>
  <si>
    <t>Schwab Fundamental International Large Company Index ETF</t>
  </si>
  <si>
    <t>$7.37B</t>
  </si>
  <si>
    <t>Equity: Developed Markets Ex-U.S. - Large Cap</t>
  </si>
  <si>
    <t>FNDF</t>
  </si>
  <si>
    <t>Vanguard Russell 1000 Growth ETF</t>
  </si>
  <si>
    <t>$7.32B</t>
  </si>
  <si>
    <t>VONG</t>
  </si>
  <si>
    <t>iShares MSCI Eurozone ETF</t>
  </si>
  <si>
    <t>$7.21B</t>
  </si>
  <si>
    <t>EZU</t>
  </si>
  <si>
    <t>Vanguard S&amp;P 500 Growth ETF</t>
  </si>
  <si>
    <t>$7.09B</t>
  </si>
  <si>
    <t>VOOG</t>
  </si>
  <si>
    <t>iShares MSCI Taiwan ETF</t>
  </si>
  <si>
    <t>$7.06B</t>
  </si>
  <si>
    <t>Equity: Taiwan - Total Market</t>
  </si>
  <si>
    <t>EWT</t>
  </si>
  <si>
    <t>iShares U.S. Real Estate ETF</t>
  </si>
  <si>
    <t>$6.96B</t>
  </si>
  <si>
    <t>IYR</t>
  </si>
  <si>
    <t>VanEck Morningstar Wide Moat ETF</t>
  </si>
  <si>
    <t>$6.89B</t>
  </si>
  <si>
    <t>MOAT</t>
  </si>
  <si>
    <t>Vanguard Russell 1000 Value ETF</t>
  </si>
  <si>
    <t>$6.87B</t>
  </si>
  <si>
    <t>VONV</t>
  </si>
  <si>
    <t>iShares Core MSCI International Developed Markets ETF</t>
  </si>
  <si>
    <t>$6.86B</t>
  </si>
  <si>
    <t>IDEV</t>
  </si>
  <si>
    <t>Vanguard Energy ETF</t>
  </si>
  <si>
    <t>$6.83B</t>
  </si>
  <si>
    <t>VDE</t>
  </si>
  <si>
    <t>WisdomTree</t>
  </si>
  <si>
    <t>WisdomTree US Quality Dividend Growth Fund</t>
  </si>
  <si>
    <t>$6.81B</t>
  </si>
  <si>
    <t>DGRW</t>
  </si>
  <si>
    <t>Northern Trust</t>
  </si>
  <si>
    <t>FlexShares Morningstar Global Upstream Natural Resources Ind</t>
  </si>
  <si>
    <t>$6.76B</t>
  </si>
  <si>
    <t>Equity: Global Natural Resources</t>
  </si>
  <si>
    <t>GUNR</t>
  </si>
  <si>
    <t>Schwab U.S. REIT ETF</t>
  </si>
  <si>
    <t>$6.62B</t>
  </si>
  <si>
    <t>Equity: U.S. REITs</t>
  </si>
  <si>
    <t>SCHH</t>
  </si>
  <si>
    <t>Vanguard Consumer Staples ETF</t>
  </si>
  <si>
    <t>$6.55B</t>
  </si>
  <si>
    <t>VDC</t>
  </si>
  <si>
    <t>Dimensional U.S. Targeted Value ETF</t>
  </si>
  <si>
    <t>$6.45B</t>
  </si>
  <si>
    <t>Equity: U.S. - Extended Market Value</t>
  </si>
  <si>
    <t>DFAT</t>
  </si>
  <si>
    <t>Fidelity</t>
  </si>
  <si>
    <t>Fidelity MSCI Information Technology Index ETF</t>
  </si>
  <si>
    <t>$6.40B</t>
  </si>
  <si>
    <t>FTEC</t>
  </si>
  <si>
    <t>iShares MSCI China ETF</t>
  </si>
  <si>
    <t>$6.36B</t>
  </si>
  <si>
    <t>Equity: China - Total Market</t>
  </si>
  <si>
    <t>MCHI</t>
  </si>
  <si>
    <t>Vanguard Consumer Discretionary ETF</t>
  </si>
  <si>
    <t>$6.35B</t>
  </si>
  <si>
    <t>VCR</t>
  </si>
  <si>
    <t>iShares ESG Aware MSCI EM ETF</t>
  </si>
  <si>
    <t>$6.25B</t>
  </si>
  <si>
    <t>ESGE</t>
  </si>
  <si>
    <t>Vanguard Russell 2000 ETF</t>
  </si>
  <si>
    <t>VTWO</t>
  </si>
  <si>
    <t>JPMorgan Equity Premium Income ETF</t>
  </si>
  <si>
    <t>$6.18B</t>
  </si>
  <si>
    <t>JEPI</t>
  </si>
  <si>
    <t>JPMorgan BetaBuilders Canada ETF</t>
  </si>
  <si>
    <t>$6.10B</t>
  </si>
  <si>
    <t>Equity: Canada - Total Market</t>
  </si>
  <si>
    <t>BBCA</t>
  </si>
  <si>
    <t>Real Estate Select Sector SPDR Fund</t>
  </si>
  <si>
    <t>$6.03B</t>
  </si>
  <si>
    <t>XLRE</t>
  </si>
  <si>
    <t>Mirae Asset Global Investments Co., Ltd.</t>
  </si>
  <si>
    <t>Global X NASDAQ 100 Covered Call ETF</t>
  </si>
  <si>
    <t>$6.01B</t>
  </si>
  <si>
    <t>QYLD</t>
  </si>
  <si>
    <t>Vanguard ESG U.S. Stock ETF</t>
  </si>
  <si>
    <t>$5.98B</t>
  </si>
  <si>
    <t>ESGV</t>
  </si>
  <si>
    <t>SPDR Portfolio Emerging Markets ETF</t>
  </si>
  <si>
    <t>$5.97B</t>
  </si>
  <si>
    <t>SPEM</t>
  </si>
  <si>
    <t>iShares MSCI India ETF</t>
  </si>
  <si>
    <t>$5.94B</t>
  </si>
  <si>
    <t>Equity: India - Total Market</t>
  </si>
  <si>
    <t>INDA</t>
  </si>
  <si>
    <t>Vanguard FTSE Pacific ETF</t>
  </si>
  <si>
    <t>$5.80B</t>
  </si>
  <si>
    <t>Equity: Developed Asia-Pacific - Total Market</t>
  </si>
  <si>
    <t>VPL</t>
  </si>
  <si>
    <t>Dimensional U.S. Equity ETF</t>
  </si>
  <si>
    <t>$5.78B</t>
  </si>
  <si>
    <t>DFUS</t>
  </si>
  <si>
    <t>SPDR Portfolio S&amp;P 1500 Composite Stock Market ETF</t>
  </si>
  <si>
    <t>$5.74B</t>
  </si>
  <si>
    <t>SPTM</t>
  </si>
  <si>
    <t>iShares China Large-Cap ETF</t>
  </si>
  <si>
    <t>$5.71B</t>
  </si>
  <si>
    <t>Equity: China - Large Cap</t>
  </si>
  <si>
    <t>FXI</t>
  </si>
  <si>
    <t>Invesco FTSE RAFI U.S. 1000 ETF</t>
  </si>
  <si>
    <t>$5.67B</t>
  </si>
  <si>
    <t>PRF</t>
  </si>
  <si>
    <t>SS&amp;C</t>
  </si>
  <si>
    <t>Alerian MLP ETF</t>
  </si>
  <si>
    <t>$5.62B</t>
  </si>
  <si>
    <t>Equity: U.S. MLPs</t>
  </si>
  <si>
    <t>AMLP</t>
  </si>
  <si>
    <t>iShares S&amp;P Small-Cap 600 Growth ETF</t>
  </si>
  <si>
    <t>$5.53B</t>
  </si>
  <si>
    <t>IJT</t>
  </si>
  <si>
    <t>SPDR S&amp;P Biotech ETF</t>
  </si>
  <si>
    <t>$5.52B</t>
  </si>
  <si>
    <t>XBI</t>
  </si>
  <si>
    <t>SPDR S&amp;P Regional Banking ETF</t>
  </si>
  <si>
    <t>$5.46B</t>
  </si>
  <si>
    <t>Equity: U.S. Regional Banks</t>
  </si>
  <si>
    <t>KRE</t>
  </si>
  <si>
    <t>SPDR Portfolio S&amp;P 500 High Dividend ETF</t>
  </si>
  <si>
    <t>$5.42B</t>
  </si>
  <si>
    <t>SPYD</t>
  </si>
  <si>
    <t>Vanguard Utilities ETF</t>
  </si>
  <si>
    <t>$5.39B</t>
  </si>
  <si>
    <t>VPU</t>
  </si>
  <si>
    <t>iShares Core MSCI Europe ETF</t>
  </si>
  <si>
    <t>$5.36B</t>
  </si>
  <si>
    <t>IEUR</t>
  </si>
  <si>
    <t>iShares Global Tech ETF</t>
  </si>
  <si>
    <t>$5.34B</t>
  </si>
  <si>
    <t>Equity: Global Information Technology</t>
  </si>
  <si>
    <t>IXN</t>
  </si>
  <si>
    <t>iShares MSCI Global Min Vol Factor ETF</t>
  </si>
  <si>
    <t>$5.32B</t>
  </si>
  <si>
    <t>ACWV</t>
  </si>
  <si>
    <t>Global X Lithium &amp; Battery Tech ETF</t>
  </si>
  <si>
    <t>$5.23B</t>
  </si>
  <si>
    <t>Equity: Global Mobility</t>
  </si>
  <si>
    <t>LIT</t>
  </si>
  <si>
    <t>Schwab Fundamental Emerging Markets Large Company Index ETF</t>
  </si>
  <si>
    <t>$5.12B</t>
  </si>
  <si>
    <t>Equity: Emerging Markets - Large Cap</t>
  </si>
  <si>
    <t>FNDE</t>
  </si>
  <si>
    <t>First Trust Cloud Computing ETF</t>
  </si>
  <si>
    <t>Equity: U.S. Software &amp; Services</t>
  </si>
  <si>
    <t>SKYY</t>
  </si>
  <si>
    <t>Global X U.S. Infrastructure Development ETF</t>
  </si>
  <si>
    <t>$5.09B</t>
  </si>
  <si>
    <t>Equity: U.S. Infrastructure</t>
  </si>
  <si>
    <t>PAVE</t>
  </si>
  <si>
    <t>First Trust NASDAQ Cybersecurity ETF</t>
  </si>
  <si>
    <t>$5.07B</t>
  </si>
  <si>
    <t>Equity: Global Cybersecurity</t>
  </si>
  <si>
    <t>CIBR</t>
  </si>
  <si>
    <t>iShares MSCI Brazil ETF</t>
  </si>
  <si>
    <t>$5.05B</t>
  </si>
  <si>
    <t>Equity: Brazil - Total Market</t>
  </si>
  <si>
    <t>EWZ</t>
  </si>
  <si>
    <t>iShares Expanded Tech-Software Sector ETF</t>
  </si>
  <si>
    <t>Equity: North America Software</t>
  </si>
  <si>
    <t>IGV</t>
  </si>
  <si>
    <t>Vanguard Mega Cap Value ETF</t>
  </si>
  <si>
    <t>MGV</t>
  </si>
  <si>
    <t>SPDR Portfolio S&amp;P 400 Mid Cap ETF</t>
  </si>
  <si>
    <t>$5.03B</t>
  </si>
  <si>
    <t>SPMD</t>
  </si>
  <si>
    <t>iShares MSCI ACWI ex U.S. ETF</t>
  </si>
  <si>
    <t>$4.95B</t>
  </si>
  <si>
    <t>ACWX</t>
  </si>
  <si>
    <t>Vanguard Industrials ETF</t>
  </si>
  <si>
    <t>$4.89B</t>
  </si>
  <si>
    <t>VIS</t>
  </si>
  <si>
    <t>Dimensional World ex U.S. Core Equity 2 ETF</t>
  </si>
  <si>
    <t>$4.88B</t>
  </si>
  <si>
    <t>DFAX</t>
  </si>
  <si>
    <t>Direxion</t>
  </si>
  <si>
    <t>Direxion Daily Semiconductor Bull 3X Shares</t>
  </si>
  <si>
    <t>$4.77B</t>
  </si>
  <si>
    <t>Leveraged Equity: U.S. Semiconductors</t>
  </si>
  <si>
    <t>SOXL</t>
  </si>
  <si>
    <t>iShares Global Clean Energy ETF</t>
  </si>
  <si>
    <t>$4.74B</t>
  </si>
  <si>
    <t>Equity: Global Renewable Energy</t>
  </si>
  <si>
    <t>ICLN</t>
  </si>
  <si>
    <t>Vanguard Global ex-U.S. Real Estate ETF</t>
  </si>
  <si>
    <t>$4.71B</t>
  </si>
  <si>
    <t>Equity: Global Ex-U.S. Real Estate</t>
  </si>
  <si>
    <t>VNQI</t>
  </si>
  <si>
    <t>Schwab Fundamental U.S. Small Company Index ETF</t>
  </si>
  <si>
    <t>$4.69B</t>
  </si>
  <si>
    <t>FNDA</t>
  </si>
  <si>
    <t>iShares MSCI All Country Asia ex Japan ETF</t>
  </si>
  <si>
    <t>$4.67B</t>
  </si>
  <si>
    <t>Equity: Asia-Pacific Ex-Japan - Total Market</t>
  </si>
  <si>
    <t>AAXJ</t>
  </si>
  <si>
    <t>iShares International Select Dividend ETF</t>
  </si>
  <si>
    <t>$4.51B</t>
  </si>
  <si>
    <t>Equity: Developed Markets Ex-U.S. - High Dividend Yield</t>
  </si>
  <si>
    <t>IDV</t>
  </si>
  <si>
    <t>iShares Russell Top 200 Growth ETF</t>
  </si>
  <si>
    <t>$4.45B</t>
  </si>
  <si>
    <t>IWY</t>
  </si>
  <si>
    <t>VanEck Junior Gold Miners ETF</t>
  </si>
  <si>
    <t>$4.38B</t>
  </si>
  <si>
    <t>GDXJ</t>
  </si>
  <si>
    <t>DWS</t>
  </si>
  <si>
    <t>Xtrackers MSCI EAFE Hedged Equity ETF</t>
  </si>
  <si>
    <t>$4.34B</t>
  </si>
  <si>
    <t>DBEF</t>
  </si>
  <si>
    <t>iShares MSCI South Korea ETF</t>
  </si>
  <si>
    <t>Equity: South Korea - Total Market</t>
  </si>
  <si>
    <t>EWY</t>
  </si>
  <si>
    <t>Fidelity NASDAQ Composite Index ETF</t>
  </si>
  <si>
    <t>$4.29B</t>
  </si>
  <si>
    <t>ONEQ</t>
  </si>
  <si>
    <t>iShares MSCI Intl Quality Factor ETF</t>
  </si>
  <si>
    <t>$4.22B</t>
  </si>
  <si>
    <t>IQLT</t>
  </si>
  <si>
    <t>SPDR Portfolio S&amp;P 600 Small Cap ETF</t>
  </si>
  <si>
    <t>$4.19B</t>
  </si>
  <si>
    <t>SPSM</t>
  </si>
  <si>
    <t>Vanguard Mega Cap ETF</t>
  </si>
  <si>
    <t>MGC</t>
  </si>
  <si>
    <t>JPMorgan BetaBuilders Developed Asia ex-Japan ETF</t>
  </si>
  <si>
    <t>$4.10B</t>
  </si>
  <si>
    <t>Equity: Developed Asia-Pacific Ex-Japan - Total Market</t>
  </si>
  <si>
    <t>BBAX</t>
  </si>
  <si>
    <t>Dimensional U.S. Small Cap ETF</t>
  </si>
  <si>
    <t>$4.09B</t>
  </si>
  <si>
    <t>DFAS</t>
  </si>
  <si>
    <t>SPDR S&amp;P 600 Small Cap Value ETF</t>
  </si>
  <si>
    <t>$4.05B</t>
  </si>
  <si>
    <t>SLYV</t>
  </si>
  <si>
    <t>iShares MSCI USA ESG Select ETF</t>
  </si>
  <si>
    <t>SUSA</t>
  </si>
  <si>
    <t>SPDR S&amp;P Oil &amp; Gas Exploration &amp; Production ETF</t>
  </si>
  <si>
    <t>Equity: U.S. Oil, Gas &amp; Consumable Fuels</t>
  </si>
  <si>
    <t>XOP</t>
  </si>
  <si>
    <t>iShares MSCI Canada ETF</t>
  </si>
  <si>
    <t>$4.04B</t>
  </si>
  <si>
    <t>EWC</t>
  </si>
  <si>
    <t>Vanguard International Dividend Appreciation ETF</t>
  </si>
  <si>
    <t>$4.00B</t>
  </si>
  <si>
    <t>VIGI</t>
  </si>
  <si>
    <t>Vanguard Materials ETF</t>
  </si>
  <si>
    <t>$3.91B</t>
  </si>
  <si>
    <t>VAW</t>
  </si>
  <si>
    <t>Dimensional International Value ETF</t>
  </si>
  <si>
    <t>$3.84B</t>
  </si>
  <si>
    <t>--</t>
  </si>
  <si>
    <t>Equity: Developed Markets Ex-U.S. - Total Market Value</t>
  </si>
  <si>
    <t>DFIV</t>
  </si>
  <si>
    <t>Vanguard Communication Services ETF</t>
  </si>
  <si>
    <t>$3.83B</t>
  </si>
  <si>
    <t>VOX</t>
  </si>
  <si>
    <t>iShares MSCI KLD 400 Social ETF</t>
  </si>
  <si>
    <t>$3.82B</t>
  </si>
  <si>
    <t>DSI</t>
  </si>
  <si>
    <t>WisdomTree Emerging Markets ex-State-Owned Enterprises Fund</t>
  </si>
  <si>
    <t>$3.80B</t>
  </si>
  <si>
    <t>XSOE</t>
  </si>
  <si>
    <t>iShares Exponential Technologies ETF</t>
  </si>
  <si>
    <t>$3.79B</t>
  </si>
  <si>
    <t>XT</t>
  </si>
  <si>
    <t>ARK Genomic Revolution ETF</t>
  </si>
  <si>
    <t>$3.78B</t>
  </si>
  <si>
    <t>Equity: Global Genomic Advancements</t>
  </si>
  <si>
    <t>ARKG</t>
  </si>
  <si>
    <t>iShares MSCI Emerging Markets Min Vol Factor ETF</t>
  </si>
  <si>
    <t>EEMV</t>
  </si>
  <si>
    <t>iShares Global 100 ETF</t>
  </si>
  <si>
    <t>$3.72B</t>
  </si>
  <si>
    <t>Equity: Global - Large Cap</t>
  </si>
  <si>
    <t>IOO</t>
  </si>
  <si>
    <t>Invesco NASDAQ 100 ETF</t>
  </si>
  <si>
    <t>$3.70B</t>
  </si>
  <si>
    <t>QQQM</t>
  </si>
  <si>
    <t>iShares ESG MSCI USA Leaders ETF</t>
  </si>
  <si>
    <t>$3.69B</t>
  </si>
  <si>
    <t>SUSL</t>
  </si>
  <si>
    <t>Schwab International Small-Cap Equity ETF</t>
  </si>
  <si>
    <t>$3.68B</t>
  </si>
  <si>
    <t>Equity: Developed Markets Ex-U.S. - Small Cap</t>
  </si>
  <si>
    <t>SCHC</t>
  </si>
  <si>
    <t>SPDR S&amp;P Bank ETF</t>
  </si>
  <si>
    <t>$3.61B</t>
  </si>
  <si>
    <t>KBE</t>
  </si>
  <si>
    <t>Invesco S&amp;P 500 Quality ETF</t>
  </si>
  <si>
    <t>$3.55B</t>
  </si>
  <si>
    <t>SPHQ</t>
  </si>
  <si>
    <t>iShares Global REIT ETF</t>
  </si>
  <si>
    <t>$3.48B</t>
  </si>
  <si>
    <t>Equity: Global REITs</t>
  </si>
  <si>
    <t>REET</t>
  </si>
  <si>
    <t>JPMorgan BetaBuilders International Equity ETF</t>
  </si>
  <si>
    <t>$3.47B</t>
  </si>
  <si>
    <t>BBIN</t>
  </si>
  <si>
    <t>First Trust NASDAQ-100 Technology Sector Index Fund</t>
  </si>
  <si>
    <t>$3.44B</t>
  </si>
  <si>
    <t>QTEC</t>
  </si>
  <si>
    <t>iShares Global Healthcare ETF</t>
  </si>
  <si>
    <t>$3.42B</t>
  </si>
  <si>
    <t>Equity: Global Health Care</t>
  </si>
  <si>
    <t>IXJ</t>
  </si>
  <si>
    <t>US Global Investors</t>
  </si>
  <si>
    <t>U.S. Global Jets ETF</t>
  </si>
  <si>
    <t>Equity: Global Airlines</t>
  </si>
  <si>
    <t>JETS</t>
  </si>
  <si>
    <t>iShares Expanded Tech Sector ETF</t>
  </si>
  <si>
    <t>$3.37B</t>
  </si>
  <si>
    <t>Equity: North America Broad Technology</t>
  </si>
  <si>
    <t>IGM</t>
  </si>
  <si>
    <t>Vanguard International High Dividend Yield ETF</t>
  </si>
  <si>
    <t>Equity: Global Ex-U.S. - High Dividend Yield</t>
  </si>
  <si>
    <t>VYMI</t>
  </si>
  <si>
    <t>iShares Currency Hedged MSCI EAFE ETF</t>
  </si>
  <si>
    <t>$3.29B</t>
  </si>
  <si>
    <t>HEFA</t>
  </si>
  <si>
    <t>iShares Global Infrastructure ETF</t>
  </si>
  <si>
    <t>$3.27B</t>
  </si>
  <si>
    <t>Equity: Global Infrastructure</t>
  </si>
  <si>
    <t>IGF</t>
  </si>
  <si>
    <t>Xtrackers Harvest CSI 300 China A-Shares ETF</t>
  </si>
  <si>
    <t>$3.25B</t>
  </si>
  <si>
    <t>ASHR</t>
  </si>
  <si>
    <t>WisdomTree U.S. LargeCap Dividend Fund</t>
  </si>
  <si>
    <t>$3.24B</t>
  </si>
  <si>
    <t>DLN</t>
  </si>
  <si>
    <t>Vanguard ESG International Stock ETF</t>
  </si>
  <si>
    <t>$3.22B</t>
  </si>
  <si>
    <t>VSGX</t>
  </si>
  <si>
    <t>Xtrackers MSCI U.S.A. ESG Leaders Equity ETF</t>
  </si>
  <si>
    <t>USSG</t>
  </si>
  <si>
    <t>Goldman Sachs ActiveBeta International Equity ETF</t>
  </si>
  <si>
    <t>$3.21B</t>
  </si>
  <si>
    <t>GSIE</t>
  </si>
  <si>
    <t>iShares MSCI United Kingdom ETF</t>
  </si>
  <si>
    <t>$3.16B</t>
  </si>
  <si>
    <t>Equity: U.K. - Total Market</t>
  </si>
  <si>
    <t>EWU</t>
  </si>
  <si>
    <t>Invesco S&amp;P 500 High Dividend Low Volatility ETF</t>
  </si>
  <si>
    <t>$3.14B</t>
  </si>
  <si>
    <t>SPHD</t>
  </si>
  <si>
    <t>Invesco KBW Bank ETF</t>
  </si>
  <si>
    <t>$3.11B</t>
  </si>
  <si>
    <t>Equity: U.S. Banks</t>
  </si>
  <si>
    <t>KBWB</t>
  </si>
  <si>
    <t>Invesco S&amp;P 500 Pure Value ETF</t>
  </si>
  <si>
    <t>$3.09B</t>
  </si>
  <si>
    <t>RPV</t>
  </si>
  <si>
    <t>Direxion Daily Financial Bull 3x Shares</t>
  </si>
  <si>
    <t>$3.03B</t>
  </si>
  <si>
    <t>Leveraged Equity: U.S. Financials</t>
  </si>
  <si>
    <t>FAS</t>
  </si>
  <si>
    <t>WisdomTree U.S. MidCap Dividend Fund</t>
  </si>
  <si>
    <t>$3.01B</t>
  </si>
  <si>
    <t>DON</t>
  </si>
  <si>
    <t>Direxion Daily S&amp;P 500 Bull 3X Shares</t>
  </si>
  <si>
    <t>$2.98B</t>
  </si>
  <si>
    <t>Leveraged Equity: U.S. - Large Cap</t>
  </si>
  <si>
    <t>SPXL</t>
  </si>
  <si>
    <t>iShares U.S. Healthcare ETF</t>
  </si>
  <si>
    <t>$2.95B</t>
  </si>
  <si>
    <t>IYH</t>
  </si>
  <si>
    <t>Invesco S&amp;P 500 Pure Growth ETF</t>
  </si>
  <si>
    <t>$2.88B</t>
  </si>
  <si>
    <t>RPG</t>
  </si>
  <si>
    <t>Nuveen Securities</t>
  </si>
  <si>
    <t>Nuveen Growth Opportunities ETF</t>
  </si>
  <si>
    <t>$2.87B</t>
  </si>
  <si>
    <t>NUGO</t>
  </si>
  <si>
    <t>iShares U.S. Energy ETF</t>
  </si>
  <si>
    <t>$2.85B</t>
  </si>
  <si>
    <t>IYE</t>
  </si>
  <si>
    <t>iShares Global Financials ETF</t>
  </si>
  <si>
    <t>$2.83B</t>
  </si>
  <si>
    <t>Equity: Global Financials</t>
  </si>
  <si>
    <t>IXG</t>
  </si>
  <si>
    <t>Fidelity MSCI Health Care Index ETF</t>
  </si>
  <si>
    <t>$2.77B</t>
  </si>
  <si>
    <t>FHLC</t>
  </si>
  <si>
    <t>Vanguard Russell 1000 ETF</t>
  </si>
  <si>
    <t>VONE</t>
  </si>
  <si>
    <t>First Trust Dorsey Wright Focus 5 ETF</t>
  </si>
  <si>
    <t>$2.76B</t>
  </si>
  <si>
    <t>FV</t>
  </si>
  <si>
    <t>iShares Cohen &amp; Steers REIT ETF</t>
  </si>
  <si>
    <t>$2.72B</t>
  </si>
  <si>
    <t>ICF</t>
  </si>
  <si>
    <t>Schwab Fundamental International Small Company Index ETF</t>
  </si>
  <si>
    <t>$2.71B</t>
  </si>
  <si>
    <t>FNDC</t>
  </si>
  <si>
    <t>Direxion Daily Technology Bull 3X Shares</t>
  </si>
  <si>
    <t>$2.69B</t>
  </si>
  <si>
    <t>Leveraged Equity: U.S. Information Technology</t>
  </si>
  <si>
    <t>TECL</t>
  </si>
  <si>
    <t>iShares U.S. Home Construction ETF</t>
  </si>
  <si>
    <t>$2.68B</t>
  </si>
  <si>
    <t>Equity: U.S. Housing</t>
  </si>
  <si>
    <t>ITB</t>
  </si>
  <si>
    <t>Invesco PureBeta MSCI U.S.A. ETF</t>
  </si>
  <si>
    <t>$2.65B</t>
  </si>
  <si>
    <t>PBUS</t>
  </si>
  <si>
    <t>ARK Next Generation Internet ETF</t>
  </si>
  <si>
    <t>$2.63B</t>
  </si>
  <si>
    <t>Equity: Global Internet</t>
  </si>
  <si>
    <t>ARKW</t>
  </si>
  <si>
    <t>Vanguard S&amp;P 500 Value ETF</t>
  </si>
  <si>
    <t>VOOV</t>
  </si>
  <si>
    <t>Invesco S&amp;P 500 Equal Weight Technology ETF</t>
  </si>
  <si>
    <t>$2.60B</t>
  </si>
  <si>
    <t>RYT</t>
  </si>
  <si>
    <t>FlexShares STOXX Global Broad Infrastructure Index Fund</t>
  </si>
  <si>
    <t>$2.56B</t>
  </si>
  <si>
    <t>NFRA</t>
  </si>
  <si>
    <t>iShares U.S. Financials ETF</t>
  </si>
  <si>
    <t>$2.53B</t>
  </si>
  <si>
    <t>IYF</t>
  </si>
  <si>
    <t>iShares U.S. Financial Services ETF</t>
  </si>
  <si>
    <t>$2.51B</t>
  </si>
  <si>
    <t>IYG</t>
  </si>
  <si>
    <t>SPDR S&amp;P Global Natural Resources ETF</t>
  </si>
  <si>
    <t>GNR</t>
  </si>
  <si>
    <t>iShares Core U.S. REIT ETF</t>
  </si>
  <si>
    <t>$2.47B</t>
  </si>
  <si>
    <t>USRT</t>
  </si>
  <si>
    <t>John Hancock</t>
  </si>
  <si>
    <t>John Hancock Multifactor Mid Cap ETF</t>
  </si>
  <si>
    <t>$2.44B</t>
  </si>
  <si>
    <t>JHMM</t>
  </si>
  <si>
    <t>WisdomTree Emerging Markets SmallCap Dividend Fund</t>
  </si>
  <si>
    <t>Equity: Emerging Markets - Small Cap</t>
  </si>
  <si>
    <t>DGS</t>
  </si>
  <si>
    <t>iShares U.S. Aerospace &amp; Defense ETF</t>
  </si>
  <si>
    <t>$2.43B</t>
  </si>
  <si>
    <t>Equity: U.S. Aerospace &amp; Defense</t>
  </si>
  <si>
    <t>ITA</t>
  </si>
  <si>
    <t>VanEck Oil Services ETF</t>
  </si>
  <si>
    <t>Equity: U.S. Energy Equipment &amp; Services</t>
  </si>
  <si>
    <t>OIH</t>
  </si>
  <si>
    <t>iShares MSCI Germany ETF</t>
  </si>
  <si>
    <t>$2.42B</t>
  </si>
  <si>
    <t>Equity: Germany - Total Market</t>
  </si>
  <si>
    <t>EWG</t>
  </si>
  <si>
    <t>Invesco S&amp;P 500 Top 50 ETF</t>
  </si>
  <si>
    <t>$2.35B</t>
  </si>
  <si>
    <t>XLG</t>
  </si>
  <si>
    <t>SPDR Euro STOXX 50 ETF</t>
  </si>
  <si>
    <t>Equity: Developed Europe - Large Cap</t>
  </si>
  <si>
    <t>FEZ</t>
  </si>
  <si>
    <t>American Century Investments</t>
  </si>
  <si>
    <t>Avantis U.S. Small Cap Value ETF</t>
  </si>
  <si>
    <t>$2.33B</t>
  </si>
  <si>
    <t>AVUV</t>
  </si>
  <si>
    <t>iShares MSCI Emerging Markets ex China ETF</t>
  </si>
  <si>
    <t>$2.31B</t>
  </si>
  <si>
    <t>EMXC</t>
  </si>
  <si>
    <t>JPMorgan Alerian MLP Index ETN</t>
  </si>
  <si>
    <t>$2.27B</t>
  </si>
  <si>
    <t>Equity: North America MLPs</t>
  </si>
  <si>
    <t>AMJ</t>
  </si>
  <si>
    <t>First Trust NASDAQ Clean Edge Green Energy Index Fund</t>
  </si>
  <si>
    <t>$2.25B</t>
  </si>
  <si>
    <t>Equity: U.S. Renewable Energy</t>
  </si>
  <si>
    <t>QCLN</t>
  </si>
  <si>
    <t>iShares MSCI Pacific ex-Japan ETF</t>
  </si>
  <si>
    <t>$2.20B</t>
  </si>
  <si>
    <t>EPP</t>
  </si>
  <si>
    <t>iShares Asia 50 ETF</t>
  </si>
  <si>
    <t>$2.19B</t>
  </si>
  <si>
    <t>Equity: Asia-Pacific Ex-Japan - Large Cap</t>
  </si>
  <si>
    <t>AIA</t>
  </si>
  <si>
    <t>Global X Robotics &amp; Artificial Intelligence ETF</t>
  </si>
  <si>
    <t>Equity: Developed Markets Robotics &amp; AI</t>
  </si>
  <si>
    <t>BOTZ</t>
  </si>
  <si>
    <t>Schwab 1000 Index ETF</t>
  </si>
  <si>
    <t>$2.18B</t>
  </si>
  <si>
    <t>SCHK</t>
  </si>
  <si>
    <t>SPDR S&amp;P 600 Small Cap Growth ETF</t>
  </si>
  <si>
    <t>SLYG</t>
  </si>
  <si>
    <t>First Trust North American Energy Infrastructure Fund</t>
  </si>
  <si>
    <t>$2.16B</t>
  </si>
  <si>
    <t>EMLP</t>
  </si>
  <si>
    <t>Fidelity MSCI Real Estate Index ETF</t>
  </si>
  <si>
    <t>$2.15B</t>
  </si>
  <si>
    <t>FREL</t>
  </si>
  <si>
    <t>WisdomTree Japan Hedged Equity Fund</t>
  </si>
  <si>
    <t>$2.14B</t>
  </si>
  <si>
    <t>DXJ</t>
  </si>
  <si>
    <t>SPDR S&amp;P Homebuilders ETF</t>
  </si>
  <si>
    <t>$2.12B</t>
  </si>
  <si>
    <t>XHB</t>
  </si>
  <si>
    <t>WisdomTree Europe Hedged Equity Fund</t>
  </si>
  <si>
    <t>$2.09B</t>
  </si>
  <si>
    <t>HEDJ</t>
  </si>
  <si>
    <t>iShares Europe ETF</t>
  </si>
  <si>
    <t>$2.08B</t>
  </si>
  <si>
    <t>IEV</t>
  </si>
  <si>
    <t>Invesco Solar ETF</t>
  </si>
  <si>
    <t>$2.07B</t>
  </si>
  <si>
    <t>TAN</t>
  </si>
  <si>
    <t>SPDR Dow Jones REIT ETF</t>
  </si>
  <si>
    <t>$1.98B</t>
  </si>
  <si>
    <t>RWR</t>
  </si>
  <si>
    <t>iShares MSCI World ETF</t>
  </si>
  <si>
    <t>$1.97B</t>
  </si>
  <si>
    <t>Equity: Developed Markets - Total Market</t>
  </si>
  <si>
    <t>URTH</t>
  </si>
  <si>
    <t>ETFMG</t>
  </si>
  <si>
    <t>ETFMG Prime Cyber Security ETF</t>
  </si>
  <si>
    <t>$1.95B</t>
  </si>
  <si>
    <t>HACK</t>
  </si>
  <si>
    <t>WisdomTree Emerging Markets High Dividend Fund</t>
  </si>
  <si>
    <t>Equity: Emerging Markets - High Dividend Yield</t>
  </si>
  <si>
    <t>DEM</t>
  </si>
  <si>
    <t>SPDR S&amp;P Metals &amp; Mining ETF</t>
  </si>
  <si>
    <t>$1.94B</t>
  </si>
  <si>
    <t>Equity: U.S. Metals &amp; Mining</t>
  </si>
  <si>
    <t>XME</t>
  </si>
  <si>
    <t>iShare Morningstar Growth ETF</t>
  </si>
  <si>
    <t>$1.93B</t>
  </si>
  <si>
    <t>ILCG</t>
  </si>
  <si>
    <t>Invesco Russell 1000 Dynamic Multifactor ETF</t>
  </si>
  <si>
    <t>$1.91B</t>
  </si>
  <si>
    <t>OMFL</t>
  </si>
  <si>
    <t>SPDR MSCI ACWI ex-US ETF</t>
  </si>
  <si>
    <t>$1.90B</t>
  </si>
  <si>
    <t>CWI</t>
  </si>
  <si>
    <t>Pacer Advisors</t>
  </si>
  <si>
    <t>Pacer Trendpilot U.S. Large Cap ETF</t>
  </si>
  <si>
    <t>PTLC</t>
  </si>
  <si>
    <t>Fidelity MSCI Financials Index ETF</t>
  </si>
  <si>
    <t>$1.89B</t>
  </si>
  <si>
    <t>FNCL</t>
  </si>
  <si>
    <t>Invesco Water Resources ETF</t>
  </si>
  <si>
    <t>$1.87B</t>
  </si>
  <si>
    <t>Equity: U.S. Water</t>
  </si>
  <si>
    <t>PHO</t>
  </si>
  <si>
    <t>iShares MSCI Europe Financials ETF</t>
  </si>
  <si>
    <t>$1.85B</t>
  </si>
  <si>
    <t>Equity: Developed Europe Financials</t>
  </si>
  <si>
    <t>EUFN</t>
  </si>
  <si>
    <t>Vanguard S&amp;P Small-Cap 600 ETF</t>
  </si>
  <si>
    <t>$1.84B</t>
  </si>
  <si>
    <t>VIOO</t>
  </si>
  <si>
    <t>WisdomTree U.S. SmallCap Dividend Fund</t>
  </si>
  <si>
    <t>$1.82B</t>
  </si>
  <si>
    <t>DES</t>
  </si>
  <si>
    <t>First Trust Morningstar Dividend Leaders Index Fund</t>
  </si>
  <si>
    <t>$1.81B</t>
  </si>
  <si>
    <t>FDL</t>
  </si>
  <si>
    <t>The Hartford</t>
  </si>
  <si>
    <t>Hartford Multifactor Developed Markets (ex-US) ETF</t>
  </si>
  <si>
    <t>$1.79B</t>
  </si>
  <si>
    <t>RODM</t>
  </si>
  <si>
    <t>First Trust Industrials/Producer Durables AlphaDEX Fund</t>
  </si>
  <si>
    <t>FXR</t>
  </si>
  <si>
    <t>Avantis U.S. Equity ETF</t>
  </si>
  <si>
    <t>AVUS</t>
  </si>
  <si>
    <t>Global X Copper Miners ETF</t>
  </si>
  <si>
    <t>$1.78B</t>
  </si>
  <si>
    <t>Equity: Global Copper Miners</t>
  </si>
  <si>
    <t>COPX</t>
  </si>
  <si>
    <t>Invesco FTSE RAFI US 1500 Small-Mid ETF</t>
  </si>
  <si>
    <t>$1.77B</t>
  </si>
  <si>
    <t>PRFZ</t>
  </si>
  <si>
    <t>Exchange Traded Concepts</t>
  </si>
  <si>
    <t>ROBO Global Robotics and Automation Index ETF</t>
  </si>
  <si>
    <t>$1.76B</t>
  </si>
  <si>
    <t>Equity: Global Robotics &amp; AI</t>
  </si>
  <si>
    <t>ROBO</t>
  </si>
  <si>
    <t>SPDR S&amp;P Kensho New Economies Composite ETF</t>
  </si>
  <si>
    <t>$1.75B</t>
  </si>
  <si>
    <t>KOMP</t>
  </si>
  <si>
    <t>iShares MSCI Switzerland ETF</t>
  </si>
  <si>
    <t>Equity: Switzerland - Total Market</t>
  </si>
  <si>
    <t>EWL</t>
  </si>
  <si>
    <t>First Trust NASDAQ Technology Dividend Index Fund</t>
  </si>
  <si>
    <t>$1.74B</t>
  </si>
  <si>
    <t>TDIV</t>
  </si>
  <si>
    <t>SPDR Dow Jones Global Real Estate ETF</t>
  </si>
  <si>
    <t>Equity: Global Real Estate</t>
  </si>
  <si>
    <t>RWO</t>
  </si>
  <si>
    <t>ARK Autonomous Technology &amp; Robotics ETF</t>
  </si>
  <si>
    <t>$1.73B</t>
  </si>
  <si>
    <t>ARKQ</t>
  </si>
  <si>
    <t>iShares Dow Jones U.S. ETF</t>
  </si>
  <si>
    <t>$1.70B</t>
  </si>
  <si>
    <t>IYY</t>
  </si>
  <si>
    <t>SPDR S&amp;P 600 Small Cap ETF</t>
  </si>
  <si>
    <t>SLY</t>
  </si>
  <si>
    <t>iShares U.S Transportation Average ETF</t>
  </si>
  <si>
    <t>$1.69B</t>
  </si>
  <si>
    <t>Equity: U.S. Transportation</t>
  </si>
  <si>
    <t>IYT</t>
  </si>
  <si>
    <t>First Trust Consumer Discretionary AlphaDEX Fund</t>
  </si>
  <si>
    <t>FXD</t>
  </si>
  <si>
    <t>iShares Global Energy ETF</t>
  </si>
  <si>
    <t>$1.67B</t>
  </si>
  <si>
    <t>Equity: Global Energy</t>
  </si>
  <si>
    <t>IXC</t>
  </si>
  <si>
    <t>Dimensional U.S. Core Equity Market ETF</t>
  </si>
  <si>
    <t>$1.65B</t>
  </si>
  <si>
    <t>DFAU</t>
  </si>
  <si>
    <t>iShares U.S. Industrials ETF</t>
  </si>
  <si>
    <t>$1.62B</t>
  </si>
  <si>
    <t>IYJ</t>
  </si>
  <si>
    <t>FlexShares Quality Dividend Index Fund</t>
  </si>
  <si>
    <t>QDF</t>
  </si>
  <si>
    <t>Pacer U.S. Cash Cows 100 ETF</t>
  </si>
  <si>
    <t>$1.60B</t>
  </si>
  <si>
    <t>COWZ</t>
  </si>
  <si>
    <t>Principal</t>
  </si>
  <si>
    <t>Principal U.S. Mega-Cap ETF</t>
  </si>
  <si>
    <t>$1.59B</t>
  </si>
  <si>
    <t>USMC</t>
  </si>
  <si>
    <t>FlexShares Morningstar US Market Factor Tilt Index Fund</t>
  </si>
  <si>
    <t>$1.58B</t>
  </si>
  <si>
    <t>TILT</t>
  </si>
  <si>
    <t>SPDR S&amp;P 400 Mid Cap Growth ETF</t>
  </si>
  <si>
    <t>$1.56B</t>
  </si>
  <si>
    <t>MDYG</t>
  </si>
  <si>
    <t>Fidelity MSCI Consumer Discretionary Index ETF</t>
  </si>
  <si>
    <t>FDIS</t>
  </si>
  <si>
    <t>First Trust Technology AlphaDEX Fund</t>
  </si>
  <si>
    <t>$1.55B</t>
  </si>
  <si>
    <t>FXL</t>
  </si>
  <si>
    <t>ARK Fintech Innovation ETF</t>
  </si>
  <si>
    <t>$1.54B</t>
  </si>
  <si>
    <t>Equity: Global FinTech</t>
  </si>
  <si>
    <t>ARKF</t>
  </si>
  <si>
    <t>Direxion Daily Small Cap Bull 3x Shares</t>
  </si>
  <si>
    <t>$1.51B</t>
  </si>
  <si>
    <t>Leveraged Equity: U.S. - Small Cap</t>
  </si>
  <si>
    <t>TNA</t>
  </si>
  <si>
    <t>First Trust NYSE Arca Biotechnology Index Fund</t>
  </si>
  <si>
    <t>FBT</t>
  </si>
  <si>
    <t>First Trust U.S. Equity Opportunities ETF</t>
  </si>
  <si>
    <t>FPX</t>
  </si>
  <si>
    <t>BlackRock U.S. Carbon Transition Readiness ETF</t>
  </si>
  <si>
    <t>Equity: U.S. Low Carbon</t>
  </si>
  <si>
    <t>LCTU</t>
  </si>
  <si>
    <t>Invesco BuyBack Achievers ETF</t>
  </si>
  <si>
    <t>$1.50B</t>
  </si>
  <si>
    <t>PKW</t>
  </si>
  <si>
    <t>SPDR S&amp;P 400 Mid Cap Value ETF</t>
  </si>
  <si>
    <t>MDYV</t>
  </si>
  <si>
    <t>SPDR S&amp;P China ETF</t>
  </si>
  <si>
    <t>GXC</t>
  </si>
  <si>
    <t>First Trust Financials AlphaDEX Fund</t>
  </si>
  <si>
    <t>$1.49B</t>
  </si>
  <si>
    <t>FXO</t>
  </si>
  <si>
    <t>Vanguard S&amp;P Mid-Cap 400 ETF</t>
  </si>
  <si>
    <t>$1.45B</t>
  </si>
  <si>
    <t>IVOO</t>
  </si>
  <si>
    <t>Invesco DWA Momentum ETF</t>
  </si>
  <si>
    <t>$1.44B</t>
  </si>
  <si>
    <t>PDP</t>
  </si>
  <si>
    <t>JPMorgan BetaBuilders MSCI U.S. REIT ETF</t>
  </si>
  <si>
    <t>BBRE</t>
  </si>
  <si>
    <t>iShares U.S. Regional Banks ETF</t>
  </si>
  <si>
    <t>IAT</t>
  </si>
  <si>
    <t>First Trust Health Care AlphaDEX Fund</t>
  </si>
  <si>
    <t>$1.43B</t>
  </si>
  <si>
    <t>FXH</t>
  </si>
  <si>
    <t>Invesco China Technology ETF</t>
  </si>
  <si>
    <t>Equity: China Information Technology</t>
  </si>
  <si>
    <t>CQQQ</t>
  </si>
  <si>
    <t>Invesco FTSE RAFI Emerging Markets ETF</t>
  </si>
  <si>
    <t>$1.42B</t>
  </si>
  <si>
    <t>PXH</t>
  </si>
  <si>
    <t>First Trust Water ETF</t>
  </si>
  <si>
    <t>FIW</t>
  </si>
  <si>
    <t>JPMorgan BetaBuilders U.S. Mid Cap Equity ETF</t>
  </si>
  <si>
    <t>$1.41B</t>
  </si>
  <si>
    <t>BBMC</t>
  </si>
  <si>
    <t>iShares U.S. Consumer Discretionary ETF</t>
  </si>
  <si>
    <t>$1.40B</t>
  </si>
  <si>
    <t>IYC</t>
  </si>
  <si>
    <t>Pacer Benchmark Data &amp; Infrastructure Real Estate SCTR ETF</t>
  </si>
  <si>
    <t>$1.39B</t>
  </si>
  <si>
    <t>Equity: U.S. Specialized REITs</t>
  </si>
  <si>
    <t>SRVR</t>
  </si>
  <si>
    <t>Global X Autonomous &amp; Electric Vehicles ETF</t>
  </si>
  <si>
    <t>DRIV</t>
  </si>
  <si>
    <t>iShares MSCI Australia ETF</t>
  </si>
  <si>
    <t>Equity: Australia - Total Market</t>
  </si>
  <si>
    <t>EWA</t>
  </si>
  <si>
    <t>WisdomTree International SmallCap Dividend Fund</t>
  </si>
  <si>
    <t>$1.38B</t>
  </si>
  <si>
    <t>DLS</t>
  </si>
  <si>
    <t>SPDR S&amp;P Semiconductor ETF</t>
  </si>
  <si>
    <t>$1.35B</t>
  </si>
  <si>
    <t>XSD</t>
  </si>
  <si>
    <t>Vanguard Russell 2000 Value ETF</t>
  </si>
  <si>
    <t>VTWV</t>
  </si>
  <si>
    <t>Avantis International Small Cap Value ETF</t>
  </si>
  <si>
    <t>$1.34B</t>
  </si>
  <si>
    <t>Equity: Developed Markets Ex-U.S. - Small Cap Value</t>
  </si>
  <si>
    <t>AVDV</t>
  </si>
  <si>
    <t>Goldman Sachs ActiveBeta Emerging Markets Equity ETF</t>
  </si>
  <si>
    <t>GEM</t>
  </si>
  <si>
    <t>BMO</t>
  </si>
  <si>
    <t>MicroSectors FANG+ Index 3X Leveraged ETN</t>
  </si>
  <si>
    <t>$1.33B</t>
  </si>
  <si>
    <t>Leveraged Equity: U.S. Big Tech</t>
  </si>
  <si>
    <t>FNGU</t>
  </si>
  <si>
    <t>iShares ESG Aware MSCI USA Small-Cap ETF</t>
  </si>
  <si>
    <t>$1.29B</t>
  </si>
  <si>
    <t>ESML</t>
  </si>
  <si>
    <t>SPDR S&amp;P 500 Fossil Fuel Reserves Free ETF</t>
  </si>
  <si>
    <t>$1.28B</t>
  </si>
  <si>
    <t>SPYX</t>
  </si>
  <si>
    <t>Invesco S&amp;P MidCap Low Volatility ETF</t>
  </si>
  <si>
    <t>$1.27B</t>
  </si>
  <si>
    <t>XMLV</t>
  </si>
  <si>
    <t>Nuveen ESG Large-Cap Value ETF</t>
  </si>
  <si>
    <t>NULV</t>
  </si>
  <si>
    <t>iShares MSCI Intl Value Factor ETF</t>
  </si>
  <si>
    <t>IVLU</t>
  </si>
  <si>
    <t>iShares MSCI ACWI Low Carbon Target ETF</t>
  </si>
  <si>
    <t>$1.26B</t>
  </si>
  <si>
    <t>Equity: Global Low Carbon</t>
  </si>
  <si>
    <t>CRBN</t>
  </si>
  <si>
    <t>Avantis International Equity ETF</t>
  </si>
  <si>
    <t>AVDE</t>
  </si>
  <si>
    <t>Vanguard S&amp;P Small-Cap 600 Value ETF</t>
  </si>
  <si>
    <t>$1.24B</t>
  </si>
  <si>
    <t>VIOV</t>
  </si>
  <si>
    <t>Invesco S&amp;P 500 High Beta ETF</t>
  </si>
  <si>
    <t>$1.23B</t>
  </si>
  <si>
    <t>SPHB</t>
  </si>
  <si>
    <t>First Trust Nasdaq-100 Equal Weighted Index Fund</t>
  </si>
  <si>
    <t>QQEW</t>
  </si>
  <si>
    <t>VanEck Russia ETF</t>
  </si>
  <si>
    <t>Equity: Russia - Total Market</t>
  </si>
  <si>
    <t>RSX</t>
  </si>
  <si>
    <t>Defiance ETFs</t>
  </si>
  <si>
    <t>Defiance Next Gen Connectivity ETF</t>
  </si>
  <si>
    <t>$1.21B</t>
  </si>
  <si>
    <t>Equity: Global 5G</t>
  </si>
  <si>
    <t>FIVG</t>
  </si>
  <si>
    <t>iShares Mortgage Real Estate ETF</t>
  </si>
  <si>
    <t>Equity: U.S. Mortgage REITs</t>
  </si>
  <si>
    <t>REM</t>
  </si>
  <si>
    <t>ALPS Sector Dividend Dogs ETF</t>
  </si>
  <si>
    <t>SDOG</t>
  </si>
  <si>
    <t>iShares U.S. Healthcare Providers ETF</t>
  </si>
  <si>
    <t>Equity: U.S. Health Care Providers &amp; Services</t>
  </si>
  <si>
    <t>IHF</t>
  </si>
  <si>
    <t>iShares Russell Top 200 Value ETF</t>
  </si>
  <si>
    <t>$1.20B</t>
  </si>
  <si>
    <t>IWX</t>
  </si>
  <si>
    <t>Fidelity MSCI Utilities Index ETF</t>
  </si>
  <si>
    <t>FUTY</t>
  </si>
  <si>
    <t>Invesco Dynamic Leisure and Entertainment ETF</t>
  </si>
  <si>
    <t>Equity: U.S. Hotels, Restaurants &amp; Leisure</t>
  </si>
  <si>
    <t>PEJ</t>
  </si>
  <si>
    <t>Dimensional International Core Equity Market ETF</t>
  </si>
  <si>
    <t>$1.19B</t>
  </si>
  <si>
    <t>DFAI</t>
  </si>
  <si>
    <t>First Trust Large Cap Value AlphaDEX Fund</t>
  </si>
  <si>
    <t>$1.18B</t>
  </si>
  <si>
    <t>FTA</t>
  </si>
  <si>
    <t>First Trust Nasdaq Transportation ETF</t>
  </si>
  <si>
    <t>$1.17B</t>
  </si>
  <si>
    <t>FTXR</t>
  </si>
  <si>
    <t>iShares Morningstar Mid-Cap Growth ETF</t>
  </si>
  <si>
    <t>IMCG</t>
  </si>
  <si>
    <t>Victory Capital</t>
  </si>
  <si>
    <t>VictoryShares US EQ Income Enhanced Volatility Wtd ETF</t>
  </si>
  <si>
    <t>CDC</t>
  </si>
  <si>
    <t>Global X Uranium ETF</t>
  </si>
  <si>
    <t>Equity: Global Nuclear Energy</t>
  </si>
  <si>
    <t>URA</t>
  </si>
  <si>
    <t>Vanguard Russell 3000 ETF</t>
  </si>
  <si>
    <t>VTHR</t>
  </si>
  <si>
    <t>Fidelity MSCI Energy Index ETF</t>
  </si>
  <si>
    <t>$1.16B</t>
  </si>
  <si>
    <t>FENY</t>
  </si>
  <si>
    <t>First Trust Large Cap Core AlphaDEX Fund</t>
  </si>
  <si>
    <t>FEX</t>
  </si>
  <si>
    <t>iShares MSCI USA Multifactor ETF</t>
  </si>
  <si>
    <t>LRGF</t>
  </si>
  <si>
    <t>Invesco FTSE RAFI Developed Markets ex-U.S. ETF</t>
  </si>
  <si>
    <t>$1.15B</t>
  </si>
  <si>
    <t>PXF</t>
  </si>
  <si>
    <t>Invesco S&amp;P Global Water Index ETF</t>
  </si>
  <si>
    <t>Equity: Global Water</t>
  </si>
  <si>
    <t>CGW</t>
  </si>
  <si>
    <t>iShares Residential and Multisector Real Estate ETF</t>
  </si>
  <si>
    <t>REZ</t>
  </si>
  <si>
    <t>Invesco S&amp;P 500 Revenue ETF</t>
  </si>
  <si>
    <t>$1.14B</t>
  </si>
  <si>
    <t>RWL</t>
  </si>
  <si>
    <t>Invesco WilderHill Clean Energy ETF</t>
  </si>
  <si>
    <t>PBW</t>
  </si>
  <si>
    <t>VanEck Agribusiness ETF</t>
  </si>
  <si>
    <t>$1.13B</t>
  </si>
  <si>
    <t>Equity: Global Agriculture</t>
  </si>
  <si>
    <t>MOO</t>
  </si>
  <si>
    <t>iShares MSCI Global Metals &amp; Mining Producers ETF</t>
  </si>
  <si>
    <t>$1.12B</t>
  </si>
  <si>
    <t>Equity: Global Metals &amp; Mining</t>
  </si>
  <si>
    <t>PICK</t>
  </si>
  <si>
    <t>iShares MSCI Saudi Arabia ETF</t>
  </si>
  <si>
    <t>Equity: Saudi Arabia - Total Market</t>
  </si>
  <si>
    <t>KSA</t>
  </si>
  <si>
    <t>WisdomTree International Hedged Quality Dividend Growth Fund</t>
  </si>
  <si>
    <t>$1.11B</t>
  </si>
  <si>
    <t>IHDG</t>
  </si>
  <si>
    <t>First Trust Nasdaq Oil &amp; Gas ETF</t>
  </si>
  <si>
    <t>$1.09B</t>
  </si>
  <si>
    <t>FTXN</t>
  </si>
  <si>
    <t>iShares Micro-Cap ETF</t>
  </si>
  <si>
    <t>Equity: U.S. - Micro Cap</t>
  </si>
  <si>
    <t>IWC</t>
  </si>
  <si>
    <t>Invesco S&amp;P SmallCap Low Volatility ETF</t>
  </si>
  <si>
    <t>$1.08B</t>
  </si>
  <si>
    <t>XSLV</t>
  </si>
  <si>
    <t>First Trust Large Cap Growth AlphaDEX Fund</t>
  </si>
  <si>
    <t>FTC</t>
  </si>
  <si>
    <t>iShares Global Consumer Staples ETF</t>
  </si>
  <si>
    <t>$1.06B</t>
  </si>
  <si>
    <t>Equity: Global Consumer Staples</t>
  </si>
  <si>
    <t>KXI</t>
  </si>
  <si>
    <t>Fidelity High Dividend ETF</t>
  </si>
  <si>
    <t>Equity: Developed Markets - High Dividend Yield</t>
  </si>
  <si>
    <t>FDVV</t>
  </si>
  <si>
    <t>SPDR S&amp;P Aerospace &amp; Defense ETF</t>
  </si>
  <si>
    <t>XAR</t>
  </si>
  <si>
    <t>iShares Core MSCI Pacific ETF</t>
  </si>
  <si>
    <t>$1.04B</t>
  </si>
  <si>
    <t>IPAC</t>
  </si>
  <si>
    <t>Global X Silver Miners ETF</t>
  </si>
  <si>
    <t>Equity: Global Silver Miners</t>
  </si>
  <si>
    <t>SIL</t>
  </si>
  <si>
    <t>iShares MSCI USA Small-Cap Multifactor ETF</t>
  </si>
  <si>
    <t>$1.03B</t>
  </si>
  <si>
    <t>SMLF</t>
  </si>
  <si>
    <t>Nuveen ESG Small-Cap ETF</t>
  </si>
  <si>
    <t>NUSC</t>
  </si>
  <si>
    <t>WisdomTree China ex-State-Owned Enterprises Fund</t>
  </si>
  <si>
    <t>CXSE</t>
  </si>
  <si>
    <t>Avantis Emerging Markets Equity ETF</t>
  </si>
  <si>
    <t>AVEM</t>
  </si>
  <si>
    <t>Invesco High Yield Equity Dividend Achievers ETF</t>
  </si>
  <si>
    <t>PEY</t>
  </si>
  <si>
    <t>Global X MLP ETF</t>
  </si>
  <si>
    <t>$1.02B</t>
  </si>
  <si>
    <t>MLPA</t>
  </si>
  <si>
    <t>Invesco NASDAQ Next Gen 100 ETF</t>
  </si>
  <si>
    <t>QQQJ</t>
  </si>
  <si>
    <t>First Trust Indxx NextG ETF</t>
  </si>
  <si>
    <t>NXTG</t>
  </si>
  <si>
    <t>Main Management</t>
  </si>
  <si>
    <t>Main Sector Rotation ETF</t>
  </si>
  <si>
    <t>SECT</t>
  </si>
  <si>
    <t>WisdomTree U.S. Total Dividend Fund</t>
  </si>
  <si>
    <t>$1.01B</t>
  </si>
  <si>
    <t>DTD</t>
  </si>
  <si>
    <t>VictoryShares U.S. 500 Enhanced Volatility Wtd Index ETF</t>
  </si>
  <si>
    <t>$1.00B</t>
  </si>
  <si>
    <t>CFO</t>
  </si>
  <si>
    <t>WisdomTree India Earnings Fund</t>
  </si>
  <si>
    <t>$993.47M</t>
  </si>
  <si>
    <t>EPI</t>
  </si>
  <si>
    <t>SPDR MSCI USA StrategicFactors ETF</t>
  </si>
  <si>
    <t>$988.17M</t>
  </si>
  <si>
    <t>QUS</t>
  </si>
  <si>
    <t>Global X Cybersecurity ETF</t>
  </si>
  <si>
    <t>$987.72M</t>
  </si>
  <si>
    <t>BUG</t>
  </si>
  <si>
    <t>First Trust Mid Cap Core AlphaDEX Fund</t>
  </si>
  <si>
    <t>$979.45M</t>
  </si>
  <si>
    <t>FNX</t>
  </si>
  <si>
    <t>AdvisorShares</t>
  </si>
  <si>
    <t>AdvisorShares Pure US Cannabis ETF</t>
  </si>
  <si>
    <t>$972.51M</t>
  </si>
  <si>
    <t>Equity: U.S. Cannabis</t>
  </si>
  <si>
    <t>MSOS</t>
  </si>
  <si>
    <t>Global X S&amp;P 500 Covered Call ETF</t>
  </si>
  <si>
    <t>$971.57M</t>
  </si>
  <si>
    <t>XYLD</t>
  </si>
  <si>
    <t>iShares MSCI Hong Kong ETF</t>
  </si>
  <si>
    <t>$967.61M</t>
  </si>
  <si>
    <t>Equity: Hong Kong - Total Market</t>
  </si>
  <si>
    <t>EWH</t>
  </si>
  <si>
    <t>iShares Russell Top 200 ETF</t>
  </si>
  <si>
    <t>$966.94M</t>
  </si>
  <si>
    <t>IWL</t>
  </si>
  <si>
    <t>Emerging Markets Internet &amp; Ecommerce ETF</t>
  </si>
  <si>
    <t>$955.20M</t>
  </si>
  <si>
    <t>Equity: Emerging Markets Internet</t>
  </si>
  <si>
    <t>EMQQ</t>
  </si>
  <si>
    <t>Amplify Investments</t>
  </si>
  <si>
    <t>Amplify CWP Enhanced Dividend Income ETF</t>
  </si>
  <si>
    <t>$953.42M</t>
  </si>
  <si>
    <t>DIVO</t>
  </si>
  <si>
    <t>VanEck Rare Earth/Strategic Metals ETF</t>
  </si>
  <si>
    <t>$952.13M</t>
  </si>
  <si>
    <t>Equity: Global Diversified Metals &amp; Mining</t>
  </si>
  <si>
    <t>REMX</t>
  </si>
  <si>
    <t>Global X Cloud Computing ETF</t>
  </si>
  <si>
    <t>$944.61M</t>
  </si>
  <si>
    <t>CLOU</t>
  </si>
  <si>
    <t>Fidelity MSCI Consumer Staples Index ETF</t>
  </si>
  <si>
    <t>$939.41M</t>
  </si>
  <si>
    <t>FSTA</t>
  </si>
  <si>
    <t>Amplify Transformational Data Sharing ETF</t>
  </si>
  <si>
    <t>$937.60M</t>
  </si>
  <si>
    <t>Equity: Global Blockchain</t>
  </si>
  <si>
    <t>BLOK</t>
  </si>
  <si>
    <t>Global X SuperDividend ETF</t>
  </si>
  <si>
    <t>$930.93M</t>
  </si>
  <si>
    <t>Equity: Global - High Dividend Yield</t>
  </si>
  <si>
    <t>SDIV</t>
  </si>
  <si>
    <t>iShares U.S. Broker-Dealers &amp; Securities Exchanges ETF</t>
  </si>
  <si>
    <t>$928.25M</t>
  </si>
  <si>
    <t>Equity: U.S. Capital Markets</t>
  </si>
  <si>
    <t>IAI</t>
  </si>
  <si>
    <t>Invesco S&amp;P 500 Equal Weight Health Care ETF</t>
  </si>
  <si>
    <t>$927.53M</t>
  </si>
  <si>
    <t>RYH</t>
  </si>
  <si>
    <t>iShares MSCI China A ETF</t>
  </si>
  <si>
    <t>$927.23M</t>
  </si>
  <si>
    <t>CNYA</t>
  </si>
  <si>
    <t>Franklin Templeton</t>
  </si>
  <si>
    <t>Franklin LibertyQ U.S. Equity ETF</t>
  </si>
  <si>
    <t>$917.72M</t>
  </si>
  <si>
    <t>FLQL</t>
  </si>
  <si>
    <t>iShares Latin America 40 ETF</t>
  </si>
  <si>
    <t>$913.94M</t>
  </si>
  <si>
    <t>Equity: Latin America - Large Cap</t>
  </si>
  <si>
    <t>ILF</t>
  </si>
  <si>
    <t>Nationwide</t>
  </si>
  <si>
    <t>Nationwide Nasdaq-100 Risk-Managed Income ETF</t>
  </si>
  <si>
    <t>$908.57M</t>
  </si>
  <si>
    <t>NUSI</t>
  </si>
  <si>
    <t>Global X FinTech ETF</t>
  </si>
  <si>
    <t>$907.60M</t>
  </si>
  <si>
    <t>Equity: Developed Markets FinTech</t>
  </si>
  <si>
    <t>FINX</t>
  </si>
  <si>
    <t>JPMorgan BetaBuilders U.S. Equity ETF</t>
  </si>
  <si>
    <t>$903.91M</t>
  </si>
  <si>
    <t>BBUS</t>
  </si>
  <si>
    <t>First Trust Small Cap Core AlphaDEX Fund</t>
  </si>
  <si>
    <t>$903.23M</t>
  </si>
  <si>
    <t>FYX</t>
  </si>
  <si>
    <t>ETFMG Prime Mobile Payments ETF</t>
  </si>
  <si>
    <t>$899.17M</t>
  </si>
  <si>
    <t>Equity: Global Digital Payments</t>
  </si>
  <si>
    <t>IPAY</t>
  </si>
  <si>
    <t>Xtrackers MSCI EAFE High Dividend Yield Equity ETF</t>
  </si>
  <si>
    <t>$896.12M</t>
  </si>
  <si>
    <t>Equity: Developed Markets Ex-North America - High Dividend Y</t>
  </si>
  <si>
    <t>HDEF</t>
  </si>
  <si>
    <t>WisdomTree Cloud Computing Fund</t>
  </si>
  <si>
    <t>$895.65M</t>
  </si>
  <si>
    <t>WCLD</t>
  </si>
  <si>
    <t>SPDR MSCI EAFE StrategicFactors ETF</t>
  </si>
  <si>
    <t>$894.93M</t>
  </si>
  <si>
    <t>QEFA</t>
  </si>
  <si>
    <t>iShares MSCI Emerging Markets Multifactor ETF</t>
  </si>
  <si>
    <t>$893.56M</t>
  </si>
  <si>
    <t>EMGF</t>
  </si>
  <si>
    <t>iShares MSCI Intl Multifactor ETF</t>
  </si>
  <si>
    <t>$887.14M</t>
  </si>
  <si>
    <t>INTF</t>
  </si>
  <si>
    <t>WisdomTree U.S. High Dividend Fund</t>
  </si>
  <si>
    <t>$883.31M</t>
  </si>
  <si>
    <t>DHS</t>
  </si>
  <si>
    <t>Global X Russell 2000 Covered Call ETF</t>
  </si>
  <si>
    <t>$878.35M</t>
  </si>
  <si>
    <t>RYLD</t>
  </si>
  <si>
    <t>iShares Morningstar U.S. Equity ETF</t>
  </si>
  <si>
    <t>$870.79M</t>
  </si>
  <si>
    <t>ILCB</t>
  </si>
  <si>
    <t>MicroSectors U.S. Big Oil Index 3X Leveraged ETN</t>
  </si>
  <si>
    <t>$868.50M</t>
  </si>
  <si>
    <t>Leveraged Equity: U.S. Oil, Gas &amp; Consumable Fuels</t>
  </si>
  <si>
    <t>NRGU</t>
  </si>
  <si>
    <t>Fidelity MSCI Industrials Index ETF</t>
  </si>
  <si>
    <t>$863.95M</t>
  </si>
  <si>
    <t>FIDU</t>
  </si>
  <si>
    <t>Roundhill Investments</t>
  </si>
  <si>
    <t>Roundhill Ball Metaverse ETF</t>
  </si>
  <si>
    <t>$855.89M</t>
  </si>
  <si>
    <t>META</t>
  </si>
  <si>
    <t>Goldman Sachs Equal Weight U.S. Large Cap Equity ETF</t>
  </si>
  <si>
    <t>$848.87M</t>
  </si>
  <si>
    <t>GSEW</t>
  </si>
  <si>
    <t>Invesco S&amp;P Midcap Momentum ETF</t>
  </si>
  <si>
    <t>$844.49M</t>
  </si>
  <si>
    <t>XMMO</t>
  </si>
  <si>
    <t>iShares MSCI Intl Momentum Factor ETF</t>
  </si>
  <si>
    <t>$842.51M</t>
  </si>
  <si>
    <t>IMTM</t>
  </si>
  <si>
    <t>Horizon Kinetics LLC</t>
  </si>
  <si>
    <t>Horizon Kinetics Inflation Beneficiaries ETF</t>
  </si>
  <si>
    <t>$842.12M</t>
  </si>
  <si>
    <t>INFL</t>
  </si>
  <si>
    <t>iShares U.S. Utilities ETF</t>
  </si>
  <si>
    <t>$837.04M</t>
  </si>
  <si>
    <t>IDU</t>
  </si>
  <si>
    <t>Invesco S&amp;P 500 GARP ETF</t>
  </si>
  <si>
    <t>$836.57M</t>
  </si>
  <si>
    <t>SPGP</t>
  </si>
  <si>
    <t>Vanguard S&amp;P Mid-Cap 400 Growth ETF</t>
  </si>
  <si>
    <t>$833.31M</t>
  </si>
  <si>
    <t>IVOG</t>
  </si>
  <si>
    <t>iShares Emerging Markets Dividend ETF</t>
  </si>
  <si>
    <t>$831.78M</t>
  </si>
  <si>
    <t>DVYE</t>
  </si>
  <si>
    <t>Nuveen ESG Large-Cap Growth ETF</t>
  </si>
  <si>
    <t>$831.17M</t>
  </si>
  <si>
    <t>NULG</t>
  </si>
  <si>
    <t>iShares U.S. Consumer Staples ETF</t>
  </si>
  <si>
    <t>$827.46M</t>
  </si>
  <si>
    <t>IYK</t>
  </si>
  <si>
    <t>Xtrackers S&amp;P 500 ESG ETF</t>
  </si>
  <si>
    <t>$825.70M</t>
  </si>
  <si>
    <t>SNPE</t>
  </si>
  <si>
    <t>Global X MLP &amp; Energy Infrastructure ETF</t>
  </si>
  <si>
    <t>$825.53M</t>
  </si>
  <si>
    <t>MLPX</t>
  </si>
  <si>
    <t>JPMorgan Diversified Return International Equity ETF</t>
  </si>
  <si>
    <t>$822.61M</t>
  </si>
  <si>
    <t>JPIN</t>
  </si>
  <si>
    <t>iShares Morningstar Mid-Cap ETF</t>
  </si>
  <si>
    <t>$821.24M</t>
  </si>
  <si>
    <t>IMCB</t>
  </si>
  <si>
    <t>Invesco Dynamic Large Cap Value ETF</t>
  </si>
  <si>
    <t>$820.98M</t>
  </si>
  <si>
    <t>PWV</t>
  </si>
  <si>
    <t>iShares MSCI France ETF</t>
  </si>
  <si>
    <t>$819.81M</t>
  </si>
  <si>
    <t>Equity: France - Total Market</t>
  </si>
  <si>
    <t>EWQ</t>
  </si>
  <si>
    <t>iShares MSCI Emerging Markets Asia ETF</t>
  </si>
  <si>
    <t>$815.41M</t>
  </si>
  <si>
    <t>Equity: Emerging Asia-Pacific - Total Market</t>
  </si>
  <si>
    <t>EEMA</t>
  </si>
  <si>
    <t>Principal U.S. Small-Cap Multi-Factor ETF</t>
  </si>
  <si>
    <t>$811.47M</t>
  </si>
  <si>
    <t>PSC</t>
  </si>
  <si>
    <t>Franklin FTSE Japan ETF</t>
  </si>
  <si>
    <t>$810.47M</t>
  </si>
  <si>
    <t>FLJP</t>
  </si>
  <si>
    <t>Vanguard S&amp;P Mid-Cap 400 Value ETF</t>
  </si>
  <si>
    <t>$809.46M</t>
  </si>
  <si>
    <t>IVOV</t>
  </si>
  <si>
    <t>WisdomTree U.S. MidCap Fund</t>
  </si>
  <si>
    <t>$800.63M</t>
  </si>
  <si>
    <t>EZM</t>
  </si>
  <si>
    <t>iShares Morningstar Value ETF</t>
  </si>
  <si>
    <t>$798.50M</t>
  </si>
  <si>
    <t>ILCV</t>
  </si>
  <si>
    <t>O'Shares Investments</t>
  </si>
  <si>
    <t>O?셎hares U.S. Quality Dividend ETF</t>
  </si>
  <si>
    <t>$797.67M</t>
  </si>
  <si>
    <t>OUSA</t>
  </si>
  <si>
    <t>SPDR S&amp;P Transportation ETF</t>
  </si>
  <si>
    <t>$792.91M</t>
  </si>
  <si>
    <t>XTN</t>
  </si>
  <si>
    <t>iShares MSCI Mexico ETF</t>
  </si>
  <si>
    <t>$791.56M</t>
  </si>
  <si>
    <t>Equity: Mexico - Total Market</t>
  </si>
  <si>
    <t>EWW</t>
  </si>
  <si>
    <t>iShares MSCI USA Small-Cap Min Vol Factor ETF</t>
  </si>
  <si>
    <t>$788.43M</t>
  </si>
  <si>
    <t>SMMV</t>
  </si>
  <si>
    <t>Invesco S&amp;P 500 QVM Multi-Factor ETF</t>
  </si>
  <si>
    <t>$788.28M</t>
  </si>
  <si>
    <t>QVML</t>
  </si>
  <si>
    <t>SPDR S&amp;P International Small Cap ETF</t>
  </si>
  <si>
    <t>$786.75M</t>
  </si>
  <si>
    <t>GWX</t>
  </si>
  <si>
    <t>iShares U.S. Infrastructure ETF</t>
  </si>
  <si>
    <t>$783.84M</t>
  </si>
  <si>
    <t>IFRA</t>
  </si>
  <si>
    <t>Fidelity MSCI Communication Services Index ETF</t>
  </si>
  <si>
    <t>$778.26M</t>
  </si>
  <si>
    <t>FCOM</t>
  </si>
  <si>
    <t>Xtrackers Emerging Markets Carbon Reduction and Climate Impr</t>
  </si>
  <si>
    <t>$770.58M</t>
  </si>
  <si>
    <t>Equity: Emerging Markets Low Carbon</t>
  </si>
  <si>
    <t>EMCR</t>
  </si>
  <si>
    <t>Invesco Dynamic Semiconductors ETF</t>
  </si>
  <si>
    <t>$769.31M</t>
  </si>
  <si>
    <t>PSI</t>
  </si>
  <si>
    <t>Direxion Daily S&amp;P Biotech Bull 3X Shares</t>
  </si>
  <si>
    <t>$767.80M</t>
  </si>
  <si>
    <t>Leveraged Equity: U.S. Biotechnology</t>
  </si>
  <si>
    <t>LABU</t>
  </si>
  <si>
    <t>First Trust NASDAQ Clean Edge Smart Grid Infrastructure Inde</t>
  </si>
  <si>
    <t>$760.34M</t>
  </si>
  <si>
    <t>GRID</t>
  </si>
  <si>
    <t>John Hancock Multifactor Large Cap ETF</t>
  </si>
  <si>
    <t>$759.41M</t>
  </si>
  <si>
    <t>JHML</t>
  </si>
  <si>
    <t>Legg Mason Low Volatility High Dividend ETF</t>
  </si>
  <si>
    <t>$758.18M</t>
  </si>
  <si>
    <t>LVHD</t>
  </si>
  <si>
    <t>ETFMG Prime Junior Silver Miners ETF</t>
  </si>
  <si>
    <t>$756.45M</t>
  </si>
  <si>
    <t>SILJ</t>
  </si>
  <si>
    <t>SPDR Dow Jones International Real Estate ETF</t>
  </si>
  <si>
    <t>$750.11M</t>
  </si>
  <si>
    <t>RWX</t>
  </si>
  <si>
    <t>Pacer Trendpilot 100 ETF</t>
  </si>
  <si>
    <t>$744.39M</t>
  </si>
  <si>
    <t>PTNQ</t>
  </si>
  <si>
    <t>iShares Currency Hedged MSCI Japan ETF</t>
  </si>
  <si>
    <t>$742.21M</t>
  </si>
  <si>
    <t>HEWJ</t>
  </si>
  <si>
    <t>Direxion Daily S&amp;P Oil &amp; Gas Exp. &amp; Prod. Bull 2X Shares</t>
  </si>
  <si>
    <t>$738.47M</t>
  </si>
  <si>
    <t>GUSH</t>
  </si>
  <si>
    <t>Invesco NASDAQ Internet ETF</t>
  </si>
  <si>
    <t>$735.24M</t>
  </si>
  <si>
    <t>PNQI</t>
  </si>
  <si>
    <t>First Trust International Equity Opportunities ETF</t>
  </si>
  <si>
    <t>$733.02M</t>
  </si>
  <si>
    <t>FPXI</t>
  </si>
  <si>
    <t>Invesco S&amp;P Ultra Dividend Revenue ETF</t>
  </si>
  <si>
    <t>$729.75M</t>
  </si>
  <si>
    <t>RDIV</t>
  </si>
  <si>
    <t>SPDR Russell 1000 Yield Focus ETF</t>
  </si>
  <si>
    <t>$728.47M</t>
  </si>
  <si>
    <t>ONEY</t>
  </si>
  <si>
    <t>Invesco Dynamic Large Cap Growth ETF</t>
  </si>
  <si>
    <t>$720.83M</t>
  </si>
  <si>
    <t>PWB</t>
  </si>
  <si>
    <t>Invesco S&amp;P SmallCap 600 Revenue ETF</t>
  </si>
  <si>
    <t>$718.58M</t>
  </si>
  <si>
    <t>RWJ</t>
  </si>
  <si>
    <t>ALPS Clean Energy ETF</t>
  </si>
  <si>
    <t>$718.03M</t>
  </si>
  <si>
    <t>ACES</t>
  </si>
  <si>
    <t>Direxion Daily Gold Miners Index Bull 2X Shares</t>
  </si>
  <si>
    <t>$716.74M</t>
  </si>
  <si>
    <t>Leveraged Equity: Global Gold Miners</t>
  </si>
  <si>
    <t>NUGT</t>
  </si>
  <si>
    <t>John Hancock Multifactor Emerging Markets ETF</t>
  </si>
  <si>
    <t>$710.68M</t>
  </si>
  <si>
    <t>JHEM</t>
  </si>
  <si>
    <t>iShares U.S. Basic Materials ETF</t>
  </si>
  <si>
    <t>$710.08M</t>
  </si>
  <si>
    <t>IYM</t>
  </si>
  <si>
    <t>KraneShares Bosera MSCI China A 50 Connect Index ETF</t>
  </si>
  <si>
    <t>$705.00M</t>
  </si>
  <si>
    <t>KBA</t>
  </si>
  <si>
    <t>WisdomTree U.S. LargeCap Fund</t>
  </si>
  <si>
    <t>$703.58M</t>
  </si>
  <si>
    <t>EPS</t>
  </si>
  <si>
    <t>Global X SuperDividend U.S. ETF</t>
  </si>
  <si>
    <t>$703.54M</t>
  </si>
  <si>
    <t>DIV</t>
  </si>
  <si>
    <t>Invesco S&amp;P International Developed Low Volatility ETF</t>
  </si>
  <si>
    <t>$689.06M</t>
  </si>
  <si>
    <t>IDLV</t>
  </si>
  <si>
    <t>ETFMG Alternative Harvest ETF</t>
  </si>
  <si>
    <t>$688.49M</t>
  </si>
  <si>
    <t>Equity: Global Cannabis</t>
  </si>
  <si>
    <t>MJ</t>
  </si>
  <si>
    <t>Invesco Dividend Achievers ETF</t>
  </si>
  <si>
    <t>$687.75M</t>
  </si>
  <si>
    <t>PFM</t>
  </si>
  <si>
    <t>iShares India 50 ETF</t>
  </si>
  <si>
    <t>$687.05M</t>
  </si>
  <si>
    <t>Equity: India - Large Cap</t>
  </si>
  <si>
    <t>INDY</t>
  </si>
  <si>
    <t>North Shore Global Uranium Mining ETF</t>
  </si>
  <si>
    <t>$681.71M</t>
  </si>
  <si>
    <t>URNM</t>
  </si>
  <si>
    <t>SPDR S&amp;P Emerging Markets Small Cap ETF</t>
  </si>
  <si>
    <t>$680.45M</t>
  </si>
  <si>
    <t>EWX</t>
  </si>
  <si>
    <t>iShares MSCI Italy ETF</t>
  </si>
  <si>
    <t>$675.62M</t>
  </si>
  <si>
    <t>Equity: Italy - Total Market</t>
  </si>
  <si>
    <t>EWI</t>
  </si>
  <si>
    <t>JPMorgan Diversified Return U.S. Equity ETF</t>
  </si>
  <si>
    <t>$660.53M</t>
  </si>
  <si>
    <t>JPUS</t>
  </si>
  <si>
    <t>Global X Conscious Companies ETF</t>
  </si>
  <si>
    <t>$655.82M</t>
  </si>
  <si>
    <t>KRMA</t>
  </si>
  <si>
    <t>Invesco Russell 1000 Equal Weight ETF</t>
  </si>
  <si>
    <t>$655.42M</t>
  </si>
  <si>
    <t>EQAL</t>
  </si>
  <si>
    <t>Invesco Aerospace &amp; Defense ETF</t>
  </si>
  <si>
    <t>$643.50M</t>
  </si>
  <si>
    <t>PPA</t>
  </si>
  <si>
    <t>Invesco International Dividend Achievers ETF</t>
  </si>
  <si>
    <t>$642.81M</t>
  </si>
  <si>
    <t>PID</t>
  </si>
  <si>
    <t>Dimensional Emerging Core Equity Market ETF</t>
  </si>
  <si>
    <t>$640.57M</t>
  </si>
  <si>
    <t>DFAE</t>
  </si>
  <si>
    <t>VictoryShares US 500 Volatility Wtd ETF</t>
  </si>
  <si>
    <t>$639.87M</t>
  </si>
  <si>
    <t>CFA</t>
  </si>
  <si>
    <t>WisdomTree U.S. SmallCap Fund</t>
  </si>
  <si>
    <t>$638.61M</t>
  </si>
  <si>
    <t>EES</t>
  </si>
  <si>
    <t>Pacer U.S. Small Cap Cash Cows 100 ETF</t>
  </si>
  <si>
    <t>$638.28M</t>
  </si>
  <si>
    <t>CALF</t>
  </si>
  <si>
    <t>FlexShares Morningstar Developed Markets ex-US Factor Tilt I</t>
  </si>
  <si>
    <t>$637.28M</t>
  </si>
  <si>
    <t>TLTD</t>
  </si>
  <si>
    <t>SPDR SSGA U.S. Large Cap Low Volatility Index ETF</t>
  </si>
  <si>
    <t>$634.93M</t>
  </si>
  <si>
    <t>LGLV</t>
  </si>
  <si>
    <t>SPDR S&amp;P International Dividend ETF</t>
  </si>
  <si>
    <t>$634.01M</t>
  </si>
  <si>
    <t>DWX</t>
  </si>
  <si>
    <t>iShares Global Materials ETF</t>
  </si>
  <si>
    <t>$632.41M</t>
  </si>
  <si>
    <t>Equity: Global Materials</t>
  </si>
  <si>
    <t>MXI</t>
  </si>
  <si>
    <t>WisdomTree International Equity Fund</t>
  </si>
  <si>
    <t>$622.30M</t>
  </si>
  <si>
    <t>DWM</t>
  </si>
  <si>
    <t>FlexShares International Quality Dividend Index Fund</t>
  </si>
  <si>
    <t>$620.86M</t>
  </si>
  <si>
    <t>IQDF</t>
  </si>
  <si>
    <t>Franklin FTSE United Kingdom ETF</t>
  </si>
  <si>
    <t>$620.54M</t>
  </si>
  <si>
    <t>FLGB</t>
  </si>
  <si>
    <t>SPDR S&amp;P NYSE Technology ETF</t>
  </si>
  <si>
    <t>$619.76M</t>
  </si>
  <si>
    <t>XNTK</t>
  </si>
  <si>
    <t>iShares Self-Driving EV and Tech ETF</t>
  </si>
  <si>
    <t>$619.42M</t>
  </si>
  <si>
    <t>IDRV</t>
  </si>
  <si>
    <t>iShares MSCI Sweden ETF</t>
  </si>
  <si>
    <t>$615.07M</t>
  </si>
  <si>
    <t>Equity: Sweden - Total Market</t>
  </si>
  <si>
    <t>EWD</t>
  </si>
  <si>
    <t>FT Cboe Vest Fund of Buffer ETF</t>
  </si>
  <si>
    <t>$610.98M</t>
  </si>
  <si>
    <t>BUFR</t>
  </si>
  <si>
    <t>Vanguard Russell 2000 Growth ETF</t>
  </si>
  <si>
    <t>$609.76M</t>
  </si>
  <si>
    <t>VTWG</t>
  </si>
  <si>
    <t>Global X S&amp;P 500 Catholic Values ETF</t>
  </si>
  <si>
    <t>$607.42M</t>
  </si>
  <si>
    <t>CATH</t>
  </si>
  <si>
    <t>Distillate Capital</t>
  </si>
  <si>
    <t>Distillate U.S. Fundamental Stability &amp; Value ETF</t>
  </si>
  <si>
    <t>$599.11M</t>
  </si>
  <si>
    <t>DSTL</t>
  </si>
  <si>
    <t>SPDR Russell 1000 Low Volatility Focus ETF</t>
  </si>
  <si>
    <t>$597.68M</t>
  </si>
  <si>
    <t>ONEV</t>
  </si>
  <si>
    <t>Xtrackers MSCI Europe Hedged Equity ETF</t>
  </si>
  <si>
    <t>$595.47M</t>
  </si>
  <si>
    <t>DBEU</t>
  </si>
  <si>
    <t>Direxion Daily Energy Bull 2x Shares</t>
  </si>
  <si>
    <t>$583.07M</t>
  </si>
  <si>
    <t>Leveraged Equity: U.S. Energy</t>
  </si>
  <si>
    <t>ERX</t>
  </si>
  <si>
    <t>Fidelity Dividend ETF for Rising Rates</t>
  </si>
  <si>
    <t>$574.36M</t>
  </si>
  <si>
    <t>FDRR</t>
  </si>
  <si>
    <t>Xtrackers International Real Estate ETF</t>
  </si>
  <si>
    <t>$572.89M</t>
  </si>
  <si>
    <t>HAUZ</t>
  </si>
  <si>
    <t>iShares Currency Hedged MSCI Eurozone ETF</t>
  </si>
  <si>
    <t>$572.03M</t>
  </si>
  <si>
    <t>HEZU</t>
  </si>
  <si>
    <t>The Motley Fool</t>
  </si>
  <si>
    <t>Motley Fool Global Opportunities ETF</t>
  </si>
  <si>
    <t>$567.07M</t>
  </si>
  <si>
    <t>Equity: Global - Total Market Growth</t>
  </si>
  <si>
    <t>TMFG</t>
  </si>
  <si>
    <t>BlackRock World ex U.S. Carbon Transition Readiness ETF</t>
  </si>
  <si>
    <t>$563.32M</t>
  </si>
  <si>
    <t>Equity: Developed Markets Ex-U.S. Low Carbon</t>
  </si>
  <si>
    <t>LCTD</t>
  </si>
  <si>
    <t>First Trust Lunt U.S. Factor Rotation ETF</t>
  </si>
  <si>
    <t>$562.29M</t>
  </si>
  <si>
    <t>FCTR</t>
  </si>
  <si>
    <t>Invesco S&amp;P SmallCap Value with Momentum ETF</t>
  </si>
  <si>
    <t>$558.19M</t>
  </si>
  <si>
    <t>XSVM</t>
  </si>
  <si>
    <t>iShares MSCI Spain ETF</t>
  </si>
  <si>
    <t>$557.25M</t>
  </si>
  <si>
    <t>Equity: Spain - Total Market</t>
  </si>
  <si>
    <t>EWP</t>
  </si>
  <si>
    <t>First Trust SMID Cap Rising Dividend Achievers ETF</t>
  </si>
  <si>
    <t>$555.64M</t>
  </si>
  <si>
    <t>SDVY</t>
  </si>
  <si>
    <t>iShares MSCI Singapore ETF</t>
  </si>
  <si>
    <t>$554.54M</t>
  </si>
  <si>
    <t>Equity: Singapore - Total Market</t>
  </si>
  <si>
    <t>EWS</t>
  </si>
  <si>
    <t>SPDR S&amp;P Emerging Asia Pacific ETF</t>
  </si>
  <si>
    <t>$551.94M</t>
  </si>
  <si>
    <t>GMF</t>
  </si>
  <si>
    <t>VanEck Vietnam ETF</t>
  </si>
  <si>
    <t>$550.02M</t>
  </si>
  <si>
    <t>Equity: Vietnam - Total Market</t>
  </si>
  <si>
    <t>VNM</t>
  </si>
  <si>
    <t>SPDR Portfolio MSCI Global Stock Market ETF</t>
  </si>
  <si>
    <t>$549.16M</t>
  </si>
  <si>
    <t>SPGM</t>
  </si>
  <si>
    <t>First Trust Europe AlphaDEX Fund</t>
  </si>
  <si>
    <t>$545.26M</t>
  </si>
  <si>
    <t>FEP</t>
  </si>
  <si>
    <t>SPDR S&amp;P Health Care Equipment ETF</t>
  </si>
  <si>
    <t>$543.66M</t>
  </si>
  <si>
    <t>Equity: U.S. Health Care Equipment &amp; Supplies</t>
  </si>
  <si>
    <t>XHE</t>
  </si>
  <si>
    <t>First Trust Dow Jones Global Select Dividend Index Fund</t>
  </si>
  <si>
    <t>$543.37M</t>
  </si>
  <si>
    <t>FGD</t>
  </si>
  <si>
    <t>VanEck BDC Income ETF</t>
  </si>
  <si>
    <t>$541.73M</t>
  </si>
  <si>
    <t>Equity: U.S. Asset Management &amp; Custody Banks</t>
  </si>
  <si>
    <t>BIZD</t>
  </si>
  <si>
    <t>iShares ESG Advanced MSCI USA ETF</t>
  </si>
  <si>
    <t>$540.19M</t>
  </si>
  <si>
    <t>USXF</t>
  </si>
  <si>
    <t>Vanguard S&amp;P Small-Cap 600 Growth ETF</t>
  </si>
  <si>
    <t>$538.33M</t>
  </si>
  <si>
    <t>VIOG</t>
  </si>
  <si>
    <t>John Hancock Multifactor Developed International ETF</t>
  </si>
  <si>
    <t>$534.42M</t>
  </si>
  <si>
    <t>JHMD</t>
  </si>
  <si>
    <t>VanEck Video Gaming and eSports ETF</t>
  </si>
  <si>
    <t>$534.34M</t>
  </si>
  <si>
    <t>Equity: Global Video Games &amp; eSports</t>
  </si>
  <si>
    <t>ESPO</t>
  </si>
  <si>
    <t>SPDR S&amp;P North American Natural Resources ETF</t>
  </si>
  <si>
    <t>$533.22M</t>
  </si>
  <si>
    <t>Equity: North America Natural Resources</t>
  </si>
  <si>
    <t>NANR</t>
  </si>
  <si>
    <t>iShares Cybersecurity and Tech ETF</t>
  </si>
  <si>
    <t>$529.42M</t>
  </si>
  <si>
    <t>IHAK</t>
  </si>
  <si>
    <t>WisdomTree U.S. AI Enhanced Value Fund</t>
  </si>
  <si>
    <t>$524.51M</t>
  </si>
  <si>
    <t>AIVL</t>
  </si>
  <si>
    <t>iShares MSCI Global Impact ETF</t>
  </si>
  <si>
    <t>$523.95M</t>
  </si>
  <si>
    <t>SDG</t>
  </si>
  <si>
    <t>WisdomTree Global ex-U.S. Quality Dividend Growth Fund</t>
  </si>
  <si>
    <t>$520.92M</t>
  </si>
  <si>
    <t>DNL</t>
  </si>
  <si>
    <t>iShares U.S. Telecommunications ETF</t>
  </si>
  <si>
    <t>$518.36M</t>
  </si>
  <si>
    <t>Equity: U.S. Telecoms</t>
  </si>
  <si>
    <t>IYZ</t>
  </si>
  <si>
    <t>Fidelity MSCI Materials Index ETF</t>
  </si>
  <si>
    <t>$515.07M</t>
  </si>
  <si>
    <t>FMAT</t>
  </si>
  <si>
    <t>Invesco S&amp;P 500 Equal Weight Financials ETF</t>
  </si>
  <si>
    <t>$514.91M</t>
  </si>
  <si>
    <t>RYF</t>
  </si>
  <si>
    <t>Motley Fool 100 Index ETF</t>
  </si>
  <si>
    <t>$513.51M</t>
  </si>
  <si>
    <t>TMFC</t>
  </si>
  <si>
    <t>iShares MSCI Global Gold Miners ETF</t>
  </si>
  <si>
    <t>$510.72M</t>
  </si>
  <si>
    <t>RING</t>
  </si>
  <si>
    <t>iShares North American Natural Resources ETF</t>
  </si>
  <si>
    <t>$506.44M</t>
  </si>
  <si>
    <t>IGE</t>
  </si>
  <si>
    <t>Direxion Daily FTSE China Bull 3X Shares</t>
  </si>
  <si>
    <t>$506.43M</t>
  </si>
  <si>
    <t>Leveraged Equity: China - Large Cap</t>
  </si>
  <si>
    <t>YINN</t>
  </si>
  <si>
    <t>iShares MSCI Frontier and Select EM ETF</t>
  </si>
  <si>
    <t>$502.92M</t>
  </si>
  <si>
    <t>Equity: Frontier Markets - Total Market</t>
  </si>
  <si>
    <t>FM</t>
  </si>
  <si>
    <t>iShares MSCI USA Size Factor ETF</t>
  </si>
  <si>
    <t>$501.14M</t>
  </si>
  <si>
    <t>SIZE</t>
  </si>
  <si>
    <t>First Trust Energy AlphaDEX Fund</t>
  </si>
  <si>
    <t>$498.01M</t>
  </si>
  <si>
    <t>FXN</t>
  </si>
  <si>
    <t>Innovator</t>
  </si>
  <si>
    <t>Innovator U.S. Equity Power Buffer ETF - January</t>
  </si>
  <si>
    <t>$497.15M</t>
  </si>
  <si>
    <t>PJAN</t>
  </si>
  <si>
    <t>Invesco S&amp;P 500 Equal Weight Consumer Staples ETF</t>
  </si>
  <si>
    <t>$494.20M</t>
  </si>
  <si>
    <t>RHS</t>
  </si>
  <si>
    <t>iShares MSCI Russia ETF</t>
  </si>
  <si>
    <t>$492.79M</t>
  </si>
  <si>
    <t>ERUS</t>
  </si>
  <si>
    <t>First Trust Materials AlphaDEX Fund</t>
  </si>
  <si>
    <t>$492.72M</t>
  </si>
  <si>
    <t>FXZ</t>
  </si>
  <si>
    <t>Vanguard U.S. Value Factor ETF</t>
  </si>
  <si>
    <t>$492.53M</t>
  </si>
  <si>
    <t>VFVA</t>
  </si>
  <si>
    <t>iShares MSCI Chile ETF</t>
  </si>
  <si>
    <t>$490.09M</t>
  </si>
  <si>
    <t>Equity: Chile - Total Market</t>
  </si>
  <si>
    <t>ECH</t>
  </si>
  <si>
    <t>JPMorgan U.S. Value Factor ETF</t>
  </si>
  <si>
    <t>$484.82M</t>
  </si>
  <si>
    <t>JVAL</t>
  </si>
  <si>
    <t>Invesco KBW High Dividend Yield Financial ETF</t>
  </si>
  <si>
    <t>$483.53M</t>
  </si>
  <si>
    <t>KBWD</t>
  </si>
  <si>
    <t>First Trust Natural Gas ETF</t>
  </si>
  <si>
    <t>$481.61M</t>
  </si>
  <si>
    <t>FCG</t>
  </si>
  <si>
    <t>Invesco S&amp;P 500 Equal Weight Industrials ETF</t>
  </si>
  <si>
    <t>$479.75M</t>
  </si>
  <si>
    <t>RGI</t>
  </si>
  <si>
    <t>iShares MSCI U.S.A. Equal Weighted ETF</t>
  </si>
  <si>
    <t>$479.34M</t>
  </si>
  <si>
    <t>EUSA</t>
  </si>
  <si>
    <t>Invesco FTSE RAFI Developed Markets ex-U.S. Small-Mid ETF</t>
  </si>
  <si>
    <t>$478.95M</t>
  </si>
  <si>
    <t>Equity: Developed Markets Ex-U.S. - Extended Market</t>
  </si>
  <si>
    <t>PDN</t>
  </si>
  <si>
    <t>Amplify Online Retail ETF</t>
  </si>
  <si>
    <t>$477.74M</t>
  </si>
  <si>
    <t>Equity: Global Internet &amp; Direct Marketing Retail</t>
  </si>
  <si>
    <t>IBUY</t>
  </si>
  <si>
    <t>Simplify Asset Management Inc.</t>
  </si>
  <si>
    <t>Simplify US Equity PLUS Downside Convexity ETF</t>
  </si>
  <si>
    <t>$476.79M</t>
  </si>
  <si>
    <t>SPD</t>
  </si>
  <si>
    <t>Global X Internet of Things ETF</t>
  </si>
  <si>
    <t>$476.75M</t>
  </si>
  <si>
    <t>Equity: Developed Markets Internet</t>
  </si>
  <si>
    <t>SNSR</t>
  </si>
  <si>
    <t>iShares Morningstar Mid-Cap Value ETF</t>
  </si>
  <si>
    <t>$472.26M</t>
  </si>
  <si>
    <t>IMCV</t>
  </si>
  <si>
    <t>Invesco S&amp;P SmallCap Information Technology ETF</t>
  </si>
  <si>
    <t>$471.50M</t>
  </si>
  <si>
    <t>PSCT</t>
  </si>
  <si>
    <t>Barclays Capital Inc.</t>
  </si>
  <si>
    <t>iPath Shiller CAPE ETN</t>
  </si>
  <si>
    <t>$471.04M</t>
  </si>
  <si>
    <t>CAPE</t>
  </si>
  <si>
    <t>VanEck Biotech ETF</t>
  </si>
  <si>
    <t>$470.50M</t>
  </si>
  <si>
    <t>Equity: Global Biotechnology</t>
  </si>
  <si>
    <t>BBH</t>
  </si>
  <si>
    <t>New York Life</t>
  </si>
  <si>
    <t>IQ Candriam ESG U.S. Equity ETF</t>
  </si>
  <si>
    <t>$464.90M</t>
  </si>
  <si>
    <t>IQSU</t>
  </si>
  <si>
    <t>SPDR S&amp;P Global Infrastructure ETF</t>
  </si>
  <si>
    <t>$462.99M</t>
  </si>
  <si>
    <t>GII</t>
  </si>
  <si>
    <t>Tortoise</t>
  </si>
  <si>
    <t>Tortoise North American Pipeline Fund</t>
  </si>
  <si>
    <t>$462.54M</t>
  </si>
  <si>
    <t>TPYP</t>
  </si>
  <si>
    <t>Fidelity Low Volatility Factor ETF</t>
  </si>
  <si>
    <t>$462.19M</t>
  </si>
  <si>
    <t>FDLO</t>
  </si>
  <si>
    <t>Fidelity Value Factor ETF</t>
  </si>
  <si>
    <t>$456.15M</t>
  </si>
  <si>
    <t>FVAL</t>
  </si>
  <si>
    <t>Invesco S&amp;P 500 Equal Weight Materials ETF</t>
  </si>
  <si>
    <t>$455.97M</t>
  </si>
  <si>
    <t>RTM</t>
  </si>
  <si>
    <t>SPDR S&amp;P Retail ETF</t>
  </si>
  <si>
    <t>$448.79M</t>
  </si>
  <si>
    <t>Equity: U.S. Broad Retail</t>
  </si>
  <si>
    <t>XRT</t>
  </si>
  <si>
    <t>FlexShares Global Quality Real Estate Index Fund</t>
  </si>
  <si>
    <t>$439.86M</t>
  </si>
  <si>
    <t>GQRE</t>
  </si>
  <si>
    <t>Vident</t>
  </si>
  <si>
    <t>Vident Core U.S. Equity Fund</t>
  </si>
  <si>
    <t>$438.77M</t>
  </si>
  <si>
    <t>VUSE</t>
  </si>
  <si>
    <t>Vident International Equity Fund</t>
  </si>
  <si>
    <t>$436.42M</t>
  </si>
  <si>
    <t>VIDI</t>
  </si>
  <si>
    <t>First Trust Emerging Markets AlphaDEX Fund</t>
  </si>
  <si>
    <t>$436.06M</t>
  </si>
  <si>
    <t>FEM</t>
  </si>
  <si>
    <t>Goldman Sachs ActiveBeta U.S. Small Cap Equity ETF</t>
  </si>
  <si>
    <t>$435.58M</t>
  </si>
  <si>
    <t>GSSC</t>
  </si>
  <si>
    <t>BNY Mellon</t>
  </si>
  <si>
    <t>BNY Mellon US Large Cap Core Equity ETF</t>
  </si>
  <si>
    <t>$435.40M</t>
  </si>
  <si>
    <t>BKLC</t>
  </si>
  <si>
    <t>Direxion Daily Junior Gold Miners Index Bull 2X Shares</t>
  </si>
  <si>
    <t>$434.40M</t>
  </si>
  <si>
    <t>JNUG</t>
  </si>
  <si>
    <t>Goldman Sachs MarketBeta U.S. Equity ETF</t>
  </si>
  <si>
    <t>$434.02M</t>
  </si>
  <si>
    <t>GSUS</t>
  </si>
  <si>
    <t>Goldman Sachs Innovate Equity ETF</t>
  </si>
  <si>
    <t>$433.43M</t>
  </si>
  <si>
    <t>GINN</t>
  </si>
  <si>
    <t>Pacer Benchmark Industrial Real Estate SCTR ETF</t>
  </si>
  <si>
    <t>$432.13M</t>
  </si>
  <si>
    <t>Equity: U.S. Industrial REITs</t>
  </si>
  <si>
    <t>INDS</t>
  </si>
  <si>
    <t>SPDR S&amp;P Insurance ETF</t>
  </si>
  <si>
    <t>$430.25M</t>
  </si>
  <si>
    <t>Equity: U.S. Insurance</t>
  </si>
  <si>
    <t>KIE</t>
  </si>
  <si>
    <t>FlexShares Quality Dividend Defensive Index Fund</t>
  </si>
  <si>
    <t>$428.29M</t>
  </si>
  <si>
    <t>QDEF</t>
  </si>
  <si>
    <t>First Trust Developed Markets ex-US AlphaDEX Fund</t>
  </si>
  <si>
    <t>$427.16M</t>
  </si>
  <si>
    <t>FDT</t>
  </si>
  <si>
    <t>Pacer Trendpilot U.S. Mid Cap ETF</t>
  </si>
  <si>
    <t>$425.56M</t>
  </si>
  <si>
    <t>PTMC</t>
  </si>
  <si>
    <t>Invesco S&amp;P 500 Equal Weight Consumer Discretionary ETF</t>
  </si>
  <si>
    <t>$425.18M</t>
  </si>
  <si>
    <t>RCD</t>
  </si>
  <si>
    <t>SPDR S&amp;P 500 ESG ETF</t>
  </si>
  <si>
    <t>$420.28M</t>
  </si>
  <si>
    <t>EFIV</t>
  </si>
  <si>
    <t>Pacer Lunt Large Cap Alternator ETF</t>
  </si>
  <si>
    <t>$416.85M</t>
  </si>
  <si>
    <t>ALTL</t>
  </si>
  <si>
    <t>Schwab Fundamental U.S. Broad Market Index ETF</t>
  </si>
  <si>
    <t>$416.60M</t>
  </si>
  <si>
    <t>FNDB</t>
  </si>
  <si>
    <t>iShares Global Industrials ETF</t>
  </si>
  <si>
    <t>$416.50M</t>
  </si>
  <si>
    <t>Equity: Global Industrials</t>
  </si>
  <si>
    <t>EXI</t>
  </si>
  <si>
    <t>Invesco MSCI Sustainable Future ETF</t>
  </si>
  <si>
    <t>$415.32M</t>
  </si>
  <si>
    <t>Equity: Global Environment</t>
  </si>
  <si>
    <t>ERTH</t>
  </si>
  <si>
    <t>Fidelity Blue Chip Growth ETF</t>
  </si>
  <si>
    <t>$414.31M</t>
  </si>
  <si>
    <t>Equity: Global - Large Cap Growth</t>
  </si>
  <si>
    <t>FBCG</t>
  </si>
  <si>
    <t>iShares U.S. Oil &amp; Gas Exploration &amp; Production ETF</t>
  </si>
  <si>
    <t>$413.87M</t>
  </si>
  <si>
    <t>Equity: U.S. Oil &amp; Gas Exploration &amp; Production</t>
  </si>
  <si>
    <t>IEO</t>
  </si>
  <si>
    <t>Global X MSCI China Consumer Discretionary ETF</t>
  </si>
  <si>
    <t>$410.38M</t>
  </si>
  <si>
    <t>Equity: China Consumer Discretionary</t>
  </si>
  <si>
    <t>CHIQ</t>
  </si>
  <si>
    <t>FT Cboe Vest S&amp;P 500 Dividend Aristocrats Target Income ETF</t>
  </si>
  <si>
    <t>$409.97M</t>
  </si>
  <si>
    <t>KNG</t>
  </si>
  <si>
    <t>iShares MSCI Netherlands ETF</t>
  </si>
  <si>
    <t>$409.40M</t>
  </si>
  <si>
    <t>Equity: Netherlands - Total Market</t>
  </si>
  <si>
    <t>EWN</t>
  </si>
  <si>
    <t>iShares MSCI India Small Cap ETF</t>
  </si>
  <si>
    <t>$408.70M</t>
  </si>
  <si>
    <t>Equity: India - Small Cap</t>
  </si>
  <si>
    <t>SMIN</t>
  </si>
  <si>
    <t>Direxion Daily Small Cap Bear 3X Shares</t>
  </si>
  <si>
    <t>$406.31M</t>
  </si>
  <si>
    <t>Inverse Equity: U.S. - Small Cap</t>
  </si>
  <si>
    <t>TZA</t>
  </si>
  <si>
    <t>Invesco S&amp;P SmallCap Health Care ETF</t>
  </si>
  <si>
    <t>$405.44M</t>
  </si>
  <si>
    <t>PSCH</t>
  </si>
  <si>
    <t>iShares Global Consumer Discretionary ETF</t>
  </si>
  <si>
    <t>$403.20M</t>
  </si>
  <si>
    <t>Equity: Global Consumer Discretionary</t>
  </si>
  <si>
    <t>RXI</t>
  </si>
  <si>
    <t>Global X SuperDividend REIT ETF</t>
  </si>
  <si>
    <t>$402.19M</t>
  </si>
  <si>
    <t>SRET</t>
  </si>
  <si>
    <t>iShares MSCI Thailand ETF</t>
  </si>
  <si>
    <t>$402.15M</t>
  </si>
  <si>
    <t>Equity: Thailand - Total Market</t>
  </si>
  <si>
    <t>THD</t>
  </si>
  <si>
    <t>iShares Morningstar Small Cap Value ETF</t>
  </si>
  <si>
    <t>$400.29M</t>
  </si>
  <si>
    <t>ISCV</t>
  </si>
  <si>
    <t>Direxion Daily Regional Banks Bull 3X Shares</t>
  </si>
  <si>
    <t>$400.07M</t>
  </si>
  <si>
    <t>Leveraged Equity: U.S. Regional Banks</t>
  </si>
  <si>
    <t>DPST</t>
  </si>
  <si>
    <t>John Hancock Multifactor Small Cap ETF</t>
  </si>
  <si>
    <t>$395.90M</t>
  </si>
  <si>
    <t>JHSC</t>
  </si>
  <si>
    <t>JPMorgan U.S. Quality Factor ETF</t>
  </si>
  <si>
    <t>$395.48M</t>
  </si>
  <si>
    <t>JQUA</t>
  </si>
  <si>
    <t>SPDR Portfolio Europe ETF</t>
  </si>
  <si>
    <t>$395.10M</t>
  </si>
  <si>
    <t>SPEU</t>
  </si>
  <si>
    <t>Direxion Daily S&amp;P 500 Bear 3X Shares</t>
  </si>
  <si>
    <t>$393.69M</t>
  </si>
  <si>
    <t>Inverse Equity: U.S. - Large Cap</t>
  </si>
  <si>
    <t>SPXS</t>
  </si>
  <si>
    <t>iShares MSCI Emerging Markets Small-Cap ETF</t>
  </si>
  <si>
    <t>$392.59M</t>
  </si>
  <si>
    <t>EEMS</t>
  </si>
  <si>
    <t>ARK Space Exploration &amp; Innovation ETF</t>
  </si>
  <si>
    <t>$390.23M</t>
  </si>
  <si>
    <t>Equity: Global Space</t>
  </si>
  <si>
    <t>ARKX</t>
  </si>
  <si>
    <t>iShares ESG Screened S&amp;P 500 ETF</t>
  </si>
  <si>
    <t>$387.73M</t>
  </si>
  <si>
    <t>XVV</t>
  </si>
  <si>
    <t>Goldman Sachs MarketBeta International Equity ETF</t>
  </si>
  <si>
    <t>$386.26M</t>
  </si>
  <si>
    <t>GSID</t>
  </si>
  <si>
    <t>VanEck Pharmaceutical ETF</t>
  </si>
  <si>
    <t>$384.35M</t>
  </si>
  <si>
    <t>Equity: Global Pharmaceuticals</t>
  </si>
  <si>
    <t>PPH</t>
  </si>
  <si>
    <t>Invesco DWA SmallCap Momentum ETF</t>
  </si>
  <si>
    <t>$382.46M</t>
  </si>
  <si>
    <t>DWAS</t>
  </si>
  <si>
    <t>iShares U.S. Pharmaceuticals ETF</t>
  </si>
  <si>
    <t>$382.04M</t>
  </si>
  <si>
    <t>Equity: U.S. Pharmaceuticals</t>
  </si>
  <si>
    <t>IHE</t>
  </si>
  <si>
    <t>JPMorgan BetaBuilders U.S. Small Cap Equity ETF</t>
  </si>
  <si>
    <t>$380.58M</t>
  </si>
  <si>
    <t>BBSC</t>
  </si>
  <si>
    <t>Direxion NASDAQ-100 Equal Weighted Index Shares</t>
  </si>
  <si>
    <t>$380.34M</t>
  </si>
  <si>
    <t>QQQE</t>
  </si>
  <si>
    <t>WisdomTree International LargeCap Dividend Fund</t>
  </si>
  <si>
    <t>$379.42M</t>
  </si>
  <si>
    <t>DOL</t>
  </si>
  <si>
    <t>Invesco S&amp;P MidCap 400 Revenue ETF</t>
  </si>
  <si>
    <t>$378.96M</t>
  </si>
  <si>
    <t>RWK</t>
  </si>
  <si>
    <t>Day Hagan Asset Management</t>
  </si>
  <si>
    <t>Day Hagan/Ned Davis Research Smart Sector ETF</t>
  </si>
  <si>
    <t>$378.88M</t>
  </si>
  <si>
    <t>SSUS</t>
  </si>
  <si>
    <t>iShares MSCI Indonesia ETF</t>
  </si>
  <si>
    <t>$378.46M</t>
  </si>
  <si>
    <t>Equity: Indonesia - Total Market</t>
  </si>
  <si>
    <t>EIDO</t>
  </si>
  <si>
    <t>Xtrackers MSCI Kokusai Equity ETF</t>
  </si>
  <si>
    <t>$378.09M</t>
  </si>
  <si>
    <t>Equity: Developed Markets Ex-Japan - Total Market</t>
  </si>
  <si>
    <t>KOKU</t>
  </si>
  <si>
    <t>iShares U.S. Tech Breakthrough Multisector ETF</t>
  </si>
  <si>
    <t>$377.96M</t>
  </si>
  <si>
    <t>Equity: U.S. Broad Technology</t>
  </si>
  <si>
    <t>TECB</t>
  </si>
  <si>
    <t>iShares Robotics and Artificial Intelligence Multisector ETF</t>
  </si>
  <si>
    <t>$376.80M</t>
  </si>
  <si>
    <t>IRBO</t>
  </si>
  <si>
    <t>Cambria</t>
  </si>
  <si>
    <t>Cambria Shareholder Yield ETF</t>
  </si>
  <si>
    <t>$372.10M</t>
  </si>
  <si>
    <t>SYLD</t>
  </si>
  <si>
    <t>O'Shares Global Internet Giants ETF</t>
  </si>
  <si>
    <t>$370.90M</t>
  </si>
  <si>
    <t>OGIG</t>
  </si>
  <si>
    <t>Invesco S&amp;P Emerging Markets Low Volatility ETF</t>
  </si>
  <si>
    <t>$370.10M</t>
  </si>
  <si>
    <t>EELV</t>
  </si>
  <si>
    <t>First Trust Mid Cap Growth AlphaDEX Fund</t>
  </si>
  <si>
    <t>$369.43M</t>
  </si>
  <si>
    <t>FNY</t>
  </si>
  <si>
    <t>Davis Advisers</t>
  </si>
  <si>
    <t>Davis Select U.S. Equity ETF</t>
  </si>
  <si>
    <t>$369.04M</t>
  </si>
  <si>
    <t>DUSA</t>
  </si>
  <si>
    <t>Toroso Investments</t>
  </si>
  <si>
    <t>SoFi Select 500 ETF</t>
  </si>
  <si>
    <t>$368.33M</t>
  </si>
  <si>
    <t>SFY</t>
  </si>
  <si>
    <t>Global X Video Games &amp; Esports ETF</t>
  </si>
  <si>
    <t>$368.29M</t>
  </si>
  <si>
    <t>HERO</t>
  </si>
  <si>
    <t>iShares Russell 2500 ETF</t>
  </si>
  <si>
    <t>$365.37M</t>
  </si>
  <si>
    <t>SMMD</t>
  </si>
  <si>
    <t>iShares Morningstar Small-Cap Growth ETF</t>
  </si>
  <si>
    <t>$363.04M</t>
  </si>
  <si>
    <t>ISCG</t>
  </si>
  <si>
    <t>WisdomTree International Quality Dividend Growth Fund</t>
  </si>
  <si>
    <t>$362.16M</t>
  </si>
  <si>
    <t>IQDG</t>
  </si>
  <si>
    <t>Aptus Capital Advisors</t>
  </si>
  <si>
    <t>Aptus Collared Income Opportunity ETF</t>
  </si>
  <si>
    <t>$361.43M</t>
  </si>
  <si>
    <t>ACIO</t>
  </si>
  <si>
    <t>Hartford Multifactor US Equity ETF</t>
  </si>
  <si>
    <t>$358.51M</t>
  </si>
  <si>
    <t>ROUS</t>
  </si>
  <si>
    <t>Howard Capital Management</t>
  </si>
  <si>
    <t>HCM Defender 100 Index ETF</t>
  </si>
  <si>
    <t>$352.61M</t>
  </si>
  <si>
    <t>QQH</t>
  </si>
  <si>
    <t>Invesco S&amp;P 500 Equal Weight Energy ETF</t>
  </si>
  <si>
    <t>$350.74M</t>
  </si>
  <si>
    <t>RYE</t>
  </si>
  <si>
    <t>VictoryShares USAA MSCI International Value Momentum ETF</t>
  </si>
  <si>
    <t>$350.58M</t>
  </si>
  <si>
    <t>UIVM</t>
  </si>
  <si>
    <t>SPDR S&amp;P Capital Markets ETF</t>
  </si>
  <si>
    <t>$347.44M</t>
  </si>
  <si>
    <t>KCE</t>
  </si>
  <si>
    <t>JPMorgan ActiveBuilders Emerging Markets Equity ETF</t>
  </si>
  <si>
    <t>$346.64M</t>
  </si>
  <si>
    <t>JEMA</t>
  </si>
  <si>
    <t>Little Harbor Advisors</t>
  </si>
  <si>
    <t>LHA Market State Tactical Beta ETF</t>
  </si>
  <si>
    <t>$345.76M</t>
  </si>
  <si>
    <t>MSTB</t>
  </si>
  <si>
    <t>Direxion Daily CSI China Internet Index Bull 2X Shares</t>
  </si>
  <si>
    <t>$345.25M</t>
  </si>
  <si>
    <t>Leveraged Equity: China Internet</t>
  </si>
  <si>
    <t>CWEB</t>
  </si>
  <si>
    <t>Davis Select Worldwide ETF</t>
  </si>
  <si>
    <t>$343.85M</t>
  </si>
  <si>
    <t>DWLD</t>
  </si>
  <si>
    <t>Nuveen ESG Mid-Cap Growth ETF</t>
  </si>
  <si>
    <t>$343.68M</t>
  </si>
  <si>
    <t>NUMG</t>
  </si>
  <si>
    <t>HCM Defender 500 Index ETF</t>
  </si>
  <si>
    <t>$342.29M</t>
  </si>
  <si>
    <t>LGH</t>
  </si>
  <si>
    <t>FT Cboe Vest Fund of Deep Buffer ETFs</t>
  </si>
  <si>
    <t>$338.39M</t>
  </si>
  <si>
    <t>BUFD</t>
  </si>
  <si>
    <t>Invesco Dynamic Pharmaceuticals ETF</t>
  </si>
  <si>
    <t>$337.96M</t>
  </si>
  <si>
    <t>PJP</t>
  </si>
  <si>
    <t>Invesco S&amp;P MidCap 400 Pure Growth ETF</t>
  </si>
  <si>
    <t>$336.85M</t>
  </si>
  <si>
    <t>RFG</t>
  </si>
  <si>
    <t>KraneShares Electric Vehicles and Future Mobility Index ETF</t>
  </si>
  <si>
    <t>$336.68M</t>
  </si>
  <si>
    <t>KARS</t>
  </si>
  <si>
    <t>Aptus Drawdown Managed Equity ETF</t>
  </si>
  <si>
    <t>$336.04M</t>
  </si>
  <si>
    <t>ADME</t>
  </si>
  <si>
    <t>VictoryShares Dividend Accelerator ETF</t>
  </si>
  <si>
    <t>$334.77M</t>
  </si>
  <si>
    <t>VSDA</t>
  </si>
  <si>
    <t>Invesco S&amp;P 500 Downside Hedged ETF</t>
  </si>
  <si>
    <t>$330.46M</t>
  </si>
  <si>
    <t>PHDG</t>
  </si>
  <si>
    <t>iShares MSCI South Africa ETF</t>
  </si>
  <si>
    <t>$330.37M</t>
  </si>
  <si>
    <t>Equity: South Africa - Total Market</t>
  </si>
  <si>
    <t>EZA</t>
  </si>
  <si>
    <t>iShares MSCI Europe Small-Cap ETF</t>
  </si>
  <si>
    <t>$329.84M</t>
  </si>
  <si>
    <t>Equity: Developed Europe - Small Cap</t>
  </si>
  <si>
    <t>IEUS</t>
  </si>
  <si>
    <t>VictoryShares USAA MSCI USA Value Momentum ETF</t>
  </si>
  <si>
    <t>$329.17M</t>
  </si>
  <si>
    <t>ULVM</t>
  </si>
  <si>
    <t>FlexShares Morningstar Emerging Markets Factor Tilt Index Fu</t>
  </si>
  <si>
    <t>$329.08M</t>
  </si>
  <si>
    <t>TLTE</t>
  </si>
  <si>
    <t>iShares International Dividend Growth ETF</t>
  </si>
  <si>
    <t>$324.16M</t>
  </si>
  <si>
    <t>IGRO</t>
  </si>
  <si>
    <t>Invesco DWA Healthcare Momentum ETF</t>
  </si>
  <si>
    <t>$323.34M</t>
  </si>
  <si>
    <t>PTH</t>
  </si>
  <si>
    <t>Invesco Global Water ETF</t>
  </si>
  <si>
    <t>$322.67M</t>
  </si>
  <si>
    <t>PIO</t>
  </si>
  <si>
    <t>Invesco RAFI Strategic Developed ex-US ETF</t>
  </si>
  <si>
    <t>$322.21M</t>
  </si>
  <si>
    <t>ISDX</t>
  </si>
  <si>
    <t>3D Printing ETF</t>
  </si>
  <si>
    <t>$322.10M</t>
  </si>
  <si>
    <t>PRNT</t>
  </si>
  <si>
    <t>IQ Chaikin U.S. Large Cap ETF</t>
  </si>
  <si>
    <t>$321.53M</t>
  </si>
  <si>
    <t>CLRG</t>
  </si>
  <si>
    <t>First Trust Nasdaq Bank ETF</t>
  </si>
  <si>
    <t>FTXO</t>
  </si>
  <si>
    <t>First Trust Consumer Staples AlphaDEX Fund</t>
  </si>
  <si>
    <t>$318.45M</t>
  </si>
  <si>
    <t>FXG</t>
  </si>
  <si>
    <t>SPDR S&amp;P Software &amp; Services ETF</t>
  </si>
  <si>
    <t>$317.11M</t>
  </si>
  <si>
    <t>XSW</t>
  </si>
  <si>
    <t>First Trust Global Wind Energy ETF</t>
  </si>
  <si>
    <t>$317.08M</t>
  </si>
  <si>
    <t>FAN</t>
  </si>
  <si>
    <t>IQ 50 Percent Hedged FTSE International ETF</t>
  </si>
  <si>
    <t>$316.34M</t>
  </si>
  <si>
    <t>HFXI</t>
  </si>
  <si>
    <t>Invesco KBW Premium Yield Equity REIT ETF</t>
  </si>
  <si>
    <t>$315.80M</t>
  </si>
  <si>
    <t>KBWY</t>
  </si>
  <si>
    <t>iShares ESG Advanced MSCI EAFE ETF</t>
  </si>
  <si>
    <t>$312.51M</t>
  </si>
  <si>
    <t>DMXF</t>
  </si>
  <si>
    <t>WisdomTree Europe SmallCap Dividend Fund</t>
  </si>
  <si>
    <t>$310.87M</t>
  </si>
  <si>
    <t>DFE</t>
  </si>
  <si>
    <t>First Trust Small Cap Growth AlphaDEX Fund</t>
  </si>
  <si>
    <t>$310.36M</t>
  </si>
  <si>
    <t>FYC</t>
  </si>
  <si>
    <t>Invesco S&amp;P Midcap Quality ETF</t>
  </si>
  <si>
    <t>$310.31M</t>
  </si>
  <si>
    <t>XMHQ</t>
  </si>
  <si>
    <t>SPDR Russell 1000 Momentum Focus ETF</t>
  </si>
  <si>
    <t>$308.08M</t>
  </si>
  <si>
    <t>ONEO</t>
  </si>
  <si>
    <t>SPDR S&amp;P Emerging Markets Dividend ETF</t>
  </si>
  <si>
    <t>$306.41M</t>
  </si>
  <si>
    <t>EDIV</t>
  </si>
  <si>
    <t>iShares Global Timber &amp; Forestry ETF</t>
  </si>
  <si>
    <t>$305.00M</t>
  </si>
  <si>
    <t>Equity: Global Timber</t>
  </si>
  <si>
    <t>WOOD</t>
  </si>
  <si>
    <t>iShares MSCI Turkey ETF</t>
  </si>
  <si>
    <t>$304.08M</t>
  </si>
  <si>
    <t>Equity: Turkey - Total Market</t>
  </si>
  <si>
    <t>TUR</t>
  </si>
  <si>
    <t>SPDR S&amp;P Kensho Clean Power ETF</t>
  </si>
  <si>
    <t>$303.50M</t>
  </si>
  <si>
    <t>CNRG</t>
  </si>
  <si>
    <t>Global X Social Media ETF</t>
  </si>
  <si>
    <t>$302.52M</t>
  </si>
  <si>
    <t>Equity: Global Digital Economy</t>
  </si>
  <si>
    <t>SOCL</t>
  </si>
  <si>
    <t>Inspire</t>
  </si>
  <si>
    <t>Inspire 100 ETF</t>
  </si>
  <si>
    <t>$299.08M</t>
  </si>
  <si>
    <t>BIBL</t>
  </si>
  <si>
    <t>Invesco Defensive Equity ETF</t>
  </si>
  <si>
    <t>$298.30M</t>
  </si>
  <si>
    <t>DEF</t>
  </si>
  <si>
    <t>Franklin FTSE Brazil ETF</t>
  </si>
  <si>
    <t>$292.81M</t>
  </si>
  <si>
    <t>FLBR</t>
  </si>
  <si>
    <t>SPDR S&amp;P Global Dividend ETF</t>
  </si>
  <si>
    <t>$292.12M</t>
  </si>
  <si>
    <t>WDIV</t>
  </si>
  <si>
    <t>VanEck Mortgage REIT Income ETF</t>
  </si>
  <si>
    <t>$291.81M</t>
  </si>
  <si>
    <t>MORT</t>
  </si>
  <si>
    <t>First Trust Stoxx European Select Dividend Index Fund</t>
  </si>
  <si>
    <t>$291.70M</t>
  </si>
  <si>
    <t>Equity: Developed Europe - High Dividend Yield</t>
  </si>
  <si>
    <t>FDD</t>
  </si>
  <si>
    <t>Invesco DWA Technology Momentum ETF</t>
  </si>
  <si>
    <t>$290.60M</t>
  </si>
  <si>
    <t>PTF</t>
  </si>
  <si>
    <t>Renaissance Capital</t>
  </si>
  <si>
    <t>Renaissance IPO ETF</t>
  </si>
  <si>
    <t>$285.81M</t>
  </si>
  <si>
    <t>IPO</t>
  </si>
  <si>
    <t>iShares MSCI Poland ETF</t>
  </si>
  <si>
    <t>$284.21M</t>
  </si>
  <si>
    <t>Equity: Poland - Total Market</t>
  </si>
  <si>
    <t>EPOL</t>
  </si>
  <si>
    <t>Invesco Dynamic Software ETF</t>
  </si>
  <si>
    <t>$283.63M</t>
  </si>
  <si>
    <t>Equity: U.S. Software</t>
  </si>
  <si>
    <t>PSJ</t>
  </si>
  <si>
    <t>FT Cboe Vest U.S. Equity Buffer ETF - November</t>
  </si>
  <si>
    <t>$280.53M</t>
  </si>
  <si>
    <t>FNOV</t>
  </si>
  <si>
    <t>Nuveen ESG Mid-Cap Value ETF</t>
  </si>
  <si>
    <t>$280.20M</t>
  </si>
  <si>
    <t>NUMV</t>
  </si>
  <si>
    <t>MicroSectors FANG &amp; Innovation 3x Leveraged ETN</t>
  </si>
  <si>
    <t>$278.14M</t>
  </si>
  <si>
    <t>BULZ</t>
  </si>
  <si>
    <t>Engine No. 1 LLC</t>
  </si>
  <si>
    <t>Engine No. 1 Transform 500 ETF</t>
  </si>
  <si>
    <t>$276.97M</t>
  </si>
  <si>
    <t>VOTE</t>
  </si>
  <si>
    <t>Goldman Sachs JUST U.S. Large Cap Equity ETF</t>
  </si>
  <si>
    <t>$274.71M</t>
  </si>
  <si>
    <t>JUST</t>
  </si>
  <si>
    <t>Invesco S&amp;P SmallCap 600 Pure Value ETF</t>
  </si>
  <si>
    <t>$273.98M</t>
  </si>
  <si>
    <t>RZV</t>
  </si>
  <si>
    <t>First Trust Nasdaq Artificial Intelligence and Robotics ETF</t>
  </si>
  <si>
    <t>ROBT</t>
  </si>
  <si>
    <t>VictoryShares USAA MSCI USA Small Cap Value Momentum ETF</t>
  </si>
  <si>
    <t>$268.90M</t>
  </si>
  <si>
    <t>USVM</t>
  </si>
  <si>
    <t>SPDR MSCI EAFE Fossil Fuel Reserves Free ETF</t>
  </si>
  <si>
    <t>$268.63M</t>
  </si>
  <si>
    <t>EFAX</t>
  </si>
  <si>
    <t>VanEck Low Carbon Energy ETF</t>
  </si>
  <si>
    <t>$267.83M</t>
  </si>
  <si>
    <t>SMOG</t>
  </si>
  <si>
    <t>Invesco Global Clean Energy ETF</t>
  </si>
  <si>
    <t>$263.93M</t>
  </si>
  <si>
    <t>PBD</t>
  </si>
  <si>
    <t>Invesco Global Listed Private Equity ETF</t>
  </si>
  <si>
    <t>$262.41M</t>
  </si>
  <si>
    <t>Equity: Global Asset Management &amp; Custody Banks</t>
  </si>
  <si>
    <t>PSP</t>
  </si>
  <si>
    <t>Motley Fool Mid Cap Growth ETF</t>
  </si>
  <si>
    <t>$262.14M</t>
  </si>
  <si>
    <t>TMFM</t>
  </si>
  <si>
    <t>Innovator U.S. Equity Power Buffer ETF - September</t>
  </si>
  <si>
    <t>$260.33M</t>
  </si>
  <si>
    <t>PSEP</t>
  </si>
  <si>
    <t>Gotham Enhanced 500 ETF</t>
  </si>
  <si>
    <t>$259.10M</t>
  </si>
  <si>
    <t>GSPY</t>
  </si>
  <si>
    <t>Fidelity Quality Factor ETF</t>
  </si>
  <si>
    <t>$258.53M</t>
  </si>
  <si>
    <t>FQAL</t>
  </si>
  <si>
    <t>SPDR S&amp;P 1500 Value Tilt ETF</t>
  </si>
  <si>
    <t>$258.07M</t>
  </si>
  <si>
    <t>VLU</t>
  </si>
  <si>
    <t>SPDR SSGA Gender Diversity Index ETF</t>
  </si>
  <si>
    <t>$257.12M</t>
  </si>
  <si>
    <t>SHE</t>
  </si>
  <si>
    <t>ETC 6 Meridian Hedged Equity-Index Option Strategy ETF</t>
  </si>
  <si>
    <t>$255.07M</t>
  </si>
  <si>
    <t>SIXH</t>
  </si>
  <si>
    <t>iShares Genomics Immunology and Healthcare ETF</t>
  </si>
  <si>
    <t>$253.96M</t>
  </si>
  <si>
    <t>IDNA</t>
  </si>
  <si>
    <t>Direxion Daily Aerospace &amp; Defense Bull 3X Shares</t>
  </si>
  <si>
    <t>$253.37M</t>
  </si>
  <si>
    <t>Leveraged Equity: U.S. Aerospace &amp; Defense</t>
  </si>
  <si>
    <t>DFEN</t>
  </si>
  <si>
    <t>FT Cboe Vest U.S. Equity Deep Buffer ETF - February</t>
  </si>
  <si>
    <t>$253.08M</t>
  </si>
  <si>
    <t>DFEB</t>
  </si>
  <si>
    <t>Invesco Dynamic Building &amp; Construction ETF</t>
  </si>
  <si>
    <t>$250.66M</t>
  </si>
  <si>
    <t>Equity: U.S. Construction &amp; Engineering</t>
  </si>
  <si>
    <t>PKB</t>
  </si>
  <si>
    <t>Tuttle Tactical Management, LLC</t>
  </si>
  <si>
    <t>Tuttle Capital Short Innovation ETF</t>
  </si>
  <si>
    <t>$250.53M</t>
  </si>
  <si>
    <t>SARK</t>
  </si>
  <si>
    <t>VictoryShares U.S. Large Cap High Div Volatility Wtd ETF</t>
  </si>
  <si>
    <t>$250.46M</t>
  </si>
  <si>
    <t>CDL</t>
  </si>
  <si>
    <t>iShares Global Comm Services ETF</t>
  </si>
  <si>
    <t>$248.62M</t>
  </si>
  <si>
    <t>Equity: Global Communication Services</t>
  </si>
  <si>
    <t>IXP</t>
  </si>
  <si>
    <t>VictoryShares U.S. Small Cap High Div Volatility Wtd ETF</t>
  </si>
  <si>
    <t>$247.01M</t>
  </si>
  <si>
    <t>CSB</t>
  </si>
  <si>
    <t>ETFMG Travel Tech ETF</t>
  </si>
  <si>
    <t>$246.71M</t>
  </si>
  <si>
    <t>AWAY</t>
  </si>
  <si>
    <t>Liquid Strategies</t>
  </si>
  <si>
    <t>Overlay Shares Large Cap Equity ETF</t>
  </si>
  <si>
    <t>$245.52M</t>
  </si>
  <si>
    <t>OVL</t>
  </si>
  <si>
    <t>iShares MSCI Malaysia ETF</t>
  </si>
  <si>
    <t>$244.25M</t>
  </si>
  <si>
    <t>Equity: Malaysia - Total Market</t>
  </si>
  <si>
    <t>EWM</t>
  </si>
  <si>
    <t>T. Rowe Price Group, Inc.</t>
  </si>
  <si>
    <t>T. Rowe Price Blue Chip Growth ETF</t>
  </si>
  <si>
    <t>$241.48M</t>
  </si>
  <si>
    <t>TCHP</t>
  </si>
  <si>
    <t>Roundhill Sports Betting &amp; iGaming ETF</t>
  </si>
  <si>
    <t>$241.06M</t>
  </si>
  <si>
    <t>Equity: Global Casinos &amp; Gaming</t>
  </si>
  <si>
    <t>BETZ</t>
  </si>
  <si>
    <t>VictoryShares USAA MSCI Emerging Markets Value Momentum ETF</t>
  </si>
  <si>
    <t>$240.43M</t>
  </si>
  <si>
    <t>UEVM</t>
  </si>
  <si>
    <t>Direxion Daily Homebuilders &amp; Supplies Bull 3X Shares</t>
  </si>
  <si>
    <t>$239.74M</t>
  </si>
  <si>
    <t>Leveraged Equity: U.S. Housing</t>
  </si>
  <si>
    <t>NAIL</t>
  </si>
  <si>
    <t>FT Cboe Vest U.S. Equity Buffer ETF - February</t>
  </si>
  <si>
    <t>$239.37M</t>
  </si>
  <si>
    <t>FFEB</t>
  </si>
  <si>
    <t>JPMorgan U.S. Momentum Factor ETF</t>
  </si>
  <si>
    <t>$238.77M</t>
  </si>
  <si>
    <t>JMOM</t>
  </si>
  <si>
    <t>iShares MSCI Global Silver and Metals Miners ETF</t>
  </si>
  <si>
    <t>$238.18M</t>
  </si>
  <si>
    <t>SLVP</t>
  </si>
  <si>
    <t>First Trust RBA American Industrial Renaissance ETF</t>
  </si>
  <si>
    <t>$236.30M</t>
  </si>
  <si>
    <t>AIRR</t>
  </si>
  <si>
    <t>Amplify Lithium &amp; Battery Technology ETF</t>
  </si>
  <si>
    <t>$235.95M</t>
  </si>
  <si>
    <t>BATT</t>
  </si>
  <si>
    <t>iShares International Developed Real Estate ETF</t>
  </si>
  <si>
    <t>$235.76M</t>
  </si>
  <si>
    <t>Equity: Developed Markets Ex-U.S. Real Estate</t>
  </si>
  <si>
    <t>IFGL</t>
  </si>
  <si>
    <t>Goldman Sachs Future Tech Leaders Equity ETF</t>
  </si>
  <si>
    <t>$235.01M</t>
  </si>
  <si>
    <t>Equity: Global Broad Technology</t>
  </si>
  <si>
    <t>GTEK</t>
  </si>
  <si>
    <t>Global X Telemedicine &amp; Digital Health ETF</t>
  </si>
  <si>
    <t>$234.40M</t>
  </si>
  <si>
    <t>Equity: Global Health Care Equipment &amp; Services</t>
  </si>
  <si>
    <t>EDOC</t>
  </si>
  <si>
    <t>American Century Focused Large Cap Value ETF</t>
  </si>
  <si>
    <t>$232.97M</t>
  </si>
  <si>
    <t>FLV</t>
  </si>
  <si>
    <t>Sprott, Inc.</t>
  </si>
  <si>
    <t>Sprott Gold Miners ETF</t>
  </si>
  <si>
    <t>$230.74M</t>
  </si>
  <si>
    <t>SGDM</t>
  </si>
  <si>
    <t>First Trust S&amp;P REIT Index Fund</t>
  </si>
  <si>
    <t>$230.13M</t>
  </si>
  <si>
    <t>FRI</t>
  </si>
  <si>
    <t>Invesco Dynamic Biotechnology &amp; Genome ETF</t>
  </si>
  <si>
    <t>$229.15M</t>
  </si>
  <si>
    <t>PBE</t>
  </si>
  <si>
    <t>Invesco DWA Industrials Momentum ETF</t>
  </si>
  <si>
    <t>$228.89M</t>
  </si>
  <si>
    <t>PRN</t>
  </si>
  <si>
    <t>IQ 500 International ETF</t>
  </si>
  <si>
    <t>$228.88M</t>
  </si>
  <si>
    <t>IQIN</t>
  </si>
  <si>
    <t>First Trust Small Cap Value AlphaDEX Fund</t>
  </si>
  <si>
    <t>$227.25M</t>
  </si>
  <si>
    <t>FYT</t>
  </si>
  <si>
    <t>First Trust Multi Cap Growth AlphaDEX Fund</t>
  </si>
  <si>
    <t>$225.14M</t>
  </si>
  <si>
    <t>FAD</t>
  </si>
  <si>
    <t>Invesco S&amp;P 500 Equal Weight Utilities ETF</t>
  </si>
  <si>
    <t>$224.09M</t>
  </si>
  <si>
    <t>RYU</t>
  </si>
  <si>
    <t>Direxion Daily Healthcare Bull 3x Shares</t>
  </si>
  <si>
    <t>$223.73M</t>
  </si>
  <si>
    <t>Leveraged Equity: U.S. Health Care</t>
  </si>
  <si>
    <t>CURE</t>
  </si>
  <si>
    <t>American Century Quality Diversified International ETF</t>
  </si>
  <si>
    <t>$223.52M</t>
  </si>
  <si>
    <t>QINT</t>
  </si>
  <si>
    <t>VanEck Retail ETF</t>
  </si>
  <si>
    <t>$222.78M</t>
  </si>
  <si>
    <t>Equity: Global Broad Retail</t>
  </si>
  <si>
    <t>RTH</t>
  </si>
  <si>
    <t>JPMorgan Diversified Return U.S. Mid Cap Equity ETF</t>
  </si>
  <si>
    <t>$222.00M</t>
  </si>
  <si>
    <t>JPME</t>
  </si>
  <si>
    <t>SRN Advisors</t>
  </si>
  <si>
    <t>Siren Nasdaq NexGen Economy ETF</t>
  </si>
  <si>
    <t>$220.75M</t>
  </si>
  <si>
    <t>BLCN</t>
  </si>
  <si>
    <t>Invesco DWA Developed Markets Momentum ETF</t>
  </si>
  <si>
    <t>$220.24M</t>
  </si>
  <si>
    <t>PIZ</t>
  </si>
  <si>
    <t>American Century STOXX U.S. Quality Growth ETF</t>
  </si>
  <si>
    <t>$219.27M</t>
  </si>
  <si>
    <t>QGRO</t>
  </si>
  <si>
    <t>First Trust Dorsey Wright International Focus 5 ETF</t>
  </si>
  <si>
    <t>$218.41M</t>
  </si>
  <si>
    <t>IFV</t>
  </si>
  <si>
    <t>Alpha Architect</t>
  </si>
  <si>
    <t>Alpha Architect U.S. Quantitative Value ETF</t>
  </si>
  <si>
    <t>$217.91M</t>
  </si>
  <si>
    <t>QVAL</t>
  </si>
  <si>
    <t>WisdomTree Japan SmallCap Dividend Fund</t>
  </si>
  <si>
    <t>$217.46M</t>
  </si>
  <si>
    <t>Equity: Japan - Small Cap</t>
  </si>
  <si>
    <t>DFJ</t>
  </si>
  <si>
    <t>iShares MSCI Peru ETF</t>
  </si>
  <si>
    <t>$216.54M</t>
  </si>
  <si>
    <t>Equity: Peru - Total Market</t>
  </si>
  <si>
    <t>EPU</t>
  </si>
  <si>
    <t>Innovator U.S. Equity Power Buffer ETF - December</t>
  </si>
  <si>
    <t>$214.44M</t>
  </si>
  <si>
    <t>PDEC</t>
  </si>
  <si>
    <t>iShares Morningstar Small-Cap ETF</t>
  </si>
  <si>
    <t>$213.49M</t>
  </si>
  <si>
    <t>ISCB</t>
  </si>
  <si>
    <t>Invesco Zacks Mid-Cap ETF</t>
  </si>
  <si>
    <t>$213.42M</t>
  </si>
  <si>
    <t>CZA</t>
  </si>
  <si>
    <t>ClearBridge Large Cap Growth ESG ETF</t>
  </si>
  <si>
    <t>$212.84M</t>
  </si>
  <si>
    <t>LRGE</t>
  </si>
  <si>
    <t>Innovator U.S. Equity Power Buffer ETF - May</t>
  </si>
  <si>
    <t>$212.38M</t>
  </si>
  <si>
    <t>PMAY</t>
  </si>
  <si>
    <t>iShares U.S. Dividend and Buyback ETF</t>
  </si>
  <si>
    <t>$211.68M</t>
  </si>
  <si>
    <t>DIVB</t>
  </si>
  <si>
    <t>First Trust Dorsey Wright Dynamic Focus 5 ETF</t>
  </si>
  <si>
    <t>$210.61M</t>
  </si>
  <si>
    <t>FVC</t>
  </si>
  <si>
    <t>ALPS Equal Sector Weight ETF</t>
  </si>
  <si>
    <t>$210.52M</t>
  </si>
  <si>
    <t>EQL</t>
  </si>
  <si>
    <t>First Trust Mid Cap Value AlphaDEX Fund</t>
  </si>
  <si>
    <t>$210.16M</t>
  </si>
  <si>
    <t>FNK</t>
  </si>
  <si>
    <t>Invesco S&amp;P MidCap Value with Momentum ETF</t>
  </si>
  <si>
    <t>$209.58M</t>
  </si>
  <si>
    <t>XMVM</t>
  </si>
  <si>
    <t>IQ Candriam ESG International Equity ETF</t>
  </si>
  <si>
    <t>$209.08M</t>
  </si>
  <si>
    <t>IQSI</t>
  </si>
  <si>
    <t>Invesco DWA Emerging Markets Momentum ETF</t>
  </si>
  <si>
    <t>$208.73M</t>
  </si>
  <si>
    <t>PIE</t>
  </si>
  <si>
    <t>WisdomTree U.S. Smallcap Quality Dividend Growth Fund</t>
  </si>
  <si>
    <t>$208.60M</t>
  </si>
  <si>
    <t>DGRS</t>
  </si>
  <si>
    <t>SPDR FactSet Innovative Technology ETF</t>
  </si>
  <si>
    <t>$208.08M</t>
  </si>
  <si>
    <t>XITK</t>
  </si>
  <si>
    <t>Invesco Golden Dragon China ETF</t>
  </si>
  <si>
    <t>$207.69M</t>
  </si>
  <si>
    <t>PGJ</t>
  </si>
  <si>
    <t>SPDR SSGA U.S. Small Cap Low Volatility Index ETF</t>
  </si>
  <si>
    <t>$207.32M</t>
  </si>
  <si>
    <t>SMLV</t>
  </si>
  <si>
    <t>Direxion Daily MSCI Brazil Bull 2X Shares</t>
  </si>
  <si>
    <t>$207.20M</t>
  </si>
  <si>
    <t>Leveraged Equity: Brazil - Total Market</t>
  </si>
  <si>
    <t>BRZU</t>
  </si>
  <si>
    <t>Pacer Lunt Large Cap Multi-Factor Alternator ETF</t>
  </si>
  <si>
    <t>$206.89M</t>
  </si>
  <si>
    <t>PALC</t>
  </si>
  <si>
    <t>Schwab International Dividend Equity ETF</t>
  </si>
  <si>
    <t>$206.80M</t>
  </si>
  <si>
    <t>SCHY</t>
  </si>
  <si>
    <t>Franklin FTSE Europe ETF</t>
  </si>
  <si>
    <t>$206.42M</t>
  </si>
  <si>
    <t>FLEE</t>
  </si>
  <si>
    <t>ALPS Disruptive Technologies ETF</t>
  </si>
  <si>
    <t>$205.92M</t>
  </si>
  <si>
    <t>DTEC</t>
  </si>
  <si>
    <t>SPDR S&amp;P Pharmaceuticals ETF</t>
  </si>
  <si>
    <t>$202.22M</t>
  </si>
  <si>
    <t>XPH</t>
  </si>
  <si>
    <t>Innovator S&amp;P 500 Power Buffer ETF - November</t>
  </si>
  <si>
    <t>$201.99M</t>
  </si>
  <si>
    <t>PNOV</t>
  </si>
  <si>
    <t>iShares MSCI Israel ETF</t>
  </si>
  <si>
    <t>$201.17M</t>
  </si>
  <si>
    <t>Equity: Israel - Total Market</t>
  </si>
  <si>
    <t>EIS</t>
  </si>
  <si>
    <t>iShares MSCI Intl Small-Cap Multifactor ETF</t>
  </si>
  <si>
    <t>$200.31M</t>
  </si>
  <si>
    <t>ISCF</t>
  </si>
  <si>
    <t>UBS</t>
  </si>
  <si>
    <t>ETRACS Alerian MLP Infrastructure Index ETN Series B</t>
  </si>
  <si>
    <t>$200.17M</t>
  </si>
  <si>
    <t>MLPB</t>
  </si>
  <si>
    <t>IQ Chaikin U.S. Small Cap ETF</t>
  </si>
  <si>
    <t>$199.88M</t>
  </si>
  <si>
    <t>CSML</t>
  </si>
  <si>
    <t>American Century STOXX U.S. Quality Value ETF</t>
  </si>
  <si>
    <t>$198.91M</t>
  </si>
  <si>
    <t>VALQ</t>
  </si>
  <si>
    <t>FT Cboe Vest U.S. Equity Buffer ETF - August</t>
  </si>
  <si>
    <t>$198.51M</t>
  </si>
  <si>
    <t>FAUG</t>
  </si>
  <si>
    <t>Innovator U.S. Equity Power Buffer ETF - April</t>
  </si>
  <si>
    <t>$196.76M</t>
  </si>
  <si>
    <t>PAPR</t>
  </si>
  <si>
    <t>Davis Select Financial ETF</t>
  </si>
  <si>
    <t>$196.47M</t>
  </si>
  <si>
    <t>DFNL</t>
  </si>
  <si>
    <t>Invesco S&amp;P MidCap 400 QVM Multi-Factor ETF</t>
  </si>
  <si>
    <t>$195.78M</t>
  </si>
  <si>
    <t>QVMM</t>
  </si>
  <si>
    <t>Global X Genomics &amp; Biotechnology ETF</t>
  </si>
  <si>
    <t>$195.59M</t>
  </si>
  <si>
    <t>GNOM</t>
  </si>
  <si>
    <t>Invesco RAFI Strategic US ETF</t>
  </si>
  <si>
    <t>$193.48M</t>
  </si>
  <si>
    <t>IUS</t>
  </si>
  <si>
    <t>Innovator U.S. Equity Buffer ETF</t>
  </si>
  <si>
    <t>$192.77M</t>
  </si>
  <si>
    <t>BJAN</t>
  </si>
  <si>
    <t>TrimTabs</t>
  </si>
  <si>
    <t>FCF US Quality ETF</t>
  </si>
  <si>
    <t>$192.73M</t>
  </si>
  <si>
    <t>TTAC</t>
  </si>
  <si>
    <t>Xtrackers MSCI Japan Hedged Equity ETF</t>
  </si>
  <si>
    <t>$192.59M</t>
  </si>
  <si>
    <t>DBJP</t>
  </si>
  <si>
    <t>Innovator U.S. Equity Power Buffer ETF - July</t>
  </si>
  <si>
    <t>$192.26M</t>
  </si>
  <si>
    <t>PJUL</t>
  </si>
  <si>
    <t>ROBO Global Healthcare Technology and Innovation ETF</t>
  </si>
  <si>
    <t>$192.13M</t>
  </si>
  <si>
    <t>Equity: Global Health Care Technology</t>
  </si>
  <si>
    <t>HTEC</t>
  </si>
  <si>
    <t>Goldman Sachs Hedge Industry VIP ETF</t>
  </si>
  <si>
    <t>$191.78M</t>
  </si>
  <si>
    <t>GVIP</t>
  </si>
  <si>
    <t>Innovator IBD 50 ETF</t>
  </si>
  <si>
    <t>$191.65M</t>
  </si>
  <si>
    <t>FFTY</t>
  </si>
  <si>
    <t>First Trust Utilities AlphaDEX Fund</t>
  </si>
  <si>
    <t>$191.52M</t>
  </si>
  <si>
    <t>FXU</t>
  </si>
  <si>
    <t>FlexShares STOXX U.S. ESG Select Index Fund</t>
  </si>
  <si>
    <t>$190.87M</t>
  </si>
  <si>
    <t>ESG</t>
  </si>
  <si>
    <t>ClearBridge All Cap Growth ESG ETF</t>
  </si>
  <si>
    <t>$190.69M</t>
  </si>
  <si>
    <t>CACG</t>
  </si>
  <si>
    <t>Invesco Russell 2000 Dynamic Multifactor ETF</t>
  </si>
  <si>
    <t>$189.41M</t>
  </si>
  <si>
    <t>OMFS</t>
  </si>
  <si>
    <t>iShares Currency Hedged MSCI Emerging Markets ETF</t>
  </si>
  <si>
    <t>$186.85M</t>
  </si>
  <si>
    <t>HEEM</t>
  </si>
  <si>
    <t>MicroSectors FANG+ Index 2X Leveraged ETN</t>
  </si>
  <si>
    <t>$186.07M</t>
  </si>
  <si>
    <t>FNGO</t>
  </si>
  <si>
    <t>Innovator U.S. Equity Power Buffer ETF - October</t>
  </si>
  <si>
    <t>$185.68M</t>
  </si>
  <si>
    <t>POCT</t>
  </si>
  <si>
    <t>iShares MSCI Kokusai ETF</t>
  </si>
  <si>
    <t>$185.11M</t>
  </si>
  <si>
    <t>TOK</t>
  </si>
  <si>
    <t>Opus Small Cap Value ETF</t>
  </si>
  <si>
    <t>$185.08M</t>
  </si>
  <si>
    <t>OSCV</t>
  </si>
  <si>
    <t>SPDR SSGA U.S. Sector Rotation ETF</t>
  </si>
  <si>
    <t>$185.03M</t>
  </si>
  <si>
    <t>XLSR</t>
  </si>
  <si>
    <t>Intangible Capital</t>
  </si>
  <si>
    <t>Knowledge Leaders Developed World ETF</t>
  </si>
  <si>
    <t>$185.01M</t>
  </si>
  <si>
    <t>KLDW</t>
  </si>
  <si>
    <t>iPath Select MLP ETN</t>
  </si>
  <si>
    <t>$184.19M</t>
  </si>
  <si>
    <t>ATMP</t>
  </si>
  <si>
    <t>Etho Climate Leadership U.S. ETF</t>
  </si>
  <si>
    <t>$182.59M</t>
  </si>
  <si>
    <t>ETHO</t>
  </si>
  <si>
    <t>WisdomTree International High Dividend Fund</t>
  </si>
  <si>
    <t>$181.86M</t>
  </si>
  <si>
    <t>DTH</t>
  </si>
  <si>
    <t>Global X Millennial Consumer ETF</t>
  </si>
  <si>
    <t>$180.76M</t>
  </si>
  <si>
    <t>Equity: U.S. Millennials</t>
  </si>
  <si>
    <t>MILN</t>
  </si>
  <si>
    <t>American Century Focused Dynamic Growth ETF</t>
  </si>
  <si>
    <t>$178.53M</t>
  </si>
  <si>
    <t>FDG</t>
  </si>
  <si>
    <t>FlexShares STOXX Global ESG Select Index Fund</t>
  </si>
  <si>
    <t>$178.16M</t>
  </si>
  <si>
    <t>ESGG</t>
  </si>
  <si>
    <t>Vanguard U.S. Quality Factor ETF</t>
  </si>
  <si>
    <t>$177.94M</t>
  </si>
  <si>
    <t>VFQY</t>
  </si>
  <si>
    <t>JPMorgan Diversified Return Emerging Markets Equity ETF</t>
  </si>
  <si>
    <t>$177.78M</t>
  </si>
  <si>
    <t>JPEM</t>
  </si>
  <si>
    <t>Davis Select International ETF</t>
  </si>
  <si>
    <t>$177.66M</t>
  </si>
  <si>
    <t>DINT</t>
  </si>
  <si>
    <t>Direxion Daily S&amp;P 500 Bear 1X Shares</t>
  </si>
  <si>
    <t>$176.93M</t>
  </si>
  <si>
    <t>SPDN</t>
  </si>
  <si>
    <t>Invesco Dow Jones Industrial Average Dividend ETF</t>
  </si>
  <si>
    <t>$176.68M</t>
  </si>
  <si>
    <t>DJD</t>
  </si>
  <si>
    <t>Vanguard U.S. Momentum Factor ETF</t>
  </si>
  <si>
    <t>$176.04M</t>
  </si>
  <si>
    <t>VFMO</t>
  </si>
  <si>
    <t>Global X Adaptive U.S. Factor ETF</t>
  </si>
  <si>
    <t>$175.77M</t>
  </si>
  <si>
    <t>AUSF</t>
  </si>
  <si>
    <t>ARK Israel Innovative Technology ETF</t>
  </si>
  <si>
    <t>$174.07M</t>
  </si>
  <si>
    <t>Equity: Israel Information Technology</t>
  </si>
  <si>
    <t>IZRL</t>
  </si>
  <si>
    <t>KraneShares MSCI China Clean Technology Index ETF</t>
  </si>
  <si>
    <t>$173.91M</t>
  </si>
  <si>
    <t>KGRN</t>
  </si>
  <si>
    <t>JPMorgan Diversified Return U.S. Small Cap Equity ETF</t>
  </si>
  <si>
    <t>$173.51M</t>
  </si>
  <si>
    <t>JPSE</t>
  </si>
  <si>
    <t>Invesco BLDRS Emerging Markets 50 ADR Index Fund</t>
  </si>
  <si>
    <t>$173.10M</t>
  </si>
  <si>
    <t>ADRE</t>
  </si>
  <si>
    <t>Innovator U.S. Equity Power Buffer ETF - August</t>
  </si>
  <si>
    <t>$172.90M</t>
  </si>
  <si>
    <t>PAUG</t>
  </si>
  <si>
    <t>Direxion Daily MSCI Emerging Markets Bull 3x Shares</t>
  </si>
  <si>
    <t>$172.33M</t>
  </si>
  <si>
    <t>Leveraged Equity: Emerging Markets - Total Market</t>
  </si>
  <si>
    <t>EDC</t>
  </si>
  <si>
    <t>Janus Henderson</t>
  </si>
  <si>
    <t>Janus Henderson Small/Mid Cap Growth Alpha ETF</t>
  </si>
  <si>
    <t>$170.70M</t>
  </si>
  <si>
    <t>Equity: U.S. - Extended Market Growth</t>
  </si>
  <si>
    <t>JSMD</t>
  </si>
  <si>
    <t>FT Cboe Vest U.S. Equity Buffer ETF - December</t>
  </si>
  <si>
    <t>$170.27M</t>
  </si>
  <si>
    <t>FDEC</t>
  </si>
  <si>
    <t>Nuveen ESG International Developed Markets Equity ETF</t>
  </si>
  <si>
    <t>$170.06M</t>
  </si>
  <si>
    <t>NUDM</t>
  </si>
  <si>
    <t>First Trust Dow Jones Select MicroCap Index Fund</t>
  </si>
  <si>
    <t>$169.36M</t>
  </si>
  <si>
    <t>FDM</t>
  </si>
  <si>
    <t>WisdomTree Dynamic Currency Hedged International Equity Fund</t>
  </si>
  <si>
    <t>$168.67M</t>
  </si>
  <si>
    <t>DDWM</t>
  </si>
  <si>
    <t>First Trust RiverFront Dynamic Developed International</t>
  </si>
  <si>
    <t>$168.06M</t>
  </si>
  <si>
    <t>RFDI</t>
  </si>
  <si>
    <t>Invesco S&amp;P 500 BuyWrite ETF</t>
  </si>
  <si>
    <t>$167.79M</t>
  </si>
  <si>
    <t>PBP</t>
  </si>
  <si>
    <t>iShares Global Utilities ETF</t>
  </si>
  <si>
    <t>$166.08M</t>
  </si>
  <si>
    <t>Equity: Global Utilities</t>
  </si>
  <si>
    <t>JXI</t>
  </si>
  <si>
    <t>Global X Artificial Intelligence &amp; Technology ETF</t>
  </si>
  <si>
    <t>$165.99M</t>
  </si>
  <si>
    <t>AIQ</t>
  </si>
  <si>
    <t>Xtrackers Russell U.S. Multifactor ETF</t>
  </si>
  <si>
    <t>$165.16M</t>
  </si>
  <si>
    <t>DEUS</t>
  </si>
  <si>
    <t>ALPS International Sector Dividend Dogs ETF</t>
  </si>
  <si>
    <t>$164.71M</t>
  </si>
  <si>
    <t>IDOG</t>
  </si>
  <si>
    <t>Defiance Quantum ETF</t>
  </si>
  <si>
    <t>$163.67M</t>
  </si>
  <si>
    <t>QTUM</t>
  </si>
  <si>
    <t>ETC 6 Meridian Mega Cap Equity ETF</t>
  </si>
  <si>
    <t>$163.16M</t>
  </si>
  <si>
    <t>SIXA</t>
  </si>
  <si>
    <t>Invesco Dynamic Energy Exploration &amp; Production ETF</t>
  </si>
  <si>
    <t>$162.94M</t>
  </si>
  <si>
    <t>PXE</t>
  </si>
  <si>
    <t>Invesco S&amp;P MidCap 400 Pure Value ETF</t>
  </si>
  <si>
    <t>$162.23M</t>
  </si>
  <si>
    <t>RFV</t>
  </si>
  <si>
    <t>Wahed Invest LLC</t>
  </si>
  <si>
    <t>Wahed FTSE USA Shariah ETF</t>
  </si>
  <si>
    <t>$161.93M</t>
  </si>
  <si>
    <t>HLAL</t>
  </si>
  <si>
    <t>Swan Global Investments</t>
  </si>
  <si>
    <t>Swan Hedged Equity US Large Cap ETF</t>
  </si>
  <si>
    <t>$161.84M</t>
  </si>
  <si>
    <t>HEGD</t>
  </si>
  <si>
    <t>Pacer Global Cash Cows Dividend ETF</t>
  </si>
  <si>
    <t>$160.90M</t>
  </si>
  <si>
    <t>Equity: Developed Markets - Large Cap</t>
  </si>
  <si>
    <t>GCOW</t>
  </si>
  <si>
    <t>UBS AG FI Enhanced Large Cap Growth ETN</t>
  </si>
  <si>
    <t>$160.39M</t>
  </si>
  <si>
    <t>Leveraged Equity: U.S. - Large Cap Growth</t>
  </si>
  <si>
    <t>FBGX</t>
  </si>
  <si>
    <t>iShares MSCI Denmark ETF</t>
  </si>
  <si>
    <t>$160.09M</t>
  </si>
  <si>
    <t>Equity: Denmark - Total Market</t>
  </si>
  <si>
    <t>EDEN</t>
  </si>
  <si>
    <t>FlexShares US Quality Low Volatility Index Fund</t>
  </si>
  <si>
    <t>$159.13M</t>
  </si>
  <si>
    <t>QLV</t>
  </si>
  <si>
    <t>Invesco S&amp;P 500 Enhanced Value ETF</t>
  </si>
  <si>
    <t>$158.33M</t>
  </si>
  <si>
    <t>SPVU</t>
  </si>
  <si>
    <t>FT Cboe Vest U.S. Equity Buffer ETF - October</t>
  </si>
  <si>
    <t>$157.39M</t>
  </si>
  <si>
    <t>FOCT</t>
  </si>
  <si>
    <t>First Trust Multi Cap Value AlphaDEX Fund</t>
  </si>
  <si>
    <t>$156.64M</t>
  </si>
  <si>
    <t>FAB</t>
  </si>
  <si>
    <t>Invesco S&amp;P 500 Equal Weight Real Estate ETF</t>
  </si>
  <si>
    <t>$155.49M</t>
  </si>
  <si>
    <t>EWRE</t>
  </si>
  <si>
    <t>Timothy Plan</t>
  </si>
  <si>
    <t>Timothy Plan U.S. Large/Mid Cap Core ETF</t>
  </si>
  <si>
    <t>$155.36M</t>
  </si>
  <si>
    <t>TPLC</t>
  </si>
  <si>
    <t>VictoryShares U.S. Multi-Factor Minimum Volatility ETF</t>
  </si>
  <si>
    <t>$155.02M</t>
  </si>
  <si>
    <t>VSMV</t>
  </si>
  <si>
    <t>Fidelity Stocks for Inflation ETF</t>
  </si>
  <si>
    <t>$154.03M</t>
  </si>
  <si>
    <t>FCPI</t>
  </si>
  <si>
    <t>WisdomTree U.S. Multifactor Fund</t>
  </si>
  <si>
    <t>$153.71M</t>
  </si>
  <si>
    <t>USMF</t>
  </si>
  <si>
    <t>American Century Sustainable Equity ETF</t>
  </si>
  <si>
    <t>$153.61M</t>
  </si>
  <si>
    <t>ESGA</t>
  </si>
  <si>
    <t>O?셎hares U.S. Small-Cap Quality Dividend ETF</t>
  </si>
  <si>
    <t>$153.07M</t>
  </si>
  <si>
    <t>OUSM</t>
  </si>
  <si>
    <t>First Trust Indxx Innovative Transaction &amp; Process ETF</t>
  </si>
  <si>
    <t>$151.56M</t>
  </si>
  <si>
    <t>LEGR</t>
  </si>
  <si>
    <t>U.S. Diversified Real Estate ETF</t>
  </si>
  <si>
    <t>$151.43M</t>
  </si>
  <si>
    <t>PPTY</t>
  </si>
  <si>
    <t>Invesco S&amp;P SmallCap Momentum ETF</t>
  </si>
  <si>
    <t>$151.00M</t>
  </si>
  <si>
    <t>XSMO</t>
  </si>
  <si>
    <t>Nuveen ESG Emerging Markets Equity ETF</t>
  </si>
  <si>
    <t>$150.39M</t>
  </si>
  <si>
    <t>NUEM</t>
  </si>
  <si>
    <t>iShares U.S. Small Cap Value Factor ETF</t>
  </si>
  <si>
    <t>$149.18M</t>
  </si>
  <si>
    <t>SVAL</t>
  </si>
  <si>
    <t>Invesco DWA Energy Momentum ETF</t>
  </si>
  <si>
    <t>$148.70M</t>
  </si>
  <si>
    <t>PXI</t>
  </si>
  <si>
    <t>Innovator U.S. Equity Buffer ETF - September</t>
  </si>
  <si>
    <t>$148.38M</t>
  </si>
  <si>
    <t>BSEP</t>
  </si>
  <si>
    <t>BlueStar Israel Technology ETF</t>
  </si>
  <si>
    <t>$147.90M</t>
  </si>
  <si>
    <t>ITEQ</t>
  </si>
  <si>
    <t>AdvisorShares Pure Cannabis ETF</t>
  </si>
  <si>
    <t>$147.83M</t>
  </si>
  <si>
    <t>YOLO</t>
  </si>
  <si>
    <t>Global X E-commerce ETF</t>
  </si>
  <si>
    <t>$147.39M</t>
  </si>
  <si>
    <t>EBIZ</t>
  </si>
  <si>
    <t>Direxion Daily Dow Jones Internet Bull 3X Shares</t>
  </si>
  <si>
    <t>$147.24M</t>
  </si>
  <si>
    <t>Leveraged Equity: U.S. Internet</t>
  </si>
  <si>
    <t>WEBL</t>
  </si>
  <si>
    <t>FT Cboe Vest U.S. Equity Buffer ETF - January</t>
  </si>
  <si>
    <t>$146.91M</t>
  </si>
  <si>
    <t>FJAN</t>
  </si>
  <si>
    <t>First Trust Dow 30 Equal Weight ETF</t>
  </si>
  <si>
    <t>$145.38M</t>
  </si>
  <si>
    <t>EDOW</t>
  </si>
  <si>
    <t>iShares MSCI Global Multifactor ETF</t>
  </si>
  <si>
    <t>$143.69M</t>
  </si>
  <si>
    <t>ACWF</t>
  </si>
  <si>
    <t>ALPS Medical Breakthroughs ETF</t>
  </si>
  <si>
    <t>$143.61M</t>
  </si>
  <si>
    <t>SBIO</t>
  </si>
  <si>
    <t>FT Cboe Vest U.S Equity Buffer ETF - April</t>
  </si>
  <si>
    <t>$143.05M</t>
  </si>
  <si>
    <t>FAPR</t>
  </si>
  <si>
    <t>Inspire Global Hope ETF</t>
  </si>
  <si>
    <t>$142.84M</t>
  </si>
  <si>
    <t>BLES</t>
  </si>
  <si>
    <t>Pacer Trendpilot International ETF</t>
  </si>
  <si>
    <t>$142.73M</t>
  </si>
  <si>
    <t>PTIN</t>
  </si>
  <si>
    <t>AI Powered Equity ETF</t>
  </si>
  <si>
    <t>$142.66M</t>
  </si>
  <si>
    <t>AIEQ</t>
  </si>
  <si>
    <t>First Trust Emerging Markets Small Cap AlphaDEX Fund</t>
  </si>
  <si>
    <t>$142.64M</t>
  </si>
  <si>
    <t>FEMS</t>
  </si>
  <si>
    <t>Innovator U.S. Equity Power Buffer ETF - June</t>
  </si>
  <si>
    <t>$142.57M</t>
  </si>
  <si>
    <t>PJUN</t>
  </si>
  <si>
    <t>FT Cboe Vest U.S. Equity Buffer ETF - July</t>
  </si>
  <si>
    <t>$142.52M</t>
  </si>
  <si>
    <t>FJUL</t>
  </si>
  <si>
    <t>ALPS Barron's 400 ETF</t>
  </si>
  <si>
    <t>$142.00M</t>
  </si>
  <si>
    <t>BFOR</t>
  </si>
  <si>
    <t>SPDR S&amp;P Oil &amp; Gas Equipment &amp; Services ETF</t>
  </si>
  <si>
    <t>$141.82M</t>
  </si>
  <si>
    <t>XES</t>
  </si>
  <si>
    <t>SPDR MSCI Emerging Markets Fossil Fuel Reserves Free ETF</t>
  </si>
  <si>
    <t>$140.84M</t>
  </si>
  <si>
    <t>EEMX</t>
  </si>
  <si>
    <t>FT Cboe Vest U.S. Equity Deep Buffer ETF - August</t>
  </si>
  <si>
    <t>$140.81M</t>
  </si>
  <si>
    <t>DAUG</t>
  </si>
  <si>
    <t>Xtrackers MSCI All World ex U.S. Hedged Equity ETF</t>
  </si>
  <si>
    <t>$140.47M</t>
  </si>
  <si>
    <t>DBAW</t>
  </si>
  <si>
    <t>WisdomTree International MidCap Dividend Fund</t>
  </si>
  <si>
    <t>$140.11M</t>
  </si>
  <si>
    <t>Equity: Developed Markets Ex-U.S. - Mid Cap</t>
  </si>
  <si>
    <t>DIM</t>
  </si>
  <si>
    <t>FT Cboe Vest U.S. Equity Deep Buffer ETF - November</t>
  </si>
  <si>
    <t>$140.08M</t>
  </si>
  <si>
    <t>DNOV</t>
  </si>
  <si>
    <t>iShares Evolved U.S. Technology ETF</t>
  </si>
  <si>
    <t>$139.67M</t>
  </si>
  <si>
    <t>IETC</t>
  </si>
  <si>
    <t>ETC 6 Meridian Low Beta Equity Strategy ETF</t>
  </si>
  <si>
    <t>$139.64M</t>
  </si>
  <si>
    <t>SIXL</t>
  </si>
  <si>
    <t>SPDR S&amp;P Kensho Smart Mobility ETF</t>
  </si>
  <si>
    <t>Equity: U.S. Mobility</t>
  </si>
  <si>
    <t>HAIL</t>
  </si>
  <si>
    <t>FlexShares US Quality Large Cap Index Fund</t>
  </si>
  <si>
    <t>$138.76M</t>
  </si>
  <si>
    <t>QLC</t>
  </si>
  <si>
    <t>WisdomTree International AI Enhanced Value Fund</t>
  </si>
  <si>
    <t>$138.53M</t>
  </si>
  <si>
    <t>AIVI</t>
  </si>
  <si>
    <t>MicroSectors U.S. Big Banks Index 3X Leveraged ETN</t>
  </si>
  <si>
    <t>$138.34M</t>
  </si>
  <si>
    <t>BNKU</t>
  </si>
  <si>
    <t>KraneShares MSCI All China Health Care Index ETF</t>
  </si>
  <si>
    <t>$137.84M</t>
  </si>
  <si>
    <t>Equity: China Health Care</t>
  </si>
  <si>
    <t>KURE</t>
  </si>
  <si>
    <t>Alpha Architect International Quantitative Value ETF</t>
  </si>
  <si>
    <t>$136.73M</t>
  </si>
  <si>
    <t>IVAL</t>
  </si>
  <si>
    <t>Invesco DWA Basic Materials Momentum ETF</t>
  </si>
  <si>
    <t>$136.66M</t>
  </si>
  <si>
    <t>PYZ</t>
  </si>
  <si>
    <t>Franklin Liberty U.S. Low Volatility ETF</t>
  </si>
  <si>
    <t>$136.57M</t>
  </si>
  <si>
    <t>FLLV</t>
  </si>
  <si>
    <t>Redwood Investment Management</t>
  </si>
  <si>
    <t>LeaderShares AlphaFactor Tactical Focused ETF</t>
  </si>
  <si>
    <t>$136.53M</t>
  </si>
  <si>
    <t>LSAT</t>
  </si>
  <si>
    <t>FT Cboe Vest U.S. Equity Buffer ETF - September</t>
  </si>
  <si>
    <t>$136.12M</t>
  </si>
  <si>
    <t>FSEP</t>
  </si>
  <si>
    <t>Principal U.S. Large-Cap Adaptive Multi-Factor ETF</t>
  </si>
  <si>
    <t>$135.63M</t>
  </si>
  <si>
    <t>PLRG</t>
  </si>
  <si>
    <t>Vanguard U.S. Multifactor ETF</t>
  </si>
  <si>
    <t>$135.50M</t>
  </si>
  <si>
    <t>VFMF</t>
  </si>
  <si>
    <t>Principal International Adaptive Multi-Factor ETF</t>
  </si>
  <si>
    <t>$134.20M</t>
  </si>
  <si>
    <t>PXUS</t>
  </si>
  <si>
    <t>iShares North American Tech-Multimedia Networking ETF</t>
  </si>
  <si>
    <t>$133.51M</t>
  </si>
  <si>
    <t>Equity: North America Communications Equipment</t>
  </si>
  <si>
    <t>IGN</t>
  </si>
  <si>
    <t>Columbia Management Investment Advisers, LLC</t>
  </si>
  <si>
    <t>Columbia Emerging Markets Consumer ETF</t>
  </si>
  <si>
    <t>Equity: Emerging Markets Consumer</t>
  </si>
  <si>
    <t>ECON</t>
  </si>
  <si>
    <t>iShares MSCI Philippines ETF</t>
  </si>
  <si>
    <t>$133.43M</t>
  </si>
  <si>
    <t>Equity: Philippines - Total Market</t>
  </si>
  <si>
    <t>EPHE</t>
  </si>
  <si>
    <t>Invesco S&amp;P International Developed Quality ETF</t>
  </si>
  <si>
    <t>$133.06M</t>
  </si>
  <si>
    <t>IDHQ</t>
  </si>
  <si>
    <t>Timothy Plan High Dividend Stock ETF</t>
  </si>
  <si>
    <t>$132.98M</t>
  </si>
  <si>
    <t>TPHD</t>
  </si>
  <si>
    <t>Invesco Active U.S. Real Estate ETF</t>
  </si>
  <si>
    <t>$131.77M</t>
  </si>
  <si>
    <t>PSR</t>
  </si>
  <si>
    <t>Direxion Daily CSI 300 China A Share Bear 1X Shares</t>
  </si>
  <si>
    <t>$131.52M</t>
  </si>
  <si>
    <t>Inverse Equity: China - Total Market</t>
  </si>
  <si>
    <t>CHAD</t>
  </si>
  <si>
    <t>Global X MSCI Greece ETF</t>
  </si>
  <si>
    <t>$130.75M</t>
  </si>
  <si>
    <t>Equity: Greece - Total Market</t>
  </si>
  <si>
    <t>GREK</t>
  </si>
  <si>
    <t>Motley Fool Small-Cap Growth ETF</t>
  </si>
  <si>
    <t>$130.09M</t>
  </si>
  <si>
    <t>TMFS</t>
  </si>
  <si>
    <t>Invesco Dynamic Food &amp; Beverage ETF</t>
  </si>
  <si>
    <t>$130.03M</t>
  </si>
  <si>
    <t>PBJ</t>
  </si>
  <si>
    <t>VictoryShares Nasdaq Next 50 ETF</t>
  </si>
  <si>
    <t>$129.77M</t>
  </si>
  <si>
    <t>QQQN</t>
  </si>
  <si>
    <t>AdvisorShares Dorsey Wright FSM All Cap World ETF</t>
  </si>
  <si>
    <t>$129.72M</t>
  </si>
  <si>
    <t>DWAW</t>
  </si>
  <si>
    <t>SP Funds S&amp;P 500 Sharia Industry Exclusions ETF</t>
  </si>
  <si>
    <t>$129.34M</t>
  </si>
  <si>
    <t>SPUS</t>
  </si>
  <si>
    <t>iShares Currency Hedged MSCI ACWI ex U.S. ETF</t>
  </si>
  <si>
    <t>$129.24M</t>
  </si>
  <si>
    <t>HAWX</t>
  </si>
  <si>
    <t>Direxion Daily Semiconductor Bear 3X Shares</t>
  </si>
  <si>
    <t>$129.07M</t>
  </si>
  <si>
    <t>Inverse Equity: U.S. Semiconductors</t>
  </si>
  <si>
    <t>SOXS</t>
  </si>
  <si>
    <t>Avantis U.S. Large Cap Value ETF</t>
  </si>
  <si>
    <t>$129.00M</t>
  </si>
  <si>
    <t>AVLV</t>
  </si>
  <si>
    <t>iShares MSCI New Zealand ETF</t>
  </si>
  <si>
    <t>$128.98M</t>
  </si>
  <si>
    <t>Equity: New Zealand - Total Market</t>
  </si>
  <si>
    <t>ENZL</t>
  </si>
  <si>
    <t>First Trust Horizon Managed Volatility Domestic ETF</t>
  </si>
  <si>
    <t>$128.89M</t>
  </si>
  <si>
    <t>HUSV</t>
  </si>
  <si>
    <t>GraniteShares</t>
  </si>
  <si>
    <t>GraniteShares XOUT U.S. Large Cap ETF</t>
  </si>
  <si>
    <t>$128.70M</t>
  </si>
  <si>
    <t>XOUT</t>
  </si>
  <si>
    <t>iShares MSCI BRIC ETF</t>
  </si>
  <si>
    <t>$128.60M</t>
  </si>
  <si>
    <t>BKF</t>
  </si>
  <si>
    <t>Invesco Raymond James SB-1 Equity ETF</t>
  </si>
  <si>
    <t>$128.55M</t>
  </si>
  <si>
    <t>RYJ</t>
  </si>
  <si>
    <t>NETLease Corporate Real Estate ETF</t>
  </si>
  <si>
    <t>$127.98M</t>
  </si>
  <si>
    <t>NETL</t>
  </si>
  <si>
    <t>Invesco S&amp;P MidCap 400 Equal Weight ETF</t>
  </si>
  <si>
    <t>$127.10M</t>
  </si>
  <si>
    <t>EWMC</t>
  </si>
  <si>
    <t>LeaderShares AlphaFactor U.S. Core Equity ETF</t>
  </si>
  <si>
    <t>$126.93M</t>
  </si>
  <si>
    <t>LSAF</t>
  </si>
  <si>
    <t>Innovator U.S. Equity Power Buffer ETF - February</t>
  </si>
  <si>
    <t>$126.19M</t>
  </si>
  <si>
    <t>PFEB</t>
  </si>
  <si>
    <t>BlackRock U.S. Equity Factor Rotation ETF</t>
  </si>
  <si>
    <t>$125.73M</t>
  </si>
  <si>
    <t>DYNF</t>
  </si>
  <si>
    <t>First Trust NASDAQ-100 Ex-Technology Sector Index Fund</t>
  </si>
  <si>
    <t>$125.51M</t>
  </si>
  <si>
    <t>QQXT</t>
  </si>
  <si>
    <t>International Drawdown Managed Equity ETF</t>
  </si>
  <si>
    <t>$125.40M</t>
  </si>
  <si>
    <t>IDME</t>
  </si>
  <si>
    <t>Nationwide Risk-Based International Equity ETF</t>
  </si>
  <si>
    <t>$125.11M</t>
  </si>
  <si>
    <t>Equity: Developed Markets Ex-North America - Large Cap</t>
  </si>
  <si>
    <t>RBIN</t>
  </si>
  <si>
    <t>Sprott Junior Gold Miners ETF</t>
  </si>
  <si>
    <t>$124.87M</t>
  </si>
  <si>
    <t>SGDJ</t>
  </si>
  <si>
    <t>Invesco International Developed Dynamic Multifactor ETF</t>
  </si>
  <si>
    <t>$124.68M</t>
  </si>
  <si>
    <t>IMFL</t>
  </si>
  <si>
    <t>Invesco India ETF</t>
  </si>
  <si>
    <t>$124.65M</t>
  </si>
  <si>
    <t>PIN</t>
  </si>
  <si>
    <t>First Trust NASDAQ ABA Community Bank Index Fund</t>
  </si>
  <si>
    <t>$124.64M</t>
  </si>
  <si>
    <t>QABA</t>
  </si>
  <si>
    <t>Wainwright, Inc.</t>
  </si>
  <si>
    <t>USCF Midstream Energy Income Fund</t>
  </si>
  <si>
    <t>$124.46M</t>
  </si>
  <si>
    <t>UMI</t>
  </si>
  <si>
    <t>Cambria Global Value ETF</t>
  </si>
  <si>
    <t>$124.39M</t>
  </si>
  <si>
    <t>Equity: Global - Total Market Value</t>
  </si>
  <si>
    <t>GVAL</t>
  </si>
  <si>
    <t>Invesco DWA Consumer Cyclicals Momentum ETF</t>
  </si>
  <si>
    <t>$124.29M</t>
  </si>
  <si>
    <t>PEZ</t>
  </si>
  <si>
    <t>RiverFront Dynamic US Dividend Advantage ETF</t>
  </si>
  <si>
    <t>$123.72M</t>
  </si>
  <si>
    <t>RFDA</t>
  </si>
  <si>
    <t>Nuveen Short-Term REIT ETF</t>
  </si>
  <si>
    <t>$123.64M</t>
  </si>
  <si>
    <t>NURE</t>
  </si>
  <si>
    <t>First Trust Dorsey Wright Momentum &amp; Low Volatility ETF</t>
  </si>
  <si>
    <t>$123.03M</t>
  </si>
  <si>
    <t>DVOL</t>
  </si>
  <si>
    <t>Innovator Growth-100 Power Buffer ETF - January</t>
  </si>
  <si>
    <t>$122.64M</t>
  </si>
  <si>
    <t>NJAN</t>
  </si>
  <si>
    <t>Franklin FTSE China ETF</t>
  </si>
  <si>
    <t>FLCH</t>
  </si>
  <si>
    <t>Direxion Daily Financial Bear 3X Shares</t>
  </si>
  <si>
    <t>$120.86M</t>
  </si>
  <si>
    <t>Inverse Equity: U.S. Financials</t>
  </si>
  <si>
    <t>FAZ</t>
  </si>
  <si>
    <t>Nationwide Risk-Based U.S. Equity ETF</t>
  </si>
  <si>
    <t>$120.83M</t>
  </si>
  <si>
    <t>RBUS</t>
  </si>
  <si>
    <t>Global X Renewable Energy Producers ETF</t>
  </si>
  <si>
    <t>$120.45M</t>
  </si>
  <si>
    <t>RNRG</t>
  </si>
  <si>
    <t>First Trust Multi-Manager Large Growth ETF</t>
  </si>
  <si>
    <t>$119.98M</t>
  </si>
  <si>
    <t>MMLG</t>
  </si>
  <si>
    <t>Invesco S&amp;P SmallCap 600 Pure Growth ETF</t>
  </si>
  <si>
    <t>$119.51M</t>
  </si>
  <si>
    <t>RZG</t>
  </si>
  <si>
    <t>iShares U.S. Oil Equipment &amp; Services ETF</t>
  </si>
  <si>
    <t>$119.40M</t>
  </si>
  <si>
    <t>Equity: U.S. Oil &amp; Gas Equipment &amp; Services</t>
  </si>
  <si>
    <t>IEZ</t>
  </si>
  <si>
    <t>T. Rowe Price Dividend Growth ETF</t>
  </si>
  <si>
    <t>$118.70M</t>
  </si>
  <si>
    <t>TDVG</t>
  </si>
  <si>
    <t>FT Cboe Vest U.S. Equity Buffer ETF - May</t>
  </si>
  <si>
    <t>$118.32M</t>
  </si>
  <si>
    <t>FMAY</t>
  </si>
  <si>
    <t>Change Finance</t>
  </si>
  <si>
    <t>Change Finance U.S. Large Cap Fossil Fuel Free ETF</t>
  </si>
  <si>
    <t>$118.31M</t>
  </si>
  <si>
    <t>CHGX</t>
  </si>
  <si>
    <t>Invesco S&amp;P 100 Equal Weight ETF</t>
  </si>
  <si>
    <t>$117.93M</t>
  </si>
  <si>
    <t>EQWL</t>
  </si>
  <si>
    <t>Inspire International ESG ETF</t>
  </si>
  <si>
    <t>$117.50M</t>
  </si>
  <si>
    <t>Equity: Global Ex-U.S. - Large Cap</t>
  </si>
  <si>
    <t>WWJD</t>
  </si>
  <si>
    <t>Invesco S&amp;P SmallCap Energy ETF</t>
  </si>
  <si>
    <t>$117.05M</t>
  </si>
  <si>
    <t>PSCE</t>
  </si>
  <si>
    <t>Inspire Small/Mid Cap Impact ETF</t>
  </si>
  <si>
    <t>$117.00M</t>
  </si>
  <si>
    <t>ISMD</t>
  </si>
  <si>
    <t>Invesco International BuyBack Achievers ETF</t>
  </si>
  <si>
    <t>$116.91M</t>
  </si>
  <si>
    <t>IPKW</t>
  </si>
  <si>
    <t>VanEck Social Sentiment ETF</t>
  </si>
  <si>
    <t>$116.50M</t>
  </si>
  <si>
    <t>BUZZ</t>
  </si>
  <si>
    <t>Fidelity Momentum Factor ETF</t>
  </si>
  <si>
    <t>$116.14M</t>
  </si>
  <si>
    <t>FDMO</t>
  </si>
  <si>
    <t>Direxion Daily MSCI Real Estate Bull 3x Shares</t>
  </si>
  <si>
    <t>$115.22M</t>
  </si>
  <si>
    <t>Leveraged Equity: U.S. Real Estate</t>
  </si>
  <si>
    <t>DRN</t>
  </si>
  <si>
    <t>Janus Henderson Small Cap Growth Alpha ETF</t>
  </si>
  <si>
    <t>$115.08M</t>
  </si>
  <si>
    <t>JSML</t>
  </si>
  <si>
    <t>Invesco Dynamic Market ETF</t>
  </si>
  <si>
    <t>$114.44M</t>
  </si>
  <si>
    <t>PWC</t>
  </si>
  <si>
    <t>Global X Adaptive U.S. Risk Management ETF</t>
  </si>
  <si>
    <t>Asset Allocation: U.S. Target Risk</t>
  </si>
  <si>
    <t>ONOF</t>
  </si>
  <si>
    <t>Innovator U.S. Equity Buffer ETF - April</t>
  </si>
  <si>
    <t>$114.19M</t>
  </si>
  <si>
    <t>BAPR</t>
  </si>
  <si>
    <t>Xtrackers MSCI Emerging Markets Hedged Equity ETF</t>
  </si>
  <si>
    <t>$114.00M</t>
  </si>
  <si>
    <t>DBEM</t>
  </si>
  <si>
    <t>Regents Park Funds</t>
  </si>
  <si>
    <t>Anfield U.S. Equity Sector Rotation ETF</t>
  </si>
  <si>
    <t>$113.02M</t>
  </si>
  <si>
    <t>AESR</t>
  </si>
  <si>
    <t>SPDR MSCI ACWI Low Carbon Target ETF</t>
  </si>
  <si>
    <t>$112.70M</t>
  </si>
  <si>
    <t>LOWC</t>
  </si>
  <si>
    <t>Innovator U.S. Small Cap Power Buffer ETF - January</t>
  </si>
  <si>
    <t>$112.34M</t>
  </si>
  <si>
    <t>KJAN</t>
  </si>
  <si>
    <t>VictoryShares International Volatility Wtd ETF</t>
  </si>
  <si>
    <t>$112.23M</t>
  </si>
  <si>
    <t>CIL</t>
  </si>
  <si>
    <t>FT Cboe Vest U.S. Equity Buffer ETF - June</t>
  </si>
  <si>
    <t>$112.09M</t>
  </si>
  <si>
    <t>FJUN</t>
  </si>
  <si>
    <t>Freedom 100 Emerging Market ETF</t>
  </si>
  <si>
    <t>$111.86M</t>
  </si>
  <si>
    <t>FRDM</t>
  </si>
  <si>
    <t>Innovator U.S. Equity Buffer ETF - October</t>
  </si>
  <si>
    <t>$110.92M</t>
  </si>
  <si>
    <t>BOCT</t>
  </si>
  <si>
    <t>CornerCap Investment Counsel, Inc.</t>
  </si>
  <si>
    <t>CornerCap Fundametrics Large-Cap ETF</t>
  </si>
  <si>
    <t>$110.50M</t>
  </si>
  <si>
    <t>FUNL</t>
  </si>
  <si>
    <t>SPDR S&amp;P Health Care Services ETF</t>
  </si>
  <si>
    <t>$109.98M</t>
  </si>
  <si>
    <t>XHS</t>
  </si>
  <si>
    <t>Invesco S&amp;P SmallCap Industrials ETF</t>
  </si>
  <si>
    <t>$109.68M</t>
  </si>
  <si>
    <t>PSCI</t>
  </si>
  <si>
    <t>BNY Mellon International Equity ETF</t>
  </si>
  <si>
    <t>$109.06M</t>
  </si>
  <si>
    <t>BKIE</t>
  </si>
  <si>
    <t>iShares Currency Hedged MSCI EAFE Small-Cap ETF</t>
  </si>
  <si>
    <t>$108.34M</t>
  </si>
  <si>
    <t>HSCZ</t>
  </si>
  <si>
    <t>BNY Mellon US Mid Cap Core Equity ETF</t>
  </si>
  <si>
    <t>$108.17M</t>
  </si>
  <si>
    <t>BKMC</t>
  </si>
  <si>
    <t>LeaderShares Equity Skew ETF</t>
  </si>
  <si>
    <t>$107.88M</t>
  </si>
  <si>
    <t>SQEW</t>
  </si>
  <si>
    <t>Simplify US Equity PLUS Convexity ETF</t>
  </si>
  <si>
    <t>$107.67M</t>
  </si>
  <si>
    <t>SPYC</t>
  </si>
  <si>
    <t>Humankind USA LLC</t>
  </si>
  <si>
    <t>Humankind U.S. Stock ETF</t>
  </si>
  <si>
    <t>$107.16M</t>
  </si>
  <si>
    <t>HKND</t>
  </si>
  <si>
    <t>FT Cboe Vest U.S. Equity Deep Buffer ETF - April</t>
  </si>
  <si>
    <t>$106.64M</t>
  </si>
  <si>
    <t>DAPR</t>
  </si>
  <si>
    <t>Innovator U.S. Equity Power Buffer ETF - March</t>
  </si>
  <si>
    <t>$106.06M</t>
  </si>
  <si>
    <t>PMAR</t>
  </si>
  <si>
    <t>Fidelity Blue Chip Value ETF</t>
  </si>
  <si>
    <t>$105.66M</t>
  </si>
  <si>
    <t>Equity: Global - Large Cap Value</t>
  </si>
  <si>
    <t>FBCV</t>
  </si>
  <si>
    <t>Invesco PureBeta FTSE Developed ex-North America ETF</t>
  </si>
  <si>
    <t>$105.20M</t>
  </si>
  <si>
    <t>PBDM</t>
  </si>
  <si>
    <t>VanEck Steel ETF</t>
  </si>
  <si>
    <t>$104.94M</t>
  </si>
  <si>
    <t>Equity: Global Steel Producers</t>
  </si>
  <si>
    <t>SLX</t>
  </si>
  <si>
    <t>iShares MSCI Brazil Small-Cap ETF</t>
  </si>
  <si>
    <t>$103.90M</t>
  </si>
  <si>
    <t>Equity: Brazil - Small Cap</t>
  </si>
  <si>
    <t>EWZS</t>
  </si>
  <si>
    <t>PIMCO</t>
  </si>
  <si>
    <t>PIMCO RAFI Dynamic Multi-Factor Emerging Markets Equity ETF</t>
  </si>
  <si>
    <t>$103.87M</t>
  </si>
  <si>
    <t>MFEM</t>
  </si>
  <si>
    <t>First Trust Nasdaq Semiconductor ETF</t>
  </si>
  <si>
    <t>$102.96M</t>
  </si>
  <si>
    <t>FTXL</t>
  </si>
  <si>
    <t>Syntax Advisors</t>
  </si>
  <si>
    <t>Syntax Stratified LargeCap ETF</t>
  </si>
  <si>
    <t>$102.74M</t>
  </si>
  <si>
    <t>SSPY</t>
  </si>
  <si>
    <t>Principal Millennials ETF</t>
  </si>
  <si>
    <t>$102.46M</t>
  </si>
  <si>
    <t>Equity: Global Millennials</t>
  </si>
  <si>
    <t>GENY</t>
  </si>
  <si>
    <t>Innovator U.S. Equity Ultra Buffer ETF - January</t>
  </si>
  <si>
    <t>$102.44M</t>
  </si>
  <si>
    <t>UJAN</t>
  </si>
  <si>
    <t>Goldman Sachs Future Planet Equity ETF</t>
  </si>
  <si>
    <t>$102.32M</t>
  </si>
  <si>
    <t>GSFP</t>
  </si>
  <si>
    <t>Global X CleanTech ETF</t>
  </si>
  <si>
    <t>$101.73M</t>
  </si>
  <si>
    <t>CTEC</t>
  </si>
  <si>
    <t>First Trust Chindia ETF</t>
  </si>
  <si>
    <t>$101.40M</t>
  </si>
  <si>
    <t>FNI</t>
  </si>
  <si>
    <t>Principal Quality ETF</t>
  </si>
  <si>
    <t>$100.69M</t>
  </si>
  <si>
    <t>PSET</t>
  </si>
  <si>
    <t>Nationwide Maximum Diversification U.S. Core Equity ETF</t>
  </si>
  <si>
    <t>$100.61M</t>
  </si>
  <si>
    <t>MXDU</t>
  </si>
  <si>
    <t>Innovator Emerging Markets Power Buffer ETF - January</t>
  </si>
  <si>
    <t>$100.60M</t>
  </si>
  <si>
    <t>EJAN</t>
  </si>
  <si>
    <t>Invesco DWA Consumer Staples Momentum ETF</t>
  </si>
  <si>
    <t>$99.78M</t>
  </si>
  <si>
    <t>PSL</t>
  </si>
  <si>
    <t>SPDR Global Dow ETF</t>
  </si>
  <si>
    <t>$99.60M</t>
  </si>
  <si>
    <t>DGT</t>
  </si>
  <si>
    <t>FT Cboe Vest U.S. Equity Deep Buffer ETF ??December</t>
  </si>
  <si>
    <t>$98.72M</t>
  </si>
  <si>
    <t>DDEC</t>
  </si>
  <si>
    <t>WisdomTree U.S. ESG Fund</t>
  </si>
  <si>
    <t>$98.27M</t>
  </si>
  <si>
    <t>RESP</t>
  </si>
  <si>
    <t>Invesco DWA Financial Momentum ETF</t>
  </si>
  <si>
    <t>$98.16M</t>
  </si>
  <si>
    <t>PFI</t>
  </si>
  <si>
    <t>Columbia India Consumer ETF</t>
  </si>
  <si>
    <t>$97.11M</t>
  </si>
  <si>
    <t>Equity: India Consumer</t>
  </si>
  <si>
    <t>INCO</t>
  </si>
  <si>
    <t>WisdomTree U.S. Value Fund</t>
  </si>
  <si>
    <t>$97.07M</t>
  </si>
  <si>
    <t>WTV</t>
  </si>
  <si>
    <t>Truist</t>
  </si>
  <si>
    <t>Sterling Capital Diverse Multi-Manager Active ETF</t>
  </si>
  <si>
    <t>$97.04M</t>
  </si>
  <si>
    <t>DEIF</t>
  </si>
  <si>
    <t>iShares MSCI United Kingdom Small Cap ETF</t>
  </si>
  <si>
    <t>$96.54M</t>
  </si>
  <si>
    <t>Equity: U.K. - Small Cap</t>
  </si>
  <si>
    <t>EWUS</t>
  </si>
  <si>
    <t>iShares U.S. Insurance ETF</t>
  </si>
  <si>
    <t>$95.98M</t>
  </si>
  <si>
    <t>IAK</t>
  </si>
  <si>
    <t>Global X MSCI China Financials ETF</t>
  </si>
  <si>
    <t>$95.74M</t>
  </si>
  <si>
    <t>Equity: China Financials</t>
  </si>
  <si>
    <t>CHIX</t>
  </si>
  <si>
    <t>Bitwise Crypto Industry Innovators ETF</t>
  </si>
  <si>
    <t>$95.67M</t>
  </si>
  <si>
    <t>BITQ</t>
  </si>
  <si>
    <t>Cambria Emerging Shareholder Yield ETF</t>
  </si>
  <si>
    <t>$94.90M</t>
  </si>
  <si>
    <t>EYLD</t>
  </si>
  <si>
    <t>AllianzIM U.S. Large Cap Buffer20 Jan ETF</t>
  </si>
  <si>
    <t>$94.54M</t>
  </si>
  <si>
    <t>AZBJ</t>
  </si>
  <si>
    <t>Innovator U.S. Equity Buffer ETF - July</t>
  </si>
  <si>
    <t>$94.49M</t>
  </si>
  <si>
    <t>BJUL</t>
  </si>
  <si>
    <t>FT Cboe Vest U.S. Equity Deep Buffer ETF - March</t>
  </si>
  <si>
    <t>$94.38M</t>
  </si>
  <si>
    <t>DMAR</t>
  </si>
  <si>
    <t>Wedbush ETFMG Video Game Tech ETF</t>
  </si>
  <si>
    <t>$94.17M</t>
  </si>
  <si>
    <t>GAMR</t>
  </si>
  <si>
    <t>First Trust Switzerland AlphaDEX Fund</t>
  </si>
  <si>
    <t>$94.08M</t>
  </si>
  <si>
    <t>FSZ</t>
  </si>
  <si>
    <t>U.S. Global GO Gold and Precious Metal Miners ETF</t>
  </si>
  <si>
    <t>GOAU</t>
  </si>
  <si>
    <t>AdvisorShares Dorsey Wright FSM US Core ETF</t>
  </si>
  <si>
    <t>$93.94M</t>
  </si>
  <si>
    <t>DWUS</t>
  </si>
  <si>
    <t>VanEck Natural Resources ETF</t>
  </si>
  <si>
    <t>$93.47M</t>
  </si>
  <si>
    <t>HAP</t>
  </si>
  <si>
    <t>FT Cboe Vest Buffered Allocation Growth ETF</t>
  </si>
  <si>
    <t>$93.38M</t>
  </si>
  <si>
    <t>BUFG</t>
  </si>
  <si>
    <t>iShares MSCI Qatar ETF</t>
  </si>
  <si>
    <t>$93.31M</t>
  </si>
  <si>
    <t>Equity: Qatar - Total Market</t>
  </si>
  <si>
    <t>QAT</t>
  </si>
  <si>
    <t>PIMCO RAFI Dynamic Multi-Factor International Equity ETF</t>
  </si>
  <si>
    <t>$93.18M</t>
  </si>
  <si>
    <t>MFDX</t>
  </si>
  <si>
    <t>ProcureAM</t>
  </si>
  <si>
    <t>Procure Space ETF</t>
  </si>
  <si>
    <t>$92.93M</t>
  </si>
  <si>
    <t>UFO</t>
  </si>
  <si>
    <t>Global X Blockchain ETF</t>
  </si>
  <si>
    <t>$92.91M</t>
  </si>
  <si>
    <t>BKCH</t>
  </si>
  <si>
    <t>WisdomTree Emerging Markets Quality Dividend Growth Fund</t>
  </si>
  <si>
    <t>$92.86M</t>
  </si>
  <si>
    <t>DGRE</t>
  </si>
  <si>
    <t>Direxion Daily CSI 300 China A Share Bull 2X Shares</t>
  </si>
  <si>
    <t>Leveraged Equity: China - Total Market</t>
  </si>
  <si>
    <t>CHAU</t>
  </si>
  <si>
    <t>Acruence Active Hedge U.S. Equity ETF</t>
  </si>
  <si>
    <t>$92.43M</t>
  </si>
  <si>
    <t>XVOL</t>
  </si>
  <si>
    <t>Adasina Social Justice All Cap Global ETF</t>
  </si>
  <si>
    <t>$92.14M</t>
  </si>
  <si>
    <t>JSTC</t>
  </si>
  <si>
    <t>Fidelity International High Dividend ETF</t>
  </si>
  <si>
    <t>$92.13M</t>
  </si>
  <si>
    <t>FIDI</t>
  </si>
  <si>
    <t>Principal Value ETF</t>
  </si>
  <si>
    <t>$91.81M</t>
  </si>
  <si>
    <t>PY</t>
  </si>
  <si>
    <t>FT Cboe Vest U.S. Equity Deep Buffer ETF</t>
  </si>
  <si>
    <t>$91.65M</t>
  </si>
  <si>
    <t>DOCT</t>
  </si>
  <si>
    <t>Direxion Daily Retail Bull 3x Shares</t>
  </si>
  <si>
    <t>$91.63M</t>
  </si>
  <si>
    <t>Leveraged Equity: U.S. Broad Retail</t>
  </si>
  <si>
    <t>RETL</t>
  </si>
  <si>
    <t>iShares MSCI Global Energy Producers ETF</t>
  </si>
  <si>
    <t>$91.07M</t>
  </si>
  <si>
    <t>Equity: Global Oil, Gas &amp; Consumable Fuels</t>
  </si>
  <si>
    <t>FILL</t>
  </si>
  <si>
    <t>Global X Thematic Growth ETF</t>
  </si>
  <si>
    <t>$90.15M</t>
  </si>
  <si>
    <t>GXTG</t>
  </si>
  <si>
    <t>VanEck Gaming ETF</t>
  </si>
  <si>
    <t>$89.85M</t>
  </si>
  <si>
    <t>BJK</t>
  </si>
  <si>
    <t>Invesco S&amp;P SmallCap 600 Equal Weight ETF</t>
  </si>
  <si>
    <t>$89.72M</t>
  </si>
  <si>
    <t>EWSC</t>
  </si>
  <si>
    <t>Invesco MSCI Global Timber ETF</t>
  </si>
  <si>
    <t>$89.66M</t>
  </si>
  <si>
    <t>CUT</t>
  </si>
  <si>
    <t>Invesco S&amp;P 500 Momentum ETF</t>
  </si>
  <si>
    <t>$88.87M</t>
  </si>
  <si>
    <t>SPMO</t>
  </si>
  <si>
    <t>First Trust United Kingdom AlphaDEX Fund</t>
  </si>
  <si>
    <t>$88.71M</t>
  </si>
  <si>
    <t>FKU</t>
  </si>
  <si>
    <t>FT Cboe Vest Nasdaq-100 Buffer ETF - December</t>
  </si>
  <si>
    <t>QDEC</t>
  </si>
  <si>
    <t>SPDR S&amp;P 1500 Momentum Tilt ETF</t>
  </si>
  <si>
    <t>$88.45M</t>
  </si>
  <si>
    <t>MMTM</t>
  </si>
  <si>
    <t>MicroSectors FANG+ Index -3X Inverse Leveraged ETN</t>
  </si>
  <si>
    <t>$87.96M</t>
  </si>
  <si>
    <t>Inverse Equity: U.S. Big Tech</t>
  </si>
  <si>
    <t>FNGD</t>
  </si>
  <si>
    <t>Pacer CFRA-Stovall Equal Weight Seasonal Rotation Index ETF</t>
  </si>
  <si>
    <t>$87.72M</t>
  </si>
  <si>
    <t>SZNE</t>
  </si>
  <si>
    <t>Direxion Daily S&amp;P Oil &amp; Gas Exp. &amp; Prod. Bear 2X Shares</t>
  </si>
  <si>
    <t>$87.69M</t>
  </si>
  <si>
    <t>Inverse Equity: U.S. Oil, Gas &amp; Consumable Fuels</t>
  </si>
  <si>
    <t>DRIP</t>
  </si>
  <si>
    <t>Direxion Work From Home ETF</t>
  </si>
  <si>
    <t>$87.00M</t>
  </si>
  <si>
    <t>Equity: U.S. Remote Work</t>
  </si>
  <si>
    <t>WFH</t>
  </si>
  <si>
    <t>First Trust Germany AlphaDEX Fund</t>
  </si>
  <si>
    <t>$86.70M</t>
  </si>
  <si>
    <t>FGM</t>
  </si>
  <si>
    <t>KraneShares SSE Star Market 50 Index ETF</t>
  </si>
  <si>
    <t>$86.35M</t>
  </si>
  <si>
    <t>KSTR</t>
  </si>
  <si>
    <t>Direxion Daily Technology Bear 3X Shares</t>
  </si>
  <si>
    <t>$86.15M</t>
  </si>
  <si>
    <t>Inverse Equity: U.S. Information Technology</t>
  </si>
  <si>
    <t>TECS</t>
  </si>
  <si>
    <t>Innovator Laddered Fund of U.S. Equity Power Buffer ETFs</t>
  </si>
  <si>
    <t>$86.02M</t>
  </si>
  <si>
    <t>BUFF</t>
  </si>
  <si>
    <t>Direxion Daily S&amp;P 500 High Beta Bull 3X Shares</t>
  </si>
  <si>
    <t>$85.91M</t>
  </si>
  <si>
    <t>HIBL</t>
  </si>
  <si>
    <t>Innovator U.S. Small Cap Power Buffer ETF - April</t>
  </si>
  <si>
    <t>$84.17M</t>
  </si>
  <si>
    <t>KAPR</t>
  </si>
  <si>
    <t>FT Cboe Vest U.S. Equity Buffer ETF - March</t>
  </si>
  <si>
    <t>$84.15M</t>
  </si>
  <si>
    <t>FMAR</t>
  </si>
  <si>
    <t>Timothy Plan International ETF</t>
  </si>
  <si>
    <t>$84.09M</t>
  </si>
  <si>
    <t>TPIF</t>
  </si>
  <si>
    <t>Legg Mason International Low Volatility High Dividend ETF</t>
  </si>
  <si>
    <t>$84.00M</t>
  </si>
  <si>
    <t>LVHI</t>
  </si>
  <si>
    <t>Direxion Daily MSCI India Bull 2X Shares</t>
  </si>
  <si>
    <t>$83.91M</t>
  </si>
  <si>
    <t>Leveraged Equity: India - Total Market</t>
  </si>
  <si>
    <t>INDL</t>
  </si>
  <si>
    <t>iShares MSCI Austria ETF</t>
  </si>
  <si>
    <t>$83.68M</t>
  </si>
  <si>
    <t>Equity: Austria - Total Market</t>
  </si>
  <si>
    <t>EWO</t>
  </si>
  <si>
    <t>PIMCO RAFI Dynamic Multi-Factor U.S. Equity ETF</t>
  </si>
  <si>
    <t>$83.32M</t>
  </si>
  <si>
    <t>MFUS</t>
  </si>
  <si>
    <t>iShares MSCI Ireland ETF</t>
  </si>
  <si>
    <t>$83.10M</t>
  </si>
  <si>
    <t>Equity: Ireland - Total Market</t>
  </si>
  <si>
    <t>EIRL</t>
  </si>
  <si>
    <t>Invesco KBW Regional Banking ETF</t>
  </si>
  <si>
    <t>$82.91M</t>
  </si>
  <si>
    <t>KBWR</t>
  </si>
  <si>
    <t>Innovator S&amp;P 500 Buffer ETF - November</t>
  </si>
  <si>
    <t>$82.73M</t>
  </si>
  <si>
    <t>BNOV</t>
  </si>
  <si>
    <t>BNY Mellon US Small Cap Core Equity ETF</t>
  </si>
  <si>
    <t>$82.68M</t>
  </si>
  <si>
    <t>BKSE</t>
  </si>
  <si>
    <t>iShares MSCI Japan Value ETF</t>
  </si>
  <si>
    <t>$82.49M</t>
  </si>
  <si>
    <t>Equity: Japan - Total Market Value</t>
  </si>
  <si>
    <t>EWJV</t>
  </si>
  <si>
    <t>iShares JPX-Nikkei 400 ETF</t>
  </si>
  <si>
    <t>$82.00M</t>
  </si>
  <si>
    <t>JPXN</t>
  </si>
  <si>
    <t>FT Cboe Vest U.S. Equity Deep Buffer ETF - May</t>
  </si>
  <si>
    <t>$81.75M</t>
  </si>
  <si>
    <t>DMAY</t>
  </si>
  <si>
    <t>FlexShares International Quality Dividend Dynamic Index Fund</t>
  </si>
  <si>
    <t>$81.73M</t>
  </si>
  <si>
    <t>IQDY</t>
  </si>
  <si>
    <t>iShares MSCI Global Agriculture Producers ETF</t>
  </si>
  <si>
    <t>$81.65M</t>
  </si>
  <si>
    <t>VEGI</t>
  </si>
  <si>
    <t>ETRACS Alerian MLP Index ETN Series B</t>
  </si>
  <si>
    <t>$81.62M</t>
  </si>
  <si>
    <t>AMUB</t>
  </si>
  <si>
    <t>SPDR MSCI Emerging Markets StrategicFactors ETF</t>
  </si>
  <si>
    <t>$81.50M</t>
  </si>
  <si>
    <t>QEMM</t>
  </si>
  <si>
    <t>KraneShares Emerging Markets Consumer Technology Index ETF</t>
  </si>
  <si>
    <t>$80.67M</t>
  </si>
  <si>
    <t>Equity: Emerging Markets Information Technology</t>
  </si>
  <si>
    <t>KEMQ</t>
  </si>
  <si>
    <t>Global X MSCI SuperDividend Emerging Markets ETF</t>
  </si>
  <si>
    <t>$80.50M</t>
  </si>
  <si>
    <t>SDEM</t>
  </si>
  <si>
    <t>Alpha Architect U.S. Quantitative Momentum ETF</t>
  </si>
  <si>
    <t>$80.24M</t>
  </si>
  <si>
    <t>QMOM</t>
  </si>
  <si>
    <t>FCF International Quality ETF</t>
  </si>
  <si>
    <t>$79.98M</t>
  </si>
  <si>
    <t>TTAI</t>
  </si>
  <si>
    <t>Donoghue Forlines Risk Managed Innovation ETF</t>
  </si>
  <si>
    <t>$79.00M</t>
  </si>
  <si>
    <t>DFNV</t>
  </si>
  <si>
    <t>WisdomTree CBOE S&amp;P 500 PutWrite Strategy Fund</t>
  </si>
  <si>
    <t>$78.57M</t>
  </si>
  <si>
    <t>PUTW</t>
  </si>
  <si>
    <t>AdvisorShares Ranger Equity Bear ETF</t>
  </si>
  <si>
    <t>$78.12M</t>
  </si>
  <si>
    <t>Inverse Equity: U.S. - Total Market</t>
  </si>
  <si>
    <t>HDGE</t>
  </si>
  <si>
    <t>Global X Data Center REITs and Digital Infrastructure ETF</t>
  </si>
  <si>
    <t>$78.06M</t>
  </si>
  <si>
    <t>Equity: Global Specialized REITs</t>
  </si>
  <si>
    <t>VPN</t>
  </si>
  <si>
    <t>Global X Cannabis ETF</t>
  </si>
  <si>
    <t>$78.01M</t>
  </si>
  <si>
    <t>Equity: Developed Markets Cannabis</t>
  </si>
  <si>
    <t>POTX</t>
  </si>
  <si>
    <t>Innovator U.S. Equity Buffer ETF - August</t>
  </si>
  <si>
    <t>$77.98M</t>
  </si>
  <si>
    <t>BAUG</t>
  </si>
  <si>
    <t>Pacer Developed Markets International Cash Cows 100 ETF</t>
  </si>
  <si>
    <t>ICOW</t>
  </si>
  <si>
    <t>Innovator U.S. Equity Buffer ETF - December</t>
  </si>
  <si>
    <t>$77.42M</t>
  </si>
  <si>
    <t>BDEC</t>
  </si>
  <si>
    <t>VictoryShares U.S. Discovery Enhanced Volatility Wtd ETF</t>
  </si>
  <si>
    <t>$77.34M</t>
  </si>
  <si>
    <t>CSF</t>
  </si>
  <si>
    <t>First Trust NASDAQ Global Auto Index Fund</t>
  </si>
  <si>
    <t>$77.26M</t>
  </si>
  <si>
    <t>Equity: Global Automobiles</t>
  </si>
  <si>
    <t>CARZ</t>
  </si>
  <si>
    <t>Invesco KBW Property &amp; Casualty Insurance ETF</t>
  </si>
  <si>
    <t>$77.02M</t>
  </si>
  <si>
    <t>Equity: U.S. Property &amp; Casualty Insurance</t>
  </si>
  <si>
    <t>KBWP</t>
  </si>
  <si>
    <t>Exponential ETFs</t>
  </si>
  <si>
    <t>American Customer Satisfaction ETF</t>
  </si>
  <si>
    <t>$76.95M</t>
  </si>
  <si>
    <t>ACSI</t>
  </si>
  <si>
    <t>Pettee Investors</t>
  </si>
  <si>
    <t>Hoya Capital Housing ETF</t>
  </si>
  <si>
    <t>$76.86M</t>
  </si>
  <si>
    <t>HOMZ</t>
  </si>
  <si>
    <t>Vesper U.S. Large Cap Short-Term Reversal Strategy ETF</t>
  </si>
  <si>
    <t>$76.63M</t>
  </si>
  <si>
    <t>UTRN</t>
  </si>
  <si>
    <t>FlexShares Developed Markets ex-US Quality Low Volatility In</t>
  </si>
  <si>
    <t>$76.51M</t>
  </si>
  <si>
    <t>QLVD</t>
  </si>
  <si>
    <t>iShares ESG MSCI EM Leaders ETF</t>
  </si>
  <si>
    <t>$76.31M</t>
  </si>
  <si>
    <t>LDEM</t>
  </si>
  <si>
    <t>First Trust Eurozone AlphaDEX ETF</t>
  </si>
  <si>
    <t>$76.28M</t>
  </si>
  <si>
    <t>FEUZ</t>
  </si>
  <si>
    <t>LeaderShares Activist Leaders ETF</t>
  </si>
  <si>
    <t>$76.23M</t>
  </si>
  <si>
    <t>ACTV</t>
  </si>
  <si>
    <t>Direxion Moonshot Innovators ETF</t>
  </si>
  <si>
    <t>$76.14M</t>
  </si>
  <si>
    <t>Equity: U.S. Broad Thematic</t>
  </si>
  <si>
    <t>MOON</t>
  </si>
  <si>
    <t>Innovator Defined Wealth Shield ETF</t>
  </si>
  <si>
    <t>$75.64M</t>
  </si>
  <si>
    <t>BALT</t>
  </si>
  <si>
    <t>First Trust Horizon Managed Volatility Developed Internation</t>
  </si>
  <si>
    <t>$75.28M</t>
  </si>
  <si>
    <t>HDMV</t>
  </si>
  <si>
    <t>Columbia EM Core ex-China ETF</t>
  </si>
  <si>
    <t>$74.72M</t>
  </si>
  <si>
    <t>XCEM</t>
  </si>
  <si>
    <t>VanEck India Growth Leaders</t>
  </si>
  <si>
    <t>$74.12M</t>
  </si>
  <si>
    <t>Equity: India - Total Market Growth</t>
  </si>
  <si>
    <t>GLIN</t>
  </si>
  <si>
    <t>VanEck Israel ETF</t>
  </si>
  <si>
    <t>$73.92M</t>
  </si>
  <si>
    <t>ISRA</t>
  </si>
  <si>
    <t>VanEck Indonesia Index ETF</t>
  </si>
  <si>
    <t>$73.66M</t>
  </si>
  <si>
    <t>IDX</t>
  </si>
  <si>
    <t>Direxion Daily Mid Cap Bull 3x Shares</t>
  </si>
  <si>
    <t>$73.60M</t>
  </si>
  <si>
    <t>Leveraged Equity: U.S. - Mid Cap</t>
  </si>
  <si>
    <t>MIDU</t>
  </si>
  <si>
    <t>Pacer Swan SOS Fund of Funds ETF</t>
  </si>
  <si>
    <t>$72.88M</t>
  </si>
  <si>
    <t>PSFF</t>
  </si>
  <si>
    <t>Alerian Energy Infrastructure ETF</t>
  </si>
  <si>
    <t>ENFR</t>
  </si>
  <si>
    <t>GeaSphere LLC</t>
  </si>
  <si>
    <t>Alpha Dog ETF</t>
  </si>
  <si>
    <t>$72.86M</t>
  </si>
  <si>
    <t>RUFF</t>
  </si>
  <si>
    <t>VanEck Environmental Services ETF</t>
  </si>
  <si>
    <t>$72.84M</t>
  </si>
  <si>
    <t>EVX</t>
  </si>
  <si>
    <t>Global X MSCI Norway ETF</t>
  </si>
  <si>
    <t>$72.57M</t>
  </si>
  <si>
    <t>Equity: Norway - Total Market</t>
  </si>
  <si>
    <t>NORW</t>
  </si>
  <si>
    <t>Principal Healthcare Innovators Index ETF</t>
  </si>
  <si>
    <t>$72.30M</t>
  </si>
  <si>
    <t>BTEC</t>
  </si>
  <si>
    <t>iShares MSCI Japan Small-Cap ETF</t>
  </si>
  <si>
    <t>$72.08M</t>
  </si>
  <si>
    <t>SCJ</t>
  </si>
  <si>
    <t>John Hancock Multifactor Technology ETF</t>
  </si>
  <si>
    <t>$71.95M</t>
  </si>
  <si>
    <t>JHMT</t>
  </si>
  <si>
    <t>Hartford Large Cap Growth ETF</t>
  </si>
  <si>
    <t>$71.72M</t>
  </si>
  <si>
    <t>HFGO</t>
  </si>
  <si>
    <t>SPDR S&amp;P Telecom ETF</t>
  </si>
  <si>
    <t>$71.47M</t>
  </si>
  <si>
    <t>XTL</t>
  </si>
  <si>
    <t>WisdomTree Europe Quality Dividend Growth Fund</t>
  </si>
  <si>
    <t>$71.40M</t>
  </si>
  <si>
    <t>EUDG</t>
  </si>
  <si>
    <t>FlexShares International Quality Dividend Defensive Index Fu</t>
  </si>
  <si>
    <t>$71.13M</t>
  </si>
  <si>
    <t>IQDE</t>
  </si>
  <si>
    <t>iShares MSCI China Small-Cap ETF</t>
  </si>
  <si>
    <t>$70.75M</t>
  </si>
  <si>
    <t>Equity: China - Small Cap</t>
  </si>
  <si>
    <t>ECNS</t>
  </si>
  <si>
    <t>FT Cboe Vest U.S. Equity Deep Buffer ETF - July</t>
  </si>
  <si>
    <t>$70.66M</t>
  </si>
  <si>
    <t>DJUL</t>
  </si>
  <si>
    <t>Innovator International Developed Power Buffer ETF - January</t>
  </si>
  <si>
    <t>$70.56M</t>
  </si>
  <si>
    <t>IJAN</t>
  </si>
  <si>
    <t>Beyond Investing</t>
  </si>
  <si>
    <t>U.S. Vegan Climate ETF</t>
  </si>
  <si>
    <t>$70.11M</t>
  </si>
  <si>
    <t>Equity: U.S. Agriculture</t>
  </si>
  <si>
    <t>VEGN</t>
  </si>
  <si>
    <t>Fidelity Small-Mid Multifactor ETF</t>
  </si>
  <si>
    <t>$69.65M</t>
  </si>
  <si>
    <t>FSMD</t>
  </si>
  <si>
    <t>Alpha Architect International Quantitative Momentum ETF</t>
  </si>
  <si>
    <t>$69.12M</t>
  </si>
  <si>
    <t>IMOM</t>
  </si>
  <si>
    <t>MicroSectors FANG+ ETN</t>
  </si>
  <si>
    <t>$69.07M</t>
  </si>
  <si>
    <t>Equity: U.S. Big Tech</t>
  </si>
  <si>
    <t>FNGS</t>
  </si>
  <si>
    <t>Innovator U.S. Equity Ultra Buffer ETF - October</t>
  </si>
  <si>
    <t>$69.03M</t>
  </si>
  <si>
    <t>UOCT</t>
  </si>
  <si>
    <t>Amplify Seymour Cannabis ETF</t>
  </si>
  <si>
    <t>$69.02M</t>
  </si>
  <si>
    <t>CNBS</t>
  </si>
  <si>
    <t>Avantis Emerging Markets Value ETF</t>
  </si>
  <si>
    <t>$68.67M</t>
  </si>
  <si>
    <t>Equity: Emerging Markets - Total Market Value</t>
  </si>
  <si>
    <t>AVES</t>
  </si>
  <si>
    <t>Invesco S&amp;P Spin-Off ETF</t>
  </si>
  <si>
    <t>$68.40M</t>
  </si>
  <si>
    <t>CSD</t>
  </si>
  <si>
    <t>Direxion Daily Junior Gold Miners Index Bear 2X Shares</t>
  </si>
  <si>
    <t>$68.03M</t>
  </si>
  <si>
    <t>Inverse Equity: Global Gold Miners</t>
  </si>
  <si>
    <t>JDST</t>
  </si>
  <si>
    <t>ETRACS Alerian Midstream Energy Index ETN</t>
  </si>
  <si>
    <t>$67.76M</t>
  </si>
  <si>
    <t>AMNA</t>
  </si>
  <si>
    <t>VanEck Morningstar International Moat ETF</t>
  </si>
  <si>
    <t>$67.71M</t>
  </si>
  <si>
    <t>MOTI</t>
  </si>
  <si>
    <t>FT Cboe Vest U.S. Equity Deep Buffer ETF - June</t>
  </si>
  <si>
    <t>$67.65M</t>
  </si>
  <si>
    <t>DJUN</t>
  </si>
  <si>
    <t>Pacer Trendpilot Fund of Funds ETF</t>
  </si>
  <si>
    <t>$67.15M</t>
  </si>
  <si>
    <t>TRND</t>
  </si>
  <si>
    <t>Innovator U.S. Equity Buffer ETF - May</t>
  </si>
  <si>
    <t>$66.88M</t>
  </si>
  <si>
    <t>BMAY</t>
  </si>
  <si>
    <t>AdvisorShares Dorsey Wright ADR ETF</t>
  </si>
  <si>
    <t>$66.08M</t>
  </si>
  <si>
    <t>AADR</t>
  </si>
  <si>
    <t>WBI</t>
  </si>
  <si>
    <t>WBI Power Factor High Dividend ETF</t>
  </si>
  <si>
    <t>$65.64M</t>
  </si>
  <si>
    <t>WBIY</t>
  </si>
  <si>
    <t>Innovator Loup Frontier Tech ETF</t>
  </si>
  <si>
    <t>$65.39M</t>
  </si>
  <si>
    <t>LOUP</t>
  </si>
  <si>
    <t>AdvisorShares Alpha DNA Equity Sentiment ETF</t>
  </si>
  <si>
    <t>$65.35M</t>
  </si>
  <si>
    <t>SENT</t>
  </si>
  <si>
    <t>WisdomTree Global High Dividend Fund</t>
  </si>
  <si>
    <t>$65.08M</t>
  </si>
  <si>
    <t>DEW</t>
  </si>
  <si>
    <t>Timothy Plan U.S. Large/Mid Cap Core Enhanced ETF</t>
  </si>
  <si>
    <t>$64.55M</t>
  </si>
  <si>
    <t>TPLE</t>
  </si>
  <si>
    <t>FT Cboe Vest U.S. Equity Deep Buffer ETF - January</t>
  </si>
  <si>
    <t>DJAN</t>
  </si>
  <si>
    <t>iShares International Developed Property ETF</t>
  </si>
  <si>
    <t>$64.50M</t>
  </si>
  <si>
    <t>WPS</t>
  </si>
  <si>
    <t>Main Thematic Innovation ETF</t>
  </si>
  <si>
    <t>$64.08M</t>
  </si>
  <si>
    <t>TMAT</t>
  </si>
  <si>
    <t>iShares ESG Screened S&amp;P Mid-Cap ETF</t>
  </si>
  <si>
    <t>$63.77M</t>
  </si>
  <si>
    <t>XJH</t>
  </si>
  <si>
    <t>Innovator U.S. Small Cap Power Buffer ETF - July</t>
  </si>
  <si>
    <t>$63.22M</t>
  </si>
  <si>
    <t>KJUL</t>
  </si>
  <si>
    <t>FT Cboe Vest U.S. Equity Deep Buffer ETF - September</t>
  </si>
  <si>
    <t>$62.78M</t>
  </si>
  <si>
    <t>DSEP</t>
  </si>
  <si>
    <t>Innovator U.S. Equity Buffer ETF - February</t>
  </si>
  <si>
    <t>$62.56M</t>
  </si>
  <si>
    <t>BFEB</t>
  </si>
  <si>
    <t>Global X Guru Index ETF</t>
  </si>
  <si>
    <t>$61.91M</t>
  </si>
  <si>
    <t>GURU</t>
  </si>
  <si>
    <t>ETC 6 Meridian Small Cap Equity ETF</t>
  </si>
  <si>
    <t>$61.68M</t>
  </si>
  <si>
    <t>SIXS</t>
  </si>
  <si>
    <t>Innovator U.S. Equity Buffer ETF - June</t>
  </si>
  <si>
    <t>$61.66M</t>
  </si>
  <si>
    <t>BJUN</t>
  </si>
  <si>
    <t>Innovator U.S. Equity Ultra Buffer ETF - September</t>
  </si>
  <si>
    <t>$61.52M</t>
  </si>
  <si>
    <t>USEP</t>
  </si>
  <si>
    <t>Cavalier16</t>
  </si>
  <si>
    <t>AI Quality Growth ETF</t>
  </si>
  <si>
    <t>$61.51M</t>
  </si>
  <si>
    <t>AQGX</t>
  </si>
  <si>
    <t>Donoghue Forlines Yield Enhanced Real Asset ETF</t>
  </si>
  <si>
    <t>$61.43M</t>
  </si>
  <si>
    <t>DFRA</t>
  </si>
  <si>
    <t>Franklin FTSE South Korea ETF</t>
  </si>
  <si>
    <t>$61.04M</t>
  </si>
  <si>
    <t>FLKR</t>
  </si>
  <si>
    <t>EntrepreneurShares, LLC</t>
  </si>
  <si>
    <t>ERShares Entrepreneurs ETF</t>
  </si>
  <si>
    <t>$60.89M</t>
  </si>
  <si>
    <t>ENTR</t>
  </si>
  <si>
    <t>First Trust Dow Jones International Internet ETF</t>
  </si>
  <si>
    <t>$60.71M</t>
  </si>
  <si>
    <t>Equity: Global Ex-U.S. Internet</t>
  </si>
  <si>
    <t>FDNI</t>
  </si>
  <si>
    <t>VanEck Africa Index ETF</t>
  </si>
  <si>
    <t>$60.60M</t>
  </si>
  <si>
    <t>Equity: Africa - Total Market</t>
  </si>
  <si>
    <t>AFK</t>
  </si>
  <si>
    <t>T. Rowe Price Equity Income ETF</t>
  </si>
  <si>
    <t>$60.42M</t>
  </si>
  <si>
    <t>TEQI</t>
  </si>
  <si>
    <t>Innovator Nasdaq-100 Power Buffer ETF - October</t>
  </si>
  <si>
    <t>$60.40M</t>
  </si>
  <si>
    <t>NOCT</t>
  </si>
  <si>
    <t>Fidelity New Millennium ETF</t>
  </si>
  <si>
    <t>$60.36M</t>
  </si>
  <si>
    <t>FMIL</t>
  </si>
  <si>
    <t>FT Cboe Vest Buffered Allocation Defensive ETF</t>
  </si>
  <si>
    <t>$60.30M</t>
  </si>
  <si>
    <t>BUFT</t>
  </si>
  <si>
    <t>First Trust India NIFTY 50 Equal Weight ETF</t>
  </si>
  <si>
    <t>$60.09M</t>
  </si>
  <si>
    <t>NFTY</t>
  </si>
  <si>
    <t>Sterling Capital Focus Equity ETF</t>
  </si>
  <si>
    <t>$59.38M</t>
  </si>
  <si>
    <t>LCG</t>
  </si>
  <si>
    <t>Ecofin Global Water ESG Fund</t>
  </si>
  <si>
    <t>$59.09M</t>
  </si>
  <si>
    <t>Equity: Developed Markets Water</t>
  </si>
  <si>
    <t>EBLU</t>
  </si>
  <si>
    <t>Global X Aging Population ETF</t>
  </si>
  <si>
    <t>$58.57M</t>
  </si>
  <si>
    <t>Equity: Developed Markets Consumer</t>
  </si>
  <si>
    <t>AGNG</t>
  </si>
  <si>
    <t>WisdomTree Europe Hedged SmallCap Equity Fund</t>
  </si>
  <si>
    <t>$58.48M</t>
  </si>
  <si>
    <t>EUSC</t>
  </si>
  <si>
    <t>Direxion Daily S&amp;P Biotech Bear 3X Shares</t>
  </si>
  <si>
    <t>$58.20M</t>
  </si>
  <si>
    <t>Inverse Equity: U.S. Biotechnology</t>
  </si>
  <si>
    <t>LABD</t>
  </si>
  <si>
    <t>Direxion Daily Transportation Bull 3X Shares</t>
  </si>
  <si>
    <t>$57.82M</t>
  </si>
  <si>
    <t>Leveraged Equity: U.S. Transportation</t>
  </si>
  <si>
    <t>TPOR</t>
  </si>
  <si>
    <t>iShares Currency Hedged MSCI Germany ETF</t>
  </si>
  <si>
    <t>$57.75M</t>
  </si>
  <si>
    <t>HEWG</t>
  </si>
  <si>
    <t>Innovator U.S. Equity Buffer ETF - March</t>
  </si>
  <si>
    <t>$57.33M</t>
  </si>
  <si>
    <t>BMAR</t>
  </si>
  <si>
    <t>Xtrackers FTSE Developed ex U.S. Multifactor ETF</t>
  </si>
  <si>
    <t>$57.10M</t>
  </si>
  <si>
    <t>DEEF</t>
  </si>
  <si>
    <t>Roundhill BITKRAFT Esports &amp; Digital Entertainment ETF</t>
  </si>
  <si>
    <t>$56.89M</t>
  </si>
  <si>
    <t>NERD</t>
  </si>
  <si>
    <t>WisdomTree Global ex-U.S. Real Estate Fund</t>
  </si>
  <si>
    <t>$56.80M</t>
  </si>
  <si>
    <t>DRW</t>
  </si>
  <si>
    <t>Invesco S&amp;P 500 ex-Rate Sensitive Low Volatility ETF</t>
  </si>
  <si>
    <t>$56.50M</t>
  </si>
  <si>
    <t>XRLV</t>
  </si>
  <si>
    <t>JPMorgan International Growth ETF</t>
  </si>
  <si>
    <t>$56.27M</t>
  </si>
  <si>
    <t>Equity: Global Ex-U.S. - Total Market Growth</t>
  </si>
  <si>
    <t>JIG</t>
  </si>
  <si>
    <t>Siren DIVCON Leaders Dividend ETF</t>
  </si>
  <si>
    <t>$56.21M</t>
  </si>
  <si>
    <t>LEAD</t>
  </si>
  <si>
    <t>ETRACS Linked to Wells Fargo Business Development Co Index E</t>
  </si>
  <si>
    <t>$56.09M</t>
  </si>
  <si>
    <t>BDCZ</t>
  </si>
  <si>
    <t>KraneShares CICC China Consumer Leaders Index ETF</t>
  </si>
  <si>
    <t>$56.06M</t>
  </si>
  <si>
    <t>Equity: China Consumer</t>
  </si>
  <si>
    <t>KBUY</t>
  </si>
  <si>
    <t>Direxion Daily FTSE China Bear 3X Shares</t>
  </si>
  <si>
    <t>$55.81M</t>
  </si>
  <si>
    <t>Inverse Equity: China - Large Cap</t>
  </si>
  <si>
    <t>YANG</t>
  </si>
  <si>
    <t>AdvisorShares Dorsey Wright Alpha Equal Weight ETF</t>
  </si>
  <si>
    <t>$55.67M</t>
  </si>
  <si>
    <t>DWEQ</t>
  </si>
  <si>
    <t>The SPAC and New Issue ETF</t>
  </si>
  <si>
    <t>$55.63M</t>
  </si>
  <si>
    <t>SPCX</t>
  </si>
  <si>
    <t>Absolute Investment Advisers LLC</t>
  </si>
  <si>
    <t>Absolute Core Strategy ETF</t>
  </si>
  <si>
    <t>$55.36M</t>
  </si>
  <si>
    <t>ABEQ</t>
  </si>
  <si>
    <t>Oneascent Holdings LLC</t>
  </si>
  <si>
    <t>OneAscent Large Cap Core ETF</t>
  </si>
  <si>
    <t>$54.90M</t>
  </si>
  <si>
    <t>OALC</t>
  </si>
  <si>
    <t>Direxion Daily Gold Miners Index Bear 2x Shares</t>
  </si>
  <si>
    <t>$54.79M</t>
  </si>
  <si>
    <t>DUST</t>
  </si>
  <si>
    <t>Invesco Dynamic Media ETF</t>
  </si>
  <si>
    <t>$54.38M</t>
  </si>
  <si>
    <t>Equity: U.S. Media &amp; Entertainment</t>
  </si>
  <si>
    <t>PBS</t>
  </si>
  <si>
    <t>Innovator International Developed Power Buffer ETF - July</t>
  </si>
  <si>
    <t>$53.24M</t>
  </si>
  <si>
    <t>IJUL</t>
  </si>
  <si>
    <t>JPMorgan U.S. Dividend ETF</t>
  </si>
  <si>
    <t>$53.17M</t>
  </si>
  <si>
    <t>JDIV</t>
  </si>
  <si>
    <t>Defiance Next Gen H2 ETF</t>
  </si>
  <si>
    <t>$52.76M</t>
  </si>
  <si>
    <t>HDRO</t>
  </si>
  <si>
    <t>Direxion Daily S&amp;P 500 Bull 2X Shares</t>
  </si>
  <si>
    <t>$52.73M</t>
  </si>
  <si>
    <t>SPUU</t>
  </si>
  <si>
    <t>Franklin LibertyQ U.S. Mid Cap Equity ETF</t>
  </si>
  <si>
    <t>$52.70M</t>
  </si>
  <si>
    <t>FLQM</t>
  </si>
  <si>
    <t>Timothy Plan US Small Cap Core ETF</t>
  </si>
  <si>
    <t>$52.46M</t>
  </si>
  <si>
    <t>TPSC</t>
  </si>
  <si>
    <t>Roundhill Acquirers Deep Value ETF</t>
  </si>
  <si>
    <t>$52.40M</t>
  </si>
  <si>
    <t>DEEP</t>
  </si>
  <si>
    <t>VanEck Morningstar Durable Dividend ETF</t>
  </si>
  <si>
    <t>DURA</t>
  </si>
  <si>
    <t>Advisors Asset Management</t>
  </si>
  <si>
    <t>AAM S&amp;P 500 High Dividend Value ETF</t>
  </si>
  <si>
    <t>$52.38M</t>
  </si>
  <si>
    <t>SPDV</t>
  </si>
  <si>
    <t>SPDR MSCI World StrategicFactors ETF</t>
  </si>
  <si>
    <t>$52.29M</t>
  </si>
  <si>
    <t>QWLD</t>
  </si>
  <si>
    <t>Fidelity Growth Opportunities ETF</t>
  </si>
  <si>
    <t>$52.02M</t>
  </si>
  <si>
    <t>FGRO</t>
  </si>
  <si>
    <t>iShares MSCI Norway ETF</t>
  </si>
  <si>
    <t>$51.32M</t>
  </si>
  <si>
    <t>ENOR</t>
  </si>
  <si>
    <t>Global X Nasdaq 100 Covered Call &amp; Growth ETF</t>
  </si>
  <si>
    <t>$51.27M</t>
  </si>
  <si>
    <t>QYLG</t>
  </si>
  <si>
    <t>Cambria Foreign Shareholder Yield ETF</t>
  </si>
  <si>
    <t>$51.21M</t>
  </si>
  <si>
    <t>FYLD</t>
  </si>
  <si>
    <t>Direxion Daily Russia Bull 2X Shares</t>
  </si>
  <si>
    <t>$50.93M</t>
  </si>
  <si>
    <t>Leveraged Equity: Russia - Total Market</t>
  </si>
  <si>
    <t>RUSL</t>
  </si>
  <si>
    <t>Invesco PHLX Semiconductor ETF</t>
  </si>
  <si>
    <t>$50.80M</t>
  </si>
  <si>
    <t>SOXQ</t>
  </si>
  <si>
    <t>Franklin FTSE Taiwan ETF</t>
  </si>
  <si>
    <t>$50.29M</t>
  </si>
  <si>
    <t>FLTW</t>
  </si>
  <si>
    <t>Rayliant Investment Research</t>
  </si>
  <si>
    <t>Rayliant Quantamental China Equity ETF</t>
  </si>
  <si>
    <t>$50.10M</t>
  </si>
  <si>
    <t>RAYC</t>
  </si>
  <si>
    <t>AllianzIM U.S. Large Cap Buffer10 Jan ETF</t>
  </si>
  <si>
    <t>$50.09M</t>
  </si>
  <si>
    <t>AZAJ</t>
  </si>
  <si>
    <t>O?셎hares Europe Quality Dividend ETF</t>
  </si>
  <si>
    <t>$49.68M</t>
  </si>
  <si>
    <t>OEUR</t>
  </si>
  <si>
    <t>ETRACS Alerian Midstream Energy Total Return Index ETN</t>
  </si>
  <si>
    <t>$49.65M</t>
  </si>
  <si>
    <t>AMTR</t>
  </si>
  <si>
    <t>Invesco S&amp;P SmallCap Consumer Staples ETF</t>
  </si>
  <si>
    <t>$49.64M</t>
  </si>
  <si>
    <t>PSCC</t>
  </si>
  <si>
    <t>First Trust Dorsey Wright Momentum &amp; Dividend ETF</t>
  </si>
  <si>
    <t>$49.44M</t>
  </si>
  <si>
    <t>DDIV</t>
  </si>
  <si>
    <t>Pacer Trendpilot European Index ETF</t>
  </si>
  <si>
    <t>$49.38M</t>
  </si>
  <si>
    <t>PTEU</t>
  </si>
  <si>
    <t>Vanguard U.S. Minimum Volatility ETF</t>
  </si>
  <si>
    <t>$49.28M</t>
  </si>
  <si>
    <t>VFMV</t>
  </si>
  <si>
    <t>WisdomTree Dynamic Currency Hedged International SmallCap Eq</t>
  </si>
  <si>
    <t>$49.27M</t>
  </si>
  <si>
    <t>DDLS</t>
  </si>
  <si>
    <t>Fidelity Magellan ETF</t>
  </si>
  <si>
    <t>$49.17M</t>
  </si>
  <si>
    <t>FMAG</t>
  </si>
  <si>
    <t>Invesco S&amp;P SmallCap 600 QVM Multi-Factor ETF</t>
  </si>
  <si>
    <t>$49.08M</t>
  </si>
  <si>
    <t>QVMS</t>
  </si>
  <si>
    <t>MicroSectors U.S. Big Oil Index -3X Inverse Leveraged ETN</t>
  </si>
  <si>
    <t>$48.67M</t>
  </si>
  <si>
    <t>NRGD</t>
  </si>
  <si>
    <t>Franklin FTSE Switzerland ETF</t>
  </si>
  <si>
    <t>$48.48M</t>
  </si>
  <si>
    <t>FLSW</t>
  </si>
  <si>
    <t>Large Cap Growth Index-Linked ETN</t>
  </si>
  <si>
    <t>$48.42M</t>
  </si>
  <si>
    <t>FRLG</t>
  </si>
  <si>
    <t>Invesco Dynamic Networking ETF</t>
  </si>
  <si>
    <t>$48.41M</t>
  </si>
  <si>
    <t>PXQ</t>
  </si>
  <si>
    <t>Vanguard U.S. Liquidity Factor ETF</t>
  </si>
  <si>
    <t>$48.19M</t>
  </si>
  <si>
    <t>VFLQ</t>
  </si>
  <si>
    <t>Franklin FTSE India ETF</t>
  </si>
  <si>
    <t>$48.05M</t>
  </si>
  <si>
    <t>FLIN</t>
  </si>
  <si>
    <t>Global X Gold Explorers ETF</t>
  </si>
  <si>
    <t>$48.02M</t>
  </si>
  <si>
    <t>GOEX</t>
  </si>
  <si>
    <t>Timothy Plan High Dividend Stock Enhanced ETF</t>
  </si>
  <si>
    <t>$47.94M</t>
  </si>
  <si>
    <t>TPHE</t>
  </si>
  <si>
    <t>Inverdale Capital Management LLC</t>
  </si>
  <si>
    <t>Ballast Small/Mid Cap ETF</t>
  </si>
  <si>
    <t>$47.84M</t>
  </si>
  <si>
    <t>MGMT</t>
  </si>
  <si>
    <t>Janus Henderson Net Zero Transition Resources ETF</t>
  </si>
  <si>
    <t>$47.63M</t>
  </si>
  <si>
    <t>JZRO</t>
  </si>
  <si>
    <t>Invesco S&amp;P SmallCap Financials ETF</t>
  </si>
  <si>
    <t>$47.46M</t>
  </si>
  <si>
    <t>PSCF</t>
  </si>
  <si>
    <t>WBI BullBear Value 3000 ETF</t>
  </si>
  <si>
    <t>WBIF</t>
  </si>
  <si>
    <t>AdvisorShares DoubleLine Value Equity ETF</t>
  </si>
  <si>
    <t>$47.27M</t>
  </si>
  <si>
    <t>DBLV</t>
  </si>
  <si>
    <t>First Trust RiverFront Dynamic Emerging Markets ETF</t>
  </si>
  <si>
    <t>$47.25M</t>
  </si>
  <si>
    <t>RFEM</t>
  </si>
  <si>
    <t>SPDR S&amp;P Kensho Intelligent Structures ETF</t>
  </si>
  <si>
    <t>$46.79M</t>
  </si>
  <si>
    <t>SIMS</t>
  </si>
  <si>
    <t>First Trust BuyWrite Income ETF</t>
  </si>
  <si>
    <t>$46.67M</t>
  </si>
  <si>
    <t>FTHI</t>
  </si>
  <si>
    <t>Cohanzick Management</t>
  </si>
  <si>
    <t>CrossingBridge Pre-Merger SPAC ETF</t>
  </si>
  <si>
    <t>$46.65M</t>
  </si>
  <si>
    <t>SPC</t>
  </si>
  <si>
    <t>TrueMark Investments</t>
  </si>
  <si>
    <t>TrueShares Low Volatility Equity Income ETF</t>
  </si>
  <si>
    <t>$46.53M</t>
  </si>
  <si>
    <t>DIVZ</t>
  </si>
  <si>
    <t>iShares Asia/Pacific Dividend ETF</t>
  </si>
  <si>
    <t>$46.40M</t>
  </si>
  <si>
    <t>Equity: Asia-Pacific - High Dividend Yield</t>
  </si>
  <si>
    <t>DVYA</t>
  </si>
  <si>
    <t>Innovator Growth-100 Power Buffer ETF - July</t>
  </si>
  <si>
    <t>$46.26M</t>
  </si>
  <si>
    <t>NJUL</t>
  </si>
  <si>
    <t>First Trust S&amp;P International Dividend Aristocrats ETF</t>
  </si>
  <si>
    <t>$46.21M</t>
  </si>
  <si>
    <t>FID</t>
  </si>
  <si>
    <t>Invesco RAFI Strategic US Small Company ETF</t>
  </si>
  <si>
    <t>$45.56M</t>
  </si>
  <si>
    <t>IUSS</t>
  </si>
  <si>
    <t>Innovator U.S. Equity Ultra Buffer ETF - July</t>
  </si>
  <si>
    <t>$45.34M</t>
  </si>
  <si>
    <t>UJUL</t>
  </si>
  <si>
    <t>SoFi Next 500 ETF</t>
  </si>
  <si>
    <t>$45.30M</t>
  </si>
  <si>
    <t>SFYX</t>
  </si>
  <si>
    <t>KFA Large Cap Quality Dividend Index ETF</t>
  </si>
  <si>
    <t>$44.83M</t>
  </si>
  <si>
    <t>KLCD</t>
  </si>
  <si>
    <t>Invesco DWA Utilities Momentum ETF</t>
  </si>
  <si>
    <t>$44.66M</t>
  </si>
  <si>
    <t>PUI</t>
  </si>
  <si>
    <t>Invesco S&amp;P SmallCap Consumer Discretionary ETF</t>
  </si>
  <si>
    <t>$44.39M</t>
  </si>
  <si>
    <t>PSCD</t>
  </si>
  <si>
    <t>ETF Series Solutions</t>
  </si>
  <si>
    <t>The Acquirers Fund</t>
  </si>
  <si>
    <t>$44.15M</t>
  </si>
  <si>
    <t>ZIG</t>
  </si>
  <si>
    <t>Syntax Stratified US Total Market Hedged ETF</t>
  </si>
  <si>
    <t>$44.05M</t>
  </si>
  <si>
    <t>SHUS</t>
  </si>
  <si>
    <t>IQ U.S. Real Estate Small Cap ETF</t>
  </si>
  <si>
    <t>$43.87M</t>
  </si>
  <si>
    <t>ROOF</t>
  </si>
  <si>
    <t>T. Rowe Price Growth Stock ETF</t>
  </si>
  <si>
    <t>$43.58M</t>
  </si>
  <si>
    <t>TGRW</t>
  </si>
  <si>
    <t>Direxion Daily S&amp;P 500 High Beta Bear 3X Shares</t>
  </si>
  <si>
    <t>$43.46M</t>
  </si>
  <si>
    <t>HIBS</t>
  </si>
  <si>
    <t>Global X MSCI Nigeria ETF</t>
  </si>
  <si>
    <t>$43.45M</t>
  </si>
  <si>
    <t>Equity: Nigeria - Total Market</t>
  </si>
  <si>
    <t>NGE</t>
  </si>
  <si>
    <t>Fidelity Electric Vehicles and Future Transportation ETF</t>
  </si>
  <si>
    <t>$43.41M</t>
  </si>
  <si>
    <t>FDRV</t>
  </si>
  <si>
    <t>WBI BullBear Yield 3000 ETF</t>
  </si>
  <si>
    <t>$43.40M</t>
  </si>
  <si>
    <t>WBIG</t>
  </si>
  <si>
    <t>John Hancock Multifactor Healthcare ETF</t>
  </si>
  <si>
    <t>$43.22M</t>
  </si>
  <si>
    <t>JHMH</t>
  </si>
  <si>
    <t>iShares Focused Value Factor ETF</t>
  </si>
  <si>
    <t>$43.05M</t>
  </si>
  <si>
    <t>FOVL</t>
  </si>
  <si>
    <t>Direxion Daily Industrials Bull 3X Shares</t>
  </si>
  <si>
    <t>$42.72M</t>
  </si>
  <si>
    <t>Leveraged Equity: U.S. Industrials</t>
  </si>
  <si>
    <t>DUSL</t>
  </si>
  <si>
    <t>Alpha Architect Value Momentum Trend ETF</t>
  </si>
  <si>
    <t>$42.71M</t>
  </si>
  <si>
    <t>VMOT</t>
  </si>
  <si>
    <t>RiverFront Dynamic U.S. Flex-Cap ETF</t>
  </si>
  <si>
    <t>$42.61M</t>
  </si>
  <si>
    <t>RFFC</t>
  </si>
  <si>
    <t>MicroSectors Gold Miners 3X Leveraged ETN</t>
  </si>
  <si>
    <t>$42.43M</t>
  </si>
  <si>
    <t>GDXU</t>
  </si>
  <si>
    <t>AllianzIM U.S. Large Cap Buffer10 Oct ETF</t>
  </si>
  <si>
    <t>$42.39M</t>
  </si>
  <si>
    <t>AZAO</t>
  </si>
  <si>
    <t>Innovator U.S. Equity Ultra Buffer ETF - April</t>
  </si>
  <si>
    <t>$42.15M</t>
  </si>
  <si>
    <t>UAPR</t>
  </si>
  <si>
    <t>WBI BullBear Quality 3000 ETF</t>
  </si>
  <si>
    <t>$41.92M</t>
  </si>
  <si>
    <t>WBIL</t>
  </si>
  <si>
    <t>VanEck Long/Flat Trend ETF</t>
  </si>
  <si>
    <t>$41.74M</t>
  </si>
  <si>
    <t>LFEQ</t>
  </si>
  <si>
    <t>Direxion Daily Consumer Discretionary Bull 3x Shares</t>
  </si>
  <si>
    <t>$41.63M</t>
  </si>
  <si>
    <t>Leveraged Equity: U.S. Consumer Discretionary</t>
  </si>
  <si>
    <t>WANT</t>
  </si>
  <si>
    <t>Innovator U.S. Equity Ultra Buffer ETF - May</t>
  </si>
  <si>
    <t>$41.62M</t>
  </si>
  <si>
    <t>UMAY</t>
  </si>
  <si>
    <t>Hartford Multifactor Emerging Markets ETF</t>
  </si>
  <si>
    <t>$41.44M</t>
  </si>
  <si>
    <t>ROAM</t>
  </si>
  <si>
    <t>Invesco S&amp;P 500 Equal Weight Communication Services ETF</t>
  </si>
  <si>
    <t>$41.37M</t>
  </si>
  <si>
    <t>EWCO</t>
  </si>
  <si>
    <t>Innovator U.S. Equity Ultra Buffer ETF - December</t>
  </si>
  <si>
    <t>$41.30M</t>
  </si>
  <si>
    <t>UDEC</t>
  </si>
  <si>
    <t>Innovator Russell 2000 Power Buffer ETF - October</t>
  </si>
  <si>
    <t>$41.25M</t>
  </si>
  <si>
    <t>KOCT</t>
  </si>
  <si>
    <t xml:space="preserve">ETRACS 2xMonthly Pay Leveraged U.S. Small Cap High Dividend </t>
  </si>
  <si>
    <t>SMHB</t>
  </si>
  <si>
    <t>Janus Henderson U.S. Sustainable Equity ETF</t>
  </si>
  <si>
    <t>$41.17M</t>
  </si>
  <si>
    <t>SSPX</t>
  </si>
  <si>
    <t>Global X MSCI Colombia ETF</t>
  </si>
  <si>
    <t>$40.96M</t>
  </si>
  <si>
    <t>Equity: Colombia - Total Market</t>
  </si>
  <si>
    <t>GXG</t>
  </si>
  <si>
    <t>Direxion Daily FTSE Europe Bull 3X Shares</t>
  </si>
  <si>
    <t>$40.88M</t>
  </si>
  <si>
    <t>Leveraged Equity: Developed Europe - Total Market</t>
  </si>
  <si>
    <t>EURL</t>
  </si>
  <si>
    <t>First Trust Indxx Global Natural Resources Income ETF</t>
  </si>
  <si>
    <t>$40.77M</t>
  </si>
  <si>
    <t>FTRI</t>
  </si>
  <si>
    <t>Simplify Health Care ETF</t>
  </si>
  <si>
    <t>$40.50M</t>
  </si>
  <si>
    <t>PINK</t>
  </si>
  <si>
    <t>VictoryShares Developed Enhanced Volatility Wtd ETF</t>
  </si>
  <si>
    <t>$40.19M</t>
  </si>
  <si>
    <t>CIZ</t>
  </si>
  <si>
    <t>FlexShares Real Assets Allocation Index Fund</t>
  </si>
  <si>
    <t>$39.92M</t>
  </si>
  <si>
    <t>ASET</t>
  </si>
  <si>
    <t>SPDR S&amp;P Internet ETF</t>
  </si>
  <si>
    <t>$39.85M</t>
  </si>
  <si>
    <t>XWEB</t>
  </si>
  <si>
    <t>Invesco S&amp;P 500 Value with Momentum ETF</t>
  </si>
  <si>
    <t>$39.73M</t>
  </si>
  <si>
    <t>SPVM</t>
  </si>
  <si>
    <t>Fidelity International Value Factor ETF</t>
  </si>
  <si>
    <t>$39.46M</t>
  </si>
  <si>
    <t>FIVA</t>
  </si>
  <si>
    <t>iShares Evolved U.S. Healthcare Staples ETF</t>
  </si>
  <si>
    <t>$39.39M</t>
  </si>
  <si>
    <t>Equity: U.S. Health Care Equipment &amp; Services</t>
  </si>
  <si>
    <t>IEHS</t>
  </si>
  <si>
    <t>Prudential</t>
  </si>
  <si>
    <t>PGIM Quant Solutions Strategic Alpha International Equity ET</t>
  </si>
  <si>
    <t>$39.20M</t>
  </si>
  <si>
    <t>PQIN</t>
  </si>
  <si>
    <t>ETRACS Monthly Pay 1.5X Leveraged Mortgage REIT ETN</t>
  </si>
  <si>
    <t>$39.18M</t>
  </si>
  <si>
    <t>Leveraged Equity: U.S. Mortgage REITs</t>
  </si>
  <si>
    <t>MVRL</t>
  </si>
  <si>
    <t>Global X DAX Germany ETF</t>
  </si>
  <si>
    <t>$39.03M</t>
  </si>
  <si>
    <t>Equity: Germany - Large Cap</t>
  </si>
  <si>
    <t>DAX</t>
  </si>
  <si>
    <t>Wedbush ETFMG Global Cloud Technology ETF</t>
  </si>
  <si>
    <t>$38.83M</t>
  </si>
  <si>
    <t>Equity: Global Internet Services &amp; Infrastructure</t>
  </si>
  <si>
    <t>IVES</t>
  </si>
  <si>
    <t>Impact Shares</t>
  </si>
  <si>
    <t>Impact Shares NAACP Minority Empowerment ETF</t>
  </si>
  <si>
    <t>$38.59M</t>
  </si>
  <si>
    <t>NACP</t>
  </si>
  <si>
    <t>iShares Evolved U.S. Innovative Healthcare ETF</t>
  </si>
  <si>
    <t>$38.57M</t>
  </si>
  <si>
    <t>IEIH</t>
  </si>
  <si>
    <t>First Trust SkyBridge Crypto Industry and Digital Economy ET</t>
  </si>
  <si>
    <t>$38.56M</t>
  </si>
  <si>
    <t>CRPT</t>
  </si>
  <si>
    <t>Al Marketing LLC</t>
  </si>
  <si>
    <t>FormulaFolios Smart Growth ETF</t>
  </si>
  <si>
    <t>$38.48M</t>
  </si>
  <si>
    <t>FFSG</t>
  </si>
  <si>
    <t>ETRACS Quarterly Pay 1.5X Leveraged Wells Fargo BDC Index ET</t>
  </si>
  <si>
    <t>$38.31M</t>
  </si>
  <si>
    <t>Leveraged Equity: U.S. Asset Management &amp; Custody Banks</t>
  </si>
  <si>
    <t>BDCX</t>
  </si>
  <si>
    <t>Infusive Asset Management</t>
  </si>
  <si>
    <t>Infusive Compounding Global Equities ETF</t>
  </si>
  <si>
    <t>$38.29M</t>
  </si>
  <si>
    <t>JOYY</t>
  </si>
  <si>
    <t>BNY Mellon Emerging Markets Equity ETF</t>
  </si>
  <si>
    <t>$38.03M</t>
  </si>
  <si>
    <t>BKEM</t>
  </si>
  <si>
    <t>VanEck Digital Transformation ETF</t>
  </si>
  <si>
    <t>$38.02M</t>
  </si>
  <si>
    <t>DAPP</t>
  </si>
  <si>
    <t>Red Gate Advisers LLC</t>
  </si>
  <si>
    <t>Stance Equity ESG Large Cap Core ETF</t>
  </si>
  <si>
    <t>$37.99M</t>
  </si>
  <si>
    <t>STNC</t>
  </si>
  <si>
    <t>Global X S&amp;P 500 Covered Call &amp; Growth ETF</t>
  </si>
  <si>
    <t>$37.94M</t>
  </si>
  <si>
    <t>XYLG</t>
  </si>
  <si>
    <t>iShares MSCI Colombia ETF</t>
  </si>
  <si>
    <t>$37.90M</t>
  </si>
  <si>
    <t>ICOL</t>
  </si>
  <si>
    <t>iShares MSCI Germany Small Cap ETF</t>
  </si>
  <si>
    <t>$37.71M</t>
  </si>
  <si>
    <t>Equity: Germany - Small Cap</t>
  </si>
  <si>
    <t>EWGS</t>
  </si>
  <si>
    <t>Xtrackers Harvest CSI 500 China-A Shares Small Cap ETF</t>
  </si>
  <si>
    <t>$37.68M</t>
  </si>
  <si>
    <t>ASHS</t>
  </si>
  <si>
    <t>ETFMG Treatments Testing and Advancements ETF</t>
  </si>
  <si>
    <t>$37.32M</t>
  </si>
  <si>
    <t>Equity: U.S. Life Sciences Tools &amp; Services</t>
  </si>
  <si>
    <t>GERM</t>
  </si>
  <si>
    <t>Direxion Daily MSCI South Korea Bull 3X Shares</t>
  </si>
  <si>
    <t>$37.28M</t>
  </si>
  <si>
    <t>Leveraged Equity: South Korea - Total Market</t>
  </si>
  <si>
    <t>KORU</t>
  </si>
  <si>
    <t>Innovator S&amp;P 500 Ultra Buffer ETF - November</t>
  </si>
  <si>
    <t>$37.26M</t>
  </si>
  <si>
    <t>UNOV</t>
  </si>
  <si>
    <t>AllianzIM U.S. Large Cap Buffer20 Oct ETF</t>
  </si>
  <si>
    <t>AZBO</t>
  </si>
  <si>
    <t>Innovator Emerging Markets Power Buffer ETF - July</t>
  </si>
  <si>
    <t>$37.19M</t>
  </si>
  <si>
    <t>EJUL</t>
  </si>
  <si>
    <t>Innovator Growth-100 Power Buffer ETF - April</t>
  </si>
  <si>
    <t>$36.88M</t>
  </si>
  <si>
    <t>NAPR</t>
  </si>
  <si>
    <t>Janus Henderson International Sustainable Equity ETF</t>
  </si>
  <si>
    <t>$36.82M</t>
  </si>
  <si>
    <t>Equity: Global Ex-U.S. Broad Thematic</t>
  </si>
  <si>
    <t>SXUS</t>
  </si>
  <si>
    <t>Impact Shares YWCA Women's Empowerment ETF</t>
  </si>
  <si>
    <t>$36.77M</t>
  </si>
  <si>
    <t>WOMN</t>
  </si>
  <si>
    <t>Global X Health &amp; Wellness ETF</t>
  </si>
  <si>
    <t>$36.54M</t>
  </si>
  <si>
    <t>BFIT</t>
  </si>
  <si>
    <t>Siren DIVCON Dividend Defender ETF</t>
  </si>
  <si>
    <t>$36.41M</t>
  </si>
  <si>
    <t>DFND</t>
  </si>
  <si>
    <t>Pacer US Cash Cows Growth ETF</t>
  </si>
  <si>
    <t>$36.33M</t>
  </si>
  <si>
    <t>BUL</t>
  </si>
  <si>
    <t>AllianzIM U.S. Large Cap 6 Month Buffer10 Apr/Oct ETF</t>
  </si>
  <si>
    <t>$36.22M</t>
  </si>
  <si>
    <t>SIXO</t>
  </si>
  <si>
    <t>Esoterica</t>
  </si>
  <si>
    <t>Esoterica NextG Economy ETF</t>
  </si>
  <si>
    <t>$36.17M</t>
  </si>
  <si>
    <t>WUGI</t>
  </si>
  <si>
    <t>KFA Small Cap Quality Dividend Index ETF</t>
  </si>
  <si>
    <t>$36.13M</t>
  </si>
  <si>
    <t>KSCD</t>
  </si>
  <si>
    <t>WisdomTree International Multifactor Fund</t>
  </si>
  <si>
    <t>$36.10M</t>
  </si>
  <si>
    <t>DWMF</t>
  </si>
  <si>
    <t>ROBO Global Artificial Intelligence ETF</t>
  </si>
  <si>
    <t>$35.69M</t>
  </si>
  <si>
    <t>THNQ</t>
  </si>
  <si>
    <t>ETRACS 2x Leveraged U.S. Dividend Factor TR ETN</t>
  </si>
  <si>
    <t>$35.59M</t>
  </si>
  <si>
    <t>Leveraged Equity: U.S. - High Dividend Yield</t>
  </si>
  <si>
    <t>SCDL</t>
  </si>
  <si>
    <t>VanEck Uranium+Nuclear Energy ETF</t>
  </si>
  <si>
    <t>$35.41M</t>
  </si>
  <si>
    <t>NLR</t>
  </si>
  <si>
    <t>Pacer Lunt MidCap Multi-Factor Alternator ETF</t>
  </si>
  <si>
    <t>$35.28M</t>
  </si>
  <si>
    <t>PAMC</t>
  </si>
  <si>
    <t>ETRACS Alerian Midstream Energy Dividend Index ETN</t>
  </si>
  <si>
    <t>$35.27M</t>
  </si>
  <si>
    <t>AMND</t>
  </si>
  <si>
    <t>VanEck ChiNext ETF</t>
  </si>
  <si>
    <t>$35.26M</t>
  </si>
  <si>
    <t>CNXT</t>
  </si>
  <si>
    <t>Freedom Day Dividend ETF</t>
  </si>
  <si>
    <t>$35.19M</t>
  </si>
  <si>
    <t>MBOX</t>
  </si>
  <si>
    <t>First Trust FTSE EPRA/NAREIT Developed Markets Real Estate I</t>
  </si>
  <si>
    <t>$35.12M</t>
  </si>
  <si>
    <t>Equity: Developed Markets Real Estate</t>
  </si>
  <si>
    <t>FFR</t>
  </si>
  <si>
    <t>Global X FTSE Southeast Asia ETF</t>
  </si>
  <si>
    <t>$35.02M</t>
  </si>
  <si>
    <t>Equity: Southeast Asia - Total Market</t>
  </si>
  <si>
    <t>ASEA</t>
  </si>
  <si>
    <t>Innovator Emerging Markets Power Buffer ETF - April</t>
  </si>
  <si>
    <t>$34.98M</t>
  </si>
  <si>
    <t>EAPR</t>
  </si>
  <si>
    <t>Inspire Faithward Large Cap Momentum ESG ETF</t>
  </si>
  <si>
    <t>$34.87M</t>
  </si>
  <si>
    <t>FEVR</t>
  </si>
  <si>
    <t>Direxion Russell 1000 Value Over Growth ETF</t>
  </si>
  <si>
    <t>$34.27M</t>
  </si>
  <si>
    <t>RWVG</t>
  </si>
  <si>
    <t>First Trust Japan AlphaDEX Fund</t>
  </si>
  <si>
    <t>$34.23M</t>
  </si>
  <si>
    <t>FJP</t>
  </si>
  <si>
    <t>ETRACS Quarterly Pay 1.5X Leveraged Alerian MLP Index ETN</t>
  </si>
  <si>
    <t>$33.99M</t>
  </si>
  <si>
    <t>Leveraged Equity: U.S. MLPs</t>
  </si>
  <si>
    <t>MLPR</t>
  </si>
  <si>
    <t>Affinity World Leaders Equity ETF</t>
  </si>
  <si>
    <t>$33.83M</t>
  </si>
  <si>
    <t>WLDR</t>
  </si>
  <si>
    <t>iShares MSCI UAE ETF</t>
  </si>
  <si>
    <t>$33.82M</t>
  </si>
  <si>
    <t>Equity: United Arab Emirates - Total Market</t>
  </si>
  <si>
    <t>UAE</t>
  </si>
  <si>
    <t>Alger Group Holdings LLC</t>
  </si>
  <si>
    <t>Alger Mid Cap 40 ETF</t>
  </si>
  <si>
    <t>$33.79M</t>
  </si>
  <si>
    <t>FRTY</t>
  </si>
  <si>
    <t>WisdomTree Cybersecurity Fund</t>
  </si>
  <si>
    <t>$33.76M</t>
  </si>
  <si>
    <t>Equity: Developed Markets Cybersecurity</t>
  </si>
  <si>
    <t>WCBR</t>
  </si>
  <si>
    <t>AAM Bahl &amp; Gaynor Small/Mid Cap Income Growth ETF</t>
  </si>
  <si>
    <t>$33.68M</t>
  </si>
  <si>
    <t>SMIG</t>
  </si>
  <si>
    <t>WisdomTree Japan Hedged SmallCap Equity Fund</t>
  </si>
  <si>
    <t>$33.66M</t>
  </si>
  <si>
    <t>DXJS</t>
  </si>
  <si>
    <t>Guru Favorite Stocks ETF</t>
  </si>
  <si>
    <t>$33.64M</t>
  </si>
  <si>
    <t>GFGF</t>
  </si>
  <si>
    <t>Invesco PureBeta MSCI U.S.A. Small Cap ETF</t>
  </si>
  <si>
    <t>$33.57M</t>
  </si>
  <si>
    <t>PBSM</t>
  </si>
  <si>
    <t>New Age Alpha Advisors LLC</t>
  </si>
  <si>
    <t>AVDR US LargeCap Leading ETF</t>
  </si>
  <si>
    <t>$33.42M</t>
  </si>
  <si>
    <t>AVDR</t>
  </si>
  <si>
    <t>Goldman Sachs MarketBeta Emerging Markets Equity ETF</t>
  </si>
  <si>
    <t>$32.93M</t>
  </si>
  <si>
    <t>GSEE</t>
  </si>
  <si>
    <t>ETRACS 2x Leveraged US Value Factor TR ETN</t>
  </si>
  <si>
    <t>$32.91M</t>
  </si>
  <si>
    <t>IWDL</t>
  </si>
  <si>
    <t>AdvisorShares Dorsey Wright Short ETF</t>
  </si>
  <si>
    <t>$32.89M</t>
  </si>
  <si>
    <t>DWSH</t>
  </si>
  <si>
    <t>Rayliant Quantamental Emerging Market Equity ETF</t>
  </si>
  <si>
    <t>$32.73M</t>
  </si>
  <si>
    <t>RAYE</t>
  </si>
  <si>
    <t>Rayliant Quantitative Developed Market Equity ETF</t>
  </si>
  <si>
    <t>$32.35M</t>
  </si>
  <si>
    <t>RAYD</t>
  </si>
  <si>
    <t>Franklin FTSE Canada ETF</t>
  </si>
  <si>
    <t>$32.24M</t>
  </si>
  <si>
    <t>FLCA</t>
  </si>
  <si>
    <t>Innovator U.S. Equity Ultra Buffer ETF - August</t>
  </si>
  <si>
    <t>$32.16M</t>
  </si>
  <si>
    <t>UAUG</t>
  </si>
  <si>
    <t>Ridgeline Research LLC</t>
  </si>
  <si>
    <t>American Conservative Values ETF</t>
  </si>
  <si>
    <t>$32.04M</t>
  </si>
  <si>
    <t>ACVF</t>
  </si>
  <si>
    <t>TrueShares Technology, AI &amp; Deep Learning ETF</t>
  </si>
  <si>
    <t>$32.03M</t>
  </si>
  <si>
    <t>Equity: U.S. Robotics &amp; AI</t>
  </si>
  <si>
    <t>LRNZ</t>
  </si>
  <si>
    <t>iShares MSCI Finland ETF</t>
  </si>
  <si>
    <t>$31.90M</t>
  </si>
  <si>
    <t>Equity: Finland - Total Market</t>
  </si>
  <si>
    <t>EFNL</t>
  </si>
  <si>
    <t>AdvisorShares Focused Equity ETF</t>
  </si>
  <si>
    <t>$31.82M</t>
  </si>
  <si>
    <t>CWS</t>
  </si>
  <si>
    <t>iShares MSCI Belgium ETF</t>
  </si>
  <si>
    <t>$31.80M</t>
  </si>
  <si>
    <t>Equity: Belgium - Total Market</t>
  </si>
  <si>
    <t>EWK</t>
  </si>
  <si>
    <t>IQ Global Resources ETF</t>
  </si>
  <si>
    <t>Equity: Developed Markets Natural Resources</t>
  </si>
  <si>
    <t>GRES</t>
  </si>
  <si>
    <t>The Short De-SPAC ETF</t>
  </si>
  <si>
    <t>$31.77M</t>
  </si>
  <si>
    <t>SOGU</t>
  </si>
  <si>
    <t>VanEck Brazil Small-Cap ETF</t>
  </si>
  <si>
    <t>$31.73M</t>
  </si>
  <si>
    <t>BRF</t>
  </si>
  <si>
    <t>Franklin FTSE Asia ex Japan ETF</t>
  </si>
  <si>
    <t>$31.64M</t>
  </si>
  <si>
    <t>FLAX</t>
  </si>
  <si>
    <t>UBS AG FI Enhanced Global High Yield ETN</t>
  </si>
  <si>
    <t>$31.62M</t>
  </si>
  <si>
    <t>Leveraged Equity: Developed Markets - High Dividend Yield</t>
  </si>
  <si>
    <t>FIHD</t>
  </si>
  <si>
    <t>Uncommon Investment Advisors LLC</t>
  </si>
  <si>
    <t>Uncommon Portfolio Design Core Equity ETF</t>
  </si>
  <si>
    <t>$31.43M</t>
  </si>
  <si>
    <t>UGCE</t>
  </si>
  <si>
    <t>Global X MSCI China Information Technology ETF</t>
  </si>
  <si>
    <t>$31.40M</t>
  </si>
  <si>
    <t>CHIK</t>
  </si>
  <si>
    <t>ETRACS 2x Leveraged MSCI US Minimum Volatility Factor TR ETN</t>
  </si>
  <si>
    <t>$31.17M</t>
  </si>
  <si>
    <t>Leveraged Equity: U.S. - Total Market</t>
  </si>
  <si>
    <t>USML</t>
  </si>
  <si>
    <t>ETRACS 2x Leveraged MSCI US Quality Factor TR ETN</t>
  </si>
  <si>
    <t>$31.05M</t>
  </si>
  <si>
    <t>QULL</t>
  </si>
  <si>
    <t>Global X MSCI China Industrials ETF</t>
  </si>
  <si>
    <t>$30.74M</t>
  </si>
  <si>
    <t>Equity: China Industrials</t>
  </si>
  <si>
    <t>CHII</t>
  </si>
  <si>
    <t>WisdomTree Germany Hedged Equity Fund</t>
  </si>
  <si>
    <t>$30.72M</t>
  </si>
  <si>
    <t>DXGE</t>
  </si>
  <si>
    <t>Direxion Hydrogen ETF</t>
  </si>
  <si>
    <t>$30.37M</t>
  </si>
  <si>
    <t>HJEN</t>
  </si>
  <si>
    <t>Invesco RAFI Strategic Emerging Markets ETF</t>
  </si>
  <si>
    <t>$30.12M</t>
  </si>
  <si>
    <t>ISEM</t>
  </si>
  <si>
    <t>iShares ESG Advanced MSCI EM ETF</t>
  </si>
  <si>
    <t>$29.97M</t>
  </si>
  <si>
    <t>EMXF</t>
  </si>
  <si>
    <t>SPDR Bloomberg SASB Emerging Markets ESG Select ETF</t>
  </si>
  <si>
    <t>$29.95M</t>
  </si>
  <si>
    <t>REMG</t>
  </si>
  <si>
    <t>KFA Value Line Dynamic Core Equity Index ETF</t>
  </si>
  <si>
    <t>$29.81M</t>
  </si>
  <si>
    <t>KVLE</t>
  </si>
  <si>
    <t>Kingsview Partners LLC</t>
  </si>
  <si>
    <t>Monarch Blue Chips Core ETF</t>
  </si>
  <si>
    <t>$29.76M</t>
  </si>
  <si>
    <t>MBCC</t>
  </si>
  <si>
    <t>Direxion Daily Energy Bear 2X Shares</t>
  </si>
  <si>
    <t>$29.71M</t>
  </si>
  <si>
    <t>Inverse Equity: U.S. Energy</t>
  </si>
  <si>
    <t>ERY</t>
  </si>
  <si>
    <t>JPMorgan Active Value ETF</t>
  </si>
  <si>
    <t>$29.70M</t>
  </si>
  <si>
    <t>JAVA</t>
  </si>
  <si>
    <t>First Trust Developed International Equity Select ETF</t>
  </si>
  <si>
    <t>$29.55M</t>
  </si>
  <si>
    <t>RNDM</t>
  </si>
  <si>
    <t>First Trust Large Cap U.S. Equity Select ETF</t>
  </si>
  <si>
    <t>$29.53M</t>
  </si>
  <si>
    <t>RNLC</t>
  </si>
  <si>
    <t>Innovator Triple Stacker ETF - January</t>
  </si>
  <si>
    <t>$29.38M</t>
  </si>
  <si>
    <t>TSJA</t>
  </si>
  <si>
    <t>Xtrackers MSCI EAFE ESG Leaders Equity ETF</t>
  </si>
  <si>
    <t>$28.98M</t>
  </si>
  <si>
    <t>EASG</t>
  </si>
  <si>
    <t>John Hancock Multifactor Financials ETF</t>
  </si>
  <si>
    <t>JHMF</t>
  </si>
  <si>
    <t>Direxion Daily MSCI Emerging Markets Bear 3x Shares</t>
  </si>
  <si>
    <t>$28.90M</t>
  </si>
  <si>
    <t>Inverse Equity: Emerging Markets - Total Market</t>
  </si>
  <si>
    <t>EDZ</t>
  </si>
  <si>
    <t>JPMorgan ActiveBuilders International Equity ETF</t>
  </si>
  <si>
    <t>$28.45M</t>
  </si>
  <si>
    <t>JIDA</t>
  </si>
  <si>
    <t>SPDR Bloomberg SASB Developed Markets Ex US ESG Select ETF</t>
  </si>
  <si>
    <t>$28.40M</t>
  </si>
  <si>
    <t>RDMX</t>
  </si>
  <si>
    <t>Fidelity Small-Mid Cap Opportunities ETF</t>
  </si>
  <si>
    <t>Equity: Global - Extended Market</t>
  </si>
  <si>
    <t>FSMO</t>
  </si>
  <si>
    <t>WisdomTree Emerging Markets ESG Fund</t>
  </si>
  <si>
    <t>$28.32M</t>
  </si>
  <si>
    <t>RESE</t>
  </si>
  <si>
    <t>KraneShares CICC China 5G &amp; Semiconductor Index ETF</t>
  </si>
  <si>
    <t>$28.27M</t>
  </si>
  <si>
    <t>KFVG</t>
  </si>
  <si>
    <t>Global X MSCI Argentina ETF</t>
  </si>
  <si>
    <t>$28.25M</t>
  </si>
  <si>
    <t>Equity: Argentina - Total Market</t>
  </si>
  <si>
    <t>ARGT</t>
  </si>
  <si>
    <t>ERShares NextGen Entrepreneurs ETF</t>
  </si>
  <si>
    <t>ERSX</t>
  </si>
  <si>
    <t>Nuveen ESG Large-Cap ETF</t>
  </si>
  <si>
    <t>$28.15M</t>
  </si>
  <si>
    <t>NULC</t>
  </si>
  <si>
    <t>Invesco S&amp;P SmallCap Utilities &amp; Communication Services ETF</t>
  </si>
  <si>
    <t>$28.13M</t>
  </si>
  <si>
    <t>PSCU</t>
  </si>
  <si>
    <t>ETRACS 2x Leveraged US Growth Factor TR ETN</t>
  </si>
  <si>
    <t>$27.94M</t>
  </si>
  <si>
    <t>IWFL</t>
  </si>
  <si>
    <t>KraneShares MSCI Emerging Markets ex China Index ETF</t>
  </si>
  <si>
    <t>$27.88M</t>
  </si>
  <si>
    <t>KEMX</t>
  </si>
  <si>
    <t>First Trust Nasdaq Retail ETF</t>
  </si>
  <si>
    <t>$27.74M</t>
  </si>
  <si>
    <t>FTXD</t>
  </si>
  <si>
    <t>FT Cboe Vest Nasdaq-100 Buffer ETF - September</t>
  </si>
  <si>
    <t>$27.58M</t>
  </si>
  <si>
    <t>QSPT</t>
  </si>
  <si>
    <t>Innovator U.S. Equity Ultra Buffer ETF - March</t>
  </si>
  <si>
    <t>$27.35M</t>
  </si>
  <si>
    <t>UMAR</t>
  </si>
  <si>
    <t>Franklin LibertyQ Global Dividend ETF</t>
  </si>
  <si>
    <t>$27.23M</t>
  </si>
  <si>
    <t>FLQD</t>
  </si>
  <si>
    <t>JPMorgan ActiveBuilders U.S. Large Cap Equity ETF</t>
  </si>
  <si>
    <t>JUSA</t>
  </si>
  <si>
    <t>Capital Link Global Fintech Leaders ETF</t>
  </si>
  <si>
    <t>$27.10M</t>
  </si>
  <si>
    <t>KOIN</t>
  </si>
  <si>
    <t>ALPS REIT Dividend Dogs ETF</t>
  </si>
  <si>
    <t>$27.09M</t>
  </si>
  <si>
    <t>RDOG</t>
  </si>
  <si>
    <t>Direxion Daily Robotics, Artificial Intelligence, &amp; Automati</t>
  </si>
  <si>
    <t>$26.95M</t>
  </si>
  <si>
    <t>Leveraged Equity: Global Robotics &amp; AI</t>
  </si>
  <si>
    <t>UBOT</t>
  </si>
  <si>
    <t>Pacer American Energy Independence ETF</t>
  </si>
  <si>
    <t>$26.93M</t>
  </si>
  <si>
    <t>USAI</t>
  </si>
  <si>
    <t>Invesco S&amp;P 500 Minimum Variance ETF</t>
  </si>
  <si>
    <t>$26.82M</t>
  </si>
  <si>
    <t>SPMV</t>
  </si>
  <si>
    <t>Defiance Hotel, Airline, and Cruise ETF</t>
  </si>
  <si>
    <t>$26.72M</t>
  </si>
  <si>
    <t>Equity: Global Hotels, Resorts &amp; Cruise Lines</t>
  </si>
  <si>
    <t>CRUZ</t>
  </si>
  <si>
    <t>SP Funds S&amp;P Global REIT Sharia ETF</t>
  </si>
  <si>
    <t>$26.68M</t>
  </si>
  <si>
    <t>SPRE</t>
  </si>
  <si>
    <t>AlphaClone Alternative Alpha ETF</t>
  </si>
  <si>
    <t>$26.52M</t>
  </si>
  <si>
    <t>ALFA</t>
  </si>
  <si>
    <t>Columbia Sustainable U.S. Equity Income ETF</t>
  </si>
  <si>
    <t>$26.45M</t>
  </si>
  <si>
    <t>ESGS</t>
  </si>
  <si>
    <t>ETC 6 Meridian Quality Growth ETF</t>
  </si>
  <si>
    <t>$26.41M</t>
  </si>
  <si>
    <t>SXQG</t>
  </si>
  <si>
    <t>Nationwide Dow Jones Risk-Managed Income ETF</t>
  </si>
  <si>
    <t>$26.38M</t>
  </si>
  <si>
    <t>NDJI</t>
  </si>
  <si>
    <t>ALPS Emerging Sector Dividend Dogs ETF</t>
  </si>
  <si>
    <t>$26.06M</t>
  </si>
  <si>
    <t>EDOG</t>
  </si>
  <si>
    <t>PIMCO RAFI ESG U.S. ETF</t>
  </si>
  <si>
    <t>$26.03M</t>
  </si>
  <si>
    <t>RAFE</t>
  </si>
  <si>
    <t>Global X S&amp;P 500 Quality Dividend ETF</t>
  </si>
  <si>
    <t>$26.00M</t>
  </si>
  <si>
    <t>QDIV</t>
  </si>
  <si>
    <t>Hartford Multifactor Small Cap ETF</t>
  </si>
  <si>
    <t>ROSC</t>
  </si>
  <si>
    <t xml:space="preserve">Xtrackers MSCI All World ex U.S. High Dividend Yield Equity </t>
  </si>
  <si>
    <t>$25.84M</t>
  </si>
  <si>
    <t>HDAW</t>
  </si>
  <si>
    <t>Loncar Cancer Immunotherapy ETF</t>
  </si>
  <si>
    <t>$25.80M</t>
  </si>
  <si>
    <t>Equity: U.S. Pharma, Biotech &amp; Life Sciences</t>
  </si>
  <si>
    <t>CNCR</t>
  </si>
  <si>
    <t>Pacer Swan SOS Flex January ETF</t>
  </si>
  <si>
    <t>$25.71M</t>
  </si>
  <si>
    <t>PSFD</t>
  </si>
  <si>
    <t>iShares Evolved U.S. Discretionary Spending ETF</t>
  </si>
  <si>
    <t>$25.68M</t>
  </si>
  <si>
    <t>IEDI</t>
  </si>
  <si>
    <t>VictoryShares US Small Cap Volatility Wtd ETF</t>
  </si>
  <si>
    <t>$25.53M</t>
  </si>
  <si>
    <t>CSA</t>
  </si>
  <si>
    <t>Inspire Faithward Mid Cap Momentum ESG ETF</t>
  </si>
  <si>
    <t>$25.52M</t>
  </si>
  <si>
    <t>GLRY</t>
  </si>
  <si>
    <t>Franklin FTSE Australia ETF</t>
  </si>
  <si>
    <t>$25.41M</t>
  </si>
  <si>
    <t>FLAU</t>
  </si>
  <si>
    <t>SPDR S&amp;P Kensho Future Security ETF</t>
  </si>
  <si>
    <t>$25.37M</t>
  </si>
  <si>
    <t>FITE</t>
  </si>
  <si>
    <t>FT Cboe Vest U.S. Equity Enhance &amp; Moderate Buffer ETF - Dec</t>
  </si>
  <si>
    <t>$25.36M</t>
  </si>
  <si>
    <t>XDEC</t>
  </si>
  <si>
    <t>Xtrackers MSCI Emerging Markets ESG Leaders Equity ETF</t>
  </si>
  <si>
    <t>$25.32M</t>
  </si>
  <si>
    <t>EMSG</t>
  </si>
  <si>
    <t>2nd Vote Value Investments, Inc</t>
  </si>
  <si>
    <t>2ndVote Society Defended ETF</t>
  </si>
  <si>
    <t>$25.26M</t>
  </si>
  <si>
    <t>EGIS</t>
  </si>
  <si>
    <t>Global X Hydrogen ETF</t>
  </si>
  <si>
    <t>HYDR</t>
  </si>
  <si>
    <t>Distillate International Fundamental Stability &amp; Value ETF</t>
  </si>
  <si>
    <t>$25.23M</t>
  </si>
  <si>
    <t>DSTX</t>
  </si>
  <si>
    <t>VanEck China Growth Leaders</t>
  </si>
  <si>
    <t>$25.21M</t>
  </si>
  <si>
    <t>Equity: China - Total Market Growth</t>
  </si>
  <si>
    <t>GLCN</t>
  </si>
  <si>
    <t>Innovator U.S. Equity Ultra Buffer ETF - February</t>
  </si>
  <si>
    <t>$25.19M</t>
  </si>
  <si>
    <t>UFEB</t>
  </si>
  <si>
    <t>Direxion Daily 5G Communications Bull 2X Shares</t>
  </si>
  <si>
    <t>$24.96M</t>
  </si>
  <si>
    <t>Leveraged Equity: U.S. 5G</t>
  </si>
  <si>
    <t>TENG</t>
  </si>
  <si>
    <t>Hartford Longevity Economy ETF</t>
  </si>
  <si>
    <t>$24.87M</t>
  </si>
  <si>
    <t>Equity: U.S. Consumer</t>
  </si>
  <si>
    <t>HLGE</t>
  </si>
  <si>
    <t>Invesco S&amp;P SmallCap Quality ETF</t>
  </si>
  <si>
    <t>$24.81M</t>
  </si>
  <si>
    <t>XSHQ</t>
  </si>
  <si>
    <t>VanEck Energy Income ETF</t>
  </si>
  <si>
    <t>$24.68M</t>
  </si>
  <si>
    <t>Equity: North America Energy</t>
  </si>
  <si>
    <t>EINC</t>
  </si>
  <si>
    <t>John Hancock Multifactor Consumer Staples ETF</t>
  </si>
  <si>
    <t>$24.65M</t>
  </si>
  <si>
    <t>JHMS</t>
  </si>
  <si>
    <t>AllianzIM U.S. Large Cap 6 Month Buffer10 Jan/Jul ETF</t>
  </si>
  <si>
    <t>$24.58M</t>
  </si>
  <si>
    <t>SIXJ</t>
  </si>
  <si>
    <t>Credit Suisse Group AG</t>
  </si>
  <si>
    <t>Credit Suisse S&amp;P MLP Index ETN</t>
  </si>
  <si>
    <t>$24.46M</t>
  </si>
  <si>
    <t>MLPO</t>
  </si>
  <si>
    <t>TrueShares Structured Outcome ETF - September</t>
  </si>
  <si>
    <t>$24.43M</t>
  </si>
  <si>
    <t>SEPZ</t>
  </si>
  <si>
    <t>Arrow Funds</t>
  </si>
  <si>
    <t>Arrow Reverse Cap 500 ETF</t>
  </si>
  <si>
    <t>$24.23M</t>
  </si>
  <si>
    <t>YPS</t>
  </si>
  <si>
    <t>First Trust Dorsey Wright Momentum &amp; Value ETF</t>
  </si>
  <si>
    <t>$24.13M</t>
  </si>
  <si>
    <t>DVLU</t>
  </si>
  <si>
    <t>iShares ESG Screened S&amp;P Small-Cap ETF</t>
  </si>
  <si>
    <t>$24.11M</t>
  </si>
  <si>
    <t>XJR</t>
  </si>
  <si>
    <t>Invesco Dynamic Oil &amp; Gas Services ETF</t>
  </si>
  <si>
    <t>$23.87M</t>
  </si>
  <si>
    <t>PXJ</t>
  </si>
  <si>
    <t>JPMorgan Carbon Transition U.S. Equity ETF</t>
  </si>
  <si>
    <t>$23.83M</t>
  </si>
  <si>
    <t>JCTR</t>
  </si>
  <si>
    <t>AlphaMark Advisors</t>
  </si>
  <si>
    <t>AlphaMark Actively Managed Small Cap ETF</t>
  </si>
  <si>
    <t>$23.80M</t>
  </si>
  <si>
    <t>Equity: Global - Small Cap</t>
  </si>
  <si>
    <t>SMCP</t>
  </si>
  <si>
    <t>JPMorgan Climate Change Solutions ETF</t>
  </si>
  <si>
    <t>$23.69M</t>
  </si>
  <si>
    <t>TEMP</t>
  </si>
  <si>
    <t>Invesco Nasdaq Biotechnology ETF</t>
  </si>
  <si>
    <t>$23.64M</t>
  </si>
  <si>
    <t>IBBQ</t>
  </si>
  <si>
    <t>First Trust International Developed Capital Strength ETF</t>
  </si>
  <si>
    <t>$23.62M</t>
  </si>
  <si>
    <t>FICS</t>
  </si>
  <si>
    <t>ALPS Active REIT ETF</t>
  </si>
  <si>
    <t>$23.49M</t>
  </si>
  <si>
    <t>REIT</t>
  </si>
  <si>
    <t>Guinness Atkinson Asset Management</t>
  </si>
  <si>
    <t>SmartETFs Dividend Builder ETF</t>
  </si>
  <si>
    <t>$23.46M</t>
  </si>
  <si>
    <t>DIVS</t>
  </si>
  <si>
    <t>AdvisorShares Gerber Kawasaki ETF</t>
  </si>
  <si>
    <t>GK</t>
  </si>
  <si>
    <t>Knights of Columbus</t>
  </si>
  <si>
    <t>FIS Knights of Columbus Global Belief ETF</t>
  </si>
  <si>
    <t>$23.39M</t>
  </si>
  <si>
    <t>KOCG</t>
  </si>
  <si>
    <t>Defiance Next Gen SPAC Derived ETF</t>
  </si>
  <si>
    <t>$23.27M</t>
  </si>
  <si>
    <t>SPAK</t>
  </si>
  <si>
    <t>First Trust Total US Market AlphaDEX ETF</t>
  </si>
  <si>
    <t>$23.13M</t>
  </si>
  <si>
    <t>TUSA</t>
  </si>
  <si>
    <t>First Trust BICK Index Fund</t>
  </si>
  <si>
    <t>$23.10M</t>
  </si>
  <si>
    <t>BICK</t>
  </si>
  <si>
    <t>Retireful LLC</t>
  </si>
  <si>
    <t>Mohr Growth ETF</t>
  </si>
  <si>
    <t>$23.06M</t>
  </si>
  <si>
    <t>MOHR</t>
  </si>
  <si>
    <t>Avantis International Large Cap Value ETF</t>
  </si>
  <si>
    <t>$22.99M</t>
  </si>
  <si>
    <t>Equity: Developed Markets Ex-U.S. Large Cap Value</t>
  </si>
  <si>
    <t>AVIV</t>
  </si>
  <si>
    <t>Direxion Daily Utilities Bull 3X Shares</t>
  </si>
  <si>
    <t>$22.97M</t>
  </si>
  <si>
    <t>Leveraged Equity: U.S. Utilities</t>
  </si>
  <si>
    <t>UTSL</t>
  </si>
  <si>
    <t>Columbia Research Enhanced Value ETF</t>
  </si>
  <si>
    <t>$22.80M</t>
  </si>
  <si>
    <t>REVS</t>
  </si>
  <si>
    <t>Cambria Value and Momentum ETF</t>
  </si>
  <si>
    <t>VAMO</t>
  </si>
  <si>
    <t>Direxion Daily MSCI Real Estate Bear 3x Shares</t>
  </si>
  <si>
    <t>$22.77M</t>
  </si>
  <si>
    <t>Inverse Equity: U.S. Real Estate</t>
  </si>
  <si>
    <t>DRV</t>
  </si>
  <si>
    <t>Cambria Cannabis ETF</t>
  </si>
  <si>
    <t>$22.76M</t>
  </si>
  <si>
    <t>TOKE</t>
  </si>
  <si>
    <t>Direxion Daily Pharmaceutical &amp; Medical Bull 3X Shares</t>
  </si>
  <si>
    <t>$22.73M</t>
  </si>
  <si>
    <t>Leveraged Equity: U.S. Pharmaceuticals</t>
  </si>
  <si>
    <t>PILL</t>
  </si>
  <si>
    <t>QRAFT AI-Enhanced U.S. Large Cap Momentum ETF</t>
  </si>
  <si>
    <t>$22.54M</t>
  </si>
  <si>
    <t>AMOM</t>
  </si>
  <si>
    <t>Avantis Real Estate ETF</t>
  </si>
  <si>
    <t>$22.48M</t>
  </si>
  <si>
    <t>AVRE</t>
  </si>
  <si>
    <t>FT Cboe Vest Nasdaq-100 Buffer ETF - June</t>
  </si>
  <si>
    <t>$22.41M</t>
  </si>
  <si>
    <t>QJUN</t>
  </si>
  <si>
    <t>Franklin FTSE Europe Hedged ETF</t>
  </si>
  <si>
    <t>$22.40M</t>
  </si>
  <si>
    <t>FLEH</t>
  </si>
  <si>
    <t>SoFi Social 50 ETF</t>
  </si>
  <si>
    <t>$22.39M</t>
  </si>
  <si>
    <t>SFYF</t>
  </si>
  <si>
    <t>Fidelity Real Estate Investment ETF</t>
  </si>
  <si>
    <t>$22.37M</t>
  </si>
  <si>
    <t>FPRO</t>
  </si>
  <si>
    <t>Cultivar Capital, Inc.</t>
  </si>
  <si>
    <t>Cultivar ETF</t>
  </si>
  <si>
    <t>$22.33M</t>
  </si>
  <si>
    <t>CVAR</t>
  </si>
  <si>
    <t>Power Corporation of Canada</t>
  </si>
  <si>
    <t>Putnam Focused Large Cap Value ETF</t>
  </si>
  <si>
    <t>$22.06M</t>
  </si>
  <si>
    <t>PVAL</t>
  </si>
  <si>
    <t>Columbia Research Enhanced Core ETF</t>
  </si>
  <si>
    <t>RECS</t>
  </si>
  <si>
    <t>Invesco S&amp;P SmallCap Materials ETF</t>
  </si>
  <si>
    <t>$21.99M</t>
  </si>
  <si>
    <t>PSCM</t>
  </si>
  <si>
    <t>First Trust RiverFront Dynamic Europe ETF</t>
  </si>
  <si>
    <t>$21.95M</t>
  </si>
  <si>
    <t>RFEU</t>
  </si>
  <si>
    <t>Wahed Dow Jones Islamic World ETF</t>
  </si>
  <si>
    <t>$21.89M</t>
  </si>
  <si>
    <t>UMMA</t>
  </si>
  <si>
    <t>T. Rowe Price U.S. Equity Research ETF</t>
  </si>
  <si>
    <t>$21.83M</t>
  </si>
  <si>
    <t>TSPA</t>
  </si>
  <si>
    <t>VanEck Russia Small-Cap ETF</t>
  </si>
  <si>
    <t>$21.69M</t>
  </si>
  <si>
    <t>Equity: Russia - Small Cap</t>
  </si>
  <si>
    <t>RSXJ</t>
  </si>
  <si>
    <t>Global X MSCI Next Emerging &amp; Frontier ETF</t>
  </si>
  <si>
    <t>$21.62M</t>
  </si>
  <si>
    <t>EMFM</t>
  </si>
  <si>
    <t>FlexShares Quality Dividend Dynamic Index Fund</t>
  </si>
  <si>
    <t>$21.55M</t>
  </si>
  <si>
    <t>QDYN</t>
  </si>
  <si>
    <t>Franklin LibertyQ Emerging Markets ETF</t>
  </si>
  <si>
    <t>$21.48M</t>
  </si>
  <si>
    <t>FLQE</t>
  </si>
  <si>
    <t>Fidelity Clean Energy ETF</t>
  </si>
  <si>
    <t>$21.47M</t>
  </si>
  <si>
    <t>FRNW</t>
  </si>
  <si>
    <t>Franklin FTSE Russia ETF</t>
  </si>
  <si>
    <t>$21.45M</t>
  </si>
  <si>
    <t>FLRU</t>
  </si>
  <si>
    <t>First Trust Mid Cap U.S. Equity Select ETF</t>
  </si>
  <si>
    <t>$21.33M</t>
  </si>
  <si>
    <t>RNMC</t>
  </si>
  <si>
    <t>Cambria Global Real Estate ETF</t>
  </si>
  <si>
    <t>$21.26M</t>
  </si>
  <si>
    <t>BLDG</t>
  </si>
  <si>
    <t>John Hancock Multifactor Energy ETF</t>
  </si>
  <si>
    <t>$21.13M</t>
  </si>
  <si>
    <t>JHME</t>
  </si>
  <si>
    <t>VanEck Egypt Index ETF</t>
  </si>
  <si>
    <t>$21.10M</t>
  </si>
  <si>
    <t>Equity: Egypt - Total Market</t>
  </si>
  <si>
    <t>EGPT</t>
  </si>
  <si>
    <t>iShares MSCI Kuwait ETF</t>
  </si>
  <si>
    <t>$20.94M</t>
  </si>
  <si>
    <t>Equity: Kuwait Total Market</t>
  </si>
  <si>
    <t>KWT</t>
  </si>
  <si>
    <t>Goldman Sachs Future Health Care Equity ETF</t>
  </si>
  <si>
    <t>$20.83M</t>
  </si>
  <si>
    <t>GDOC</t>
  </si>
  <si>
    <t>Hoya Capital High Dividend Yield ETF</t>
  </si>
  <si>
    <t>$20.82M</t>
  </si>
  <si>
    <t>RIET</t>
  </si>
  <si>
    <t>Fidelity Emerging Markets Multifactor ETF</t>
  </si>
  <si>
    <t>$20.77M</t>
  </si>
  <si>
    <t>FDEM</t>
  </si>
  <si>
    <t>ETRACS 2x Leveraged MSCI US Momentum Factor TR ETN</t>
  </si>
  <si>
    <t>$20.76M</t>
  </si>
  <si>
    <t>MTUL</t>
  </si>
  <si>
    <t>John Hancock Multifactor Consumer Discretionary ETF</t>
  </si>
  <si>
    <t>$20.69M</t>
  </si>
  <si>
    <t>JHMC</t>
  </si>
  <si>
    <t>Franklin Disruptive Commerce ETF</t>
  </si>
  <si>
    <t>$20.62M</t>
  </si>
  <si>
    <t>BUYZ</t>
  </si>
  <si>
    <t>ClearBridge Dividend Strategy ESG ETF</t>
  </si>
  <si>
    <t>$20.59M</t>
  </si>
  <si>
    <t>YLDE</t>
  </si>
  <si>
    <t>Global X MSCI Pakistan ETF</t>
  </si>
  <si>
    <t>$20.54M</t>
  </si>
  <si>
    <t>Equity: Pakistan - Total Market</t>
  </si>
  <si>
    <t>PAK</t>
  </si>
  <si>
    <t>Innovator Double Stacker 9 Buffer ETF - October</t>
  </si>
  <si>
    <t>$20.36M</t>
  </si>
  <si>
    <t>DBOC</t>
  </si>
  <si>
    <t>Xtrackers Russell 1000 U.S. Quality at a Reasonable Price ET</t>
  </si>
  <si>
    <t>QARP</t>
  </si>
  <si>
    <t>KraneShares MSCI All China Index ETF</t>
  </si>
  <si>
    <t>$20.29M</t>
  </si>
  <si>
    <t>KALL</t>
  </si>
  <si>
    <t>Overlay Shares Hedged Large Cap Equity ETF</t>
  </si>
  <si>
    <t>$20.27M</t>
  </si>
  <si>
    <t>OVLH</t>
  </si>
  <si>
    <t>Innovator U.S. Equity Accelerated 9 Buffer ETF - April</t>
  </si>
  <si>
    <t>$20.24M</t>
  </si>
  <si>
    <t>XBAP</t>
  </si>
  <si>
    <t>JPMorgan U.S. Minimum Volatility ETF</t>
  </si>
  <si>
    <t>$20.18M</t>
  </si>
  <si>
    <t>JMIN</t>
  </si>
  <si>
    <t>First Trust EIP Carbon Impact ETF</t>
  </si>
  <si>
    <t>$20.17M</t>
  </si>
  <si>
    <t>Equity: Developed Markets Low Carbon</t>
  </si>
  <si>
    <t>ECLN</t>
  </si>
  <si>
    <t>SPDR S&amp;P Kensho Final Frontiers ETF</t>
  </si>
  <si>
    <t>$20.16M</t>
  </si>
  <si>
    <t>Equity: U.S. Space</t>
  </si>
  <si>
    <t>ROKT</t>
  </si>
  <si>
    <t>ETRACS 2x Leveraged U.S. Size Factor TR ETN</t>
  </si>
  <si>
    <t>$20.12M</t>
  </si>
  <si>
    <t>IWML</t>
  </si>
  <si>
    <t>AllianzIM U.S. Large Cap Buffer20 Jul ETF</t>
  </si>
  <si>
    <t>$20.06M</t>
  </si>
  <si>
    <t>AZBL</t>
  </si>
  <si>
    <t>Goldman Sachs ActiveBeta Europe Equity ETF</t>
  </si>
  <si>
    <t>$19.93M</t>
  </si>
  <si>
    <t>GSEU</t>
  </si>
  <si>
    <t>First Trust Small Cap U.S. Equity Select ETF</t>
  </si>
  <si>
    <t>$19.60M</t>
  </si>
  <si>
    <t>RNSC</t>
  </si>
  <si>
    <t>Innovator International Developed Power Buffer ETF - April</t>
  </si>
  <si>
    <t>$19.58M</t>
  </si>
  <si>
    <t>IAPR</t>
  </si>
  <si>
    <t>Syntax Stratified SmallCap ETF</t>
  </si>
  <si>
    <t>$19.51M</t>
  </si>
  <si>
    <t>SSLY</t>
  </si>
  <si>
    <t>Franklin FTSE Hong Kong ETF</t>
  </si>
  <si>
    <t>$19.34M</t>
  </si>
  <si>
    <t>FLHK</t>
  </si>
  <si>
    <t>Nationwide S&amp;P 500 Risk-Managed Income ETF</t>
  </si>
  <si>
    <t>$19.08M</t>
  </si>
  <si>
    <t>NSPI</t>
  </si>
  <si>
    <t>ETRACS NYSE Pickens Core Midstream Index ETN</t>
  </si>
  <si>
    <t>$18.97M</t>
  </si>
  <si>
    <t>PYPE</t>
  </si>
  <si>
    <t>Simplify US Equity PLUS Upside Convexity ETF</t>
  </si>
  <si>
    <t>$18.92M</t>
  </si>
  <si>
    <t>SPUC</t>
  </si>
  <si>
    <t>Robinson Alternative Yield Pre-Merger SPAC ETF</t>
  </si>
  <si>
    <t>$18.90M</t>
  </si>
  <si>
    <t>SPAX</t>
  </si>
  <si>
    <t>Franklin FTSE Germany ETF</t>
  </si>
  <si>
    <t>$18.89M</t>
  </si>
  <si>
    <t>FLGR</t>
  </si>
  <si>
    <t>Xtrackers Japan JPX-Nikkei 400 Equity ETF</t>
  </si>
  <si>
    <t>$18.87M</t>
  </si>
  <si>
    <t>JPN</t>
  </si>
  <si>
    <t>Innovator U.S. Equity Ultra Buffer ETF - June</t>
  </si>
  <si>
    <t>$18.74M</t>
  </si>
  <si>
    <t>UJUN</t>
  </si>
  <si>
    <t>Invesco S&amp;P International Developed High Dividend Low Volati</t>
  </si>
  <si>
    <t>$18.72M</t>
  </si>
  <si>
    <t>IDHD</t>
  </si>
  <si>
    <t>Legg Mason Small-Cap Quality Value ETF</t>
  </si>
  <si>
    <t>$18.65M</t>
  </si>
  <si>
    <t>SQLV</t>
  </si>
  <si>
    <t>Innovator Growth-100 Accelerated Plus ETF - April</t>
  </si>
  <si>
    <t>$18.58M</t>
  </si>
  <si>
    <t>QTAP</t>
  </si>
  <si>
    <t>QRAFT AI-Enhanced U.S. Large Cap ETF</t>
  </si>
  <si>
    <t>$18.51M</t>
  </si>
  <si>
    <t>QRFT</t>
  </si>
  <si>
    <t>Formidable Asset Management</t>
  </si>
  <si>
    <t>Formidable Fortress ETF</t>
  </si>
  <si>
    <t>$18.35M</t>
  </si>
  <si>
    <t>KONG</t>
  </si>
  <si>
    <t>VictoryShares International High Div Volatility Wtd Index ET</t>
  </si>
  <si>
    <t>CID</t>
  </si>
  <si>
    <t>Motley Fool Next Index ETF</t>
  </si>
  <si>
    <t>$18.29M</t>
  </si>
  <si>
    <t>TMFX</t>
  </si>
  <si>
    <t>WisdomTree Target Range Fund</t>
  </si>
  <si>
    <t>$18.26M</t>
  </si>
  <si>
    <t>GTR</t>
  </si>
  <si>
    <t>Fidelity Cloud Computing ETF</t>
  </si>
  <si>
    <t>$18.25M</t>
  </si>
  <si>
    <t>Equity: Global Software &amp; Services</t>
  </si>
  <si>
    <t>FCLD</t>
  </si>
  <si>
    <t>VanEck Morningstar Global Wide Moat ETF</t>
  </si>
  <si>
    <t>$18.23M</t>
  </si>
  <si>
    <t>MOTG</t>
  </si>
  <si>
    <t>iShares Currency Hedged MSCI Canada ETF</t>
  </si>
  <si>
    <t>$18.08M</t>
  </si>
  <si>
    <t>HEWC</t>
  </si>
  <si>
    <t>Invesco S&amp;P SmallCap High Dividend Low Volatility ETF</t>
  </si>
  <si>
    <t>$18.00M</t>
  </si>
  <si>
    <t>XSHD</t>
  </si>
  <si>
    <t>Simplify Nasdaq 100 PLUS Downside Convexity ETF</t>
  </si>
  <si>
    <t>$17.98M</t>
  </si>
  <si>
    <t>QQD</t>
  </si>
  <si>
    <t>First Trust US Equity Dividend Select ETF</t>
  </si>
  <si>
    <t>$17.94M</t>
  </si>
  <si>
    <t>RNDV</t>
  </si>
  <si>
    <t>VanEck Oil Refiners ETF</t>
  </si>
  <si>
    <t>$17.87M</t>
  </si>
  <si>
    <t>Equity: Global Oil &amp; Gas Refining &amp; Marketing</t>
  </si>
  <si>
    <t>CRAK</t>
  </si>
  <si>
    <t>ARK Transparency ETF</t>
  </si>
  <si>
    <t>CTRU</t>
  </si>
  <si>
    <t>John Hancock Multifactor Utilities ETF</t>
  </si>
  <si>
    <t>JHMU</t>
  </si>
  <si>
    <t>iShares Emerging Markets Infrastructure ETF</t>
  </si>
  <si>
    <t>$17.84M</t>
  </si>
  <si>
    <t>Equity: Emerging Markets Infrastructure</t>
  </si>
  <si>
    <t>EMIF</t>
  </si>
  <si>
    <t>John Hancock Multifactor Media and Communications ETF</t>
  </si>
  <si>
    <t>$17.72M</t>
  </si>
  <si>
    <t>JHCS</t>
  </si>
  <si>
    <t>AllianzIM U.S. Large Cap Buffer10 Jul ETF</t>
  </si>
  <si>
    <t>AZAL</t>
  </si>
  <si>
    <t>Pacer Swan SOS Moderate January ETF</t>
  </si>
  <si>
    <t>$17.71M</t>
  </si>
  <si>
    <t>PSMD</t>
  </si>
  <si>
    <t>John Hancock Multifactor Industrials ETF</t>
  </si>
  <si>
    <t>$17.54M</t>
  </si>
  <si>
    <t>JHMI</t>
  </si>
  <si>
    <t>MicroSectors Gold Miners -3X Inverse Leveraged ETN</t>
  </si>
  <si>
    <t>$17.52M</t>
  </si>
  <si>
    <t>GDXD</t>
  </si>
  <si>
    <t>TrueShares Structured Outcome ETF - August</t>
  </si>
  <si>
    <t>$17.50M</t>
  </si>
  <si>
    <t>AUGZ</t>
  </si>
  <si>
    <t>Goldman Sachs Future Consumer Equity ETF</t>
  </si>
  <si>
    <t>$17.40M</t>
  </si>
  <si>
    <t>Equity: Global Consumer</t>
  </si>
  <si>
    <t>GBUY</t>
  </si>
  <si>
    <t>Goldman Sachs Future Real Estate and Infrastructure Equity E</t>
  </si>
  <si>
    <t>GREI</t>
  </si>
  <si>
    <t>VanEck Green Metals ETF</t>
  </si>
  <si>
    <t>$17.38M</t>
  </si>
  <si>
    <t>GMET</t>
  </si>
  <si>
    <t>iShares Evolved U.S. Consumer Staples ETF</t>
  </si>
  <si>
    <t>$17.11M</t>
  </si>
  <si>
    <t>IECS</t>
  </si>
  <si>
    <t>Global X S&amp;P 500 Risk Managed Income ETF</t>
  </si>
  <si>
    <t>$17.10M</t>
  </si>
  <si>
    <t>XRMI</t>
  </si>
  <si>
    <t>Direxion Daily Cloud Computing Bear 2X Shares</t>
  </si>
  <si>
    <t>$17.08M</t>
  </si>
  <si>
    <t>Inverse Equity: U.S. Software &amp; Services</t>
  </si>
  <si>
    <t>CLDS</t>
  </si>
  <si>
    <t>Fidelity International Multifactor ETF</t>
  </si>
  <si>
    <t>FDEV</t>
  </si>
  <si>
    <t>Franklin Genomic Advancements ETF</t>
  </si>
  <si>
    <t>$17.06M</t>
  </si>
  <si>
    <t>HELX</t>
  </si>
  <si>
    <t>iShares MSCI Intl Size Factor ETF</t>
  </si>
  <si>
    <t>ISZE</t>
  </si>
  <si>
    <t>John Hancock Multifactor Materials ETF</t>
  </si>
  <si>
    <t>$17.05M</t>
  </si>
  <si>
    <t>JHMA</t>
  </si>
  <si>
    <t>2ndVote Life Neutral Plus ETF</t>
  </si>
  <si>
    <t>$17.00M</t>
  </si>
  <si>
    <t>LYFE</t>
  </si>
  <si>
    <t>First Trust Expanded Technology ETF</t>
  </si>
  <si>
    <t>$16.94M</t>
  </si>
  <si>
    <t>XPND</t>
  </si>
  <si>
    <t>Franklin LibertyQ International Equity Hedged ETF</t>
  </si>
  <si>
    <t>$16.90M</t>
  </si>
  <si>
    <t>FLQH</t>
  </si>
  <si>
    <t>VictoryShares Emerging Market High Div Volatility Wtd ETF</t>
  </si>
  <si>
    <t>$16.78M</t>
  </si>
  <si>
    <t>CEY</t>
  </si>
  <si>
    <t>Invesco PureBeta FTSE Emerging Markets ETF</t>
  </si>
  <si>
    <t>$16.76M</t>
  </si>
  <si>
    <t>PBEE</t>
  </si>
  <si>
    <t>Nationwide Russell 2000 Risk-Managed Income ETF</t>
  </si>
  <si>
    <t>$16.67M</t>
  </si>
  <si>
    <t>NTKI</t>
  </si>
  <si>
    <t>Direxion Russell 1000 Growth Over Value ETF</t>
  </si>
  <si>
    <t>$16.64M</t>
  </si>
  <si>
    <t>RWGV</t>
  </si>
  <si>
    <t>Fidelity US Multifactor ETF</t>
  </si>
  <si>
    <t>$16.61M</t>
  </si>
  <si>
    <t>FLRG</t>
  </si>
  <si>
    <t>UBS AG FI Enhanced Europe 50 ETN</t>
  </si>
  <si>
    <t>$16.52M</t>
  </si>
  <si>
    <t>Leveraged Equity: Developed Europe - Large Cap</t>
  </si>
  <si>
    <t>FIEE</t>
  </si>
  <si>
    <t>First Trust Nasdaq Pharmaceuticals ETF</t>
  </si>
  <si>
    <t>$16.51M</t>
  </si>
  <si>
    <t>FTXH</t>
  </si>
  <si>
    <t>ETRACS Monthly Pay 2xLeveraged U.S. High Dividend Low Volati</t>
  </si>
  <si>
    <t>$16.48M</t>
  </si>
  <si>
    <t>HDLB</t>
  </si>
  <si>
    <t>FT Cboe Vest Growth-100 Buffer ETF - March</t>
  </si>
  <si>
    <t>$16.42M</t>
  </si>
  <si>
    <t>QMAR</t>
  </si>
  <si>
    <t>Direxion Daily MSCI Mexico Bull 3X Shares</t>
  </si>
  <si>
    <t>$16.16M</t>
  </si>
  <si>
    <t>Leveraged Equity: Mexico - Total Market</t>
  </si>
  <si>
    <t>MEXX</t>
  </si>
  <si>
    <t>Syntax Stratified U.S. Total Market ETF</t>
  </si>
  <si>
    <t>$16.04M</t>
  </si>
  <si>
    <t>SYUS</t>
  </si>
  <si>
    <t>Franklin LibertyQ Global Equity ETF</t>
  </si>
  <si>
    <t>$16.02M</t>
  </si>
  <si>
    <t>FLQG</t>
  </si>
  <si>
    <t>Franklin LibertyQ U.S. Small Cap Equity ETF</t>
  </si>
  <si>
    <t>$16.00M</t>
  </si>
  <si>
    <t>FLQS</t>
  </si>
  <si>
    <t>Innovator Triple Stacker ETF - October</t>
  </si>
  <si>
    <t>$15.95M</t>
  </si>
  <si>
    <t>TSOC</t>
  </si>
  <si>
    <t>FlexShares Emerging Markets Quality Low Volatility Index Fun</t>
  </si>
  <si>
    <t>QLVE</t>
  </si>
  <si>
    <t>OBP Capital LLC</t>
  </si>
  <si>
    <t>UVA Dividend Value ETF</t>
  </si>
  <si>
    <t>$15.93M</t>
  </si>
  <si>
    <t>UVDV</t>
  </si>
  <si>
    <t>Global X NASDAQ 100 Risk Managed Income ETF</t>
  </si>
  <si>
    <t>$15.89M</t>
  </si>
  <si>
    <t>QRMI</t>
  </si>
  <si>
    <t>iShares Evolved U.S. Media and Entertainment ETF</t>
  </si>
  <si>
    <t>$15.71M</t>
  </si>
  <si>
    <t>IEME</t>
  </si>
  <si>
    <t>WisdomTree Growth Leaders Fund</t>
  </si>
  <si>
    <t>$15.70M</t>
  </si>
  <si>
    <t>PLAT</t>
  </si>
  <si>
    <t>Xtrackers MSCI Eurozone Hedged Equity ETF</t>
  </si>
  <si>
    <t>$15.66M</t>
  </si>
  <si>
    <t>DBEZ</t>
  </si>
  <si>
    <t>SoFi Gig Economy ETF</t>
  </si>
  <si>
    <t>GIGE</t>
  </si>
  <si>
    <t>Renaissance International IPO ETF</t>
  </si>
  <si>
    <t>$15.62M</t>
  </si>
  <si>
    <t>IPOS</t>
  </si>
  <si>
    <t>Arrow DWA Tactical International ETF</t>
  </si>
  <si>
    <t>$15.57M</t>
  </si>
  <si>
    <t>DWCR</t>
  </si>
  <si>
    <t>SmartETFs Smart Transportation &amp; Technology ETF</t>
  </si>
  <si>
    <t>$15.56M</t>
  </si>
  <si>
    <t>MOTO</t>
  </si>
  <si>
    <t>Innovator IBD Breakout Opportunities ETF</t>
  </si>
  <si>
    <t>$15.53M</t>
  </si>
  <si>
    <t>BOUT</t>
  </si>
  <si>
    <t>Innovator Double Stacker 9 Buffer ETF - January</t>
  </si>
  <si>
    <t>$15.41M</t>
  </si>
  <si>
    <t>DBJA</t>
  </si>
  <si>
    <t>First Trust Asia Pacific ex-Japan AlphaDEX Fund</t>
  </si>
  <si>
    <t>$15.37M</t>
  </si>
  <si>
    <t>FPA</t>
  </si>
  <si>
    <t>Reflection Asset Management, LLC</t>
  </si>
  <si>
    <t>Democratic Large Cap Core ETF</t>
  </si>
  <si>
    <t>$15.35M</t>
  </si>
  <si>
    <t>DEMZ</t>
  </si>
  <si>
    <t>BlackRock Future Tech ETF</t>
  </si>
  <si>
    <t>$15.18M</t>
  </si>
  <si>
    <t>BTEK</t>
  </si>
  <si>
    <t>Pacer Swan SOS Moderate October ETF</t>
  </si>
  <si>
    <t>$14.96M</t>
  </si>
  <si>
    <t>PSMO</t>
  </si>
  <si>
    <t>Roundhill Streaming Services and Technology ETF</t>
  </si>
  <si>
    <t>$14.85M</t>
  </si>
  <si>
    <t>Equity: Global Media &amp; Entertainment</t>
  </si>
  <si>
    <t>SUBZ</t>
  </si>
  <si>
    <t>Sound Equity Income ETF</t>
  </si>
  <si>
    <t>$14.68M</t>
  </si>
  <si>
    <t>SDEI</t>
  </si>
  <si>
    <t>First Trust Horizon Managed Volatility Small/Mid ETF</t>
  </si>
  <si>
    <t>$14.55M</t>
  </si>
  <si>
    <t>HSMV</t>
  </si>
  <si>
    <t>Goldman Sachs ActiveBeta Japan Equity ETF</t>
  </si>
  <si>
    <t>$14.42M</t>
  </si>
  <si>
    <t>GSJY</t>
  </si>
  <si>
    <t>Innovator International Developed Power Buffer ETF - October</t>
  </si>
  <si>
    <t>$14.31M</t>
  </si>
  <si>
    <t>IOCT</t>
  </si>
  <si>
    <t>TrueShares Structured Outcome ETF - July</t>
  </si>
  <si>
    <t>$14.10M</t>
  </si>
  <si>
    <t>JULZ</t>
  </si>
  <si>
    <t>iShares International Developed Small Cap Value Factor ETF</t>
  </si>
  <si>
    <t>$13.91M</t>
  </si>
  <si>
    <t>ISVL</t>
  </si>
  <si>
    <t>Simplify Nasdaq 100 PLUS Convexity ETF</t>
  </si>
  <si>
    <t>$13.90M</t>
  </si>
  <si>
    <t>QQC</t>
  </si>
  <si>
    <t>ETFB Green SRI REITs ETF</t>
  </si>
  <si>
    <t>$13.87M</t>
  </si>
  <si>
    <t>Equity: Developed Markets REITs</t>
  </si>
  <si>
    <t>RITA</t>
  </si>
  <si>
    <t>FT Cboe Vest International Equity Buffer ETF - June</t>
  </si>
  <si>
    <t>$13.86M</t>
  </si>
  <si>
    <t>YJUN</t>
  </si>
  <si>
    <t>iShares Currency Hedged MSCI United Kingdom ETF</t>
  </si>
  <si>
    <t>$13.59M</t>
  </si>
  <si>
    <t>HEWU</t>
  </si>
  <si>
    <t>Innovator Growth Accelerated ETF - Quarterly</t>
  </si>
  <si>
    <t>$13.55M</t>
  </si>
  <si>
    <t>XDQQ</t>
  </si>
  <si>
    <t>Xtrackers MSCI All China Equity ETF</t>
  </si>
  <si>
    <t>$13.51M</t>
  </si>
  <si>
    <t>CN</t>
  </si>
  <si>
    <t>Global X Founder-Run Companies ETF</t>
  </si>
  <si>
    <t>$13.44M</t>
  </si>
  <si>
    <t>BOSS</t>
  </si>
  <si>
    <t>Global X MSCI China Health Care ETF</t>
  </si>
  <si>
    <t>$13.43M</t>
  </si>
  <si>
    <t>CHIH</t>
  </si>
  <si>
    <t>TrueShares Structured Outcome ETF - November</t>
  </si>
  <si>
    <t>$13.39M</t>
  </si>
  <si>
    <t>NOVZ</t>
  </si>
  <si>
    <t>Simplify Hedged Equity ETF</t>
  </si>
  <si>
    <t>$13.36M</t>
  </si>
  <si>
    <t>HEQT</t>
  </si>
  <si>
    <t>Point Bridge Capital</t>
  </si>
  <si>
    <t>Point Bridge GOP Stock Tracker ETF</t>
  </si>
  <si>
    <t>$13.29M</t>
  </si>
  <si>
    <t>MAGA</t>
  </si>
  <si>
    <t>FT Cboe Vest International Equity Buffer ETF - March</t>
  </si>
  <si>
    <t>$13.21M</t>
  </si>
  <si>
    <t>YMAR</t>
  </si>
  <si>
    <t>First Trust Developed Markets ex-US Small Cap AlphaDEX Fund</t>
  </si>
  <si>
    <t>$13.14M</t>
  </si>
  <si>
    <t>FDTS</t>
  </si>
  <si>
    <t>Future Fund Advisors</t>
  </si>
  <si>
    <t>The Future Fund Active ETF</t>
  </si>
  <si>
    <t>$13.09M</t>
  </si>
  <si>
    <t>FFND</t>
  </si>
  <si>
    <t>Fount Metaverse ETF</t>
  </si>
  <si>
    <t>$13.02M</t>
  </si>
  <si>
    <t>MTVR</t>
  </si>
  <si>
    <t>Asian Growth Cubs ETF</t>
  </si>
  <si>
    <t>$12.99M</t>
  </si>
  <si>
    <t>Equity: Asia-Pacific - Total Market</t>
  </si>
  <si>
    <t>CUBS</t>
  </si>
  <si>
    <t>SonicShares Global Shipping ETF</t>
  </si>
  <si>
    <t>$12.98M</t>
  </si>
  <si>
    <t>Equity: Global Transportation</t>
  </si>
  <si>
    <t>BOAT</t>
  </si>
  <si>
    <t>Legg Mason Global Infrastructure ETF</t>
  </si>
  <si>
    <t>$12.91M</t>
  </si>
  <si>
    <t>INFR</t>
  </si>
  <si>
    <t>Xtrackers MSCI Germany Hedged Equity ETF</t>
  </si>
  <si>
    <t>$12.90M</t>
  </si>
  <si>
    <t>DBGR</t>
  </si>
  <si>
    <t>Global X MSCI China Consumer Staples ETF</t>
  </si>
  <si>
    <t>$12.86M</t>
  </si>
  <si>
    <t>Equity: China Consumer Staples</t>
  </si>
  <si>
    <t>CHIS</t>
  </si>
  <si>
    <t>AllianzIM U.S. Large Cap Buffer10 Apr ETF</t>
  </si>
  <si>
    <t>$12.84M</t>
  </si>
  <si>
    <t>AZAA</t>
  </si>
  <si>
    <t>Direxion Daily Dow Jones Internet Bear 3X Shares</t>
  </si>
  <si>
    <t>$12.83M</t>
  </si>
  <si>
    <t>Inverse Equity: U.S. Internet</t>
  </si>
  <si>
    <t>WEBS</t>
  </si>
  <si>
    <t>AllianzIM U.S. Large Cap Buffer20 Apr ETF</t>
  </si>
  <si>
    <t>$12.82M</t>
  </si>
  <si>
    <t>AZBA</t>
  </si>
  <si>
    <t>BlackRock Future Innovators ETF</t>
  </si>
  <si>
    <t>$12.74M</t>
  </si>
  <si>
    <t>BFTR</t>
  </si>
  <si>
    <t>Direxion Daily Cloud Computing Bull 2X Shares</t>
  </si>
  <si>
    <t>$12.65M</t>
  </si>
  <si>
    <t>Leveraged Equity: U.S. Software &amp; Services</t>
  </si>
  <si>
    <t>CLDL</t>
  </si>
  <si>
    <t>Simplify Volt Cloud and Cybersecurity Disruption ETF</t>
  </si>
  <si>
    <t>$12.44M</t>
  </si>
  <si>
    <t>VCLO</t>
  </si>
  <si>
    <t>Amplify Thematic All-Stars ETF</t>
  </si>
  <si>
    <t>$12.20M</t>
  </si>
  <si>
    <t>MVPS</t>
  </si>
  <si>
    <t>Franklin FTSE Japan Hedged ETF</t>
  </si>
  <si>
    <t>$12.14M</t>
  </si>
  <si>
    <t>FLJH</t>
  </si>
  <si>
    <t>Global X MSCI China Materials ETF</t>
  </si>
  <si>
    <t>$12.11M</t>
  </si>
  <si>
    <t>Equity: China Materials</t>
  </si>
  <si>
    <t>CHIM</t>
  </si>
  <si>
    <t>First Trust Brazil AlphaDEX Fund</t>
  </si>
  <si>
    <t>$12.10M</t>
  </si>
  <si>
    <t>FBZ</t>
  </si>
  <si>
    <t>FT Cboe Vest U.S. Equity Enhance &amp; Moderate Buffer ETF - Jun</t>
  </si>
  <si>
    <t>$11.98M</t>
  </si>
  <si>
    <t>XJUN</t>
  </si>
  <si>
    <t>Global X MSCI SuperDividend EAFE ETF</t>
  </si>
  <si>
    <t>EFAS</t>
  </si>
  <si>
    <t>Innovator U.S. Equity Accelerated ETF - Quarterly</t>
  </si>
  <si>
    <t>$11.95M</t>
  </si>
  <si>
    <t>XDSQ</t>
  </si>
  <si>
    <t>Janus Henderson U.S. Real Estate ETF</t>
  </si>
  <si>
    <t>$11.88M</t>
  </si>
  <si>
    <t>JRE</t>
  </si>
  <si>
    <t>Global X MSCI China Communication Services ETF</t>
  </si>
  <si>
    <t>$11.78M</t>
  </si>
  <si>
    <t>Equity: China Communication Services</t>
  </si>
  <si>
    <t>CHIC</t>
  </si>
  <si>
    <t>Global X MSCI China Energy ETF</t>
  </si>
  <si>
    <t>$11.65M</t>
  </si>
  <si>
    <t>Equity: China Energy</t>
  </si>
  <si>
    <t>CHIE</t>
  </si>
  <si>
    <t>iPath S&amp;P MLP ETN</t>
  </si>
  <si>
    <t>$11.62M</t>
  </si>
  <si>
    <t>IMLP</t>
  </si>
  <si>
    <t>Alger 35 ETF</t>
  </si>
  <si>
    <t>$11.58M</t>
  </si>
  <si>
    <t>ATFV</t>
  </si>
  <si>
    <t>Pacer Swan SOS Moderate (July) ETF</t>
  </si>
  <si>
    <t>$11.43M</t>
  </si>
  <si>
    <t>PSMJ</t>
  </si>
  <si>
    <t>Franklin Intelligent Machines ETF</t>
  </si>
  <si>
    <t>IQM</t>
  </si>
  <si>
    <t>First Trust Dorsey Wright People's Portfolio ETF</t>
  </si>
  <si>
    <t>$11.39M</t>
  </si>
  <si>
    <t>DWPP</t>
  </si>
  <si>
    <t>Zacks Investment Management</t>
  </si>
  <si>
    <t>Zacks Earnings Consistent Portfolio ETF</t>
  </si>
  <si>
    <t>$11.31M</t>
  </si>
  <si>
    <t>ZECP</t>
  </si>
  <si>
    <t>Innovator U.S. Equity Accelerated 9 Buffer ETF - July</t>
  </si>
  <si>
    <t>$11.10M</t>
  </si>
  <si>
    <t>XBJL</t>
  </si>
  <si>
    <t>Capital Link Global Green Energy Transport &amp; Technology Lead</t>
  </si>
  <si>
    <t>$11.07M</t>
  </si>
  <si>
    <t>EKAR</t>
  </si>
  <si>
    <t>GAMCO Investors, Inc.</t>
  </si>
  <si>
    <t>Gabelli Love Our Planet &amp; People ETF</t>
  </si>
  <si>
    <t>$10.98M</t>
  </si>
  <si>
    <t>LOPP</t>
  </si>
  <si>
    <t>Franklin FTSE Mexico ETF</t>
  </si>
  <si>
    <t>$10.92M</t>
  </si>
  <si>
    <t>FLMX</t>
  </si>
  <si>
    <t>Franklin FTSE France ETF</t>
  </si>
  <si>
    <t>$10.88M</t>
  </si>
  <si>
    <t>FLFR</t>
  </si>
  <si>
    <t>First Trust IPOX Europe Equity Opportunities ETF</t>
  </si>
  <si>
    <t>$10.85M</t>
  </si>
  <si>
    <t>FPXE</t>
  </si>
  <si>
    <t>AdvisorShares Vice ETF</t>
  </si>
  <si>
    <t>$10.84M</t>
  </si>
  <si>
    <t>VICE</t>
  </si>
  <si>
    <t>Viridi Cleaner Energy Crypto-Mining &amp; Semiconductor ETF</t>
  </si>
  <si>
    <t>$10.77M</t>
  </si>
  <si>
    <t>Equity: Developed Markets Digital Economy</t>
  </si>
  <si>
    <t>RIGZ</t>
  </si>
  <si>
    <t>First Trust Global Engineering and Construction ETF</t>
  </si>
  <si>
    <t>$10.69M</t>
  </si>
  <si>
    <t>Equity: Global Construction &amp; Engineering</t>
  </si>
  <si>
    <t>FLM</t>
  </si>
  <si>
    <t>SonicShares Airlines, Hotels,Cruise Lines ETF</t>
  </si>
  <si>
    <t>$10.64M</t>
  </si>
  <si>
    <t>TRYP</t>
  </si>
  <si>
    <t>Innovator U.S. Equity Accelerated 9 Buffer ETF - January</t>
  </si>
  <si>
    <t>$10.56M</t>
  </si>
  <si>
    <t>XBJA</t>
  </si>
  <si>
    <t>Applied Finance Group</t>
  </si>
  <si>
    <t>Applied Finance Valuation Large Cap ETF</t>
  </si>
  <si>
    <t>$10.55M</t>
  </si>
  <si>
    <t>VSLU</t>
  </si>
  <si>
    <t>KraneShares CICC China Leaders 100 Index ETF</t>
  </si>
  <si>
    <t>$10.50M</t>
  </si>
  <si>
    <t>KFYP</t>
  </si>
  <si>
    <t>FT Cboe Vest International Equity Buffer ETF - December</t>
  </si>
  <si>
    <t>$10.45M</t>
  </si>
  <si>
    <t>YDEC</t>
  </si>
  <si>
    <t>Xtrackers S&amp;P MidCap 400 ESG ETF</t>
  </si>
  <si>
    <t>$10.39M</t>
  </si>
  <si>
    <t>MIDE</t>
  </si>
  <si>
    <t>UPHOLDINGS Compound Kings ETF</t>
  </si>
  <si>
    <t>$10.29M</t>
  </si>
  <si>
    <t>KNGS</t>
  </si>
  <si>
    <t>Defiance Digital Revolution ETF</t>
  </si>
  <si>
    <t>NFTZ</t>
  </si>
  <si>
    <t>Ecofin Digital Payments Infrastructure Fund</t>
  </si>
  <si>
    <t>$10.23M</t>
  </si>
  <si>
    <t>Equity: Developed Markets Digital Payments</t>
  </si>
  <si>
    <t>TPAY</t>
  </si>
  <si>
    <t>Xtrackers S&amp;P SmallCap 600 ESG ETF</t>
  </si>
  <si>
    <t>$10.07M</t>
  </si>
  <si>
    <t>SMLE</t>
  </si>
  <si>
    <t>Invesco Russell 1000 Low Beta Equal Weight ETF</t>
  </si>
  <si>
    <t>$10.05M</t>
  </si>
  <si>
    <t>USLB</t>
  </si>
  <si>
    <t>Natixis</t>
  </si>
  <si>
    <t>Natixis U.S. Equity Opportunities ETF</t>
  </si>
  <si>
    <t>EQOP</t>
  </si>
  <si>
    <t>FMQQ The Next Frontier Internet &amp; Ecommerce ETF</t>
  </si>
  <si>
    <t>$10.02M</t>
  </si>
  <si>
    <t>FMQQ</t>
  </si>
  <si>
    <t>Fidelity Digital Health ETF</t>
  </si>
  <si>
    <t>$9.99M</t>
  </si>
  <si>
    <t>FDHT</t>
  </si>
  <si>
    <t>First Trust China AlphaDEX Fund</t>
  </si>
  <si>
    <t>$9.92M</t>
  </si>
  <si>
    <t>FCA</t>
  </si>
  <si>
    <t>Pacer Emerging Markets Cash Cows 100 ETF</t>
  </si>
  <si>
    <t>$9.90M</t>
  </si>
  <si>
    <t>ECOW</t>
  </si>
  <si>
    <t>BNY Mellon Sustainable International Equity ETF</t>
  </si>
  <si>
    <t>$9.84M</t>
  </si>
  <si>
    <t>BKIS</t>
  </si>
  <si>
    <t>iShares Evolved U.S. Financials ETF</t>
  </si>
  <si>
    <t>$9.82M</t>
  </si>
  <si>
    <t>IEFN</t>
  </si>
  <si>
    <t>BNY Mellon Concentrated International ETF</t>
  </si>
  <si>
    <t>$9.79M</t>
  </si>
  <si>
    <t>BKCI</t>
  </si>
  <si>
    <t>Hartford Schroders ESG US Equity ETF</t>
  </si>
  <si>
    <t>$9.71M</t>
  </si>
  <si>
    <t>HEET</t>
  </si>
  <si>
    <t>Putnam Focused Large Cap Growth ETF</t>
  </si>
  <si>
    <t>$9.59M</t>
  </si>
  <si>
    <t>PGRO</t>
  </si>
  <si>
    <t>MCCM Group LLC</t>
  </si>
  <si>
    <t>Morgan Creek - Exos SPAC Originated ETF</t>
  </si>
  <si>
    <t>$9.57M</t>
  </si>
  <si>
    <t>SPXZ</t>
  </si>
  <si>
    <t>KraneShares MSCI China ESG Leaders Index ETF</t>
  </si>
  <si>
    <t>$9.55M</t>
  </si>
  <si>
    <t>KESG</t>
  </si>
  <si>
    <t xml:space="preserve">BNY Mellon Sustainable Global Emerging Markets ETF - United </t>
  </si>
  <si>
    <t>$9.52M</t>
  </si>
  <si>
    <t>BKES</t>
  </si>
  <si>
    <t>Global X MSCI Portugal ETF</t>
  </si>
  <si>
    <t>$9.46M</t>
  </si>
  <si>
    <t>Equity: Portugal - Total Market</t>
  </si>
  <si>
    <t>PGAL</t>
  </si>
  <si>
    <t>Invesco ESG NASDAQ 100 ETF</t>
  </si>
  <si>
    <t>$9.40M</t>
  </si>
  <si>
    <t>QQMG</t>
  </si>
  <si>
    <t>Syntax Stratified MidCap ETF</t>
  </si>
  <si>
    <t>$9.35M</t>
  </si>
  <si>
    <t>SMDY</t>
  </si>
  <si>
    <t>TrueShares ESG Active Opportunities ETF</t>
  </si>
  <si>
    <t>$9.25M</t>
  </si>
  <si>
    <t>ECOZ</t>
  </si>
  <si>
    <t>KraneShares MSCI One Belt One Road Index ETF</t>
  </si>
  <si>
    <t>OBOR</t>
  </si>
  <si>
    <t>Innovator U.S. Equity Accelerated Plus ETF - July</t>
  </si>
  <si>
    <t>$9.23M</t>
  </si>
  <si>
    <t>XTJL</t>
  </si>
  <si>
    <t>BNY Mellon Sustainable U.S. Equity ETF</t>
  </si>
  <si>
    <t>$9.21M</t>
  </si>
  <si>
    <t>BKUS</t>
  </si>
  <si>
    <t>AdvisorShares Hotel ETF</t>
  </si>
  <si>
    <t>$9.09M</t>
  </si>
  <si>
    <t>Equity: U.S. Hotels, Resorts &amp; Cruise Lines</t>
  </si>
  <si>
    <t>BEDZ</t>
  </si>
  <si>
    <t>Invesco S&amp;P International Developed Momentum ETF</t>
  </si>
  <si>
    <t>$8.96M</t>
  </si>
  <si>
    <t>IDMO</t>
  </si>
  <si>
    <t>SoFi Weekly Dividend ETF</t>
  </si>
  <si>
    <t>$8.92M</t>
  </si>
  <si>
    <t>WKLY</t>
  </si>
  <si>
    <t>Nifty India Financials ETF</t>
  </si>
  <si>
    <t>$8.87M</t>
  </si>
  <si>
    <t>Equity: India Financials</t>
  </si>
  <si>
    <t>INDF</t>
  </si>
  <si>
    <t>Xtrackers MSCI China A Inclusion Equity ETF</t>
  </si>
  <si>
    <t>$8.71M</t>
  </si>
  <si>
    <t>ASHX</t>
  </si>
  <si>
    <t>Loncar China BioPharma ETF</t>
  </si>
  <si>
    <t>Equity: China Pharma, Biotech &amp; Life Sciences</t>
  </si>
  <si>
    <t>CHNA</t>
  </si>
  <si>
    <t>First Pacific Advisors LP</t>
  </si>
  <si>
    <t>FPA Global Equity ETF</t>
  </si>
  <si>
    <t>$8.69M</t>
  </si>
  <si>
    <t>FPAG</t>
  </si>
  <si>
    <t>Natixis Vaughan Nelson Mid Cap ETF</t>
  </si>
  <si>
    <t>$8.68M</t>
  </si>
  <si>
    <t>VNMC</t>
  </si>
  <si>
    <t>Innovator Double Stacker ETF</t>
  </si>
  <si>
    <t>$8.63M</t>
  </si>
  <si>
    <t>DSOC</t>
  </si>
  <si>
    <t>Defiance Next Gen Altered Experience ETF</t>
  </si>
  <si>
    <t>Equity: North America Pharma, Biotech &amp; Life Sciences</t>
  </si>
  <si>
    <t>PSY</t>
  </si>
  <si>
    <t>iShares Cloud 5G and Tech ETF</t>
  </si>
  <si>
    <t>$8.59M</t>
  </si>
  <si>
    <t>IDAT</t>
  </si>
  <si>
    <t>First Trust Hedged BuyWrite Income ETF</t>
  </si>
  <si>
    <t>$8.49M</t>
  </si>
  <si>
    <t>FTLB</t>
  </si>
  <si>
    <t>Pacer CSOP FTSE China A50 ETF</t>
  </si>
  <si>
    <t>$8.40M</t>
  </si>
  <si>
    <t>AFTY</t>
  </si>
  <si>
    <t>Emles Advisors LLC</t>
  </si>
  <si>
    <t>Emles Luxury Goods ETF</t>
  </si>
  <si>
    <t>$8.38M</t>
  </si>
  <si>
    <t>LUXE</t>
  </si>
  <si>
    <t>Innovator Growth Accelerated Plus ETF - July</t>
  </si>
  <si>
    <t>$8.36M</t>
  </si>
  <si>
    <t>QTJL</t>
  </si>
  <si>
    <t>Simplify Volt RoboCar Disruption and Tech ETF</t>
  </si>
  <si>
    <t>VCAR</t>
  </si>
  <si>
    <t>Overlay Shares Foreign Equity ETF</t>
  </si>
  <si>
    <t>$8.32M</t>
  </si>
  <si>
    <t>OVF</t>
  </si>
  <si>
    <t>Schwab Ariel ESG ETF</t>
  </si>
  <si>
    <t>$8.27M</t>
  </si>
  <si>
    <t>SAEF</t>
  </si>
  <si>
    <t>Changebridge Capital LLC</t>
  </si>
  <si>
    <t>Changebridge Capital Sustainable Equity ETF</t>
  </si>
  <si>
    <t>$8.25M</t>
  </si>
  <si>
    <t>CBSE</t>
  </si>
  <si>
    <t>Global X Clean Water ETF</t>
  </si>
  <si>
    <t>$8.21M</t>
  </si>
  <si>
    <t>AQWA</t>
  </si>
  <si>
    <t>B.A.D. ETF</t>
  </si>
  <si>
    <t>$8.16M</t>
  </si>
  <si>
    <t>BAD</t>
  </si>
  <si>
    <t>First Trust Latin America AlphaDEX Fund</t>
  </si>
  <si>
    <t>$7.93M</t>
  </si>
  <si>
    <t>Equity: Latin America - Total Market</t>
  </si>
  <si>
    <t>FLN</t>
  </si>
  <si>
    <t>BlackRock Future Health ETF</t>
  </si>
  <si>
    <t>BMED</t>
  </si>
  <si>
    <t>First Trust Nasdaq Food &amp; Beverage ETF</t>
  </si>
  <si>
    <t>$7.87M</t>
  </si>
  <si>
    <t>Equity: U.S. Food, Beverage &amp; Tobacco</t>
  </si>
  <si>
    <t>FTXG</t>
  </si>
  <si>
    <t>Pacer Swan SOS Flex April ETF</t>
  </si>
  <si>
    <t>$7.83M</t>
  </si>
  <si>
    <t>PSFM</t>
  </si>
  <si>
    <t>FT Cboe Vest International Equity Buffer ETF - September</t>
  </si>
  <si>
    <t>$7.80M</t>
  </si>
  <si>
    <t>YSEP</t>
  </si>
  <si>
    <t>Blue Horizon BNE ETF</t>
  </si>
  <si>
    <t>$7.76M</t>
  </si>
  <si>
    <t>BNE</t>
  </si>
  <si>
    <t>Pacer BioThreat Strategy ETF</t>
  </si>
  <si>
    <t>VIRS</t>
  </si>
  <si>
    <t>AAM S&amp;P Emerging Markets High Dividend Value ETF</t>
  </si>
  <si>
    <t>$7.75M</t>
  </si>
  <si>
    <t>EEMD</t>
  </si>
  <si>
    <t>TrueShares Structured Outcome ETF - October</t>
  </si>
  <si>
    <t>$7.71M</t>
  </si>
  <si>
    <t>OCTZ</t>
  </si>
  <si>
    <t>Innovator U.S. Equity Accelerated ETF - April</t>
  </si>
  <si>
    <t>$7.70M</t>
  </si>
  <si>
    <t>XDAP</t>
  </si>
  <si>
    <t>Global X Solar ETF</t>
  </si>
  <si>
    <t>RAYS</t>
  </si>
  <si>
    <t>Cabot ETF Partners LLC</t>
  </si>
  <si>
    <t>Cabot Growth ETF</t>
  </si>
  <si>
    <t>CBTG</t>
  </si>
  <si>
    <t>EquBot</t>
  </si>
  <si>
    <t>AI Powered International Equity ETF</t>
  </si>
  <si>
    <t>$7.68M</t>
  </si>
  <si>
    <t>AIIQ</t>
  </si>
  <si>
    <t>Innovator U.S. Equity Accelerated Plus ETF - April</t>
  </si>
  <si>
    <t>XTAP</t>
  </si>
  <si>
    <t>WisdomTree International ESG Fund</t>
  </si>
  <si>
    <t>$7.59M</t>
  </si>
  <si>
    <t>RESD</t>
  </si>
  <si>
    <t>iShares MSCI USA Mid-Cap Multifactor ETF</t>
  </si>
  <si>
    <t>$7.51M</t>
  </si>
  <si>
    <t>MIDF</t>
  </si>
  <si>
    <t>Fount Subscription Economy ETF</t>
  </si>
  <si>
    <t>$7.48M</t>
  </si>
  <si>
    <t>SUBS</t>
  </si>
  <si>
    <t>Innovator Emerging Markets Power Buffer ETF</t>
  </si>
  <si>
    <t>$7.47M</t>
  </si>
  <si>
    <t>EOCT</t>
  </si>
  <si>
    <t>Putnam Sustainable Future ETF</t>
  </si>
  <si>
    <t>$7.45M</t>
  </si>
  <si>
    <t>PFUT</t>
  </si>
  <si>
    <t>Whitford Asset Management</t>
  </si>
  <si>
    <t>Volshares Large Cap ETF</t>
  </si>
  <si>
    <t>$7.42M</t>
  </si>
  <si>
    <t>VSL</t>
  </si>
  <si>
    <t>Goldman Sachs ActiveBeta Paris-Aligned US Large Cap Equity E</t>
  </si>
  <si>
    <t>GPAL</t>
  </si>
  <si>
    <t>First Trust Emerging Markets Equity Select ETF</t>
  </si>
  <si>
    <t>$7.38M</t>
  </si>
  <si>
    <t>RNEM</t>
  </si>
  <si>
    <t>Revere Sector Opportunity ETF</t>
  </si>
  <si>
    <t>$7.24M</t>
  </si>
  <si>
    <t>RSPY</t>
  </si>
  <si>
    <t>iShares Factors US Value Style ETF</t>
  </si>
  <si>
    <t>$7.23M</t>
  </si>
  <si>
    <t>STLV</t>
  </si>
  <si>
    <t>iShares MSCI Japan Equal Weighted ETF</t>
  </si>
  <si>
    <t>$7.21M</t>
  </si>
  <si>
    <t>EWJE</t>
  </si>
  <si>
    <t>TrueShares Structured Outcome ETF - December</t>
  </si>
  <si>
    <t>$7.19M</t>
  </si>
  <si>
    <t>DECZ</t>
  </si>
  <si>
    <t>WisdomTree India ex-State-Owned Enterprises Fund</t>
  </si>
  <si>
    <t>$7.14M</t>
  </si>
  <si>
    <t>IXSE</t>
  </si>
  <si>
    <t>Pacer Swan SOS Conservative (January) ETF</t>
  </si>
  <si>
    <t>$7.12M</t>
  </si>
  <si>
    <t>PSCX</t>
  </si>
  <si>
    <t>Invesco FTSE International Low Beta Equal Weight ETF</t>
  </si>
  <si>
    <t>$7.10M</t>
  </si>
  <si>
    <t>IDLB</t>
  </si>
  <si>
    <t>Pacer Swan SOS Moderate April ETF</t>
  </si>
  <si>
    <t>PSMR</t>
  </si>
  <si>
    <t>ALPS Global Travel Beneficiaries ETF</t>
  </si>
  <si>
    <t>$7.09M</t>
  </si>
  <si>
    <t>JRNY</t>
  </si>
  <si>
    <t>Global X MSCI China Real Estate ETF</t>
  </si>
  <si>
    <t>$7.07M</t>
  </si>
  <si>
    <t>Equity: China Real Estate</t>
  </si>
  <si>
    <t>CHIR</t>
  </si>
  <si>
    <t>Putnam Sustainable Leaders ETF</t>
  </si>
  <si>
    <t>$6.89M</t>
  </si>
  <si>
    <t>PLDR</t>
  </si>
  <si>
    <t>AdvisorShares Dorsey Wright Micro-Cap ETF</t>
  </si>
  <si>
    <t>$6.86M</t>
  </si>
  <si>
    <t>DWMC</t>
  </si>
  <si>
    <t>IQ Healthy Hearts ETF</t>
  </si>
  <si>
    <t>$6.83M</t>
  </si>
  <si>
    <t>HART</t>
  </si>
  <si>
    <t>Innovator Growth Accelerated Plus ETF - January Series</t>
  </si>
  <si>
    <t>$6.81M</t>
  </si>
  <si>
    <t>QTJA</t>
  </si>
  <si>
    <t>American Century Low Volatility ETF</t>
  </si>
  <si>
    <t>$6.75M</t>
  </si>
  <si>
    <t>LVOL</t>
  </si>
  <si>
    <t>GCI Investors, Inc.</t>
  </si>
  <si>
    <t>Genuine Investors ETF</t>
  </si>
  <si>
    <t>GCIG</t>
  </si>
  <si>
    <t>Overlay Shares Small Cap Equity ETF</t>
  </si>
  <si>
    <t>$6.74M</t>
  </si>
  <si>
    <t>OVS</t>
  </si>
  <si>
    <t>Direxion Daily Select Large Caps &amp; FANGs Bull 2X Shares</t>
  </si>
  <si>
    <t>$6.59M</t>
  </si>
  <si>
    <t>FNGG</t>
  </si>
  <si>
    <t>Pacer Salt Low truBeta US Market ETF</t>
  </si>
  <si>
    <t>$6.54M</t>
  </si>
  <si>
    <t>LSLT</t>
  </si>
  <si>
    <t>Invesco US Large Cap Core ESG ETF</t>
  </si>
  <si>
    <t>$6.52M</t>
  </si>
  <si>
    <t>IVLC</t>
  </si>
  <si>
    <t>Invesco Alerian Galaxy Crypto Economy ETF</t>
  </si>
  <si>
    <t>$6.50M</t>
  </si>
  <si>
    <t>SATO</t>
  </si>
  <si>
    <t>American Century Sustainable Growth ETF</t>
  </si>
  <si>
    <t>ESGY</t>
  </si>
  <si>
    <t>AdvisorShares Psychedelics ETF</t>
  </si>
  <si>
    <t>$6.47M</t>
  </si>
  <si>
    <t>Equity: Global Pharma, Biotech &amp; Life Sciences</t>
  </si>
  <si>
    <t>PSIL</t>
  </si>
  <si>
    <t>Amplify International Online Retail ETF</t>
  </si>
  <si>
    <t>Equity: Global Ex-U.S. Internet &amp; Direct Marketing Retail</t>
  </si>
  <si>
    <t>XBUY</t>
  </si>
  <si>
    <t>Direxion Daily Metal Miners Bull 2X Shares</t>
  </si>
  <si>
    <t>$6.41M</t>
  </si>
  <si>
    <t>Leveraged Equity: U.S. Metals &amp; Mining</t>
  </si>
  <si>
    <t>MNM</t>
  </si>
  <si>
    <t>KraneShares Hang Seng TECH Index ETF</t>
  </si>
  <si>
    <t>$6.35M</t>
  </si>
  <si>
    <t>Equity: China Broad Technology</t>
  </si>
  <si>
    <t>KTEC</t>
  </si>
  <si>
    <t>Innovator U.S. Equity Accelerated Plus ETF - January</t>
  </si>
  <si>
    <t>$6.30M</t>
  </si>
  <si>
    <t>XTJA</t>
  </si>
  <si>
    <t>Pacer Swan SOS Flex October ETF</t>
  </si>
  <si>
    <t>$6.25M</t>
  </si>
  <si>
    <t>PSFO</t>
  </si>
  <si>
    <t>Nuveen Dividend Growth ETF</t>
  </si>
  <si>
    <t>$6.24M</t>
  </si>
  <si>
    <t>NDVG</t>
  </si>
  <si>
    <t>Innovator Double Stacker ETF - January</t>
  </si>
  <si>
    <t>$6.23M</t>
  </si>
  <si>
    <t>DSJA</t>
  </si>
  <si>
    <t>iShares MSCI Argentina and Global Exposure ETF</t>
  </si>
  <si>
    <t>$6.20M</t>
  </si>
  <si>
    <t>AGT</t>
  </si>
  <si>
    <t>Invesco S&amp;P Emerging Markets Momentum ETF</t>
  </si>
  <si>
    <t>$6.18M</t>
  </si>
  <si>
    <t>EEMO</t>
  </si>
  <si>
    <t>Direxion Daily U.S. Infrastructure Bull 2X Shares ETF</t>
  </si>
  <si>
    <t>$6.13M</t>
  </si>
  <si>
    <t>Leveraged Equity: U.S. Infrastructure</t>
  </si>
  <si>
    <t>DOZR</t>
  </si>
  <si>
    <t>Principal U.S. Small-Cap Adaptive Multi-Factor ETF</t>
  </si>
  <si>
    <t>$6.10M</t>
  </si>
  <si>
    <t>PLTL</t>
  </si>
  <si>
    <t>Nuveen Small Cap Select ETF</t>
  </si>
  <si>
    <t>$6.07M</t>
  </si>
  <si>
    <t>NSCS</t>
  </si>
  <si>
    <t>IQ Cleaner Transport ETF</t>
  </si>
  <si>
    <t>CLNR</t>
  </si>
  <si>
    <t>TrueShares Structured Outcome ETF - April</t>
  </si>
  <si>
    <t>$6.02M</t>
  </si>
  <si>
    <t>APRZ</t>
  </si>
  <si>
    <t>Innovator Growth Accelerated Plus ETF - October</t>
  </si>
  <si>
    <t>QTOC</t>
  </si>
  <si>
    <t>iShares ESG MSCI USA Min Vol Factor ETF</t>
  </si>
  <si>
    <t>$6.00M</t>
  </si>
  <si>
    <t>ESMV</t>
  </si>
  <si>
    <t>IQ Engender Equality ETF</t>
  </si>
  <si>
    <t>$5.95M</t>
  </si>
  <si>
    <t>EQUL</t>
  </si>
  <si>
    <t>iShares Virtual Work and Life Multisector ETF</t>
  </si>
  <si>
    <t>$5.94M</t>
  </si>
  <si>
    <t>Equity: Global Remote Work</t>
  </si>
  <si>
    <t>IWFH</t>
  </si>
  <si>
    <t>ETFMG U.S. Alternative Harvest ETF</t>
  </si>
  <si>
    <t>$5.89M</t>
  </si>
  <si>
    <t>MJUS</t>
  </si>
  <si>
    <t>First Trust Indxx Global Agriculture ETF</t>
  </si>
  <si>
    <t>$5.83M</t>
  </si>
  <si>
    <t>FTAG</t>
  </si>
  <si>
    <t>AdvisorShares Poseidon Dynamic Cannabis ETF</t>
  </si>
  <si>
    <t>$5.82M</t>
  </si>
  <si>
    <t>Leveraged Equity: Global Cannabis</t>
  </si>
  <si>
    <t>PSDN</t>
  </si>
  <si>
    <t>Impact Shares Sustainable Development Goals Global Equity ET</t>
  </si>
  <si>
    <t>$5.79M</t>
  </si>
  <si>
    <t>SDGA</t>
  </si>
  <si>
    <t>Hartford Multifactor Diversified International ETF</t>
  </si>
  <si>
    <t>$5.68M</t>
  </si>
  <si>
    <t>RODE</t>
  </si>
  <si>
    <t>Fidelity Sustainability U.S. Equity ETF</t>
  </si>
  <si>
    <t>$5.63M</t>
  </si>
  <si>
    <t>FSST</t>
  </si>
  <si>
    <t>QRAFT AI-Enhanced U.S. Next Value ETF</t>
  </si>
  <si>
    <t>$5.58M</t>
  </si>
  <si>
    <t>NVQ</t>
  </si>
  <si>
    <t>Natixis Vaughan Nelson Select ETF</t>
  </si>
  <si>
    <t>$5.52M</t>
  </si>
  <si>
    <t>VNSE</t>
  </si>
  <si>
    <t>ALPS Hillman Active Value ETF</t>
  </si>
  <si>
    <t>HVAL</t>
  </si>
  <si>
    <t>Global X Education ETF</t>
  </si>
  <si>
    <t>$5.49M</t>
  </si>
  <si>
    <t>EDUT</t>
  </si>
  <si>
    <t>Innovator U.S. Equity Accelerated 9 Buffer ETF - October</t>
  </si>
  <si>
    <t>$5.47M</t>
  </si>
  <si>
    <t>XBOC</t>
  </si>
  <si>
    <t>Columbia Sustainable International Equity Income ETF</t>
  </si>
  <si>
    <t>$5.45M</t>
  </si>
  <si>
    <t>ESGN</t>
  </si>
  <si>
    <t>Direxion Daily Global Clean Energy Bull 2X Shares</t>
  </si>
  <si>
    <t>Leveraged Equity: Global Renewable Energy</t>
  </si>
  <si>
    <t>KLNE</t>
  </si>
  <si>
    <t>QRAFT AI-Enhanced U.S. High Dividend ETF</t>
  </si>
  <si>
    <t>$5.42M</t>
  </si>
  <si>
    <t>HDIV</t>
  </si>
  <si>
    <t>Pacer Salt High truBeta U.S. Market ETF</t>
  </si>
  <si>
    <t>SLT</t>
  </si>
  <si>
    <t>Franklin FTSE South Africa ETF</t>
  </si>
  <si>
    <t>$5.39M</t>
  </si>
  <si>
    <t>FLZA</t>
  </si>
  <si>
    <t>Global X AgTech &amp; Food Innovation ETF</t>
  </si>
  <si>
    <t>$5.36M</t>
  </si>
  <si>
    <t>KROP</t>
  </si>
  <si>
    <t>TrueShares Structured Outcome ETF - March</t>
  </si>
  <si>
    <t>$5.34M</t>
  </si>
  <si>
    <t>MARZ</t>
  </si>
  <si>
    <t>iShares Factors U.S. Growth Style ETF</t>
  </si>
  <si>
    <t>$5.31M</t>
  </si>
  <si>
    <t>STLG</t>
  </si>
  <si>
    <t>SmartETFs Sustainable Energy II ETF</t>
  </si>
  <si>
    <t>$5.30M</t>
  </si>
  <si>
    <t>SOLR</t>
  </si>
  <si>
    <t>Innovator U.S. Equity Accelerated ETF - July</t>
  </si>
  <si>
    <t>$5.29M</t>
  </si>
  <si>
    <t>XDJL</t>
  </si>
  <si>
    <t>Pacer Swan SOS Flex (July) ETF</t>
  </si>
  <si>
    <t>$5.24M</t>
  </si>
  <si>
    <t>PSFJ</t>
  </si>
  <si>
    <t>Nuveen Winslow Large-Cap Growth ESG ETF</t>
  </si>
  <si>
    <t>$5.22M</t>
  </si>
  <si>
    <t>NWLG</t>
  </si>
  <si>
    <t>Volt Equity LLC</t>
  </si>
  <si>
    <t>Volt Crypto Industry Revolution and Tech ETF</t>
  </si>
  <si>
    <t>$5.20M</t>
  </si>
  <si>
    <t>BTCR</t>
  </si>
  <si>
    <t>Nuveen ESG Dividend ETF</t>
  </si>
  <si>
    <t>$5.12M</t>
  </si>
  <si>
    <t>NUDV</t>
  </si>
  <si>
    <t>TrueShares Structured Outcome ETF - May</t>
  </si>
  <si>
    <t>$5.09M</t>
  </si>
  <si>
    <t>MAYZ</t>
  </si>
  <si>
    <t>FlexShares ESG &amp; Climate Developed Markets ex-U.S. Core Inde</t>
  </si>
  <si>
    <t>$4.99M</t>
  </si>
  <si>
    <t>FEDM</t>
  </si>
  <si>
    <t>Direxion Daily Travel &amp; Vacation Bull 2X Shares</t>
  </si>
  <si>
    <t>$4.95M</t>
  </si>
  <si>
    <t>OOTO</t>
  </si>
  <si>
    <t>Innovator U.S. Equity Accelerated Plus ETF</t>
  </si>
  <si>
    <t>$4.90M</t>
  </si>
  <si>
    <t>XTOC</t>
  </si>
  <si>
    <t>Direxion World Without Waste ETF</t>
  </si>
  <si>
    <t>$4.83M</t>
  </si>
  <si>
    <t>WWOW</t>
  </si>
  <si>
    <t>IQ Clean Oceans ETF</t>
  </si>
  <si>
    <t>OCEN</t>
  </si>
  <si>
    <t>Spear Advisors LLC</t>
  </si>
  <si>
    <t>Spear Alpha ETF</t>
  </si>
  <si>
    <t>$4.78M</t>
  </si>
  <si>
    <t>SPRX</t>
  </si>
  <si>
    <t>Invesco ESG S&amp;P 500 Equal Weight ETF</t>
  </si>
  <si>
    <t>$4.77M</t>
  </si>
  <si>
    <t>RSPE</t>
  </si>
  <si>
    <t>Roundhill Pro Sports, Media &amp; Apparel ETF</t>
  </si>
  <si>
    <t>$4.72M</t>
  </si>
  <si>
    <t>MVP</t>
  </si>
  <si>
    <t>Jacob Asset Management</t>
  </si>
  <si>
    <t>Jacob Forward ETF</t>
  </si>
  <si>
    <t>$4.66M</t>
  </si>
  <si>
    <t>JFWD</t>
  </si>
  <si>
    <t>BlackRock Future Climate and Sustainable Economy ETF</t>
  </si>
  <si>
    <t>BECO</t>
  </si>
  <si>
    <t>Global X S&amp;P Catholic Values Developed ex-U.S. ETF</t>
  </si>
  <si>
    <t>$4.61M</t>
  </si>
  <si>
    <t>CEFA</t>
  </si>
  <si>
    <t>BlackRock Future U.S. Themes ETF</t>
  </si>
  <si>
    <t>$4.59M</t>
  </si>
  <si>
    <t>BTHM</t>
  </si>
  <si>
    <t>Virtus Investment Partners</t>
  </si>
  <si>
    <t>InfraCap Equity Income Fund ETF</t>
  </si>
  <si>
    <t>$4.52M</t>
  </si>
  <si>
    <t>ICAP</t>
  </si>
  <si>
    <t>Invesco MSCI Green Building ETF</t>
  </si>
  <si>
    <t>$4.51M</t>
  </si>
  <si>
    <t>GBLD</t>
  </si>
  <si>
    <t>WisdomTree U.S. Growth &amp; Momentum Fund</t>
  </si>
  <si>
    <t>$4.50M</t>
  </si>
  <si>
    <t>WGRO</t>
  </si>
  <si>
    <t>MicroSectors Oil &amp; Gas Exploration &amp; Production 3X Leveraged</t>
  </si>
  <si>
    <t>$4.47M</t>
  </si>
  <si>
    <t>OILU</t>
  </si>
  <si>
    <t>MicroSectors U.S. Big Banks Index -3X Inverse Leveraged ETN</t>
  </si>
  <si>
    <t>$4.30M</t>
  </si>
  <si>
    <t>BNKD</t>
  </si>
  <si>
    <t>MicroSectors FANG &amp; Innovation -3x Inverse Leveraged ETN</t>
  </si>
  <si>
    <t>$4.28M</t>
  </si>
  <si>
    <t>BERZ</t>
  </si>
  <si>
    <t>Emles Made in America ETF</t>
  </si>
  <si>
    <t>$4.23M</t>
  </si>
  <si>
    <t>AMER</t>
  </si>
  <si>
    <t>SmartETFs Asia Pacific Dividend Builder ETF</t>
  </si>
  <si>
    <t>$4.21M</t>
  </si>
  <si>
    <t>ADIV</t>
  </si>
  <si>
    <t>Pacer U.S. Export Leaders ETF</t>
  </si>
  <si>
    <t>$4.18M</t>
  </si>
  <si>
    <t>PEXL</t>
  </si>
  <si>
    <t>Franklin FTSE Latin America ETF</t>
  </si>
  <si>
    <t>FLLA</t>
  </si>
  <si>
    <t>The Generation Z ETF</t>
  </si>
  <si>
    <t>$4.16M</t>
  </si>
  <si>
    <t>ZGEN</t>
  </si>
  <si>
    <t>TrueShares Structured Outcome ETF - January</t>
  </si>
  <si>
    <t>$4.11M</t>
  </si>
  <si>
    <t>JANZ</t>
  </si>
  <si>
    <t>AGF</t>
  </si>
  <si>
    <t>AGFiQ Global Infrastructure ETF</t>
  </si>
  <si>
    <t>$4.09M</t>
  </si>
  <si>
    <t>GLIF</t>
  </si>
  <si>
    <t>Franklin FTSE Italy ETF</t>
  </si>
  <si>
    <t>$4.07M</t>
  </si>
  <si>
    <t>FLIY</t>
  </si>
  <si>
    <t>Barclays Women in Leadership ETN</t>
  </si>
  <si>
    <t>$4.00M</t>
  </si>
  <si>
    <t>WIL</t>
  </si>
  <si>
    <t>Global X Wind Energy ETF</t>
  </si>
  <si>
    <t>$3.96M</t>
  </si>
  <si>
    <t>WNDY</t>
  </si>
  <si>
    <t>TrueShares Structured Outcome ETF - June</t>
  </si>
  <si>
    <t>$3.88M</t>
  </si>
  <si>
    <t>JUNZ</t>
  </si>
  <si>
    <t>Invesco Alerian Galaxy Blockchain Users and Decentralized Co</t>
  </si>
  <si>
    <t>BLKC</t>
  </si>
  <si>
    <t>First Trust Active Factor Large Cap ETF</t>
  </si>
  <si>
    <t>$3.87M</t>
  </si>
  <si>
    <t>AFLG</t>
  </si>
  <si>
    <t>Franklin FTSE Saudi Arabia ETF</t>
  </si>
  <si>
    <t>$3.84M</t>
  </si>
  <si>
    <t>FLSA</t>
  </si>
  <si>
    <t>Direxion Fallen Knives ETF</t>
  </si>
  <si>
    <t>$3.80M</t>
  </si>
  <si>
    <t>NIFE</t>
  </si>
  <si>
    <t>Global X Emerging Markets Internet &amp; E-commerce ETF</t>
  </si>
  <si>
    <t>$3.73M</t>
  </si>
  <si>
    <t>EWEB</t>
  </si>
  <si>
    <t>Global X NASDAQ 100 Tail Risk ETF</t>
  </si>
  <si>
    <t>$3.72M</t>
  </si>
  <si>
    <t>QTR</t>
  </si>
  <si>
    <t>Direxion Low Priced Stock ETF</t>
  </si>
  <si>
    <t>$3.71M</t>
  </si>
  <si>
    <t>LOPX</t>
  </si>
  <si>
    <t>AdvisorShares Restaurant ETF</t>
  </si>
  <si>
    <t>$3.68M</t>
  </si>
  <si>
    <t>Equity: U.S. Restaurants</t>
  </si>
  <si>
    <t>EATZ</t>
  </si>
  <si>
    <t>First Trust Innovation Leaders ETF</t>
  </si>
  <si>
    <t>$3.66M</t>
  </si>
  <si>
    <t>ILDR</t>
  </si>
  <si>
    <t>Pacer Swan SOS Conservative October ETF</t>
  </si>
  <si>
    <t>$3.60M</t>
  </si>
  <si>
    <t>PSCQ</t>
  </si>
  <si>
    <t>WisdomTree BioRevolution Fund</t>
  </si>
  <si>
    <t>$3.56M</t>
  </si>
  <si>
    <t>Equity: Developed Markets Genomic Advancements</t>
  </si>
  <si>
    <t>WDNA</t>
  </si>
  <si>
    <t>Global X MSCI Vietnam ETF</t>
  </si>
  <si>
    <t>$3.55M</t>
  </si>
  <si>
    <t>VNAM</t>
  </si>
  <si>
    <t>Global X China Biotech Innovation ETF</t>
  </si>
  <si>
    <t>$3.54M</t>
  </si>
  <si>
    <t>Equity: China Biotechnology</t>
  </si>
  <si>
    <t>CHB</t>
  </si>
  <si>
    <t>ClearBridge Focus Value ESG ETF</t>
  </si>
  <si>
    <t>$3.53M</t>
  </si>
  <si>
    <t>CFCV</t>
  </si>
  <si>
    <t>TrueShares Structured Outcome ETF - February</t>
  </si>
  <si>
    <t>$3.52M</t>
  </si>
  <si>
    <t>FEBZ</t>
  </si>
  <si>
    <t>Direxion Daily Software Bull 2X Shares</t>
  </si>
  <si>
    <t>Leveraged Equity: North America Software</t>
  </si>
  <si>
    <t>SWAR</t>
  </si>
  <si>
    <t>Global X China Innovation ETF</t>
  </si>
  <si>
    <t>$3.48M</t>
  </si>
  <si>
    <t>KEJI</t>
  </si>
  <si>
    <t>Pacer Cash Cows Fund of Funds ETF</t>
  </si>
  <si>
    <t>$3.44M</t>
  </si>
  <si>
    <t>HERD</t>
  </si>
  <si>
    <t>Banhazl</t>
  </si>
  <si>
    <t>Cannabis Growth ETF</t>
  </si>
  <si>
    <t>$3.43M</t>
  </si>
  <si>
    <t>BUDX</t>
  </si>
  <si>
    <t>Gabelli Growth Innovators ETF</t>
  </si>
  <si>
    <t>$3.41M</t>
  </si>
  <si>
    <t>GGRW</t>
  </si>
  <si>
    <t>Global X S&amp;P 500 Collar 95-110 ETF</t>
  </si>
  <si>
    <t>XCLR</t>
  </si>
  <si>
    <t>iShares Currency Hedged JPX-Nikkei 400 ETF</t>
  </si>
  <si>
    <t>$3.38M</t>
  </si>
  <si>
    <t>HJPX</t>
  </si>
  <si>
    <t>LGBTQ + ESG100 ETF</t>
  </si>
  <si>
    <t>$3.30M</t>
  </si>
  <si>
    <t>LGBT</t>
  </si>
  <si>
    <t>Franklin Exponential Data ETF</t>
  </si>
  <si>
    <t>$3.28M</t>
  </si>
  <si>
    <t>XDAT</t>
  </si>
  <si>
    <t>Pacer Swan SOS Conservative April ETF</t>
  </si>
  <si>
    <t>$3.24M</t>
  </si>
  <si>
    <t>PSCW</t>
  </si>
  <si>
    <t>Lyrical Partners</t>
  </si>
  <si>
    <t>Lyrical U.S. Value ETF</t>
  </si>
  <si>
    <t>$3.21M</t>
  </si>
  <si>
    <t>USVT</t>
  </si>
  <si>
    <t>Democracy Investment Management LLC</t>
  </si>
  <si>
    <t>Democracy International Fund ETF</t>
  </si>
  <si>
    <t>$3.20M</t>
  </si>
  <si>
    <t>DMCY</t>
  </si>
  <si>
    <t>Sparkline Intangible Value ETF</t>
  </si>
  <si>
    <t>ITAN</t>
  </si>
  <si>
    <t>Simplify Emerging Markets Equity PLUS Downside Convexity ETF</t>
  </si>
  <si>
    <t>$3.13M</t>
  </si>
  <si>
    <t>EMGD</t>
  </si>
  <si>
    <t>Global X S&amp;P 500 Tail Risk ETF</t>
  </si>
  <si>
    <t>$3.12M</t>
  </si>
  <si>
    <t>XTR</t>
  </si>
  <si>
    <t>Global X NASDAQ 100 Collar 95-110 ETF</t>
  </si>
  <si>
    <t>$3.11M</t>
  </si>
  <si>
    <t>QCLR</t>
  </si>
  <si>
    <t>Pacer Swan SOS Conservative (July) ETF</t>
  </si>
  <si>
    <t>$3.10M</t>
  </si>
  <si>
    <t>PSCJ</t>
  </si>
  <si>
    <t>AVDR U.S. LargeCap ESG ETF</t>
  </si>
  <si>
    <t>$3.07M</t>
  </si>
  <si>
    <t>AVDG</t>
  </si>
  <si>
    <t>Simplify Developed Ex-US PLUS Downside Convexity ETF</t>
  </si>
  <si>
    <t>$3.00M</t>
  </si>
  <si>
    <t>EAFD</t>
  </si>
  <si>
    <t>Direxion mRNA ETF</t>
  </si>
  <si>
    <t>MSGR</t>
  </si>
  <si>
    <t xml:space="preserve">MicroSectors Oil &amp; Gas Exploration &amp; Production -3X Inverse </t>
  </si>
  <si>
    <t>$2.89M</t>
  </si>
  <si>
    <t>OILD</t>
  </si>
  <si>
    <t>VegTech LLC</t>
  </si>
  <si>
    <t>VegTech Plant-based Innovation &amp; Climate ETF</t>
  </si>
  <si>
    <t>$2.88M</t>
  </si>
  <si>
    <t>EATV</t>
  </si>
  <si>
    <t>Emles @ Home ETF</t>
  </si>
  <si>
    <t>$2.85M</t>
  </si>
  <si>
    <t>LIV</t>
  </si>
  <si>
    <t>Truemark Group</t>
  </si>
  <si>
    <t>RiverNorth Volition America Patriot ETF</t>
  </si>
  <si>
    <t>FLDZ</t>
  </si>
  <si>
    <t>Defiance Next Gen Big Data ETF</t>
  </si>
  <si>
    <t>$2.84M</t>
  </si>
  <si>
    <t>BIGY</t>
  </si>
  <si>
    <t>Fidelity Women's Leadership ETF</t>
  </si>
  <si>
    <t>$2.81M</t>
  </si>
  <si>
    <t>FDWM</t>
  </si>
  <si>
    <t>Global Beta Advisors</t>
  </si>
  <si>
    <t>Global Beta Smart Income ETF</t>
  </si>
  <si>
    <t>$2.80M</t>
  </si>
  <si>
    <t>GBDV</t>
  </si>
  <si>
    <t>SPDR S&amp;P SmallCap 600 ESG ETF</t>
  </si>
  <si>
    <t>$2.78M</t>
  </si>
  <si>
    <t>ESIX</t>
  </si>
  <si>
    <t>Invesco Real Assets ESG ETF</t>
  </si>
  <si>
    <t>$2.74M</t>
  </si>
  <si>
    <t>Equity: North America - Total Market</t>
  </si>
  <si>
    <t>IVRA</t>
  </si>
  <si>
    <t>Invesco Russell 1000 Enhanced Equal Weight ETF</t>
  </si>
  <si>
    <t>$2.73M</t>
  </si>
  <si>
    <t>USEQ</t>
  </si>
  <si>
    <t>APEX HealthCare ETF</t>
  </si>
  <si>
    <t>$2.70M</t>
  </si>
  <si>
    <t>APXH</t>
  </si>
  <si>
    <t>Barclays Return on Disability ETN</t>
  </si>
  <si>
    <t>$2.65M</t>
  </si>
  <si>
    <t>RODI</t>
  </si>
  <si>
    <t>Xtrackers Eurozone Equity ETF</t>
  </si>
  <si>
    <t>$2.64M</t>
  </si>
  <si>
    <t>EURZ</t>
  </si>
  <si>
    <t>KraneShares Emerging Markets Healthcare Index ETF</t>
  </si>
  <si>
    <t>$2.57M</t>
  </si>
  <si>
    <t>Equity: Emerging Markets Health Care</t>
  </si>
  <si>
    <t>KMED</t>
  </si>
  <si>
    <t>FlexShares ESG &amp; Climate U.S. Large Cap Core Index Fund</t>
  </si>
  <si>
    <t>$2.53M</t>
  </si>
  <si>
    <t>FEUS</t>
  </si>
  <si>
    <t>WisdomTree Emerging Markets Multifactor Fund</t>
  </si>
  <si>
    <t>EMMF</t>
  </si>
  <si>
    <t>First Trust Active Factor Small Cap ETF</t>
  </si>
  <si>
    <t>$2.45M</t>
  </si>
  <si>
    <t>AFSM</t>
  </si>
  <si>
    <t>First Trust Active Factor Mid Cap ETF</t>
  </si>
  <si>
    <t>$2.42M</t>
  </si>
  <si>
    <t>AFMC</t>
  </si>
  <si>
    <t>VictoryShares THB Mid Cap ESG ETF</t>
  </si>
  <si>
    <t>MDCP</t>
  </si>
  <si>
    <t>AAM S&amp;P Developed Markets High Dividend Value ETF</t>
  </si>
  <si>
    <t>$2.41M</t>
  </si>
  <si>
    <t>DMDV</t>
  </si>
  <si>
    <t>Simplify US Small Cap PLUS Downside Convexity ETF</t>
  </si>
  <si>
    <t>$2.35M</t>
  </si>
  <si>
    <t>RTYD</t>
  </si>
  <si>
    <t>KraneShares China Innovation ETF</t>
  </si>
  <si>
    <t>$2.27M</t>
  </si>
  <si>
    <t>Equity: China Broad Thematic</t>
  </si>
  <si>
    <t>KGRO</t>
  </si>
  <si>
    <t>VanEck Future of Food ETF</t>
  </si>
  <si>
    <t>YUMY</t>
  </si>
  <si>
    <t>ETFMG Breakwave Sea Decarbonization Tech ETF</t>
  </si>
  <si>
    <t>$2.23M</t>
  </si>
  <si>
    <t>BSEA</t>
  </si>
  <si>
    <t>SmartETFs Advertising &amp; Marketing Technology ETF</t>
  </si>
  <si>
    <t>$2.19M</t>
  </si>
  <si>
    <t>MRAD</t>
  </si>
  <si>
    <t>Invesco ESG NASDAQ Next Gen 100 ETF</t>
  </si>
  <si>
    <t>$2.18M</t>
  </si>
  <si>
    <t>QQJG</t>
  </si>
  <si>
    <t>The De-SPAC ETF</t>
  </si>
  <si>
    <t>$2.12M</t>
  </si>
  <si>
    <t>DSPC</t>
  </si>
  <si>
    <t>Impact Shares MSCI Global Climate Select ETF</t>
  </si>
  <si>
    <t>$1.89M</t>
  </si>
  <si>
    <t>NTZO</t>
  </si>
  <si>
    <t>Direxion Nanotechnology ETF</t>
  </si>
  <si>
    <t>$1.88M</t>
  </si>
  <si>
    <t>TYNE</t>
  </si>
  <si>
    <t>ETFMG Real Estate Tech ETF</t>
  </si>
  <si>
    <t>HHH</t>
  </si>
  <si>
    <t>VanEck Morningstar ESG Moat ETF</t>
  </si>
  <si>
    <t>$1.85M</t>
  </si>
  <si>
    <t>MOTE</t>
  </si>
  <si>
    <t>Dinerbao SL</t>
  </si>
  <si>
    <t>The NextGen Trend and Defend ETF - United States</t>
  </si>
  <si>
    <t>$1.84M</t>
  </si>
  <si>
    <t>TRDF</t>
  </si>
  <si>
    <t>Innovator U.S. Equity Accelerated ETF</t>
  </si>
  <si>
    <t>$1.83M</t>
  </si>
  <si>
    <t>XDOC</t>
  </si>
  <si>
    <t>Emles Federal Contractors ETF</t>
  </si>
  <si>
    <t>$1.81M</t>
  </si>
  <si>
    <t>FEDX</t>
  </si>
  <si>
    <t>Motley Fool Capital Efficiency 100 Index ETF</t>
  </si>
  <si>
    <t>$1.76M</t>
  </si>
  <si>
    <t>TMFE</t>
  </si>
  <si>
    <t>Roundhill IO Digital Infrastructure ETF</t>
  </si>
  <si>
    <t>$1.70M</t>
  </si>
  <si>
    <t>BYTE</t>
  </si>
  <si>
    <t>iClima Distributed Renewable Energy Transition Leaders ETF</t>
  </si>
  <si>
    <t>SHFT</t>
  </si>
  <si>
    <t>Global X MSCI China Utilities ETF</t>
  </si>
  <si>
    <t>$1.68M</t>
  </si>
  <si>
    <t>Equity: China Utilities</t>
  </si>
  <si>
    <t>CHIU</t>
  </si>
  <si>
    <t>First Trust Multi-Manager Small Cap Opportunities ETF</t>
  </si>
  <si>
    <t>MMSC</t>
  </si>
  <si>
    <t>Roundhill Meme ETF</t>
  </si>
  <si>
    <t>$1.63M</t>
  </si>
  <si>
    <t>MEME</t>
  </si>
  <si>
    <t>Simplify Volt Fintech Disruption ETF</t>
  </si>
  <si>
    <t>$1.58M</t>
  </si>
  <si>
    <t>VFIN</t>
  </si>
  <si>
    <t>Swedish Export Credit</t>
  </si>
  <si>
    <t>Elements Spectrum Large Cap US Sector Momentum Index ETN</t>
  </si>
  <si>
    <t>$1.48M</t>
  </si>
  <si>
    <t>EEH</t>
  </si>
  <si>
    <t>Kellner Capital</t>
  </si>
  <si>
    <t>Kelly Hotel &amp; Lodging Sector ETF</t>
  </si>
  <si>
    <t>$1.44M</t>
  </si>
  <si>
    <t>Equity: Developed Markets Hotels, Resorts &amp; Cruise Lines</t>
  </si>
  <si>
    <t>HOTL</t>
  </si>
  <si>
    <t>Avantis U.S. Small Cap Equity ETF</t>
  </si>
  <si>
    <t>$1.38M</t>
  </si>
  <si>
    <t>AVSC</t>
  </si>
  <si>
    <t>iClima Global Decarbonization Transition Leaders ETF</t>
  </si>
  <si>
    <t>$1.33M</t>
  </si>
  <si>
    <t>CLMA</t>
  </si>
  <si>
    <t>RBS Securities</t>
  </si>
  <si>
    <t>Kelly CRISPR &amp; Gene Editing Technology ETF</t>
  </si>
  <si>
    <t>$1.31M</t>
  </si>
  <si>
    <t>Equity:Developed Markets Sector Pharma, Biotech &amp; Life Scien</t>
  </si>
  <si>
    <t>XDNA</t>
  </si>
  <si>
    <t>Global Beta Low Beta ETF</t>
  </si>
  <si>
    <t>$1.27M</t>
  </si>
  <si>
    <t>GBLO</t>
  </si>
  <si>
    <t>Invesco Select Growth ETF</t>
  </si>
  <si>
    <t>$1.22M</t>
  </si>
  <si>
    <t>IVSG</t>
  </si>
  <si>
    <t>ETFMG Prime 2x Daily Junior Silver Miners ETF</t>
  </si>
  <si>
    <t>$1.19M</t>
  </si>
  <si>
    <t>Leveraged Equity: Global Silver Miners</t>
  </si>
  <si>
    <t>SILX</t>
  </si>
  <si>
    <t>V-Square Quantitative Management LLC</t>
  </si>
  <si>
    <t>V-Shares US Leadership Diversity ETF</t>
  </si>
  <si>
    <t>VDNI</t>
  </si>
  <si>
    <t>Innovator U.S. Equity Accelerated ETF - January</t>
  </si>
  <si>
    <t>$1.14M</t>
  </si>
  <si>
    <t>XDJA</t>
  </si>
  <si>
    <t>Amplify Pure Junior Gold Miners ETF</t>
  </si>
  <si>
    <t>$1.12M</t>
  </si>
  <si>
    <t>JGLD</t>
  </si>
  <si>
    <t>Big Data Federation, Inc.</t>
  </si>
  <si>
    <t>UBC Algorithmic Fundamentals ETF</t>
  </si>
  <si>
    <t>$1.11M</t>
  </si>
  <si>
    <t>UBCB</t>
  </si>
  <si>
    <t>Wisdom Tree Artificial Intelligence and Innovation Fund</t>
  </si>
  <si>
    <t>$1.09M</t>
  </si>
  <si>
    <t>WTAI</t>
  </si>
  <si>
    <t>Invesco Focused Discovery Growth ETF</t>
  </si>
  <si>
    <t>$1.02M</t>
  </si>
  <si>
    <t>Equity: Global - Mid Cap Growth</t>
  </si>
  <si>
    <t>IVDG</t>
  </si>
  <si>
    <t>Global Beta Rising Stars ETF</t>
  </si>
  <si>
    <t>GBGR</t>
  </si>
  <si>
    <t>First Trust TCW ESG Premier Equity ETF</t>
  </si>
  <si>
    <t>$966.54K</t>
  </si>
  <si>
    <t>EPRE</t>
  </si>
  <si>
    <t>ETFMG 2X Daily Inverse Alternative Harvest ETF</t>
  </si>
  <si>
    <t>$964.28K</t>
  </si>
  <si>
    <t>Inverse Equity: Global Cannabis</t>
  </si>
  <si>
    <t>MJIN</t>
  </si>
  <si>
    <t>Simplify Volt Pop Culture Disruption ETF</t>
  </si>
  <si>
    <t>$930.13K</t>
  </si>
  <si>
    <t>VPOP</t>
  </si>
  <si>
    <t>Amplify Cleaner Living ETF</t>
  </si>
  <si>
    <t>$875.89K</t>
  </si>
  <si>
    <t>DTOX</t>
  </si>
  <si>
    <t>Siren Large Cap Blend Index ETF</t>
  </si>
  <si>
    <t>$752.46K</t>
  </si>
  <si>
    <t>SPQQ</t>
  </si>
  <si>
    <t>Grizzle Investment Management LLC</t>
  </si>
  <si>
    <t>Grizzle Growth ETF</t>
  </si>
  <si>
    <t>$665.50K</t>
  </si>
  <si>
    <t>GRZZ</t>
  </si>
  <si>
    <t>Dalton Capital</t>
  </si>
  <si>
    <t>Alpha Intelligent - Large Cap Growth ETF</t>
  </si>
  <si>
    <t>$615.35K</t>
  </si>
  <si>
    <t>AILG</t>
  </si>
  <si>
    <t>ETFMG 2x Daily Alternative Harvest ETF</t>
  </si>
  <si>
    <t>$614.71K</t>
  </si>
  <si>
    <t>MJXL</t>
  </si>
  <si>
    <t>Strategy Shares</t>
  </si>
  <si>
    <t>Strategy Shares Halt Climate Change ETF</t>
  </si>
  <si>
    <t>$569.78K</t>
  </si>
  <si>
    <t>NZRO</t>
  </si>
  <si>
    <t>Amplify Digital and Online Trading ETF</t>
  </si>
  <si>
    <t>$541.75K</t>
  </si>
  <si>
    <t>BIDS</t>
  </si>
  <si>
    <t>ETFMG 2x Daily Travel Tech ETF</t>
  </si>
  <si>
    <t>$533.99K</t>
  </si>
  <si>
    <t>Leveraged Equity: Global Internet &amp; Direct Marketing Retail</t>
  </si>
  <si>
    <t>AWYX</t>
  </si>
  <si>
    <t>Alpha Intelligent - Large Cap Value ETF</t>
  </si>
  <si>
    <t>$514.51K</t>
  </si>
  <si>
    <t>AILV</t>
  </si>
  <si>
    <t>Valkyrie Funds LLC</t>
  </si>
  <si>
    <t>Valkyrie Balance Sheet Opportunities ETF</t>
  </si>
  <si>
    <t>$476.10K</t>
  </si>
  <si>
    <t>Equity: U.S. Digital Economy</t>
  </si>
  <si>
    <t>VBB</t>
  </si>
  <si>
    <t>Inherent Wealth Fund LLC</t>
  </si>
  <si>
    <t>iBET Sports Betting &amp; Gaming ETF</t>
  </si>
  <si>
    <t>$460.16K</t>
  </si>
  <si>
    <t>IBET</t>
  </si>
  <si>
    <t>Amberwave Partners Research &amp; Management LLC</t>
  </si>
  <si>
    <t>Amberwave Invest USA JSG Fund</t>
  </si>
  <si>
    <t>$427.75K</t>
  </si>
  <si>
    <t>IUSA</t>
  </si>
  <si>
    <t>ETFMG Prime 2x Daily Inverse Junior Silver Miners ETF</t>
  </si>
  <si>
    <t>$132.35K</t>
  </si>
  <si>
    <t>Inverse Equity: Global Silver Miners</t>
  </si>
  <si>
    <t>SINV</t>
  </si>
  <si>
    <t>Direxion S&amp;P 500 Equal Weight Bull 2X Shares</t>
  </si>
  <si>
    <t>EVEN</t>
  </si>
  <si>
    <t>Direxion Daily FinTech Bull 2X Shares</t>
  </si>
  <si>
    <t>Leveraged Equity:U.S. Sector FinTech</t>
  </si>
  <si>
    <t>FNTC</t>
  </si>
  <si>
    <t>Kelly Residential &amp; Apartment Real Estate ETF</t>
  </si>
  <si>
    <t>Equity: Developed Markets Housing</t>
  </si>
  <si>
    <t>RESI</t>
  </si>
  <si>
    <t>Gabelli Asset ETF</t>
  </si>
  <si>
    <t>GAST</t>
  </si>
  <si>
    <t>ORIX Corp.</t>
  </si>
  <si>
    <t>Harbor Disruptive Innovation ETF</t>
  </si>
  <si>
    <t>INNO</t>
  </si>
  <si>
    <t>ProShares</t>
  </si>
  <si>
    <t>ProShares On-Demand ETF</t>
  </si>
  <si>
    <t>OND</t>
  </si>
  <si>
    <t>ProShares Smart Materials ETF</t>
  </si>
  <si>
    <t>TINT</t>
  </si>
  <si>
    <t>ProShares Nanotechnology ETF</t>
  </si>
  <si>
    <t>Equity: Developed Markets Broad Technology</t>
  </si>
  <si>
    <t>TINY</t>
  </si>
  <si>
    <t>ProShares S&amp;P Kensho Cleantech ETF</t>
  </si>
  <si>
    <t>CTEX</t>
  </si>
  <si>
    <t>ProShares Big Data Refiners ETF</t>
  </si>
  <si>
    <t>DAT</t>
  </si>
  <si>
    <t>ProShares S&amp;P Kensho Smart Factories ETF</t>
  </si>
  <si>
    <t>MAKX</t>
  </si>
  <si>
    <t>ETRACS 2x Leveraged MSCI USA ESG Focus TR ETN</t>
  </si>
  <si>
    <t>ESUS</t>
  </si>
  <si>
    <t>ETRACS 2x Leveraged IFED Invest with the Fed TR Index ETN</t>
  </si>
  <si>
    <t>FEDL</t>
  </si>
  <si>
    <t>ETRACS IFED Invest with the Fed TR Index ETN</t>
  </si>
  <si>
    <t>IFED</t>
  </si>
  <si>
    <t>Virtus Duff &amp; Phelps Clean Energy ETF</t>
  </si>
  <si>
    <t>VCLN</t>
  </si>
  <si>
    <t>First Trust Indxx Medical Devices ETF</t>
  </si>
  <si>
    <t>Equity: Global Health Care Equipment</t>
  </si>
  <si>
    <t>MDEV</t>
  </si>
  <si>
    <t>ProShares NASDAQ-100 Dorsey Wright Momentum ETF</t>
  </si>
  <si>
    <t>QQQA</t>
  </si>
  <si>
    <t>ProShares Ultra Nasdaq Cloud Computing</t>
  </si>
  <si>
    <t>SKYU</t>
  </si>
  <si>
    <t>ProShares Ultra Nasdaq Cybersecurity</t>
  </si>
  <si>
    <t>Leveraged Equity: Global Cybersecurity</t>
  </si>
  <si>
    <t>UCYB</t>
  </si>
  <si>
    <t>Virtus Terranova U.S. Quality Momentum ETF</t>
  </si>
  <si>
    <t>JOET</t>
  </si>
  <si>
    <t>SULR</t>
  </si>
  <si>
    <t>VictoryShares Protect America ETF</t>
  </si>
  <si>
    <t>SHLD</t>
  </si>
  <si>
    <t>VictoryShares Top Veteran Employers ETF</t>
  </si>
  <si>
    <t>VTRN</t>
  </si>
  <si>
    <t>NVMZ</t>
  </si>
  <si>
    <t>ProShares MSCI Transformational Changes ETF</t>
  </si>
  <si>
    <t>ANEW</t>
  </si>
  <si>
    <t>Direxion Connected Consumer ETF</t>
  </si>
  <si>
    <t>CCON</t>
  </si>
  <si>
    <t>American Century Mid Cap Growth Impact ETF</t>
  </si>
  <si>
    <t>MID</t>
  </si>
  <si>
    <t>Direxion High Growth ETF</t>
  </si>
  <si>
    <t>HIPR</t>
  </si>
  <si>
    <t>Trend Aggregation Growth ETF</t>
  </si>
  <si>
    <t>TAAG</t>
  </si>
  <si>
    <t>The Active Dividend Stock ETF</t>
  </si>
  <si>
    <t>TADS</t>
  </si>
  <si>
    <t>iShares Factors US Blend Style ETF</t>
  </si>
  <si>
    <t>STLC</t>
  </si>
  <si>
    <t>iShares Factors US Mid Blend Style ETF</t>
  </si>
  <si>
    <t>STMB</t>
  </si>
  <si>
    <t>iShares Factors US Small Blend Style ETF</t>
  </si>
  <si>
    <t>STSB</t>
  </si>
  <si>
    <t>ProShares S&amp;P Technology Dividend Aristocrats ETF</t>
  </si>
  <si>
    <t>TDV</t>
  </si>
  <si>
    <t>ProShares Russell U.S. Dividend Growers ETF</t>
  </si>
  <si>
    <t>TMDV</t>
  </si>
  <si>
    <t>The Cannabis ETF</t>
  </si>
  <si>
    <t>Equity: North America Cannabis</t>
  </si>
  <si>
    <t>THCX</t>
  </si>
  <si>
    <t>Virtus Real Asset Income ETF</t>
  </si>
  <si>
    <t>VRAI</t>
  </si>
  <si>
    <t>ProShares Pet Care ETF</t>
  </si>
  <si>
    <t>PAWZ</t>
  </si>
  <si>
    <t>ProShares Online Retail ETF</t>
  </si>
  <si>
    <t>ONLN</t>
  </si>
  <si>
    <t>ProShares Long Online/Short Stores ETF</t>
  </si>
  <si>
    <t>CLIX</t>
  </si>
  <si>
    <t>ProShares Decline of the Retail Store ETF</t>
  </si>
  <si>
    <t>Inverse Equity:U.S. Broad Retail</t>
  </si>
  <si>
    <t>EMTY</t>
  </si>
  <si>
    <t>Virtus WMC International Dividend ETF</t>
  </si>
  <si>
    <t>VWID</t>
  </si>
  <si>
    <t>ProShares Equities for Rising Rates ETF</t>
  </si>
  <si>
    <t>EQRR</t>
  </si>
  <si>
    <t>ProShares MSCI Emerging Markets Dividend Growers ETF</t>
  </si>
  <si>
    <t>EMDV</t>
  </si>
  <si>
    <t>Virtus Reaves Utilities ETF</t>
  </si>
  <si>
    <t>UTES</t>
  </si>
  <si>
    <t>ProShares S&amp;P 500 Ex-Energy ETF</t>
  </si>
  <si>
    <t>SPXE</t>
  </si>
  <si>
    <t>ProShares S&amp;P 500 Ex-Financials ETF</t>
  </si>
  <si>
    <t>SPXN</t>
  </si>
  <si>
    <t>ProShares S&amp;P 500 Ex-Technology ETF</t>
  </si>
  <si>
    <t>SPXT</t>
  </si>
  <si>
    <t>ProShares S&amp;P 500 Ex-Health Care ETF</t>
  </si>
  <si>
    <t>SPXV</t>
  </si>
  <si>
    <t>ProShares MSCI Europe Dividend Growers ETF</t>
  </si>
  <si>
    <t>EUDV</t>
  </si>
  <si>
    <t>ProShares S&amp;P MidCap 400 Dividend Aristocrats ETF</t>
  </si>
  <si>
    <t>REGL</t>
  </si>
  <si>
    <t>ProShares Russell 2000 Dividend Growers ETF</t>
  </si>
  <si>
    <t>SMDV</t>
  </si>
  <si>
    <t>Virtus LifeSci Biotech Products ETF</t>
  </si>
  <si>
    <t>BBP</t>
  </si>
  <si>
    <t>Virtus LifeSci Biotech Clinical Trials ETF</t>
  </si>
  <si>
    <t>BBC</t>
  </si>
  <si>
    <t>InfraCap MLP ETF</t>
  </si>
  <si>
    <t>AMZA</t>
  </si>
  <si>
    <t>ProShares MSCI EAFE Dividend Growers ETF</t>
  </si>
  <si>
    <t>EFAD</t>
  </si>
  <si>
    <t>ProShares DJ Brookfield Global Infrastructure ETF</t>
  </si>
  <si>
    <t>TOLZ</t>
  </si>
  <si>
    <t>ProShares S&amp;P 500 Dividend Aristocrats ETF</t>
  </si>
  <si>
    <t>NOBL</t>
  </si>
  <si>
    <t>ProShares Global Listed Private Equity ETF</t>
  </si>
  <si>
    <t>PEX</t>
  </si>
  <si>
    <t>ProShares Ultra MSCI Brazil Capped</t>
  </si>
  <si>
    <t>UBR</t>
  </si>
  <si>
    <t>ProShares Ultra FTSE Europe</t>
  </si>
  <si>
    <t>UPV</t>
  </si>
  <si>
    <t>ProShares Ultra NASDAQ Biotechnology</t>
  </si>
  <si>
    <t>Leveraged Equity: U.S. Pharma, Biotech &amp; Life Sciences</t>
  </si>
  <si>
    <t>BIB</t>
  </si>
  <si>
    <t>ProShares UltraShort NASDAQ Biotechnology</t>
  </si>
  <si>
    <t>Inverse Equity: U.S. Pharma, Biotech &amp; Life Sciences</t>
  </si>
  <si>
    <t>BIS</t>
  </si>
  <si>
    <t>ProShares Short Real Estate</t>
  </si>
  <si>
    <t>REK</t>
  </si>
  <si>
    <t>ProShares Short Basic Materials</t>
  </si>
  <si>
    <t>Inverse Equity: U.S. Materials</t>
  </si>
  <si>
    <t>SBM</t>
  </si>
  <si>
    <t>ProShares Short FTSE China 50</t>
  </si>
  <si>
    <t>YXI</t>
  </si>
  <si>
    <t>ProShares UltraPro Short Dow30</t>
  </si>
  <si>
    <t>SDOW</t>
  </si>
  <si>
    <t>ProShares UltraPro Short MidCap400</t>
  </si>
  <si>
    <t>Inverse Equity: U.S. - Mid Cap</t>
  </si>
  <si>
    <t>SMDD</t>
  </si>
  <si>
    <t>ProShares UltraPro Short Russell2000</t>
  </si>
  <si>
    <t>SRTY</t>
  </si>
  <si>
    <t>ProShares UltraPro Dow30</t>
  </si>
  <si>
    <t>UDOW</t>
  </si>
  <si>
    <t>ProShares UltraPro MidCap400</t>
  </si>
  <si>
    <t>UMDD</t>
  </si>
  <si>
    <t>ProShares UltraPro Russell2000</t>
  </si>
  <si>
    <t>URTY</t>
  </si>
  <si>
    <t>ProShares UltraPro Short QQQ</t>
  </si>
  <si>
    <t>SQQQ</t>
  </si>
  <si>
    <t>ProShares UltraPro QQQ</t>
  </si>
  <si>
    <t>TQQQ</t>
  </si>
  <si>
    <t>ProShares Large Cap Core Plus</t>
  </si>
  <si>
    <t>CSM</t>
  </si>
  <si>
    <t>ProShares UltraPro Short S&amp;P500</t>
  </si>
  <si>
    <t>SPXU</t>
  </si>
  <si>
    <t>ProShares UltraPro S&amp;P500</t>
  </si>
  <si>
    <t>UPRO</t>
  </si>
  <si>
    <t>ProShares UltraShort MSCI Brazil Capped</t>
  </si>
  <si>
    <t>Inverse Equity: Brazil - Total Market</t>
  </si>
  <si>
    <t>BZQ</t>
  </si>
  <si>
    <t>ProShares UltraShort FTSE Europe</t>
  </si>
  <si>
    <t>Inverse Equity: Developed Europe - Total Market</t>
  </si>
  <si>
    <t>EPV</t>
  </si>
  <si>
    <t>ProShares Ultra MSCI Emerging Markets</t>
  </si>
  <si>
    <t>EET</t>
  </si>
  <si>
    <t>ProShares Ultra MSCI EAFE</t>
  </si>
  <si>
    <t>Leveraged Equity: Developed Markets Ex-North America - Total</t>
  </si>
  <si>
    <t>EFO</t>
  </si>
  <si>
    <t>ProShares Ultra MSCI Japan</t>
  </si>
  <si>
    <t>Leveraged Equity: Japan - Total Market</t>
  </si>
  <si>
    <t>EZJ</t>
  </si>
  <si>
    <t>ProShares Ultra FTSE China 50</t>
  </si>
  <si>
    <t>XPP</t>
  </si>
  <si>
    <t>ProShares Short Oil &amp; Gas</t>
  </si>
  <si>
    <t>DDG</t>
  </si>
  <si>
    <t>ProShares Short Financials</t>
  </si>
  <si>
    <t>SEF</t>
  </si>
  <si>
    <t>ProShares Ultra Telecommunications</t>
  </si>
  <si>
    <t>Leveraged Equity: U.S. Telecoms</t>
  </si>
  <si>
    <t>LTL</t>
  </si>
  <si>
    <t>ProShares UltraShort FTSE China 50</t>
  </si>
  <si>
    <t>FXP</t>
  </si>
  <si>
    <t>ProShares UltraShort MSCI Japan</t>
  </si>
  <si>
    <t>Inverse Equity: Japan - Total Market</t>
  </si>
  <si>
    <t>EWV</t>
  </si>
  <si>
    <t>ProShares UltraShort MSCI Emerging Markets</t>
  </si>
  <si>
    <t>EEV</t>
  </si>
  <si>
    <t>ProShares Short MSCI Emerging Markets</t>
  </si>
  <si>
    <t>EUM</t>
  </si>
  <si>
    <t>ProShares UltraShort MSCI EAFE</t>
  </si>
  <si>
    <t>Inverse Equity: Developed Markets Ex-North America - Total M</t>
  </si>
  <si>
    <t>EFU</t>
  </si>
  <si>
    <t>ProShares Short MSCI EAFE</t>
  </si>
  <si>
    <t>EFZ</t>
  </si>
  <si>
    <t>ProShares Ultra Oil &amp; Gas</t>
  </si>
  <si>
    <t>DIG</t>
  </si>
  <si>
    <t>ProShares UltraShort Oil &amp; Gas</t>
  </si>
  <si>
    <t>DUG</t>
  </si>
  <si>
    <t>ProShares UltraShort Technology</t>
  </si>
  <si>
    <t>REW</t>
  </si>
  <si>
    <t>ProShares Ultra Technology</t>
  </si>
  <si>
    <t>ROM</t>
  </si>
  <si>
    <t>ProShares UltraShort Health Care</t>
  </si>
  <si>
    <t>Inverse Equity: U.S. Health Care</t>
  </si>
  <si>
    <t>RXD</t>
  </si>
  <si>
    <t>ProShares Ultra Health Care</t>
  </si>
  <si>
    <t>RXL</t>
  </si>
  <si>
    <t>ProShares UltraShort Consumer Services</t>
  </si>
  <si>
    <t>Inverse Equity: U.S. Consumer Discretionary</t>
  </si>
  <si>
    <t>SCC</t>
  </si>
  <si>
    <t>ProShares UltraShort Utilities</t>
  </si>
  <si>
    <t>Inverse Equity: U.S. Utilities</t>
  </si>
  <si>
    <t>SDP</t>
  </si>
  <si>
    <t>ProShares UltraShort Industrials</t>
  </si>
  <si>
    <t>Inverse Equity: U.S. Industrials</t>
  </si>
  <si>
    <t>SIJ</t>
  </si>
  <si>
    <t>ProShares UltraShort Financials</t>
  </si>
  <si>
    <t>SKF</t>
  </si>
  <si>
    <t>ProShares UltraShort Basic Materials</t>
  </si>
  <si>
    <t>SMN</t>
  </si>
  <si>
    <t>ProShares UltraShort Real Estate</t>
  </si>
  <si>
    <t>SRS</t>
  </si>
  <si>
    <t>ProShares UltraShort Semiconductors</t>
  </si>
  <si>
    <t>SSG</t>
  </si>
  <si>
    <t>ProShares UltraShort Consumer Goods</t>
  </si>
  <si>
    <t>Inverse Equity: U.S. Consumer Staples</t>
  </si>
  <si>
    <t>SZK</t>
  </si>
  <si>
    <t>ProShares Ultra Consumer Services</t>
  </si>
  <si>
    <t>UCC</t>
  </si>
  <si>
    <t>ProShares Ultra Consumer Goods</t>
  </si>
  <si>
    <t>Leveraged Equity: U.S. Consumer Staples</t>
  </si>
  <si>
    <t>UGE</t>
  </si>
  <si>
    <t>ProShares Ultra Utilities</t>
  </si>
  <si>
    <t>UPW</t>
  </si>
  <si>
    <t>ProShares Ultra Real Estate</t>
  </si>
  <si>
    <t>URE</t>
  </si>
  <si>
    <t>ProShares Ultra Semiconductors</t>
  </si>
  <si>
    <t>USD</t>
  </si>
  <si>
    <t>ProShares Ultra Industrials</t>
  </si>
  <si>
    <t>UXI</t>
  </si>
  <si>
    <t>ProShares Ultra Financials</t>
  </si>
  <si>
    <t>UYG</t>
  </si>
  <si>
    <t>ProShares Ultra Basic Materials</t>
  </si>
  <si>
    <t>Leveraged Equity: U.S. Materials</t>
  </si>
  <si>
    <t>UYM</t>
  </si>
  <si>
    <t>ProShares Short Russell2000</t>
  </si>
  <si>
    <t>RWM</t>
  </si>
  <si>
    <t>ProShares Ultra SmallCap600</t>
  </si>
  <si>
    <t>SAA</t>
  </si>
  <si>
    <t>ProShares Short SmallCap600</t>
  </si>
  <si>
    <t>SBB</t>
  </si>
  <si>
    <t>ProShares UltraShort SmallCap600</t>
  </si>
  <si>
    <t>SDD</t>
  </si>
  <si>
    <t>ProShares UltraShort Russell2000</t>
  </si>
  <si>
    <t>TWM</t>
  </si>
  <si>
    <t>ProShares Ultra Russell2000</t>
  </si>
  <si>
    <t>UWM</t>
  </si>
  <si>
    <t>ProShares UltraShort Dow30</t>
  </si>
  <si>
    <t>DXD</t>
  </si>
  <si>
    <t>ProShares UltraShort MidCap400</t>
  </si>
  <si>
    <t>MZZ</t>
  </si>
  <si>
    <t>ProShares UltraShort QQQ</t>
  </si>
  <si>
    <t>QID</t>
  </si>
  <si>
    <t>ProShares UltraShort S&amp;P500</t>
  </si>
  <si>
    <t>SDS</t>
  </si>
  <si>
    <t>ProShares Ultra Dow30</t>
  </si>
  <si>
    <t>DDM</t>
  </si>
  <si>
    <t>ProShares Short Dow30</t>
  </si>
  <si>
    <t>DOG</t>
  </si>
  <si>
    <t>ProShares Ultra MidCap400</t>
  </si>
  <si>
    <t>MVV</t>
  </si>
  <si>
    <t>ProShares Short MidCap400</t>
  </si>
  <si>
    <t>MYY</t>
  </si>
  <si>
    <t>ProShares Short QQQ</t>
  </si>
  <si>
    <t>PSQ</t>
  </si>
  <si>
    <t>ProShares Ultra QQQ</t>
  </si>
  <si>
    <t>QLD</t>
  </si>
  <si>
    <t>ProShares Short S&amp;P500</t>
  </si>
  <si>
    <t>SH</t>
  </si>
  <si>
    <t>ProShares Ultra S&amp;P 500</t>
  </si>
  <si>
    <t>SSO</t>
  </si>
  <si>
    <t>총합계</t>
  </si>
  <si>
    <t>AUM(mn)</t>
  </si>
  <si>
    <t>AUM(mn)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</si>
</sst>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pivotButton="1">
      <alignment vertical="center"/>
    </xf>
    <xf numFmtId="177" fontId="0" fillId="0" borderId="0" xfId="0" applyNumberFormat="1">
      <alignment vertical="center"/>
    </xf>
    <xf numFmtId="0" fontId="0" fillId="33" borderId="0" xfId="0" applyFill="1">
      <alignment vertical="center"/>
    </xf>
    <xf numFmtId="177" fontId="0" fillId="33" borderId="0" xfId="0" applyNumberFormat="1" applyFill="1">
      <alignment vertical="center"/>
    </xf>
    <xf numFmtId="10" fontId="0" fillId="33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88.674923958337" createdVersion="6" refreshedVersion="6" minRefreshableVersion="3" recordCount="2029">
  <cacheSource type="worksheet">
    <worksheetSource ref="B1:I2030" sheet="etf_result"/>
  </cacheSource>
  <cacheFields count="8">
    <cacheField name="Issuer" numFmtId="0">
      <sharedItems count="160">
        <s v="State Street Global Advisors"/>
        <s v="Blackrock"/>
        <s v="Vanguard"/>
        <s v="Invesco"/>
        <s v="Charles Schwab"/>
        <s v="Dimensional Fund Advisors LP"/>
        <s v="Goldman Sachs"/>
        <s v="VanEck"/>
        <s v="First Trust"/>
        <s v="ARK"/>
        <s v="JPMorgan Chase"/>
        <s v="CICC"/>
        <s v="WisdomTree"/>
        <s v="Northern Trust"/>
        <s v="Fidelity"/>
        <s v="Mirae Asset Global Investments Co., Ltd."/>
        <s v="SS&amp;C"/>
        <s v="Direxion"/>
        <s v="DWS"/>
        <s v="US Global Investors"/>
        <s v="Nuveen Securities"/>
        <s v="John Hancock"/>
        <s v="American Century Investments"/>
        <s v="ETFMG"/>
        <s v="Pacer Advisors"/>
        <s v="The Hartford"/>
        <s v="Exchange Traded Concepts"/>
        <s v="Principal"/>
        <s v="BMO"/>
        <s v="Defiance ETFs"/>
        <s v="Victory Capital"/>
        <s v="Main Management"/>
        <s v="AdvisorShares"/>
        <s v="Amplify Investments"/>
        <s v="Franklin Templeton"/>
        <s v="Nationwide"/>
        <s v="Roundhill Investments"/>
        <s v="Horizon Kinetics LLC"/>
        <s v="O'Shares Investments"/>
        <s v="Distillate Capital"/>
        <s v="The Motley Fool"/>
        <s v="Innovator"/>
        <s v="Simplify Asset Management Inc."/>
        <s v="Barclays Capital Inc."/>
        <s v="New York Life"/>
        <s v="Tortoise"/>
        <s v="Vident"/>
        <s v="BNY Mellon"/>
        <s v="Day Hagan Asset Management"/>
        <s v="Cambria"/>
        <s v="Davis Advisers"/>
        <s v="Toroso Investments"/>
        <s v="Aptus Capital Advisors"/>
        <s v="Howard Capital Management"/>
        <s v="Little Harbor Advisors"/>
        <s v="Inspire"/>
        <s v="Renaissance Capital"/>
        <s v="Engine No. 1 LLC"/>
        <s v="Tuttle Tactical Management, LLC"/>
        <s v="Liquid Strategies"/>
        <s v="T. Rowe Price Group, Inc."/>
        <s v="Sprott, Inc."/>
        <s v="SRN Advisors"/>
        <s v="Alpha Architect"/>
        <s v="UBS"/>
        <s v="TrimTabs"/>
        <s v="Intangible Capital"/>
        <s v="Janus Henderson"/>
        <s v="Wahed Invest LLC"/>
        <s v="Swan Global Investments"/>
        <s v="Timothy Plan"/>
        <s v="Redwood Investment Management"/>
        <s v="Columbia Management Investment Advisers, LLC"/>
        <s v="GraniteShares"/>
        <s v="Wainwright, Inc."/>
        <s v="Change Finance"/>
        <s v="Regents Park Funds"/>
        <s v="CornerCap Investment Counsel, Inc."/>
        <s v="Humankind USA LLC"/>
        <s v="PIMCO"/>
        <s v="Syntax Advisors"/>
        <s v="Truist"/>
        <s v="ProcureAM"/>
        <s v="Exponential ETFs"/>
        <s v="Pettee Investors"/>
        <s v="GeaSphere LLC"/>
        <s v="Beyond Investing"/>
        <s v="WBI"/>
        <s v="Cavalier16"/>
        <s v="EntrepreneurShares, LLC"/>
        <s v="Absolute Investment Advisers LLC"/>
        <s v="Oneascent Holdings LLC"/>
        <s v="Advisors Asset Management"/>
        <s v="Rayliant Investment Research"/>
        <s v="Inverdale Capital Management LLC"/>
        <s v="Cohanzick Management"/>
        <s v="TrueMark Investments"/>
        <s v="ETF Series Solutions"/>
        <s v="Prudential"/>
        <s v="Impact Shares"/>
        <s v="Al Marketing LLC"/>
        <s v="Infusive Asset Management"/>
        <s v="Red Gate Advisers LLC"/>
        <s v="Esoterica"/>
        <s v="Alger Group Holdings LLC"/>
        <s v="New Age Alpha Advisors LLC"/>
        <s v="Ridgeline Research LLC"/>
        <s v="Uncommon Investment Advisors LLC"/>
        <s v="Kingsview Partners LLC"/>
        <s v="2nd Vote Value Investments, Inc"/>
        <s v="Credit Suisse Group AG"/>
        <s v="Arrow Funds"/>
        <s v="AlphaMark Advisors"/>
        <s v="Guinness Atkinson Asset Management"/>
        <s v="Knights of Columbus"/>
        <s v="Retireful LLC"/>
        <s v="Cultivar Capital, Inc."/>
        <s v="Power Corporation of Canada"/>
        <s v="Formidable Asset Management"/>
        <s v="OBP Capital LLC"/>
        <s v="Reflection Asset Management, LLC"/>
        <s v="Point Bridge Capital"/>
        <s v="Future Fund Advisors"/>
        <s v="Zacks Investment Management"/>
        <s v="GAMCO Investors, Inc."/>
        <s v="Applied Finance Group"/>
        <s v="Natixis"/>
        <s v="MCCM Group LLC"/>
        <s v="First Pacific Advisors LP"/>
        <s v="Emles Advisors LLC"/>
        <s v="Changebridge Capital LLC"/>
        <s v="Cabot ETF Partners LLC"/>
        <s v="EquBot"/>
        <s v="Whitford Asset Management"/>
        <s v="GCI Investors, Inc."/>
        <s v="Volt Equity LLC"/>
        <s v="Spear Advisors LLC"/>
        <s v="Jacob Asset Management"/>
        <s v="Virtus Investment Partners"/>
        <s v="AGF"/>
        <s v="Banhazl"/>
        <s v="Lyrical Partners"/>
        <s v="Democracy Investment Management LLC"/>
        <s v="VegTech LLC"/>
        <s v="Truemark Group"/>
        <s v="Global Beta Advisors"/>
        <s v="Dinerbao SL"/>
        <s v="Swedish Export Credit"/>
        <s v="Kellner Capital"/>
        <s v="RBS Securities"/>
        <s v="V-Square Quantitative Management LLC"/>
        <s v="Big Data Federation, Inc."/>
        <s v="Grizzle Investment Management LLC"/>
        <s v="Dalton Capital"/>
        <s v="Strategy Shares"/>
        <s v="Valkyrie Funds LLC"/>
        <s v="Inherent Wealth Fund LLC"/>
        <s v="Amberwave Partners Research &amp; Management LLC"/>
        <s v="ORIX Corp."/>
        <s v="ProShares"/>
      </sharedItems>
    </cacheField>
    <cacheField name="Name" numFmtId="0">
      <sharedItems count="2027">
        <s v="SPDR S&amp;P 500 ETF Trust"/>
        <s v="iShares Core S&amp;P 500 ETF"/>
        <s v="Vanguard Total Stock Market ETF"/>
        <s v="Vanguard S&amp;P 500 ETF"/>
        <s v="Invesco QQQ Trust"/>
        <s v="Vanguard FTSE Developed Markets ETF"/>
        <s v="iShares Core MSCI EAFE ETF"/>
        <s v="Vanguard Value ETF"/>
        <s v="Vanguard FTSE Emerging Markets ETF"/>
        <s v="Vanguard Growth ETF"/>
        <s v="iShares Core MSCI Emerging Markets ETF"/>
        <s v="iShares Core S&amp;P Small-Cap ETF"/>
        <s v="iShares Russell 1000 Growth ETF"/>
        <s v="Vanguard Dividend Appreciation ETF"/>
        <s v="iShares Core S&amp;P Mid-Cap ETF"/>
        <s v="iShares Russell 2000 ETF"/>
        <s v="iShares Russell 1000 Value ETF"/>
        <s v="iShares MSCI EAFE ETF"/>
        <s v="Vanguard Total International Stock ETF"/>
        <s v="Vanguard Mid-Cap ETF"/>
        <s v="Vanguard Information Technology ETF"/>
        <s v="Vanguard Real Estate ETF"/>
        <s v="Technology Select Sector SPDR Fund"/>
        <s v="Financial Select Sector SPDR Fund"/>
        <s v="Vanguard Small-Cap ETF"/>
        <s v="iShares Core S&amp;P Total U.S. Stock Market ETF"/>
        <s v="Vanguard High Dividend Yield ETF"/>
        <s v="Vanguard FTSE All-World ex-US ETF"/>
        <s v="iShares S&amp;P 500 Growth ETF"/>
        <s v="Health Care Select Sector SPDR Fund"/>
        <s v="Schwab U.S. Large-Cap ETF"/>
        <s v="iShares Core MSCI Total International Stock ETF"/>
        <s v="Invesco S&amp;P 500 Equal Weight ETF"/>
        <s v="Schwab U.S. Dividend Equity ETF"/>
        <s v="Energy Select Sector SPDR Fund"/>
        <s v="iShares Russell 1000 ETF"/>
        <s v="SPDR Dow Jones Industrial Average ETF Trust"/>
        <s v="iShares MSCI Emerging Markets ETF"/>
        <s v="Schwab International Equity ETF"/>
        <s v="iShares Russell Mid-Cap ETF"/>
        <s v="iShares MSCI USA Min Vol Factor ETF"/>
        <s v="Vanguard Large-Cap ETF"/>
        <s v="Vanguard Small-Cap Value ETF"/>
        <s v="Vanguard Total World Stock ETF"/>
        <s v="iShares S&amp;P 500 Value ETF"/>
        <s v="iShares ESG Aware MSCI USA ETF"/>
        <s v="iShares Core Dividend Growth ETF"/>
        <s v="iShares MSCI USA Quality Factor ETF"/>
        <s v="Schwab U.S. Broad Market ETF"/>
        <s v="Vanguard FTSE Europe ETF"/>
        <s v="Consumer Discretionary Select Sector SPDR Fund"/>
        <s v="SPDR S&amp;P Dividend ETF"/>
        <s v="iShares Select Dividend ETF"/>
        <s v="SPDR S&amp;P Midcap 400 ETF Trust"/>
        <s v="iShares MSCI ACWI ETF"/>
        <s v="Industrial Select Sector SPDR Fund"/>
        <s v="iShares MSCI EAFE Value ETF"/>
        <s v="Vanguard Health Care ETF"/>
        <s v="Vanguard Mid-Cap Value ETF"/>
        <s v="iShares MSCI USA Value Factor ETF"/>
        <s v="Schwab U.S. Large-Cap Growth ETF"/>
        <s v="Schwab U.S. Small-Cap ETF"/>
        <s v="Vanguard Extended Market ETF"/>
        <s v="iShares Russell 2000 Value ETF"/>
        <s v="Consumer Staples Select Sector SPDR Fund"/>
        <s v="iShares Russell Mid-Cap Value ETF"/>
        <s v="iShares MSCI EAFE Small-Cap ETF"/>
        <s v="Dimensional U.S. Core Equity 2 ETF"/>
        <s v="Vanguard Small-Cap Growth ETF"/>
        <s v="Goldman Sachs ActiveBeta U.S. Large Cap Equity ETF"/>
        <s v="iShares Russell Mid-Cap Growth ETF"/>
        <s v="SPDR Portfolio S&amp;P 500 Growth ETF"/>
        <s v="SPDR Portfolio S&amp;P 500 Value ETF"/>
        <s v="Utilities Select Sector SPDR Fund"/>
        <s v="SPDR Portfolio Developed World ex-US ETF"/>
        <s v="SPDR Portfolio S&amp;P 500 ETF"/>
        <s v="VanEck Gold Miners ETF"/>
        <s v="Vanguard Mega Cap Growth ETF"/>
        <s v="First Trust Value Line Dividend Index Fund"/>
        <s v="iShares MSCI EAFE Growth ETF"/>
        <s v="Communication Services Select Sector SPDR Fund"/>
        <s v="iShares MSCI USA Momentum Factor ETF"/>
        <s v="ARK Innovation ETF"/>
        <s v="iShares Core S&amp;P U.S. Growth ETF"/>
        <s v="iShares Russell 3000 ETF"/>
        <s v="Vanguard Financials ETF"/>
        <s v="iShares Core S&amp;P U.S. Value ETF"/>
        <s v="iShares MSCI Japan ETF"/>
        <s v="Vanguard Mid-Cap Growth ETF"/>
        <s v="Schwab U.S. Large-Cap Value ETF"/>
        <s v="iShares Russell 2000 Growth ETF"/>
        <s v="Schwab Fundamental U.S. Large Company Index ETF"/>
        <s v="Schwab Emerging Markets Equity ETF"/>
        <s v="JPMorgan BetaBuilders Europe ETF"/>
        <s v="Schwab U.S. Mid-Cap ETF"/>
        <s v="Vanguard FTSE All-World ex-US Small-Cap ETF"/>
        <s v="Invesco S&amp;P 500 Low Volatility ETF"/>
        <s v="iShares S&amp;P 100 ETF"/>
        <s v="First Trust Capital Strength ETF"/>
        <s v="iShares Semiconductor ETF"/>
        <s v="iShares Biotechnology ETF"/>
        <s v="iShares U.S. Technology ETF"/>
        <s v="iShares S&amp;P Mid-Cap 400 Value ETF"/>
        <s v="iShares S&amp;P Small-Cap 600 Value ETF"/>
        <s v="First Trust Rising Dividend Achievers ETF"/>
        <s v="iShares U.S. Medical Devices ETF"/>
        <s v="First Trust Dow Jones Internet Index Fund"/>
        <s v="Materials Select Sector SPDR Fund"/>
        <s v="iShares MSCI EAFE Min Vol Factor ETF"/>
        <s v="iShares Core High Dividend ETF"/>
        <s v="JPMorgan BetaBuilders Japan ETF"/>
        <s v="iShares ESG Aware MSCI EAFE ETF"/>
        <s v="VanEck Semiconductor ETF"/>
        <s v="KraneShares CSI China Internet ETF"/>
        <s v="iShares S&amp;P Mid-Cap 400 Growth ETF"/>
        <s v="Schwab Fundamental International Large Company Index ETF"/>
        <s v="Vanguard Russell 1000 Growth ETF"/>
        <s v="iShares MSCI Eurozone ETF"/>
        <s v="Vanguard S&amp;P 500 Growth ETF"/>
        <s v="iShares MSCI Taiwan ETF"/>
        <s v="iShares U.S. Real Estate ETF"/>
        <s v="VanEck Morningstar Wide Moat ETF"/>
        <s v="Vanguard Russell 1000 Value ETF"/>
        <s v="iShares Core MSCI International Developed Markets ETF"/>
        <s v="Vanguard Energy ETF"/>
        <s v="WisdomTree US Quality Dividend Growth Fund"/>
        <s v="FlexShares Morningstar Global Upstream Natural Resources Ind"/>
        <s v="Schwab U.S. REIT ETF"/>
        <s v="Vanguard Consumer Staples ETF"/>
        <s v="Dimensional U.S. Targeted Value ETF"/>
        <s v="Fidelity MSCI Information Technology Index ETF"/>
        <s v="iShares MSCI China ETF"/>
        <s v="Vanguard Consumer Discretionary ETF"/>
        <s v="iShares ESG Aware MSCI EM ETF"/>
        <s v="Vanguard Russell 2000 ETF"/>
        <s v="JPMorgan Equity Premium Income ETF"/>
        <s v="JPMorgan BetaBuilders Canada ETF"/>
        <s v="Real Estate Select Sector SPDR Fund"/>
        <s v="Global X NASDAQ 100 Covered Call ETF"/>
        <s v="Vanguard ESG U.S. Stock ETF"/>
        <s v="SPDR Portfolio Emerging Markets ETF"/>
        <s v="iShares MSCI India ETF"/>
        <s v="Vanguard FTSE Pacific ETF"/>
        <s v="Dimensional U.S. Equity ETF"/>
        <s v="SPDR Portfolio S&amp;P 1500 Composite Stock Market ETF"/>
        <s v="iShares China Large-Cap ETF"/>
        <s v="Invesco FTSE RAFI U.S. 1000 ETF"/>
        <s v="Alerian MLP ETF"/>
        <s v="iShares S&amp;P Small-Cap 600 Growth ETF"/>
        <s v="SPDR S&amp;P Biotech ETF"/>
        <s v="SPDR S&amp;P Regional Banking ETF"/>
        <s v="SPDR Portfolio S&amp;P 500 High Dividend ETF"/>
        <s v="Vanguard Utilities ETF"/>
        <s v="iShares Core MSCI Europe ETF"/>
        <s v="iShares Global Tech ETF"/>
        <s v="iShares MSCI Global Min Vol Factor ETF"/>
        <s v="Global X Lithium &amp; Battery Tech ETF"/>
        <s v="Schwab Fundamental Emerging Markets Large Company Index ETF"/>
        <s v="First Trust Cloud Computing ETF"/>
        <s v="Global X U.S. Infrastructure Development ETF"/>
        <s v="First Trust NASDAQ Cybersecurity ETF"/>
        <s v="iShares MSCI Brazil ETF"/>
        <s v="iShares Expanded Tech-Software Sector ETF"/>
        <s v="Vanguard Mega Cap Value ETF"/>
        <s v="SPDR Portfolio S&amp;P 400 Mid Cap ETF"/>
        <s v="iShares MSCI ACWI ex U.S. ETF"/>
        <s v="Vanguard Industrials ETF"/>
        <s v="Dimensional World ex U.S. Core Equity 2 ETF"/>
        <s v="Direxion Daily Semiconductor Bull 3X Shares"/>
        <s v="iShares Global Clean Energy ETF"/>
        <s v="Vanguard Global ex-U.S. Real Estate ETF"/>
        <s v="Schwab Fundamental U.S. Small Company Index ETF"/>
        <s v="iShares MSCI All Country Asia ex Japan ETF"/>
        <s v="iShares International Select Dividend ETF"/>
        <s v="iShares Russell Top 200 Growth ETF"/>
        <s v="VanEck Junior Gold Miners ETF"/>
        <s v="Xtrackers MSCI EAFE Hedged Equity ETF"/>
        <s v="iShares MSCI South Korea ETF"/>
        <s v="Fidelity NASDAQ Composite Index ETF"/>
        <s v="iShares MSCI Intl Quality Factor ETF"/>
        <s v="SPDR Portfolio S&amp;P 600 Small Cap ETF"/>
        <s v="Vanguard Mega Cap ETF"/>
        <s v="JPMorgan BetaBuilders Developed Asia ex-Japan ETF"/>
        <s v="Dimensional U.S. Small Cap ETF"/>
        <s v="SPDR S&amp;P 600 Small Cap Value ETF"/>
        <s v="iShares MSCI USA ESG Select ETF"/>
        <s v="SPDR S&amp;P Oil &amp; Gas Exploration &amp; Production ETF"/>
        <s v="iShares MSCI Canada ETF"/>
        <s v="Vanguard International Dividend Appreciation ETF"/>
        <s v="Vanguard Materials ETF"/>
        <s v="Dimensional International Value ETF"/>
        <s v="Vanguard Communication Services ETF"/>
        <s v="iShares MSCI KLD 400 Social ETF"/>
        <s v="WisdomTree Emerging Markets ex-State-Owned Enterprises Fund"/>
        <s v="iShares Exponential Technologies ETF"/>
        <s v="ARK Genomic Revolution ETF"/>
        <s v="iShares MSCI Emerging Markets Min Vol Factor ETF"/>
        <s v="iShares Global 100 ETF"/>
        <s v="Invesco NASDAQ 100 ETF"/>
        <s v="iShares ESG MSCI USA Leaders ETF"/>
        <s v="Schwab International Small-Cap Equity ETF"/>
        <s v="SPDR S&amp;P Bank ETF"/>
        <s v="Invesco S&amp;P 500 Quality ETF"/>
        <s v="iShares Global REIT ETF"/>
        <s v="JPMorgan BetaBuilders International Equity ETF"/>
        <s v="First Trust NASDAQ-100 Technology Sector Index Fund"/>
        <s v="iShares Global Healthcare ETF"/>
        <s v="U.S. Global Jets ETF"/>
        <s v="iShares Expanded Tech Sector ETF"/>
        <s v="Vanguard International High Dividend Yield ETF"/>
        <s v="iShares Currency Hedged MSCI EAFE ETF"/>
        <s v="iShares Global Infrastructure ETF"/>
        <s v="Xtrackers Harvest CSI 300 China A-Shares ETF"/>
        <s v="WisdomTree U.S. LargeCap Dividend Fund"/>
        <s v="Vanguard ESG International Stock ETF"/>
        <s v="Xtrackers MSCI U.S.A. ESG Leaders Equity ETF"/>
        <s v="Goldman Sachs ActiveBeta International Equity ETF"/>
        <s v="iShares MSCI United Kingdom ETF"/>
        <s v="Invesco S&amp;P 500 High Dividend Low Volatility ETF"/>
        <s v="Invesco KBW Bank ETF"/>
        <s v="Invesco S&amp;P 500 Pure Value ETF"/>
        <s v="Direxion Daily Financial Bull 3x Shares"/>
        <s v="WisdomTree U.S. MidCap Dividend Fund"/>
        <s v="Direxion Daily S&amp;P 500 Bull 3X Shares"/>
        <s v="iShares U.S. Healthcare ETF"/>
        <s v="Invesco S&amp;P 500 Pure Growth ETF"/>
        <s v="Nuveen Growth Opportunities ETF"/>
        <s v="iShares U.S. Energy ETF"/>
        <s v="iShares Global Financials ETF"/>
        <s v="Fidelity MSCI Health Care Index ETF"/>
        <s v="Vanguard Russell 1000 ETF"/>
        <s v="First Trust Dorsey Wright Focus 5 ETF"/>
        <s v="iShares Cohen &amp; Steers REIT ETF"/>
        <s v="Schwab Fundamental International Small Company Index ETF"/>
        <s v="Direxion Daily Technology Bull 3X Shares"/>
        <s v="iShares U.S. Home Construction ETF"/>
        <s v="Invesco PureBeta MSCI U.S.A. ETF"/>
        <s v="ARK Next Generation Internet ETF"/>
        <s v="Vanguard S&amp;P 500 Value ETF"/>
        <s v="Invesco S&amp;P 500 Equal Weight Technology ETF"/>
        <s v="FlexShares STOXX Global Broad Infrastructure Index Fund"/>
        <s v="iShares U.S. Financials ETF"/>
        <s v="iShares U.S. Financial Services ETF"/>
        <s v="SPDR S&amp;P Global Natural Resources ETF"/>
        <s v="iShares Core U.S. REIT ETF"/>
        <s v="John Hancock Multifactor Mid Cap ETF"/>
        <s v="WisdomTree Emerging Markets SmallCap Dividend Fund"/>
        <s v="iShares U.S. Aerospace &amp; Defense ETF"/>
        <s v="VanEck Oil Services ETF"/>
        <s v="iShares MSCI Germany ETF"/>
        <s v="Invesco S&amp;P 500 Top 50 ETF"/>
        <s v="SPDR Euro STOXX 50 ETF"/>
        <s v="Avantis U.S. Small Cap Value ETF"/>
        <s v="iShares MSCI Emerging Markets ex China ETF"/>
        <s v="JPMorgan Alerian MLP Index ETN"/>
        <s v="First Trust NASDAQ Clean Edge Green Energy Index Fund"/>
        <s v="iShares MSCI Pacific ex-Japan ETF"/>
        <s v="iShares Asia 50 ETF"/>
        <s v="Global X Robotics &amp; Artificial Intelligence ETF"/>
        <s v="Schwab 1000 Index ETF"/>
        <s v="SPDR S&amp;P 600 Small Cap Growth ETF"/>
        <s v="First Trust North American Energy Infrastructure Fund"/>
        <s v="Fidelity MSCI Real Estate Index ETF"/>
        <s v="WisdomTree Japan Hedged Equity Fund"/>
        <s v="SPDR S&amp;P Homebuilders ETF"/>
        <s v="WisdomTree Europe Hedged Equity Fund"/>
        <s v="iShares Europe ETF"/>
        <s v="Invesco Solar ETF"/>
        <s v="SPDR Dow Jones REIT ETF"/>
        <s v="iShares MSCI World ETF"/>
        <s v="ETFMG Prime Cyber Security ETF"/>
        <s v="WisdomTree Emerging Markets High Dividend Fund"/>
        <s v="SPDR S&amp;P Metals &amp; Mining ETF"/>
        <s v="iShare Morningstar Growth ETF"/>
        <s v="Invesco Russell 1000 Dynamic Multifactor ETF"/>
        <s v="SPDR MSCI ACWI ex-US ETF"/>
        <s v="Pacer Trendpilot U.S. Large Cap ETF"/>
        <s v="Fidelity MSCI Financials Index ETF"/>
        <s v="Invesco Water Resources ETF"/>
        <s v="iShares MSCI Europe Financials ETF"/>
        <s v="Vanguard S&amp;P Small-Cap 600 ETF"/>
        <s v="WisdomTree U.S. SmallCap Dividend Fund"/>
        <s v="First Trust Morningstar Dividend Leaders Index Fund"/>
        <s v="Hartford Multifactor Developed Markets (ex-US) ETF"/>
        <s v="First Trust Industrials/Producer Durables AlphaDEX Fund"/>
        <s v="Avantis U.S. Equity ETF"/>
        <s v="Global X Copper Miners ETF"/>
        <s v="Invesco FTSE RAFI US 1500 Small-Mid ETF"/>
        <s v="ROBO Global Robotics and Automation Index ETF"/>
        <s v="SPDR S&amp;P Kensho New Economies Composite ETF"/>
        <s v="iShares MSCI Switzerland ETF"/>
        <s v="First Trust NASDAQ Technology Dividend Index Fund"/>
        <s v="SPDR Dow Jones Global Real Estate ETF"/>
        <s v="ARK Autonomous Technology &amp; Robotics ETF"/>
        <s v="iShares Dow Jones U.S. ETF"/>
        <s v="SPDR S&amp;P 600 Small Cap ETF"/>
        <s v="iShares U.S Transportation Average ETF"/>
        <s v="First Trust Consumer Discretionary AlphaDEX Fund"/>
        <s v="iShares Global Energy ETF"/>
        <s v="Dimensional U.S. Core Equity Market ETF"/>
        <s v="iShares U.S. Industrials ETF"/>
        <s v="FlexShares Quality Dividend Index Fund"/>
        <s v="Pacer U.S. Cash Cows 100 ETF"/>
        <s v="Principal U.S. Mega-Cap ETF"/>
        <s v="FlexShares Morningstar US Market Factor Tilt Index Fund"/>
        <s v="SPDR S&amp;P 400 Mid Cap Growth ETF"/>
        <s v="Fidelity MSCI Consumer Discretionary Index ETF"/>
        <s v="First Trust Technology AlphaDEX Fund"/>
        <s v="ARK Fintech Innovation ETF"/>
        <s v="Direxion Daily Small Cap Bull 3x Shares"/>
        <s v="First Trust NYSE Arca Biotechnology Index Fund"/>
        <s v="First Trust U.S. Equity Opportunities ETF"/>
        <s v="BlackRock U.S. Carbon Transition Readiness ETF"/>
        <s v="Invesco BuyBack Achievers ETF"/>
        <s v="SPDR S&amp;P 400 Mid Cap Value ETF"/>
        <s v="SPDR S&amp;P China ETF"/>
        <s v="First Trust Financials AlphaDEX Fund"/>
        <s v="Vanguard S&amp;P Mid-Cap 400 ETF"/>
        <s v="Invesco DWA Momentum ETF"/>
        <s v="JPMorgan BetaBuilders MSCI U.S. REIT ETF"/>
        <s v="iShares U.S. Regional Banks ETF"/>
        <s v="First Trust Health Care AlphaDEX Fund"/>
        <s v="Invesco China Technology ETF"/>
        <s v="Invesco FTSE RAFI Emerging Markets ETF"/>
        <s v="First Trust Water ETF"/>
        <s v="JPMorgan BetaBuilders U.S. Mid Cap Equity ETF"/>
        <s v="iShares U.S. Consumer Discretionary ETF"/>
        <s v="Pacer Benchmark Data &amp; Infrastructure Real Estate SCTR ETF"/>
        <s v="Global X Autonomous &amp; Electric Vehicles ETF"/>
        <s v="iShares MSCI Australia ETF"/>
        <s v="WisdomTree International SmallCap Dividend Fund"/>
        <s v="SPDR S&amp;P Semiconductor ETF"/>
        <s v="Vanguard Russell 2000 Value ETF"/>
        <s v="Avantis International Small Cap Value ETF"/>
        <s v="Goldman Sachs ActiveBeta Emerging Markets Equity ETF"/>
        <s v="MicroSectors FANG+ Index 3X Leveraged ETN"/>
        <s v="iShares ESG Aware MSCI USA Small-Cap ETF"/>
        <s v="SPDR S&amp;P 500 Fossil Fuel Reserves Free ETF"/>
        <s v="Invesco S&amp;P MidCap Low Volatility ETF"/>
        <s v="Nuveen ESG Large-Cap Value ETF"/>
        <s v="iShares MSCI Intl Value Factor ETF"/>
        <s v="iShares MSCI ACWI Low Carbon Target ETF"/>
        <s v="Avantis International Equity ETF"/>
        <s v="Vanguard S&amp;P Small-Cap 600 Value ETF"/>
        <s v="Invesco S&amp;P 500 High Beta ETF"/>
        <s v="First Trust Nasdaq-100 Equal Weighted Index Fund"/>
        <s v="VanEck Russia ETF"/>
        <s v="Defiance Next Gen Connectivity ETF"/>
        <s v="iShares Mortgage Real Estate ETF"/>
        <s v="ALPS Sector Dividend Dogs ETF"/>
        <s v="iShares U.S. Healthcare Providers ETF"/>
        <s v="iShares Russell Top 200 Value ETF"/>
        <s v="Fidelity MSCI Utilities Index ETF"/>
        <s v="Invesco Dynamic Leisure and Entertainment ETF"/>
        <s v="Dimensional International Core Equity Market ETF"/>
        <s v="First Trust Large Cap Value AlphaDEX Fund"/>
        <s v="First Trust Nasdaq Transportation ETF"/>
        <s v="iShares Morningstar Mid-Cap Growth ETF"/>
        <s v="VictoryShares US EQ Income Enhanced Volatility Wtd ETF"/>
        <s v="Global X Uranium ETF"/>
        <s v="Vanguard Russell 3000 ETF"/>
        <s v="Fidelity MSCI Energy Index ETF"/>
        <s v="First Trust Large Cap Core AlphaDEX Fund"/>
        <s v="iShares MSCI USA Multifactor ETF"/>
        <s v="Invesco FTSE RAFI Developed Markets ex-U.S. ETF"/>
        <s v="Invesco S&amp;P Global Water Index ETF"/>
        <s v="iShares Residential and Multisector Real Estate ETF"/>
        <s v="Invesco S&amp;P 500 Revenue ETF"/>
        <s v="Invesco WilderHill Clean Energy ETF"/>
        <s v="VanEck Agribusiness ETF"/>
        <s v="iShares MSCI Global Metals &amp; Mining Producers ETF"/>
        <s v="iShares MSCI Saudi Arabia ETF"/>
        <s v="WisdomTree International Hedged Quality Dividend Growth Fund"/>
        <s v="First Trust Nasdaq Oil &amp; Gas ETF"/>
        <s v="iShares Micro-Cap ETF"/>
        <s v="Invesco S&amp;P SmallCap Low Volatility ETF"/>
        <s v="First Trust Large Cap Growth AlphaDEX Fund"/>
        <s v="iShares Global Consumer Staples ETF"/>
        <s v="Fidelity High Dividend ETF"/>
        <s v="SPDR S&amp;P Aerospace &amp; Defense ETF"/>
        <s v="iShares Core MSCI Pacific ETF"/>
        <s v="Global X Silver Miners ETF"/>
        <s v="iShares MSCI USA Small-Cap Multifactor ETF"/>
        <s v="Nuveen ESG Small-Cap ETF"/>
        <s v="WisdomTree China ex-State-Owned Enterprises Fund"/>
        <s v="Avantis Emerging Markets Equity ETF"/>
        <s v="Invesco High Yield Equity Dividend Achievers ETF"/>
        <s v="Global X MLP ETF"/>
        <s v="Invesco NASDAQ Next Gen 100 ETF"/>
        <s v="First Trust Indxx NextG ETF"/>
        <s v="Main Sector Rotation ETF"/>
        <s v="WisdomTree U.S. Total Dividend Fund"/>
        <s v="VictoryShares U.S. 500 Enhanced Volatility Wtd Index ETF"/>
        <s v="WisdomTree India Earnings Fund"/>
        <s v="SPDR MSCI USA StrategicFactors ETF"/>
        <s v="Global X Cybersecurity ETF"/>
        <s v="First Trust Mid Cap Core AlphaDEX Fund"/>
        <s v="AdvisorShares Pure US Cannabis ETF"/>
        <s v="Global X S&amp;P 500 Covered Call ETF"/>
        <s v="iShares MSCI Hong Kong ETF"/>
        <s v="iShares Russell Top 200 ETF"/>
        <s v="Emerging Markets Internet &amp; Ecommerce ETF"/>
        <s v="Amplify CWP Enhanced Dividend Income ETF"/>
        <s v="VanEck Rare Earth/Strategic Metals ETF"/>
        <s v="Global X Cloud Computing ETF"/>
        <s v="Fidelity MSCI Consumer Staples Index ETF"/>
        <s v="Amplify Transformational Data Sharing ETF"/>
        <s v="Global X SuperDividend ETF"/>
        <s v="iShares U.S. Broker-Dealers &amp; Securities Exchanges ETF"/>
        <s v="Invesco S&amp;P 500 Equal Weight Health Care ETF"/>
        <s v="iShares MSCI China A ETF"/>
        <s v="Franklin LibertyQ U.S. Equity ETF"/>
        <s v="iShares Latin America 40 ETF"/>
        <s v="Nationwide Nasdaq-100 Risk-Managed Income ETF"/>
        <s v="Global X FinTech ETF"/>
        <s v="JPMorgan BetaBuilders U.S. Equity ETF"/>
        <s v="First Trust Small Cap Core AlphaDEX Fund"/>
        <s v="ETFMG Prime Mobile Payments ETF"/>
        <s v="Xtrackers MSCI EAFE High Dividend Yield Equity ETF"/>
        <s v="WisdomTree Cloud Computing Fund"/>
        <s v="SPDR MSCI EAFE StrategicFactors ETF"/>
        <s v="iShares MSCI Emerging Markets Multifactor ETF"/>
        <s v="iShares MSCI Intl Multifactor ETF"/>
        <s v="WisdomTree U.S. High Dividend Fund"/>
        <s v="Global X Russell 2000 Covered Call ETF"/>
        <s v="iShares Morningstar U.S. Equity ETF"/>
        <s v="MicroSectors U.S. Big Oil Index 3X Leveraged ETN"/>
        <s v="Fidelity MSCI Industrials Index ETF"/>
        <s v="Roundhill Ball Metaverse ETF"/>
        <s v="Goldman Sachs Equal Weight U.S. Large Cap Equity ETF"/>
        <s v="Invesco S&amp;P Midcap Momentum ETF"/>
        <s v="iShares MSCI Intl Momentum Factor ETF"/>
        <s v="Horizon Kinetics Inflation Beneficiaries ETF"/>
        <s v="iShares U.S. Utilities ETF"/>
        <s v="Invesco S&amp;P 500 GARP ETF"/>
        <s v="Vanguard S&amp;P Mid-Cap 400 Growth ETF"/>
        <s v="iShares Emerging Markets Dividend ETF"/>
        <s v="Nuveen ESG Large-Cap Growth ETF"/>
        <s v="iShares U.S. Consumer Staples ETF"/>
        <s v="Xtrackers S&amp;P 500 ESG ETF"/>
        <s v="Global X MLP &amp; Energy Infrastructure ETF"/>
        <s v="JPMorgan Diversified Return International Equity ETF"/>
        <s v="iShares Morningstar Mid-Cap ETF"/>
        <s v="Invesco Dynamic Large Cap Value ETF"/>
        <s v="iShares MSCI France ETF"/>
        <s v="iShares MSCI Emerging Markets Asia ETF"/>
        <s v="Principal U.S. Small-Cap Multi-Factor ETF"/>
        <s v="Franklin FTSE Japan ETF"/>
        <s v="Vanguard S&amp;P Mid-Cap 400 Value ETF"/>
        <s v="WisdomTree U.S. MidCap Fund"/>
        <s v="iShares Morningstar Value ETF"/>
        <s v="O?셎hares U.S. Quality Dividend ETF"/>
        <s v="SPDR S&amp;P Transportation ETF"/>
        <s v="iShares MSCI Mexico ETF"/>
        <s v="iShares MSCI USA Small-Cap Min Vol Factor ETF"/>
        <s v="Invesco S&amp;P 500 QVM Multi-Factor ETF"/>
        <s v="SPDR S&amp;P International Small Cap ETF"/>
        <s v="iShares U.S. Infrastructure ETF"/>
        <s v="Fidelity MSCI Communication Services Index ETF"/>
        <s v="Xtrackers Emerging Markets Carbon Reduction and Climate Impr"/>
        <s v="Invesco Dynamic Semiconductors ETF"/>
        <s v="Direxion Daily S&amp;P Biotech Bull 3X Shares"/>
        <s v="First Trust NASDAQ Clean Edge Smart Grid Infrastructure Inde"/>
        <s v="John Hancock Multifactor Large Cap ETF"/>
        <s v="Legg Mason Low Volatility High Dividend ETF"/>
        <s v="ETFMG Prime Junior Silver Miners ETF"/>
        <s v="SPDR Dow Jones International Real Estate ETF"/>
        <s v="Pacer Trendpilot 100 ETF"/>
        <s v="iShares Currency Hedged MSCI Japan ETF"/>
        <s v="Direxion Daily S&amp;P Oil &amp; Gas Exp. &amp; Prod. Bull 2X Shares"/>
        <s v="Invesco NASDAQ Internet ETF"/>
        <s v="First Trust International Equity Opportunities ETF"/>
        <s v="Invesco S&amp;P Ultra Dividend Revenue ETF"/>
        <s v="SPDR Russell 1000 Yield Focus ETF"/>
        <s v="Invesco Dynamic Large Cap Growth ETF"/>
        <s v="Invesco S&amp;P SmallCap 600 Revenue ETF"/>
        <s v="ALPS Clean Energy ETF"/>
        <s v="Direxion Daily Gold Miners Index Bull 2X Shares"/>
        <s v="John Hancock Multifactor Emerging Markets ETF"/>
        <s v="iShares U.S. Basic Materials ETF"/>
        <s v="KraneShares Bosera MSCI China A 50 Connect Index ETF"/>
        <s v="WisdomTree U.S. LargeCap Fund"/>
        <s v="Global X SuperDividend U.S. ETF"/>
        <s v="Invesco S&amp;P International Developed Low Volatility ETF"/>
        <s v="ETFMG Alternative Harvest ETF"/>
        <s v="Invesco Dividend Achievers ETF"/>
        <s v="iShares India 50 ETF"/>
        <s v="North Shore Global Uranium Mining ETF"/>
        <s v="SPDR S&amp;P Emerging Markets Small Cap ETF"/>
        <s v="iShares MSCI Italy ETF"/>
        <s v="JPMorgan Diversified Return U.S. Equity ETF"/>
        <s v="Global X Conscious Companies ETF"/>
        <s v="Invesco Russell 1000 Equal Weight ETF"/>
        <s v="Invesco Aerospace &amp; Defense ETF"/>
        <s v="Invesco International Dividend Achievers ETF"/>
        <s v="Dimensional Emerging Core Equity Market ETF"/>
        <s v="VictoryShares US 500 Volatility Wtd ETF"/>
        <s v="WisdomTree U.S. SmallCap Fund"/>
        <s v="Pacer U.S. Small Cap Cash Cows 100 ETF"/>
        <s v="FlexShares Morningstar Developed Markets ex-US Factor Tilt I"/>
        <s v="SPDR SSGA U.S. Large Cap Low Volatility Index ETF"/>
        <s v="SPDR S&amp;P International Dividend ETF"/>
        <s v="iShares Global Materials ETF"/>
        <s v="WisdomTree International Equity Fund"/>
        <s v="FlexShares International Quality Dividend Index Fund"/>
        <s v="Franklin FTSE United Kingdom ETF"/>
        <s v="SPDR S&amp;P NYSE Technology ETF"/>
        <s v="iShares Self-Driving EV and Tech ETF"/>
        <s v="iShares MSCI Sweden ETF"/>
        <s v="FT Cboe Vest Fund of Buffer ETF"/>
        <s v="Vanguard Russell 2000 Growth ETF"/>
        <s v="Global X S&amp;P 500 Catholic Values ETF"/>
        <s v="Distillate U.S. Fundamental Stability &amp; Value ETF"/>
        <s v="SPDR Russell 1000 Low Volatility Focus ETF"/>
        <s v="Xtrackers MSCI Europe Hedged Equity ETF"/>
        <s v="Direxion Daily Energy Bull 2x Shares"/>
        <s v="Fidelity Dividend ETF for Rising Rates"/>
        <s v="Xtrackers International Real Estate ETF"/>
        <s v="iShares Currency Hedged MSCI Eurozone ETF"/>
        <s v="Motley Fool Global Opportunities ETF"/>
        <s v="BlackRock World ex U.S. Carbon Transition Readiness ETF"/>
        <s v="First Trust Lunt U.S. Factor Rotation ETF"/>
        <s v="Invesco S&amp;P SmallCap Value with Momentum ETF"/>
        <s v="iShares MSCI Spain ETF"/>
        <s v="First Trust SMID Cap Rising Dividend Achievers ETF"/>
        <s v="iShares MSCI Singapore ETF"/>
        <s v="SPDR S&amp;P Emerging Asia Pacific ETF"/>
        <s v="VanEck Vietnam ETF"/>
        <s v="SPDR Portfolio MSCI Global Stock Market ETF"/>
        <s v="First Trust Europe AlphaDEX Fund"/>
        <s v="SPDR S&amp;P Health Care Equipment ETF"/>
        <s v="First Trust Dow Jones Global Select Dividend Index Fund"/>
        <s v="VanEck BDC Income ETF"/>
        <s v="iShares ESG Advanced MSCI USA ETF"/>
        <s v="Vanguard S&amp;P Small-Cap 600 Growth ETF"/>
        <s v="John Hancock Multifactor Developed International ETF"/>
        <s v="VanEck Video Gaming and eSports ETF"/>
        <s v="SPDR S&amp;P North American Natural Resources ETF"/>
        <s v="iShares Cybersecurity and Tech ETF"/>
        <s v="WisdomTree U.S. AI Enhanced Value Fund"/>
        <s v="iShares MSCI Global Impact ETF"/>
        <s v="WisdomTree Global ex-U.S. Quality Dividend Growth Fund"/>
        <s v="iShares U.S. Telecommunications ETF"/>
        <s v="Fidelity MSCI Materials Index ETF"/>
        <s v="Invesco S&amp;P 500 Equal Weight Financials ETF"/>
        <s v="Motley Fool 100 Index ETF"/>
        <s v="iShares MSCI Global Gold Miners ETF"/>
        <s v="iShares North American Natural Resources ETF"/>
        <s v="Direxion Daily FTSE China Bull 3X Shares"/>
        <s v="iShares MSCI Frontier and Select EM ETF"/>
        <s v="iShares MSCI USA Size Factor ETF"/>
        <s v="First Trust Energy AlphaDEX Fund"/>
        <s v="Innovator U.S. Equity Power Buffer ETF - January"/>
        <s v="Invesco S&amp;P 500 Equal Weight Consumer Staples ETF"/>
        <s v="iShares MSCI Russia ETF"/>
        <s v="First Trust Materials AlphaDEX Fund"/>
        <s v="Vanguard U.S. Value Factor ETF"/>
        <s v="iShares MSCI Chile ETF"/>
        <s v="JPMorgan U.S. Value Factor ETF"/>
        <s v="Invesco KBW High Dividend Yield Financial ETF"/>
        <s v="First Trust Natural Gas ETF"/>
        <s v="Invesco S&amp;P 500 Equal Weight Industrials ETF"/>
        <s v="iShares MSCI U.S.A. Equal Weighted ETF"/>
        <s v="Invesco FTSE RAFI Developed Markets ex-U.S. Small-Mid ETF"/>
        <s v="Amplify Online Retail ETF"/>
        <s v="Simplify US Equity PLUS Downside Convexity ETF"/>
        <s v="Global X Internet of Things ETF"/>
        <s v="iShares Morningstar Mid-Cap Value ETF"/>
        <s v="Invesco S&amp;P SmallCap Information Technology ETF"/>
        <s v="iPath Shiller CAPE ETN"/>
        <s v="VanEck Biotech ETF"/>
        <s v="IQ Candriam ESG U.S. Equity ETF"/>
        <s v="SPDR S&amp;P Global Infrastructure ETF"/>
        <s v="Tortoise North American Pipeline Fund"/>
        <s v="Fidelity Low Volatility Factor ETF"/>
        <s v="Fidelity Value Factor ETF"/>
        <s v="Invesco S&amp;P 500 Equal Weight Materials ETF"/>
        <s v="SPDR S&amp;P Retail ETF"/>
        <s v="FlexShares Global Quality Real Estate Index Fund"/>
        <s v="Vident Core U.S. Equity Fund"/>
        <s v="Vident International Equity Fund"/>
        <s v="First Trust Emerging Markets AlphaDEX Fund"/>
        <s v="Goldman Sachs ActiveBeta U.S. Small Cap Equity ETF"/>
        <s v="BNY Mellon US Large Cap Core Equity ETF"/>
        <s v="Direxion Daily Junior Gold Miners Index Bull 2X Shares"/>
        <s v="Goldman Sachs MarketBeta U.S. Equity ETF"/>
        <s v="Goldman Sachs Innovate Equity ETF"/>
        <s v="Pacer Benchmark Industrial Real Estate SCTR ETF"/>
        <s v="SPDR S&amp;P Insurance ETF"/>
        <s v="FlexShares Quality Dividend Defensive Index Fund"/>
        <s v="First Trust Developed Markets ex-US AlphaDEX Fund"/>
        <s v="Pacer Trendpilot U.S. Mid Cap ETF"/>
        <s v="Invesco S&amp;P 500 Equal Weight Consumer Discretionary ETF"/>
        <s v="SPDR S&amp;P 500 ESG ETF"/>
        <s v="Pacer Lunt Large Cap Alternator ETF"/>
        <s v="Schwab Fundamental U.S. Broad Market Index ETF"/>
        <s v="iShares Global Industrials ETF"/>
        <s v="Invesco MSCI Sustainable Future ETF"/>
        <s v="Fidelity Blue Chip Growth ETF"/>
        <s v="iShares U.S. Oil &amp; Gas Exploration &amp; Production ETF"/>
        <s v="Global X MSCI China Consumer Discretionary ETF"/>
        <s v="FT Cboe Vest S&amp;P 500 Dividend Aristocrats Target Income ETF"/>
        <s v="iShares MSCI Netherlands ETF"/>
        <s v="iShares MSCI India Small Cap ETF"/>
        <s v="Direxion Daily Small Cap Bear 3X Shares"/>
        <s v="Invesco S&amp;P SmallCap Health Care ETF"/>
        <s v="iShares Global Consumer Discretionary ETF"/>
        <s v="Global X SuperDividend REIT ETF"/>
        <s v="iShares MSCI Thailand ETF"/>
        <s v="iShares Morningstar Small Cap Value ETF"/>
        <s v="Direxion Daily Regional Banks Bull 3X Shares"/>
        <s v="John Hancock Multifactor Small Cap ETF"/>
        <s v="JPMorgan U.S. Quality Factor ETF"/>
        <s v="SPDR Portfolio Europe ETF"/>
        <s v="Direxion Daily S&amp;P 500 Bear 3X Shares"/>
        <s v="iShares MSCI Emerging Markets Small-Cap ETF"/>
        <s v="ARK Space Exploration &amp; Innovation ETF"/>
        <s v="iShares ESG Screened S&amp;P 500 ETF"/>
        <s v="Goldman Sachs MarketBeta International Equity ETF"/>
        <s v="VanEck Pharmaceutical ETF"/>
        <s v="Invesco DWA SmallCap Momentum ETF"/>
        <s v="iShares U.S. Pharmaceuticals ETF"/>
        <s v="JPMorgan BetaBuilders U.S. Small Cap Equity ETF"/>
        <s v="Direxion NASDAQ-100 Equal Weighted Index Shares"/>
        <s v="WisdomTree International LargeCap Dividend Fund"/>
        <s v="Invesco S&amp;P MidCap 400 Revenue ETF"/>
        <s v="Day Hagan/Ned Davis Research Smart Sector ETF"/>
        <s v="iShares MSCI Indonesia ETF"/>
        <s v="Xtrackers MSCI Kokusai Equity ETF"/>
        <s v="iShares U.S. Tech Breakthrough Multisector ETF"/>
        <s v="iShares Robotics and Artificial Intelligence Multisector ETF"/>
        <s v="Cambria Shareholder Yield ETF"/>
        <s v="O'Shares Global Internet Giants ETF"/>
        <s v="Invesco S&amp;P Emerging Markets Low Volatility ETF"/>
        <s v="First Trust Mid Cap Growth AlphaDEX Fund"/>
        <s v="Davis Select U.S. Equity ETF"/>
        <s v="SoFi Select 500 ETF"/>
        <s v="Global X Video Games &amp; Esports ETF"/>
        <s v="iShares Russell 2500 ETF"/>
        <s v="iShares Morningstar Small-Cap Growth ETF"/>
        <s v="WisdomTree International Quality Dividend Growth Fund"/>
        <s v="Aptus Collared Income Opportunity ETF"/>
        <s v="Hartford Multifactor US Equity ETF"/>
        <s v="HCM Defender 100 Index ETF"/>
        <s v="Invesco S&amp;P 500 Equal Weight Energy ETF"/>
        <s v="VictoryShares USAA MSCI International Value Momentum ETF"/>
        <s v="SPDR S&amp;P Capital Markets ETF"/>
        <s v="JPMorgan ActiveBuilders Emerging Markets Equity ETF"/>
        <s v="LHA Market State Tactical Beta ETF"/>
        <s v="Direxion Daily CSI China Internet Index Bull 2X Shares"/>
        <s v="Davis Select Worldwide ETF"/>
        <s v="Nuveen ESG Mid-Cap Growth ETF"/>
        <s v="HCM Defender 500 Index ETF"/>
        <s v="FT Cboe Vest Fund of Deep Buffer ETFs"/>
        <s v="Invesco Dynamic Pharmaceuticals ETF"/>
        <s v="Invesco S&amp;P MidCap 400 Pure Growth ETF"/>
        <s v="KraneShares Electric Vehicles and Future Mobility Index ETF"/>
        <s v="Aptus Drawdown Managed Equity ETF"/>
        <s v="VictoryShares Dividend Accelerator ETF"/>
        <s v="Invesco S&amp;P 500 Downside Hedged ETF"/>
        <s v="iShares MSCI South Africa ETF"/>
        <s v="iShares MSCI Europe Small-Cap ETF"/>
        <s v="VictoryShares USAA MSCI USA Value Momentum ETF"/>
        <s v="FlexShares Morningstar Emerging Markets Factor Tilt Index Fu"/>
        <s v="iShares International Dividend Growth ETF"/>
        <s v="Invesco DWA Healthcare Momentum ETF"/>
        <s v="Invesco Global Water ETF"/>
        <s v="Invesco RAFI Strategic Developed ex-US ETF"/>
        <s v="3D Printing ETF"/>
        <s v="IQ Chaikin U.S. Large Cap ETF"/>
        <s v="First Trust Nasdaq Bank ETF"/>
        <s v="First Trust Consumer Staples AlphaDEX Fund"/>
        <s v="SPDR S&amp;P Software &amp; Services ETF"/>
        <s v="First Trust Global Wind Energy ETF"/>
        <s v="IQ 50 Percent Hedged FTSE International ETF"/>
        <s v="Invesco KBW Premium Yield Equity REIT ETF"/>
        <s v="iShares ESG Advanced MSCI EAFE ETF"/>
        <s v="WisdomTree Europe SmallCap Dividend Fund"/>
        <s v="First Trust Small Cap Growth AlphaDEX Fund"/>
        <s v="Invesco S&amp;P Midcap Quality ETF"/>
        <s v="SPDR Russell 1000 Momentum Focus ETF"/>
        <s v="SPDR S&amp;P Emerging Markets Dividend ETF"/>
        <s v="iShares Global Timber &amp; Forestry ETF"/>
        <s v="iShares MSCI Turkey ETF"/>
        <s v="SPDR S&amp;P Kensho Clean Power ETF"/>
        <s v="Global X Social Media ETF"/>
        <s v="Inspire 100 ETF"/>
        <s v="Invesco Defensive Equity ETF"/>
        <s v="Franklin FTSE Brazil ETF"/>
        <s v="SPDR S&amp;P Global Dividend ETF"/>
        <s v="VanEck Mortgage REIT Income ETF"/>
        <s v="First Trust Stoxx European Select Dividend Index Fund"/>
        <s v="Invesco DWA Technology Momentum ETF"/>
        <s v="Renaissance IPO ETF"/>
        <s v="iShares MSCI Poland ETF"/>
        <s v="Invesco Dynamic Software ETF"/>
        <s v="FT Cboe Vest U.S. Equity Buffer ETF - November"/>
        <s v="Nuveen ESG Mid-Cap Value ETF"/>
        <s v="MicroSectors FANG &amp; Innovation 3x Leveraged ETN"/>
        <s v="Engine No. 1 Transform 500 ETF"/>
        <s v="Goldman Sachs JUST U.S. Large Cap Equity ETF"/>
        <s v="Invesco S&amp;P SmallCap 600 Pure Value ETF"/>
        <s v="First Trust Nasdaq Artificial Intelligence and Robotics ETF"/>
        <s v="VictoryShares USAA MSCI USA Small Cap Value Momentum ETF"/>
        <s v="SPDR MSCI EAFE Fossil Fuel Reserves Free ETF"/>
        <s v="VanEck Low Carbon Energy ETF"/>
        <s v="Invesco Global Clean Energy ETF"/>
        <s v="Invesco Global Listed Private Equity ETF"/>
        <s v="Motley Fool Mid Cap Growth ETF"/>
        <s v="Innovator U.S. Equity Power Buffer ETF - September"/>
        <s v="Gotham Enhanced 500 ETF"/>
        <s v="Fidelity Quality Factor ETF"/>
        <s v="SPDR S&amp;P 1500 Value Tilt ETF"/>
        <s v="SPDR SSGA Gender Diversity Index ETF"/>
        <s v="ETC 6 Meridian Hedged Equity-Index Option Strategy ETF"/>
        <s v="iShares Genomics Immunology and Healthcare ETF"/>
        <s v="Direxion Daily Aerospace &amp; Defense Bull 3X Shares"/>
        <s v="FT Cboe Vest U.S. Equity Deep Buffer ETF - February"/>
        <s v="Invesco Dynamic Building &amp; Construction ETF"/>
        <s v="Tuttle Capital Short Innovation ETF"/>
        <s v="VictoryShares U.S. Large Cap High Div Volatility Wtd ETF"/>
        <s v="iShares Global Comm Services ETF"/>
        <s v="VictoryShares U.S. Small Cap High Div Volatility Wtd ETF"/>
        <s v="ETFMG Travel Tech ETF"/>
        <s v="Overlay Shares Large Cap Equity ETF"/>
        <s v="iShares MSCI Malaysia ETF"/>
        <s v="T. Rowe Price Blue Chip Growth ETF"/>
        <s v="Roundhill Sports Betting &amp; iGaming ETF"/>
        <s v="VictoryShares USAA MSCI Emerging Markets Value Momentum ETF"/>
        <s v="Direxion Daily Homebuilders &amp; Supplies Bull 3X Shares"/>
        <s v="FT Cboe Vest U.S. Equity Buffer ETF - February"/>
        <s v="JPMorgan U.S. Momentum Factor ETF"/>
        <s v="iShares MSCI Global Silver and Metals Miners ETF"/>
        <s v="First Trust RBA American Industrial Renaissance ETF"/>
        <s v="Amplify Lithium &amp; Battery Technology ETF"/>
        <s v="iShares International Developed Real Estate ETF"/>
        <s v="Goldman Sachs Future Tech Leaders Equity ETF"/>
        <s v="Global X Telemedicine &amp; Digital Health ETF"/>
        <s v="American Century Focused Large Cap Value ETF"/>
        <s v="Sprott Gold Miners ETF"/>
        <s v="First Trust S&amp;P REIT Index Fund"/>
        <s v="Invesco Dynamic Biotechnology &amp; Genome ETF"/>
        <s v="Invesco DWA Industrials Momentum ETF"/>
        <s v="IQ 500 International ETF"/>
        <s v="First Trust Small Cap Value AlphaDEX Fund"/>
        <s v="First Trust Multi Cap Growth AlphaDEX Fund"/>
        <s v="Invesco S&amp;P 500 Equal Weight Utilities ETF"/>
        <s v="Direxion Daily Healthcare Bull 3x Shares"/>
        <s v="American Century Quality Diversified International ETF"/>
        <s v="VanEck Retail ETF"/>
        <s v="JPMorgan Diversified Return U.S. Mid Cap Equity ETF"/>
        <s v="Siren Nasdaq NexGen Economy ETF"/>
        <s v="Invesco DWA Developed Markets Momentum ETF"/>
        <s v="American Century STOXX U.S. Quality Growth ETF"/>
        <s v="First Trust Dorsey Wright International Focus 5 ETF"/>
        <s v="Alpha Architect U.S. Quantitative Value ETF"/>
        <s v="WisdomTree Japan SmallCap Dividend Fund"/>
        <s v="iShares MSCI Peru ETF"/>
        <s v="Innovator U.S. Equity Power Buffer ETF - December"/>
        <s v="iShares Morningstar Small-Cap ETF"/>
        <s v="Invesco Zacks Mid-Cap ETF"/>
        <s v="ClearBridge Large Cap Growth ESG ETF"/>
        <s v="Innovator U.S. Equity Power Buffer ETF - May"/>
        <s v="iShares U.S. Dividend and Buyback ETF"/>
        <s v="First Trust Dorsey Wright Dynamic Focus 5 ETF"/>
        <s v="ALPS Equal Sector Weight ETF"/>
        <s v="First Trust Mid Cap Value AlphaDEX Fund"/>
        <s v="Invesco S&amp;P MidCap Value with Momentum ETF"/>
        <s v="IQ Candriam ESG International Equity ETF"/>
        <s v="Invesco DWA Emerging Markets Momentum ETF"/>
        <s v="WisdomTree U.S. Smallcap Quality Dividend Growth Fund"/>
        <s v="SPDR FactSet Innovative Technology ETF"/>
        <s v="Invesco Golden Dragon China ETF"/>
        <s v="SPDR SSGA U.S. Small Cap Low Volatility Index ETF"/>
        <s v="Direxion Daily MSCI Brazil Bull 2X Shares"/>
        <s v="Pacer Lunt Large Cap Multi-Factor Alternator ETF"/>
        <s v="Schwab International Dividend Equity ETF"/>
        <s v="Franklin FTSE Europe ETF"/>
        <s v="ALPS Disruptive Technologies ETF"/>
        <s v="SPDR S&amp;P Pharmaceuticals ETF"/>
        <s v="Innovator S&amp;P 500 Power Buffer ETF - November"/>
        <s v="iShares MSCI Israel ETF"/>
        <s v="iShares MSCI Intl Small-Cap Multifactor ETF"/>
        <s v="ETRACS Alerian MLP Infrastructure Index ETN Series B"/>
        <s v="IQ Chaikin U.S. Small Cap ETF"/>
        <s v="American Century STOXX U.S. Quality Value ETF"/>
        <s v="FT Cboe Vest U.S. Equity Buffer ETF - August"/>
        <s v="Innovator U.S. Equity Power Buffer ETF - April"/>
        <s v="Davis Select Financial ETF"/>
        <s v="Invesco S&amp;P MidCap 400 QVM Multi-Factor ETF"/>
        <s v="Global X Genomics &amp; Biotechnology ETF"/>
        <s v="Invesco RAFI Strategic US ETF"/>
        <s v="Innovator U.S. Equity Buffer ETF"/>
        <s v="FCF US Quality ETF"/>
        <s v="Xtrackers MSCI Japan Hedged Equity ETF"/>
        <s v="Innovator U.S. Equity Power Buffer ETF - July"/>
        <s v="ROBO Global Healthcare Technology and Innovation ETF"/>
        <s v="Goldman Sachs Hedge Industry VIP ETF"/>
        <s v="Innovator IBD 50 ETF"/>
        <s v="First Trust Utilities AlphaDEX Fund"/>
        <s v="FlexShares STOXX U.S. ESG Select Index Fund"/>
        <s v="ClearBridge All Cap Growth ESG ETF"/>
        <s v="Invesco Russell 2000 Dynamic Multifactor ETF"/>
        <s v="iShares Currency Hedged MSCI Emerging Markets ETF"/>
        <s v="MicroSectors FANG+ Index 2X Leveraged ETN"/>
        <s v="Innovator U.S. Equity Power Buffer ETF - October"/>
        <s v="iShares MSCI Kokusai ETF"/>
        <s v="Opus Small Cap Value ETF"/>
        <s v="SPDR SSGA U.S. Sector Rotation ETF"/>
        <s v="Knowledge Leaders Developed World ETF"/>
        <s v="iPath Select MLP ETN"/>
        <s v="Etho Climate Leadership U.S. ETF"/>
        <s v="WisdomTree International High Dividend Fund"/>
        <s v="Global X Millennial Consumer ETF"/>
        <s v="American Century Focused Dynamic Growth ETF"/>
        <s v="FlexShares STOXX Global ESG Select Index Fund"/>
        <s v="Vanguard U.S. Quality Factor ETF"/>
        <s v="JPMorgan Diversified Return Emerging Markets Equity ETF"/>
        <s v="Davis Select International ETF"/>
        <s v="Direxion Daily S&amp;P 500 Bear 1X Shares"/>
        <s v="Invesco Dow Jones Industrial Average Dividend ETF"/>
        <s v="Vanguard U.S. Momentum Factor ETF"/>
        <s v="Global X Adaptive U.S. Factor ETF"/>
        <s v="ARK Israel Innovative Technology ETF"/>
        <s v="KraneShares MSCI China Clean Technology Index ETF"/>
        <s v="JPMorgan Diversified Return U.S. Small Cap Equity ETF"/>
        <s v="Invesco BLDRS Emerging Markets 50 ADR Index Fund"/>
        <s v="Innovator U.S. Equity Power Buffer ETF - August"/>
        <s v="Direxion Daily MSCI Emerging Markets Bull 3x Shares"/>
        <s v="Janus Henderson Small/Mid Cap Growth Alpha ETF"/>
        <s v="FT Cboe Vest U.S. Equity Buffer ETF - December"/>
        <s v="Nuveen ESG International Developed Markets Equity ETF"/>
        <s v="First Trust Dow Jones Select MicroCap Index Fund"/>
        <s v="WisdomTree Dynamic Currency Hedged International Equity Fund"/>
        <s v="First Trust RiverFront Dynamic Developed International"/>
        <s v="Invesco S&amp;P 500 BuyWrite ETF"/>
        <s v="iShares Global Utilities ETF"/>
        <s v="Global X Artificial Intelligence &amp; Technology ETF"/>
        <s v="Xtrackers Russell U.S. Multifactor ETF"/>
        <s v="ALPS International Sector Dividend Dogs ETF"/>
        <s v="Defiance Quantum ETF"/>
        <s v="ETC 6 Meridian Mega Cap Equity ETF"/>
        <s v="Invesco Dynamic Energy Exploration &amp; Production ETF"/>
        <s v="Invesco S&amp;P MidCap 400 Pure Value ETF"/>
        <s v="Wahed FTSE USA Shariah ETF"/>
        <s v="Swan Hedged Equity US Large Cap ETF"/>
        <s v="Pacer Global Cash Cows Dividend ETF"/>
        <s v="UBS AG FI Enhanced Large Cap Growth ETN"/>
        <s v="iShares MSCI Denmark ETF"/>
        <s v="FlexShares US Quality Low Volatility Index Fund"/>
        <s v="Invesco S&amp;P 500 Enhanced Value ETF"/>
        <s v="FT Cboe Vest U.S. Equity Buffer ETF - October"/>
        <s v="First Trust Multi Cap Value AlphaDEX Fund"/>
        <s v="Invesco S&amp;P 500 Equal Weight Real Estate ETF"/>
        <s v="Timothy Plan U.S. Large/Mid Cap Core ETF"/>
        <s v="VictoryShares U.S. Multi-Factor Minimum Volatility ETF"/>
        <s v="Fidelity Stocks for Inflation ETF"/>
        <s v="WisdomTree U.S. Multifactor Fund"/>
        <s v="American Century Sustainable Equity ETF"/>
        <s v="O?셎hares U.S. Small-Cap Quality Dividend ETF"/>
        <s v="First Trust Indxx Innovative Transaction &amp; Process ETF"/>
        <s v="U.S. Diversified Real Estate ETF"/>
        <s v="Invesco S&amp;P SmallCap Momentum ETF"/>
        <s v="Nuveen ESG Emerging Markets Equity ETF"/>
        <s v="iShares U.S. Small Cap Value Factor ETF"/>
        <s v="Invesco DWA Energy Momentum ETF"/>
        <s v="Innovator U.S. Equity Buffer ETF - September"/>
        <s v="BlueStar Israel Technology ETF"/>
        <s v="AdvisorShares Pure Cannabis ETF"/>
        <s v="Global X E-commerce ETF"/>
        <s v="Direxion Daily Dow Jones Internet Bull 3X Shares"/>
        <s v="FT Cboe Vest U.S. Equity Buffer ETF - January"/>
        <s v="First Trust Dow 30 Equal Weight ETF"/>
        <s v="iShares MSCI Global Multifactor ETF"/>
        <s v="ALPS Medical Breakthroughs ETF"/>
        <s v="FT Cboe Vest U.S Equity Buffer ETF - April"/>
        <s v="Inspire Global Hope ETF"/>
        <s v="Pacer Trendpilot International ETF"/>
        <s v="AI Powered Equity ETF"/>
        <s v="First Trust Emerging Markets Small Cap AlphaDEX Fund"/>
        <s v="Innovator U.S. Equity Power Buffer ETF - June"/>
        <s v="FT Cboe Vest U.S. Equity Buffer ETF - July"/>
        <s v="ALPS Barron's 400 ETF"/>
        <s v="SPDR S&amp;P Oil &amp; Gas Equipment &amp; Services ETF"/>
        <s v="SPDR MSCI Emerging Markets Fossil Fuel Reserves Free ETF"/>
        <s v="FT Cboe Vest U.S. Equity Deep Buffer ETF - August"/>
        <s v="Xtrackers MSCI All World ex U.S. Hedged Equity ETF"/>
        <s v="WisdomTree International MidCap Dividend Fund"/>
        <s v="FT Cboe Vest U.S. Equity Deep Buffer ETF - November"/>
        <s v="iShares Evolved U.S. Technology ETF"/>
        <s v="ETC 6 Meridian Low Beta Equity Strategy ETF"/>
        <s v="SPDR S&amp;P Kensho Smart Mobility ETF"/>
        <s v="FlexShares US Quality Large Cap Index Fund"/>
        <s v="WisdomTree International AI Enhanced Value Fund"/>
        <s v="MicroSectors U.S. Big Banks Index 3X Leveraged ETN"/>
        <s v="KraneShares MSCI All China Health Care Index ETF"/>
        <s v="Alpha Architect International Quantitative Value ETF"/>
        <s v="Invesco DWA Basic Materials Momentum ETF"/>
        <s v="Franklin Liberty U.S. Low Volatility ETF"/>
        <s v="LeaderShares AlphaFactor Tactical Focused ETF"/>
        <s v="FT Cboe Vest U.S. Equity Buffer ETF - September"/>
        <s v="Principal U.S. Large-Cap Adaptive Multi-Factor ETF"/>
        <s v="Vanguard U.S. Multifactor ETF"/>
        <s v="Principal International Adaptive Multi-Factor ETF"/>
        <s v="iShares North American Tech-Multimedia Networking ETF"/>
        <s v="Columbia Emerging Markets Consumer ETF"/>
        <s v="iShares MSCI Philippines ETF"/>
        <s v="Invesco S&amp;P International Developed Quality ETF"/>
        <s v="Timothy Plan High Dividend Stock ETF"/>
        <s v="Invesco Active U.S. Real Estate ETF"/>
        <s v="Direxion Daily CSI 300 China A Share Bear 1X Shares"/>
        <s v="Global X MSCI Greece ETF"/>
        <s v="Motley Fool Small-Cap Growth ETF"/>
        <s v="Invesco Dynamic Food &amp; Beverage ETF"/>
        <s v="VictoryShares Nasdaq Next 50 ETF"/>
        <s v="AdvisorShares Dorsey Wright FSM All Cap World ETF"/>
        <s v="SP Funds S&amp;P 500 Sharia Industry Exclusions ETF"/>
        <s v="iShares Currency Hedged MSCI ACWI ex U.S. ETF"/>
        <s v="Direxion Daily Semiconductor Bear 3X Shares"/>
        <s v="Avantis U.S. Large Cap Value ETF"/>
        <s v="iShares MSCI New Zealand ETF"/>
        <s v="First Trust Horizon Managed Volatility Domestic ETF"/>
        <s v="GraniteShares XOUT U.S. Large Cap ETF"/>
        <s v="iShares MSCI BRIC ETF"/>
        <s v="Invesco Raymond James SB-1 Equity ETF"/>
        <s v="NETLease Corporate Real Estate ETF"/>
        <s v="Invesco S&amp;P MidCap 400 Equal Weight ETF"/>
        <s v="LeaderShares AlphaFactor U.S. Core Equity ETF"/>
        <s v="Innovator U.S. Equity Power Buffer ETF - February"/>
        <s v="BlackRock U.S. Equity Factor Rotation ETF"/>
        <s v="First Trust NASDAQ-100 Ex-Technology Sector Index Fund"/>
        <s v="International Drawdown Managed Equity ETF"/>
        <s v="Nationwide Risk-Based International Equity ETF"/>
        <s v="Sprott Junior Gold Miners ETF"/>
        <s v="Invesco International Developed Dynamic Multifactor ETF"/>
        <s v="Invesco India ETF"/>
        <s v="First Trust NASDAQ ABA Community Bank Index Fund"/>
        <s v="USCF Midstream Energy Income Fund"/>
        <s v="Cambria Global Value ETF"/>
        <s v="Invesco DWA Consumer Cyclicals Momentum ETF"/>
        <s v="RiverFront Dynamic US Dividend Advantage ETF"/>
        <s v="Nuveen Short-Term REIT ETF"/>
        <s v="First Trust Dorsey Wright Momentum &amp; Low Volatility ETF"/>
        <s v="Innovator Growth-100 Power Buffer ETF - January"/>
        <s v="Franklin FTSE China ETF"/>
        <s v="Direxion Daily Financial Bear 3X Shares"/>
        <s v="Nationwide Risk-Based U.S. Equity ETF"/>
        <s v="Global X Renewable Energy Producers ETF"/>
        <s v="First Trust Multi-Manager Large Growth ETF"/>
        <s v="Invesco S&amp;P SmallCap 600 Pure Growth ETF"/>
        <s v="iShares U.S. Oil Equipment &amp; Services ETF"/>
        <s v="T. Rowe Price Dividend Growth ETF"/>
        <s v="FT Cboe Vest U.S. Equity Buffer ETF - May"/>
        <s v="Change Finance U.S. Large Cap Fossil Fuel Free ETF"/>
        <s v="Invesco S&amp;P 100 Equal Weight ETF"/>
        <s v="Inspire International ESG ETF"/>
        <s v="Invesco S&amp;P SmallCap Energy ETF"/>
        <s v="Inspire Small/Mid Cap Impact ETF"/>
        <s v="Invesco International BuyBack Achievers ETF"/>
        <s v="VanEck Social Sentiment ETF"/>
        <s v="Fidelity Momentum Factor ETF"/>
        <s v="Direxion Daily MSCI Real Estate Bull 3x Shares"/>
        <s v="Janus Henderson Small Cap Growth Alpha ETF"/>
        <s v="Invesco Dynamic Market ETF"/>
        <s v="Global X Adaptive U.S. Risk Management ETF"/>
        <s v="Innovator U.S. Equity Buffer ETF - April"/>
        <s v="Xtrackers MSCI Emerging Markets Hedged Equity ETF"/>
        <s v="Anfield U.S. Equity Sector Rotation ETF"/>
        <s v="SPDR MSCI ACWI Low Carbon Target ETF"/>
        <s v="Innovator U.S. Small Cap Power Buffer ETF - January"/>
        <s v="VictoryShares International Volatility Wtd ETF"/>
        <s v="FT Cboe Vest U.S. Equity Buffer ETF - June"/>
        <s v="Freedom 100 Emerging Market ETF"/>
        <s v="Innovator U.S. Equity Buffer ETF - October"/>
        <s v="CornerCap Fundametrics Large-Cap ETF"/>
        <s v="SPDR S&amp;P Health Care Services ETF"/>
        <s v="Invesco S&amp;P SmallCap Industrials ETF"/>
        <s v="BNY Mellon International Equity ETF"/>
        <s v="iShares Currency Hedged MSCI EAFE Small-Cap ETF"/>
        <s v="BNY Mellon US Mid Cap Core Equity ETF"/>
        <s v="LeaderShares Equity Skew ETF"/>
        <s v="Simplify US Equity PLUS Convexity ETF"/>
        <s v="Humankind U.S. Stock ETF"/>
        <s v="FT Cboe Vest U.S. Equity Deep Buffer ETF - April"/>
        <s v="Innovator U.S. Equity Power Buffer ETF - March"/>
        <s v="Fidelity Blue Chip Value ETF"/>
        <s v="Invesco PureBeta FTSE Developed ex-North America ETF"/>
        <s v="VanEck Steel ETF"/>
        <s v="iShares MSCI Brazil Small-Cap ETF"/>
        <s v="PIMCO RAFI Dynamic Multi-Factor Emerging Markets Equity ETF"/>
        <s v="First Trust Nasdaq Semiconductor ETF"/>
        <s v="Syntax Stratified LargeCap ETF"/>
        <s v="Principal Millennials ETF"/>
        <s v="Innovator U.S. Equity Ultra Buffer ETF - January"/>
        <s v="Goldman Sachs Future Planet Equity ETF"/>
        <s v="Global X CleanTech ETF"/>
        <s v="First Trust Chindia ETF"/>
        <s v="Principal Quality ETF"/>
        <s v="Nationwide Maximum Diversification U.S. Core Equity ETF"/>
        <s v="Innovator Emerging Markets Power Buffer ETF - January"/>
        <s v="Invesco DWA Consumer Staples Momentum ETF"/>
        <s v="SPDR Global Dow ETF"/>
        <s v="FT Cboe Vest U.S. Equity Deep Buffer ETF ??December"/>
        <s v="WisdomTree U.S. ESG Fund"/>
        <s v="Invesco DWA Financial Momentum ETF"/>
        <s v="Columbia India Consumer ETF"/>
        <s v="WisdomTree U.S. Value Fund"/>
        <s v="Sterling Capital Diverse Multi-Manager Active ETF"/>
        <s v="iShares MSCI United Kingdom Small Cap ETF"/>
        <s v="iShares U.S. Insurance ETF"/>
        <s v="Global X MSCI China Financials ETF"/>
        <s v="Bitwise Crypto Industry Innovators ETF"/>
        <s v="Cambria Emerging Shareholder Yield ETF"/>
        <s v="AllianzIM U.S. Large Cap Buffer20 Jan ETF"/>
        <s v="Innovator U.S. Equity Buffer ETF - July"/>
        <s v="FT Cboe Vest U.S. Equity Deep Buffer ETF - March"/>
        <s v="Wedbush ETFMG Video Game Tech ETF"/>
        <s v="First Trust Switzerland AlphaDEX Fund"/>
        <s v="U.S. Global GO Gold and Precious Metal Miners ETF"/>
        <s v="AdvisorShares Dorsey Wright FSM US Core ETF"/>
        <s v="VanEck Natural Resources ETF"/>
        <s v="FT Cboe Vest Buffered Allocation Growth ETF"/>
        <s v="iShares MSCI Qatar ETF"/>
        <s v="PIMCO RAFI Dynamic Multi-Factor International Equity ETF"/>
        <s v="Procure Space ETF"/>
        <s v="Global X Blockchain ETF"/>
        <s v="WisdomTree Emerging Markets Quality Dividend Growth Fund"/>
        <s v="Direxion Daily CSI 300 China A Share Bull 2X Shares"/>
        <s v="Acruence Active Hedge U.S. Equity ETF"/>
        <s v="Adasina Social Justice All Cap Global ETF"/>
        <s v="Fidelity International High Dividend ETF"/>
        <s v="Principal Value ETF"/>
        <s v="FT Cboe Vest U.S. Equity Deep Buffer ETF"/>
        <s v="Direxion Daily Retail Bull 3x Shares"/>
        <s v="iShares MSCI Global Energy Producers ETF"/>
        <s v="Global X Thematic Growth ETF"/>
        <s v="VanEck Gaming ETF"/>
        <s v="Invesco S&amp;P SmallCap 600 Equal Weight ETF"/>
        <s v="Invesco MSCI Global Timber ETF"/>
        <s v="Invesco S&amp;P 500 Momentum ETF"/>
        <s v="First Trust United Kingdom AlphaDEX Fund"/>
        <s v="FT Cboe Vest Nasdaq-100 Buffer ETF - December"/>
        <s v="SPDR S&amp;P 1500 Momentum Tilt ETF"/>
        <s v="MicroSectors FANG+ Index -3X Inverse Leveraged ETN"/>
        <s v="Pacer CFRA-Stovall Equal Weight Seasonal Rotation Index ETF"/>
        <s v="Direxion Daily S&amp;P Oil &amp; Gas Exp. &amp; Prod. Bear 2X Shares"/>
        <s v="Direxion Work From Home ETF"/>
        <s v="First Trust Germany AlphaDEX Fund"/>
        <s v="KraneShares SSE Star Market 50 Index ETF"/>
        <s v="Direxion Daily Technology Bear 3X Shares"/>
        <s v="Innovator Laddered Fund of U.S. Equity Power Buffer ETFs"/>
        <s v="Direxion Daily S&amp;P 500 High Beta Bull 3X Shares"/>
        <s v="Innovator U.S. Small Cap Power Buffer ETF - April"/>
        <s v="FT Cboe Vest U.S. Equity Buffer ETF - March"/>
        <s v="Timothy Plan International ETF"/>
        <s v="Legg Mason International Low Volatility High Dividend ETF"/>
        <s v="Direxion Daily MSCI India Bull 2X Shares"/>
        <s v="iShares MSCI Austria ETF"/>
        <s v="PIMCO RAFI Dynamic Multi-Factor U.S. Equity ETF"/>
        <s v="iShares MSCI Ireland ETF"/>
        <s v="Invesco KBW Regional Banking ETF"/>
        <s v="Innovator S&amp;P 500 Buffer ETF - November"/>
        <s v="BNY Mellon US Small Cap Core Equity ETF"/>
        <s v="iShares MSCI Japan Value ETF"/>
        <s v="iShares JPX-Nikkei 400 ETF"/>
        <s v="FT Cboe Vest U.S. Equity Deep Buffer ETF - May"/>
        <s v="FlexShares International Quality Dividend Dynamic Index Fund"/>
        <s v="iShares MSCI Global Agriculture Producers ETF"/>
        <s v="ETRACS Alerian MLP Index ETN Series B"/>
        <s v="SPDR MSCI Emerging Markets StrategicFactors ETF"/>
        <s v="KraneShares Emerging Markets Consumer Technology Index ETF"/>
        <s v="Global X MSCI SuperDividend Emerging Markets ETF"/>
        <s v="Alpha Architect U.S. Quantitative Momentum ETF"/>
        <s v="FCF International Quality ETF"/>
        <s v="Donoghue Forlines Risk Managed Innovation ETF"/>
        <s v="WisdomTree CBOE S&amp;P 500 PutWrite Strategy Fund"/>
        <s v="AdvisorShares Ranger Equity Bear ETF"/>
        <s v="Global X Data Center REITs and Digital Infrastructure ETF"/>
        <s v="Global X Cannabis ETF"/>
        <s v="Innovator U.S. Equity Buffer ETF - August"/>
        <s v="Pacer Developed Markets International Cash Cows 100 ETF"/>
        <s v="Innovator U.S. Equity Buffer ETF - December"/>
        <s v="VictoryShares U.S. Discovery Enhanced Volatility Wtd ETF"/>
        <s v="First Trust NASDAQ Global Auto Index Fund"/>
        <s v="Invesco KBW Property &amp; Casualty Insurance ETF"/>
        <s v="American Customer Satisfaction ETF"/>
        <s v="Hoya Capital Housing ETF"/>
        <s v="Vesper U.S. Large Cap Short-Term Reversal Strategy ETF"/>
        <s v="FlexShares Developed Markets ex-US Quality Low Volatility In"/>
        <s v="iShares ESG MSCI EM Leaders ETF"/>
        <s v="First Trust Eurozone AlphaDEX ETF"/>
        <s v="LeaderShares Activist Leaders ETF"/>
        <s v="Direxion Moonshot Innovators ETF"/>
        <s v="Innovator Defined Wealth Shield ETF"/>
        <s v="First Trust Horizon Managed Volatility Developed Internation"/>
        <s v="Columbia EM Core ex-China ETF"/>
        <s v="VanEck India Growth Leaders"/>
        <s v="VanEck Israel ETF"/>
        <s v="VanEck Indonesia Index ETF"/>
        <s v="Direxion Daily Mid Cap Bull 3x Shares"/>
        <s v="Pacer Swan SOS Fund of Funds ETF"/>
        <s v="Alerian Energy Infrastructure ETF"/>
        <s v="Alpha Dog ETF"/>
        <s v="VanEck Environmental Services ETF"/>
        <s v="Global X MSCI Norway ETF"/>
        <s v="Principal Healthcare Innovators Index ETF"/>
        <s v="iShares MSCI Japan Small-Cap ETF"/>
        <s v="John Hancock Multifactor Technology ETF"/>
        <s v="Hartford Large Cap Growth ETF"/>
        <s v="SPDR S&amp;P Telecom ETF"/>
        <s v="WisdomTree Europe Quality Dividend Growth Fund"/>
        <s v="FlexShares International Quality Dividend Defensive Index Fu"/>
        <s v="iShares MSCI China Small-Cap ETF"/>
        <s v="FT Cboe Vest U.S. Equity Deep Buffer ETF - July"/>
        <s v="Innovator International Developed Power Buffer ETF - January"/>
        <s v="U.S. Vegan Climate ETF"/>
        <s v="Fidelity Small-Mid Multifactor ETF"/>
        <s v="Alpha Architect International Quantitative Momentum ETF"/>
        <s v="MicroSectors FANG+ ETN"/>
        <s v="Innovator U.S. Equity Ultra Buffer ETF - October"/>
        <s v="Amplify Seymour Cannabis ETF"/>
        <s v="Avantis Emerging Markets Value ETF"/>
        <s v="Invesco S&amp;P Spin-Off ETF"/>
        <s v="Direxion Daily Junior Gold Miners Index Bear 2X Shares"/>
        <s v="ETRACS Alerian Midstream Energy Index ETN"/>
        <s v="VanEck Morningstar International Moat ETF"/>
        <s v="FT Cboe Vest U.S. Equity Deep Buffer ETF - June"/>
        <s v="Pacer Trendpilot Fund of Funds ETF"/>
        <s v="Innovator U.S. Equity Buffer ETF - May"/>
        <s v="AdvisorShares Dorsey Wright ADR ETF"/>
        <s v="WBI Power Factor High Dividend ETF"/>
        <s v="Innovator Loup Frontier Tech ETF"/>
        <s v="AdvisorShares Alpha DNA Equity Sentiment ETF"/>
        <s v="WisdomTree Global High Dividend Fund"/>
        <s v="Timothy Plan U.S. Large/Mid Cap Core Enhanced ETF"/>
        <s v="FT Cboe Vest U.S. Equity Deep Buffer ETF - January"/>
        <s v="iShares International Developed Property ETF"/>
        <s v="Main Thematic Innovation ETF"/>
        <s v="iShares ESG Screened S&amp;P Mid-Cap ETF"/>
        <s v="Innovator U.S. Small Cap Power Buffer ETF - July"/>
        <s v="FT Cboe Vest U.S. Equity Deep Buffer ETF - September"/>
        <s v="Innovator U.S. Equity Buffer ETF - February"/>
        <s v="Global X Guru Index ETF"/>
        <s v="ETC 6 Meridian Small Cap Equity ETF"/>
        <s v="Innovator U.S. Equity Buffer ETF - June"/>
        <s v="Innovator U.S. Equity Ultra Buffer ETF - September"/>
        <s v="AI Quality Growth ETF"/>
        <s v="Donoghue Forlines Yield Enhanced Real Asset ETF"/>
        <s v="Franklin FTSE South Korea ETF"/>
        <s v="ERShares Entrepreneurs ETF"/>
        <s v="First Trust Dow Jones International Internet ETF"/>
        <s v="VanEck Africa Index ETF"/>
        <s v="T. Rowe Price Equity Income ETF"/>
        <s v="Innovator Nasdaq-100 Power Buffer ETF - October"/>
        <s v="Fidelity New Millennium ETF"/>
        <s v="FT Cboe Vest Buffered Allocation Defensive ETF"/>
        <s v="First Trust India NIFTY 50 Equal Weight ETF"/>
        <s v="Sterling Capital Focus Equity ETF"/>
        <s v="Ecofin Global Water ESG Fund"/>
        <s v="Global X Aging Population ETF"/>
        <s v="WisdomTree Europe Hedged SmallCap Equity Fund"/>
        <s v="Direxion Daily S&amp;P Biotech Bear 3X Shares"/>
        <s v="Direxion Daily Transportation Bull 3X Shares"/>
        <s v="iShares Currency Hedged MSCI Germany ETF"/>
        <s v="Innovator U.S. Equity Buffer ETF - March"/>
        <s v="Xtrackers FTSE Developed ex U.S. Multifactor ETF"/>
        <s v="Roundhill BITKRAFT Esports &amp; Digital Entertainment ETF"/>
        <s v="WisdomTree Global ex-U.S. Real Estate Fund"/>
        <s v="Invesco S&amp;P 500 ex-Rate Sensitive Low Volatility ETF"/>
        <s v="JPMorgan International Growth ETF"/>
        <s v="Siren DIVCON Leaders Dividend ETF"/>
        <s v="ETRACS Linked to Wells Fargo Business Development Co Index E"/>
        <s v="KraneShares CICC China Consumer Leaders Index ETF"/>
        <s v="Direxion Daily FTSE China Bear 3X Shares"/>
        <s v="AdvisorShares Dorsey Wright Alpha Equal Weight ETF"/>
        <s v="The SPAC and New Issue ETF"/>
        <s v="Absolute Core Strategy ETF"/>
        <s v="OneAscent Large Cap Core ETF"/>
        <s v="Direxion Daily Gold Miners Index Bear 2x Shares"/>
        <s v="Invesco Dynamic Media ETF"/>
        <s v="Innovator International Developed Power Buffer ETF - July"/>
        <s v="JPMorgan U.S. Dividend ETF"/>
        <s v="Defiance Next Gen H2 ETF"/>
        <s v="Direxion Daily S&amp;P 500 Bull 2X Shares"/>
        <s v="Franklin LibertyQ U.S. Mid Cap Equity ETF"/>
        <s v="Timothy Plan US Small Cap Core ETF"/>
        <s v="Roundhill Acquirers Deep Value ETF"/>
        <s v="VanEck Morningstar Durable Dividend ETF"/>
        <s v="AAM S&amp;P 500 High Dividend Value ETF"/>
        <s v="SPDR MSCI World StrategicFactors ETF"/>
        <s v="Fidelity Growth Opportunities ETF"/>
        <s v="iShares MSCI Norway ETF"/>
        <s v="Global X Nasdaq 100 Covered Call &amp; Growth ETF"/>
        <s v="Cambria Foreign Shareholder Yield ETF"/>
        <s v="Direxion Daily Russia Bull 2X Shares"/>
        <s v="Invesco PHLX Semiconductor ETF"/>
        <s v="Franklin FTSE Taiwan ETF"/>
        <s v="Rayliant Quantamental China Equity ETF"/>
        <s v="AllianzIM U.S. Large Cap Buffer10 Jan ETF"/>
        <s v="O?셎hares Europe Quality Dividend ETF"/>
        <s v="ETRACS Alerian Midstream Energy Total Return Index ETN"/>
        <s v="Invesco S&amp;P SmallCap Consumer Staples ETF"/>
        <s v="First Trust Dorsey Wright Momentum &amp; Dividend ETF"/>
        <s v="Pacer Trendpilot European Index ETF"/>
        <s v="Vanguard U.S. Minimum Volatility ETF"/>
        <s v="WisdomTree Dynamic Currency Hedged International SmallCap Eq"/>
        <s v="Fidelity Magellan ETF"/>
        <s v="Invesco S&amp;P SmallCap 600 QVM Multi-Factor ETF"/>
        <s v="MicroSectors U.S. Big Oil Index -3X Inverse Leveraged ETN"/>
        <s v="Franklin FTSE Switzerland ETF"/>
        <s v="Large Cap Growth Index-Linked ETN"/>
        <s v="Invesco Dynamic Networking ETF"/>
        <s v="Vanguard U.S. Liquidity Factor ETF"/>
        <s v="Franklin FTSE India ETF"/>
        <s v="Global X Gold Explorers ETF"/>
        <s v="Timothy Plan High Dividend Stock Enhanced ETF"/>
        <s v="Ballast Small/Mid Cap ETF"/>
        <s v="Janus Henderson Net Zero Transition Resources ETF"/>
        <s v="Invesco S&amp;P SmallCap Financials ETF"/>
        <s v="WBI BullBear Value 3000 ETF"/>
        <s v="AdvisorShares DoubleLine Value Equity ETF"/>
        <s v="First Trust RiverFront Dynamic Emerging Markets ETF"/>
        <s v="SPDR S&amp;P Kensho Intelligent Structures ETF"/>
        <s v="First Trust BuyWrite Income ETF"/>
        <s v="CrossingBridge Pre-Merger SPAC ETF"/>
        <s v="TrueShares Low Volatility Equity Income ETF"/>
        <s v="iShares Asia/Pacific Dividend ETF"/>
        <s v="Innovator Growth-100 Power Buffer ETF - July"/>
        <s v="First Trust S&amp;P International Dividend Aristocrats ETF"/>
        <s v="Invesco RAFI Strategic US Small Company ETF"/>
        <s v="Innovator U.S. Equity Ultra Buffer ETF - July"/>
        <s v="SoFi Next 500 ETF"/>
        <s v="KFA Large Cap Quality Dividend Index ETF"/>
        <s v="Invesco DWA Utilities Momentum ETF"/>
        <s v="Invesco S&amp;P SmallCap Consumer Discretionary ETF"/>
        <s v="The Acquirers Fund"/>
        <s v="Syntax Stratified US Total Market Hedged ETF"/>
        <s v="IQ U.S. Real Estate Small Cap ETF"/>
        <s v="T. Rowe Price Growth Stock ETF"/>
        <s v="Direxion Daily S&amp;P 500 High Beta Bear 3X Shares"/>
        <s v="Global X MSCI Nigeria ETF"/>
        <s v="Fidelity Electric Vehicles and Future Transportation ETF"/>
        <s v="WBI BullBear Yield 3000 ETF"/>
        <s v="John Hancock Multifactor Healthcare ETF"/>
        <s v="iShares Focused Value Factor ETF"/>
        <s v="Direxion Daily Industrials Bull 3X Shares"/>
        <s v="Alpha Architect Value Momentum Trend ETF"/>
        <s v="RiverFront Dynamic U.S. Flex-Cap ETF"/>
        <s v="MicroSectors Gold Miners 3X Leveraged ETN"/>
        <s v="AllianzIM U.S. Large Cap Buffer10 Oct ETF"/>
        <s v="Innovator U.S. Equity Ultra Buffer ETF - April"/>
        <s v="WBI BullBear Quality 3000 ETF"/>
        <s v="VanEck Long/Flat Trend ETF"/>
        <s v="Direxion Daily Consumer Discretionary Bull 3x Shares"/>
        <s v="Innovator U.S. Equity Ultra Buffer ETF - May"/>
        <s v="Hartford Multifactor Emerging Markets ETF"/>
        <s v="Invesco S&amp;P 500 Equal Weight Communication Services ETF"/>
        <s v="Innovator U.S. Equity Ultra Buffer ETF - December"/>
        <s v="Innovator Russell 2000 Power Buffer ETF - October"/>
        <s v="ETRACS 2xMonthly Pay Leveraged U.S. Small Cap High Dividend "/>
        <s v="Janus Henderson U.S. Sustainable Equity ETF"/>
        <s v="Global X MSCI Colombia ETF"/>
        <s v="Direxion Daily FTSE Europe Bull 3X Shares"/>
        <s v="First Trust Indxx Global Natural Resources Income ETF"/>
        <s v="Simplify Health Care ETF"/>
        <s v="VictoryShares Developed Enhanced Volatility Wtd ETF"/>
        <s v="FlexShares Real Assets Allocation Index Fund"/>
        <s v="SPDR S&amp;P Internet ETF"/>
        <s v="Invesco S&amp;P 500 Value with Momentum ETF"/>
        <s v="Fidelity International Value Factor ETF"/>
        <s v="iShares Evolved U.S. Healthcare Staples ETF"/>
        <s v="PGIM Quant Solutions Strategic Alpha International Equity ET"/>
        <s v="ETRACS Monthly Pay 1.5X Leveraged Mortgage REIT ETN"/>
        <s v="Global X DAX Germany ETF"/>
        <s v="Wedbush ETFMG Global Cloud Technology ETF"/>
        <s v="Impact Shares NAACP Minority Empowerment ETF"/>
        <s v="iShares Evolved U.S. Innovative Healthcare ETF"/>
        <s v="First Trust SkyBridge Crypto Industry and Digital Economy ET"/>
        <s v="FormulaFolios Smart Growth ETF"/>
        <s v="ETRACS Quarterly Pay 1.5X Leveraged Wells Fargo BDC Index ET"/>
        <s v="Infusive Compounding Global Equities ETF"/>
        <s v="BNY Mellon Emerging Markets Equity ETF"/>
        <s v="VanEck Digital Transformation ETF"/>
        <s v="Stance Equity ESG Large Cap Core ETF"/>
        <s v="Global X S&amp;P 500 Covered Call &amp; Growth ETF"/>
        <s v="iShares MSCI Colombia ETF"/>
        <s v="iShares MSCI Germany Small Cap ETF"/>
        <s v="Xtrackers Harvest CSI 500 China-A Shares Small Cap ETF"/>
        <s v="ETFMG Treatments Testing and Advancements ETF"/>
        <s v="Direxion Daily MSCI South Korea Bull 3X Shares"/>
        <s v="Innovator S&amp;P 500 Ultra Buffer ETF - November"/>
        <s v="AllianzIM U.S. Large Cap Buffer20 Oct ETF"/>
        <s v="Innovator Emerging Markets Power Buffer ETF - July"/>
        <s v="Innovator Growth-100 Power Buffer ETF - April"/>
        <s v="Janus Henderson International Sustainable Equity ETF"/>
        <s v="Impact Shares YWCA Women's Empowerment ETF"/>
        <s v="Global X Health &amp; Wellness ETF"/>
        <s v="Siren DIVCON Dividend Defender ETF"/>
        <s v="Pacer US Cash Cows Growth ETF"/>
        <s v="AllianzIM U.S. Large Cap 6 Month Buffer10 Apr/Oct ETF"/>
        <s v="Esoterica NextG Economy ETF"/>
        <s v="KFA Small Cap Quality Dividend Index ETF"/>
        <s v="WisdomTree International Multifactor Fund"/>
        <s v="ROBO Global Artificial Intelligence ETF"/>
        <s v="ETRACS 2x Leveraged U.S. Dividend Factor TR ETN"/>
        <s v="VanEck Uranium+Nuclear Energy ETF"/>
        <s v="Pacer Lunt MidCap Multi-Factor Alternator ETF"/>
        <s v="ETRACS Alerian Midstream Energy Dividend Index ETN"/>
        <s v="VanEck ChiNext ETF"/>
        <s v="Freedom Day Dividend ETF"/>
        <s v="First Trust FTSE EPRA/NAREIT Developed Markets Real Estate I"/>
        <s v="Global X FTSE Southeast Asia ETF"/>
        <s v="Innovator Emerging Markets Power Buffer ETF - April"/>
        <s v="Inspire Faithward Large Cap Momentum ESG ETF"/>
        <s v="Direxion Russell 1000 Value Over Growth ETF"/>
        <s v="First Trust Japan AlphaDEX Fund"/>
        <s v="ETRACS Quarterly Pay 1.5X Leveraged Alerian MLP Index ETN"/>
        <s v="Affinity World Leaders Equity ETF"/>
        <s v="iShares MSCI UAE ETF"/>
        <s v="Alger Mid Cap 40 ETF"/>
        <s v="WisdomTree Cybersecurity Fund"/>
        <s v="AAM Bahl &amp; Gaynor Small/Mid Cap Income Growth ETF"/>
        <s v="WisdomTree Japan Hedged SmallCap Equity Fund"/>
        <s v="Guru Favorite Stocks ETF"/>
        <s v="Invesco PureBeta MSCI U.S.A. Small Cap ETF"/>
        <s v="AVDR US LargeCap Leading ETF"/>
        <s v="Goldman Sachs MarketBeta Emerging Markets Equity ETF"/>
        <s v="ETRACS 2x Leveraged US Value Factor TR ETN"/>
        <s v="AdvisorShares Dorsey Wright Short ETF"/>
        <s v="Rayliant Quantamental Emerging Market Equity ETF"/>
        <s v="Rayliant Quantitative Developed Market Equity ETF"/>
        <s v="Franklin FTSE Canada ETF"/>
        <s v="Innovator U.S. Equity Ultra Buffer ETF - August"/>
        <s v="American Conservative Values ETF"/>
        <s v="TrueShares Technology, AI &amp; Deep Learning ETF"/>
        <s v="iShares MSCI Finland ETF"/>
        <s v="AdvisorShares Focused Equity ETF"/>
        <s v="iShares MSCI Belgium ETF"/>
        <s v="IQ Global Resources ETF"/>
        <s v="The Short De-SPAC ETF"/>
        <s v="VanEck Brazil Small-Cap ETF"/>
        <s v="Franklin FTSE Asia ex Japan ETF"/>
        <s v="UBS AG FI Enhanced Global High Yield ETN"/>
        <s v="Uncommon Portfolio Design Core Equity ETF"/>
        <s v="Global X MSCI China Information Technology ETF"/>
        <s v="ETRACS 2x Leveraged MSCI US Minimum Volatility Factor TR ETN"/>
        <s v="ETRACS 2x Leveraged MSCI US Quality Factor TR ETN"/>
        <s v="Global X MSCI China Industrials ETF"/>
        <s v="WisdomTree Germany Hedged Equity Fund"/>
        <s v="Direxion Hydrogen ETF"/>
        <s v="Invesco RAFI Strategic Emerging Markets ETF"/>
        <s v="iShares ESG Advanced MSCI EM ETF"/>
        <s v="SPDR Bloomberg SASB Emerging Markets ESG Select ETF"/>
        <s v="KFA Value Line Dynamic Core Equity Index ETF"/>
        <s v="Monarch Blue Chips Core ETF"/>
        <s v="Direxion Daily Energy Bear 2X Shares"/>
        <s v="JPMorgan Active Value ETF"/>
        <s v="First Trust Developed International Equity Select ETF"/>
        <s v="First Trust Large Cap U.S. Equity Select ETF"/>
        <s v="Innovator Triple Stacker ETF - January"/>
        <s v="Xtrackers MSCI EAFE ESG Leaders Equity ETF"/>
        <s v="John Hancock Multifactor Financials ETF"/>
        <s v="Direxion Daily MSCI Emerging Markets Bear 3x Shares"/>
        <s v="JPMorgan ActiveBuilders International Equity ETF"/>
        <s v="SPDR Bloomberg SASB Developed Markets Ex US ESG Select ETF"/>
        <s v="Fidelity Small-Mid Cap Opportunities ETF"/>
        <s v="WisdomTree Emerging Markets ESG Fund"/>
        <s v="KraneShares CICC China 5G &amp; Semiconductor Index ETF"/>
        <s v="Global X MSCI Argentina ETF"/>
        <s v="ERShares NextGen Entrepreneurs ETF"/>
        <s v="Nuveen ESG Large-Cap ETF"/>
        <s v="Invesco S&amp;P SmallCap Utilities &amp; Communication Services ETF"/>
        <s v="ETRACS 2x Leveraged US Growth Factor TR ETN"/>
        <s v="KraneShares MSCI Emerging Markets ex China Index ETF"/>
        <s v="First Trust Nasdaq Retail ETF"/>
        <s v="FT Cboe Vest Nasdaq-100 Buffer ETF - September"/>
        <s v="Innovator U.S. Equity Ultra Buffer ETF - March"/>
        <s v="Franklin LibertyQ Global Dividend ETF"/>
        <s v="JPMorgan ActiveBuilders U.S. Large Cap Equity ETF"/>
        <s v="Capital Link Global Fintech Leaders ETF"/>
        <s v="ALPS REIT Dividend Dogs ETF"/>
        <s v="Direxion Daily Robotics, Artificial Intelligence, &amp; Automati"/>
        <s v="Pacer American Energy Independence ETF"/>
        <s v="Invesco S&amp;P 500 Minimum Variance ETF"/>
        <s v="Defiance Hotel, Airline, and Cruise ETF"/>
        <s v="SP Funds S&amp;P Global REIT Sharia ETF"/>
        <s v="AlphaClone Alternative Alpha ETF"/>
        <s v="Columbia Sustainable U.S. Equity Income ETF"/>
        <s v="ETC 6 Meridian Quality Growth ETF"/>
        <s v="Nationwide Dow Jones Risk-Managed Income ETF"/>
        <s v="ALPS Emerging Sector Dividend Dogs ETF"/>
        <s v="PIMCO RAFI ESG U.S. ETF"/>
        <s v="Global X S&amp;P 500 Quality Dividend ETF"/>
        <s v="Hartford Multifactor Small Cap ETF"/>
        <s v="Xtrackers MSCI All World ex U.S. High Dividend Yield Equity "/>
        <s v="Loncar Cancer Immunotherapy ETF"/>
        <s v="Pacer Swan SOS Flex January ETF"/>
        <s v="iShares Evolved U.S. Discretionary Spending ETF"/>
        <s v="VictoryShares US Small Cap Volatility Wtd ETF"/>
        <s v="Inspire Faithward Mid Cap Momentum ESG ETF"/>
        <s v="Franklin FTSE Australia ETF"/>
        <s v="SPDR S&amp;P Kensho Future Security ETF"/>
        <s v="FT Cboe Vest U.S. Equity Enhance &amp; Moderate Buffer ETF - Dec"/>
        <s v="Xtrackers MSCI Emerging Markets ESG Leaders Equity ETF"/>
        <s v="2ndVote Society Defended ETF"/>
        <s v="Global X Hydrogen ETF"/>
        <s v="Distillate International Fundamental Stability &amp; Value ETF"/>
        <s v="VanEck China Growth Leaders"/>
        <s v="Innovator U.S. Equity Ultra Buffer ETF - February"/>
        <s v="Direxion Daily 5G Communications Bull 2X Shares"/>
        <s v="Hartford Longevity Economy ETF"/>
        <s v="Invesco S&amp;P SmallCap Quality ETF"/>
        <s v="VanEck Energy Income ETF"/>
        <s v="John Hancock Multifactor Consumer Staples ETF"/>
        <s v="AllianzIM U.S. Large Cap 6 Month Buffer10 Jan/Jul ETF"/>
        <s v="Credit Suisse S&amp;P MLP Index ETN"/>
        <s v="TrueShares Structured Outcome ETF - September"/>
        <s v="Arrow Reverse Cap 500 ETF"/>
        <s v="First Trust Dorsey Wright Momentum &amp; Value ETF"/>
        <s v="iShares ESG Screened S&amp;P Small-Cap ETF"/>
        <s v="Invesco Dynamic Oil &amp; Gas Services ETF"/>
        <s v="JPMorgan Carbon Transition U.S. Equity ETF"/>
        <s v="AlphaMark Actively Managed Small Cap ETF"/>
        <s v="JPMorgan Climate Change Solutions ETF"/>
        <s v="Invesco Nasdaq Biotechnology ETF"/>
        <s v="First Trust International Developed Capital Strength ETF"/>
        <s v="ALPS Active REIT ETF"/>
        <s v="SmartETFs Dividend Builder ETF"/>
        <s v="AdvisorShares Gerber Kawasaki ETF"/>
        <s v="FIS Knights of Columbus Global Belief ETF"/>
        <s v="Defiance Next Gen SPAC Derived ETF"/>
        <s v="First Trust Total US Market AlphaDEX ETF"/>
        <s v="First Trust BICK Index Fund"/>
        <s v="Mohr Growth ETF"/>
        <s v="Avantis International Large Cap Value ETF"/>
        <s v="Direxion Daily Utilities Bull 3X Shares"/>
        <s v="Columbia Research Enhanced Value ETF"/>
        <s v="Cambria Value and Momentum ETF"/>
        <s v="Direxion Daily MSCI Real Estate Bear 3x Shares"/>
        <s v="Cambria Cannabis ETF"/>
        <s v="Direxion Daily Pharmaceutical &amp; Medical Bull 3X Shares"/>
        <s v="QRAFT AI-Enhanced U.S. Large Cap Momentum ETF"/>
        <s v="Avantis Real Estate ETF"/>
        <s v="FT Cboe Vest Nasdaq-100 Buffer ETF - June"/>
        <s v="Franklin FTSE Europe Hedged ETF"/>
        <s v="SoFi Social 50 ETF"/>
        <s v="Fidelity Real Estate Investment ETF"/>
        <s v="Cultivar ETF"/>
        <s v="Putnam Focused Large Cap Value ETF"/>
        <s v="Columbia Research Enhanced Core ETF"/>
        <s v="Invesco S&amp;P SmallCap Materials ETF"/>
        <s v="First Trust RiverFront Dynamic Europe ETF"/>
        <s v="Wahed Dow Jones Islamic World ETF"/>
        <s v="T. Rowe Price U.S. Equity Research ETF"/>
        <s v="VanEck Russia Small-Cap ETF"/>
        <s v="Global X MSCI Next Emerging &amp; Frontier ETF"/>
        <s v="FlexShares Quality Dividend Dynamic Index Fund"/>
        <s v="Franklin LibertyQ Emerging Markets ETF"/>
        <s v="Fidelity Clean Energy ETF"/>
        <s v="Franklin FTSE Russia ETF"/>
        <s v="First Trust Mid Cap U.S. Equity Select ETF"/>
        <s v="Cambria Global Real Estate ETF"/>
        <s v="John Hancock Multifactor Energy ETF"/>
        <s v="VanEck Egypt Index ETF"/>
        <s v="iShares MSCI Kuwait ETF"/>
        <s v="Goldman Sachs Future Health Care Equity ETF"/>
        <s v="Hoya Capital High Dividend Yield ETF"/>
        <s v="Fidelity Emerging Markets Multifactor ETF"/>
        <s v="ETRACS 2x Leveraged MSCI US Momentum Factor TR ETN"/>
        <s v="John Hancock Multifactor Consumer Discretionary ETF"/>
        <s v="Franklin Disruptive Commerce ETF"/>
        <s v="ClearBridge Dividend Strategy ESG ETF"/>
        <s v="Global X MSCI Pakistan ETF"/>
        <s v="Innovator Double Stacker 9 Buffer ETF - October"/>
        <s v="Xtrackers Russell 1000 U.S. Quality at a Reasonable Price ET"/>
        <s v="KraneShares MSCI All China Index ETF"/>
        <s v="Overlay Shares Hedged Large Cap Equity ETF"/>
        <s v="Innovator U.S. Equity Accelerated 9 Buffer ETF - April"/>
        <s v="JPMorgan U.S. Minimum Volatility ETF"/>
        <s v="First Trust EIP Carbon Impact ETF"/>
        <s v="SPDR S&amp;P Kensho Final Frontiers ETF"/>
        <s v="ETRACS 2x Leveraged U.S. Size Factor TR ETN"/>
        <s v="AllianzIM U.S. Large Cap Buffer20 Jul ETF"/>
        <s v="Goldman Sachs ActiveBeta Europe Equity ETF"/>
        <s v="First Trust Small Cap U.S. Equity Select ETF"/>
        <s v="Innovator International Developed Power Buffer ETF - April"/>
        <s v="Syntax Stratified SmallCap ETF"/>
        <s v="Franklin FTSE Hong Kong ETF"/>
        <s v="Nationwide S&amp;P 500 Risk-Managed Income ETF"/>
        <s v="ETRACS NYSE Pickens Core Midstream Index ETN"/>
        <s v="Simplify US Equity PLUS Upside Convexity ETF"/>
        <s v="Robinson Alternative Yield Pre-Merger SPAC ETF"/>
        <s v="Franklin FTSE Germany ETF"/>
        <s v="Xtrackers Japan JPX-Nikkei 400 Equity ETF"/>
        <s v="Innovator U.S. Equity Ultra Buffer ETF - June"/>
        <s v="Invesco S&amp;P International Developed High Dividend Low Volati"/>
        <s v="Legg Mason Small-Cap Quality Value ETF"/>
        <s v="Innovator Growth-100 Accelerated Plus ETF - April"/>
        <s v="QRAFT AI-Enhanced U.S. Large Cap ETF"/>
        <s v="Formidable Fortress ETF"/>
        <s v="VictoryShares International High Div Volatility Wtd Index ET"/>
        <s v="Motley Fool Next Index ETF"/>
        <s v="WisdomTree Target Range Fund"/>
        <s v="Fidelity Cloud Computing ETF"/>
        <s v="VanEck Morningstar Global Wide Moat ETF"/>
        <s v="iShares Currency Hedged MSCI Canada ETF"/>
        <s v="Invesco S&amp;P SmallCap High Dividend Low Volatility ETF"/>
        <s v="Simplify Nasdaq 100 PLUS Downside Convexity ETF"/>
        <s v="First Trust US Equity Dividend Select ETF"/>
        <s v="VanEck Oil Refiners ETF"/>
        <s v="ARK Transparency ETF"/>
        <s v="John Hancock Multifactor Utilities ETF"/>
        <s v="iShares Emerging Markets Infrastructure ETF"/>
        <s v="John Hancock Multifactor Media and Communications ETF"/>
        <s v="AllianzIM U.S. Large Cap Buffer10 Jul ETF"/>
        <s v="Pacer Swan SOS Moderate January ETF"/>
        <s v="John Hancock Multifactor Industrials ETF"/>
        <s v="MicroSectors Gold Miners -3X Inverse Leveraged ETN"/>
        <s v="TrueShares Structured Outcome ETF - August"/>
        <s v="Goldman Sachs Future Consumer Equity ETF"/>
        <s v="Goldman Sachs Future Real Estate and Infrastructure Equity E"/>
        <s v="VanEck Green Metals ETF"/>
        <s v="iShares Evolved U.S. Consumer Staples ETF"/>
        <s v="Global X S&amp;P 500 Risk Managed Income ETF"/>
        <s v="Direxion Daily Cloud Computing Bear 2X Shares"/>
        <s v="Fidelity International Multifactor ETF"/>
        <s v="Franklin Genomic Advancements ETF"/>
        <s v="iShares MSCI Intl Size Factor ETF"/>
        <s v="John Hancock Multifactor Materials ETF"/>
        <s v="2ndVote Life Neutral Plus ETF"/>
        <s v="First Trust Expanded Technology ETF"/>
        <s v="Franklin LibertyQ International Equity Hedged ETF"/>
        <s v="VictoryShares Emerging Market High Div Volatility Wtd ETF"/>
        <s v="Invesco PureBeta FTSE Emerging Markets ETF"/>
        <s v="Nationwide Russell 2000 Risk-Managed Income ETF"/>
        <s v="Direxion Russell 1000 Growth Over Value ETF"/>
        <s v="Fidelity US Multifactor ETF"/>
        <s v="UBS AG FI Enhanced Europe 50 ETN"/>
        <s v="First Trust Nasdaq Pharmaceuticals ETF"/>
        <s v="ETRACS Monthly Pay 2xLeveraged U.S. High Dividend Low Volati"/>
        <s v="FT Cboe Vest Growth-100 Buffer ETF - March"/>
        <s v="Direxion Daily MSCI Mexico Bull 3X Shares"/>
        <s v="Syntax Stratified U.S. Total Market ETF"/>
        <s v="Franklin LibertyQ Global Equity ETF"/>
        <s v="Franklin LibertyQ U.S. Small Cap Equity ETF"/>
        <s v="Innovator Triple Stacker ETF - October"/>
        <s v="FlexShares Emerging Markets Quality Low Volatility Index Fun"/>
        <s v="UVA Dividend Value ETF"/>
        <s v="Global X NASDAQ 100 Risk Managed Income ETF"/>
        <s v="iShares Evolved U.S. Media and Entertainment ETF"/>
        <s v="WisdomTree Growth Leaders Fund"/>
        <s v="Xtrackers MSCI Eurozone Hedged Equity ETF"/>
        <s v="SoFi Gig Economy ETF"/>
        <s v="Renaissance International IPO ETF"/>
        <s v="Arrow DWA Tactical International ETF"/>
        <s v="SmartETFs Smart Transportation &amp; Technology ETF"/>
        <s v="Innovator IBD Breakout Opportunities ETF"/>
        <s v="Innovator Double Stacker 9 Buffer ETF - January"/>
        <s v="First Trust Asia Pacific ex-Japan AlphaDEX Fund"/>
        <s v="Democratic Large Cap Core ETF"/>
        <s v="BlackRock Future Tech ETF"/>
        <s v="Pacer Swan SOS Moderate October ETF"/>
        <s v="Roundhill Streaming Services and Technology ETF"/>
        <s v="Sound Equity Income ETF"/>
        <s v="First Trust Horizon Managed Volatility Small/Mid ETF"/>
        <s v="Goldman Sachs ActiveBeta Japan Equity ETF"/>
        <s v="Innovator International Developed Power Buffer ETF - October"/>
        <s v="TrueShares Structured Outcome ETF - July"/>
        <s v="iShares International Developed Small Cap Value Factor ETF"/>
        <s v="Simplify Nasdaq 100 PLUS Convexity ETF"/>
        <s v="ETFB Green SRI REITs ETF"/>
        <s v="FT Cboe Vest International Equity Buffer ETF - June"/>
        <s v="iShares Currency Hedged MSCI United Kingdom ETF"/>
        <s v="Innovator Growth Accelerated ETF - Quarterly"/>
        <s v="Xtrackers MSCI All China Equity ETF"/>
        <s v="Global X Founder-Run Companies ETF"/>
        <s v="Global X MSCI China Health Care ETF"/>
        <s v="TrueShares Structured Outcome ETF - November"/>
        <s v="Simplify Hedged Equity ETF"/>
        <s v="Point Bridge GOP Stock Tracker ETF"/>
        <s v="FT Cboe Vest International Equity Buffer ETF - March"/>
        <s v="First Trust Developed Markets ex-US Small Cap AlphaDEX Fund"/>
        <s v="The Future Fund Active ETF"/>
        <s v="Fount Metaverse ETF"/>
        <s v="Asian Growth Cubs ETF"/>
        <s v="SonicShares Global Shipping ETF"/>
        <s v="Legg Mason Global Infrastructure ETF"/>
        <s v="Xtrackers MSCI Germany Hedged Equity ETF"/>
        <s v="Global X MSCI China Consumer Staples ETF"/>
        <s v="AllianzIM U.S. Large Cap Buffer10 Apr ETF"/>
        <s v="Direxion Daily Dow Jones Internet Bear 3X Shares"/>
        <s v="AllianzIM U.S. Large Cap Buffer20 Apr ETF"/>
        <s v="BlackRock Future Innovators ETF"/>
        <s v="Direxion Daily Cloud Computing Bull 2X Shares"/>
        <s v="Simplify Volt Cloud and Cybersecurity Disruption ETF"/>
        <s v="Amplify Thematic All-Stars ETF"/>
        <s v="Franklin FTSE Japan Hedged ETF"/>
        <s v="Global X MSCI China Materials ETF"/>
        <s v="First Trust Brazil AlphaDEX Fund"/>
        <s v="FT Cboe Vest U.S. Equity Enhance &amp; Moderate Buffer ETF - Jun"/>
        <s v="Global X MSCI SuperDividend EAFE ETF"/>
        <s v="Innovator U.S. Equity Accelerated ETF - Quarterly"/>
        <s v="Janus Henderson U.S. Real Estate ETF"/>
        <s v="Global X MSCI China Communication Services ETF"/>
        <s v="Global X MSCI China Energy ETF"/>
        <s v="iPath S&amp;P MLP ETN"/>
        <s v="Alger 35 ETF"/>
        <s v="Pacer Swan SOS Moderate (July) ETF"/>
        <s v="Franklin Intelligent Machines ETF"/>
        <s v="First Trust Dorsey Wright People's Portfolio ETF"/>
        <s v="Zacks Earnings Consistent Portfolio ETF"/>
        <s v="Innovator U.S. Equity Accelerated 9 Buffer ETF - July"/>
        <s v="Capital Link Global Green Energy Transport &amp; Technology Lead"/>
        <s v="Gabelli Love Our Planet &amp; People ETF"/>
        <s v="Franklin FTSE Mexico ETF"/>
        <s v="Franklin FTSE France ETF"/>
        <s v="First Trust IPOX Europe Equity Opportunities ETF"/>
        <s v="AdvisorShares Vice ETF"/>
        <s v="Viridi Cleaner Energy Crypto-Mining &amp; Semiconductor ETF"/>
        <s v="First Trust Global Engineering and Construction ETF"/>
        <s v="SonicShares Airlines, Hotels,Cruise Lines ETF"/>
        <s v="Innovator U.S. Equity Accelerated 9 Buffer ETF - January"/>
        <s v="Applied Finance Valuation Large Cap ETF"/>
        <s v="KraneShares CICC China Leaders 100 Index ETF"/>
        <s v="FT Cboe Vest International Equity Buffer ETF - December"/>
        <s v="Xtrackers S&amp;P MidCap 400 ESG ETF"/>
        <s v="UPHOLDINGS Compound Kings ETF"/>
        <s v="Defiance Digital Revolution ETF"/>
        <s v="Ecofin Digital Payments Infrastructure Fund"/>
        <s v="Xtrackers S&amp;P SmallCap 600 ESG ETF"/>
        <s v="Invesco Russell 1000 Low Beta Equal Weight ETF"/>
        <s v="Natixis U.S. Equity Opportunities ETF"/>
        <s v="FMQQ The Next Frontier Internet &amp; Ecommerce ETF"/>
        <s v="Fidelity Digital Health ETF"/>
        <s v="First Trust China AlphaDEX Fund"/>
        <s v="Pacer Emerging Markets Cash Cows 100 ETF"/>
        <s v="BNY Mellon Sustainable International Equity ETF"/>
        <s v="iShares Evolved U.S. Financials ETF"/>
        <s v="BNY Mellon Concentrated International ETF"/>
        <s v="Hartford Schroders ESG US Equity ETF"/>
        <s v="Putnam Focused Large Cap Growth ETF"/>
        <s v="Morgan Creek - Exos SPAC Originated ETF"/>
        <s v="KraneShares MSCI China ESG Leaders Index ETF"/>
        <s v="BNY Mellon Sustainable Global Emerging Markets ETF - United "/>
        <s v="Global X MSCI Portugal ETF"/>
        <s v="Invesco ESG NASDAQ 100 ETF"/>
        <s v="Syntax Stratified MidCap ETF"/>
        <s v="TrueShares ESG Active Opportunities ETF"/>
        <s v="KraneShares MSCI One Belt One Road Index ETF"/>
        <s v="Innovator U.S. Equity Accelerated Plus ETF - July"/>
        <s v="BNY Mellon Sustainable U.S. Equity ETF"/>
        <s v="AdvisorShares Hotel ETF"/>
        <s v="Invesco S&amp;P International Developed Momentum ETF"/>
        <s v="SoFi Weekly Dividend ETF"/>
        <s v="Nifty India Financials ETF"/>
        <s v="Xtrackers MSCI China A Inclusion Equity ETF"/>
        <s v="Loncar China BioPharma ETF"/>
        <s v="FPA Global Equity ETF"/>
        <s v="Natixis Vaughan Nelson Mid Cap ETF"/>
        <s v="Innovator Double Stacker ETF"/>
        <s v="Defiance Next Gen Altered Experience ETF"/>
        <s v="iShares Cloud 5G and Tech ETF"/>
        <s v="First Trust Hedged BuyWrite Income ETF"/>
        <s v="Pacer CSOP FTSE China A50 ETF"/>
        <s v="Emles Luxury Goods ETF"/>
        <s v="Innovator Growth Accelerated Plus ETF - July"/>
        <s v="Simplify Volt RoboCar Disruption and Tech ETF"/>
        <s v="Overlay Shares Foreign Equity ETF"/>
        <s v="Schwab Ariel ESG ETF"/>
        <s v="Changebridge Capital Sustainable Equity ETF"/>
        <s v="Global X Clean Water ETF"/>
        <s v="B.A.D. ETF"/>
        <s v="First Trust Latin America AlphaDEX Fund"/>
        <s v="BlackRock Future Health ETF"/>
        <s v="First Trust Nasdaq Food &amp; Beverage ETF"/>
        <s v="Pacer Swan SOS Flex April ETF"/>
        <s v="FT Cboe Vest International Equity Buffer ETF - September"/>
        <s v="Blue Horizon BNE ETF"/>
        <s v="Pacer BioThreat Strategy ETF"/>
        <s v="AAM S&amp;P Emerging Markets High Dividend Value ETF"/>
        <s v="TrueShares Structured Outcome ETF - October"/>
        <s v="Innovator U.S. Equity Accelerated ETF - April"/>
        <s v="Global X Solar ETF"/>
        <s v="Cabot Growth ETF"/>
        <s v="AI Powered International Equity ETF"/>
        <s v="Innovator U.S. Equity Accelerated Plus ETF - April"/>
        <s v="WisdomTree International ESG Fund"/>
        <s v="iShares MSCI USA Mid-Cap Multifactor ETF"/>
        <s v="Fount Subscription Economy ETF"/>
        <s v="Innovator Emerging Markets Power Buffer ETF"/>
        <s v="Putnam Sustainable Future ETF"/>
        <s v="Volshares Large Cap ETF"/>
        <s v="Goldman Sachs ActiveBeta Paris-Aligned US Large Cap Equity E"/>
        <s v="First Trust Emerging Markets Equity Select ETF"/>
        <s v="Revere Sector Opportunity ETF"/>
        <s v="iShares Factors US Value Style ETF"/>
        <s v="iShares MSCI Japan Equal Weighted ETF"/>
        <s v="TrueShares Structured Outcome ETF - December"/>
        <s v="WisdomTree India ex-State-Owned Enterprises Fund"/>
        <s v="Pacer Swan SOS Conservative (January) ETF"/>
        <s v="Invesco FTSE International Low Beta Equal Weight ETF"/>
        <s v="Pacer Swan SOS Moderate April ETF"/>
        <s v="ALPS Global Travel Beneficiaries ETF"/>
        <s v="Global X MSCI China Real Estate ETF"/>
        <s v="Putnam Sustainable Leaders ETF"/>
        <s v="AdvisorShares Dorsey Wright Micro-Cap ETF"/>
        <s v="IQ Healthy Hearts ETF"/>
        <s v="Innovator Growth Accelerated Plus ETF - January Series"/>
        <s v="American Century Low Volatility ETF"/>
        <s v="Genuine Investors ETF"/>
        <s v="Overlay Shares Small Cap Equity ETF"/>
        <s v="Direxion Daily Select Large Caps &amp; FANGs Bull 2X Shares"/>
        <s v="Pacer Salt Low truBeta US Market ETF"/>
        <s v="Invesco US Large Cap Core ESG ETF"/>
        <s v="Invesco Alerian Galaxy Crypto Economy ETF"/>
        <s v="American Century Sustainable Growth ETF"/>
        <s v="AdvisorShares Psychedelics ETF"/>
        <s v="Amplify International Online Retail ETF"/>
        <s v="Direxion Daily Metal Miners Bull 2X Shares"/>
        <s v="KraneShares Hang Seng TECH Index ETF"/>
        <s v="Innovator U.S. Equity Accelerated Plus ETF - January"/>
        <s v="Pacer Swan SOS Flex October ETF"/>
        <s v="Nuveen Dividend Growth ETF"/>
        <s v="Innovator Double Stacker ETF - January"/>
        <s v="iShares MSCI Argentina and Global Exposure ETF"/>
        <s v="Invesco S&amp;P Emerging Markets Momentum ETF"/>
        <s v="Direxion Daily U.S. Infrastructure Bull 2X Shares ETF"/>
        <s v="Principal U.S. Small-Cap Adaptive Multi-Factor ETF"/>
        <s v="Nuveen Small Cap Select ETF"/>
        <s v="IQ Cleaner Transport ETF"/>
        <s v="TrueShares Structured Outcome ETF - April"/>
        <s v="Innovator Growth Accelerated Plus ETF - October"/>
        <s v="iShares ESG MSCI USA Min Vol Factor ETF"/>
        <s v="IQ Engender Equality ETF"/>
        <s v="iShares Virtual Work and Life Multisector ETF"/>
        <s v="ETFMG U.S. Alternative Harvest ETF"/>
        <s v="First Trust Indxx Global Agriculture ETF"/>
        <s v="AdvisorShares Poseidon Dynamic Cannabis ETF"/>
        <s v="Impact Shares Sustainable Development Goals Global Equity ET"/>
        <s v="Hartford Multifactor Diversified International ETF"/>
        <s v="Fidelity Sustainability U.S. Equity ETF"/>
        <s v="QRAFT AI-Enhanced U.S. Next Value ETF"/>
        <s v="Natixis Vaughan Nelson Select ETF"/>
        <s v="ALPS Hillman Active Value ETF"/>
        <s v="Global X Education ETF"/>
        <s v="Innovator U.S. Equity Accelerated 9 Buffer ETF - October"/>
        <s v="Columbia Sustainable International Equity Income ETF"/>
        <s v="Direxion Daily Global Clean Energy Bull 2X Shares"/>
        <s v="QRAFT AI-Enhanced U.S. High Dividend ETF"/>
        <s v="Pacer Salt High truBeta U.S. Market ETF"/>
        <s v="Franklin FTSE South Africa ETF"/>
        <s v="Global X AgTech &amp; Food Innovation ETF"/>
        <s v="TrueShares Structured Outcome ETF - March"/>
        <s v="iShares Factors U.S. Growth Style ETF"/>
        <s v="SmartETFs Sustainable Energy II ETF"/>
        <s v="Innovator U.S. Equity Accelerated ETF - July"/>
        <s v="Pacer Swan SOS Flex (July) ETF"/>
        <s v="Nuveen Winslow Large-Cap Growth ESG ETF"/>
        <s v="Volt Crypto Industry Revolution and Tech ETF"/>
        <s v="Nuveen ESG Dividend ETF"/>
        <s v="TrueShares Structured Outcome ETF - May"/>
        <s v="FlexShares ESG &amp; Climate Developed Markets ex-U.S. Core Inde"/>
        <s v="Direxion Daily Travel &amp; Vacation Bull 2X Shares"/>
        <s v="Innovator U.S. Equity Accelerated Plus ETF"/>
        <s v="Direxion World Without Waste ETF"/>
        <s v="IQ Clean Oceans ETF"/>
        <s v="Spear Alpha ETF"/>
        <s v="Invesco ESG S&amp;P 500 Equal Weight ETF"/>
        <s v="Roundhill Pro Sports, Media &amp; Apparel ETF"/>
        <s v="Jacob Forward ETF"/>
        <s v="BlackRock Future Climate and Sustainable Economy ETF"/>
        <s v="Global X S&amp;P Catholic Values Developed ex-U.S. ETF"/>
        <s v="BlackRock Future U.S. Themes ETF"/>
        <s v="InfraCap Equity Income Fund ETF"/>
        <s v="Invesco MSCI Green Building ETF"/>
        <s v="WisdomTree U.S. Growth &amp; Momentum Fund"/>
        <s v="MicroSectors Oil &amp; Gas Exploration &amp; Production 3X Leveraged"/>
        <s v="MicroSectors U.S. Big Banks Index -3X Inverse Leveraged ETN"/>
        <s v="MicroSectors FANG &amp; Innovation -3x Inverse Leveraged ETN"/>
        <s v="Emles Made in America ETF"/>
        <s v="SmartETFs Asia Pacific Dividend Builder ETF"/>
        <s v="Pacer U.S. Export Leaders ETF"/>
        <s v="Franklin FTSE Latin America ETF"/>
        <s v="The Generation Z ETF"/>
        <s v="TrueShares Structured Outcome ETF - January"/>
        <s v="AGFiQ Global Infrastructure ETF"/>
        <s v="Franklin FTSE Italy ETF"/>
        <s v="Barclays Women in Leadership ETN"/>
        <s v="Global X Wind Energy ETF"/>
        <s v="TrueShares Structured Outcome ETF - June"/>
        <s v="Invesco Alerian Galaxy Blockchain Users and Decentralized Co"/>
        <s v="First Trust Active Factor Large Cap ETF"/>
        <s v="Franklin FTSE Saudi Arabia ETF"/>
        <s v="Direxion Fallen Knives ETF"/>
        <s v="Global X Emerging Markets Internet &amp; E-commerce ETF"/>
        <s v="Global X NASDAQ 100 Tail Risk ETF"/>
        <s v="Direxion Low Priced Stock ETF"/>
        <s v="AdvisorShares Restaurant ETF"/>
        <s v="First Trust Innovation Leaders ETF"/>
        <s v="Pacer Swan SOS Conservative October ETF"/>
        <s v="WisdomTree BioRevolution Fund"/>
        <s v="Global X MSCI Vietnam ETF"/>
        <s v="Global X China Biotech Innovation ETF"/>
        <s v="ClearBridge Focus Value ESG ETF"/>
        <s v="TrueShares Structured Outcome ETF - February"/>
        <s v="Direxion Daily Software Bull 2X Shares"/>
        <s v="Global X China Innovation ETF"/>
        <s v="Pacer Cash Cows Fund of Funds ETF"/>
        <s v="Cannabis Growth ETF"/>
        <s v="Gabelli Growth Innovators ETF"/>
        <s v="Global X S&amp;P 500 Collar 95-110 ETF"/>
        <s v="iShares Currency Hedged JPX-Nikkei 400 ETF"/>
        <s v="LGBTQ + ESG100 ETF"/>
        <s v="Franklin Exponential Data ETF"/>
        <s v="Pacer Swan SOS Conservative April ETF"/>
        <s v="Lyrical U.S. Value ETF"/>
        <s v="Democracy International Fund ETF"/>
        <s v="Sparkline Intangible Value ETF"/>
        <s v="Simplify Emerging Markets Equity PLUS Downside Convexity ETF"/>
        <s v="Global X S&amp;P 500 Tail Risk ETF"/>
        <s v="Global X NASDAQ 100 Collar 95-110 ETF"/>
        <s v="Pacer Swan SOS Conservative (July) ETF"/>
        <s v="AVDR U.S. LargeCap ESG ETF"/>
        <s v="Simplify Developed Ex-US PLUS Downside Convexity ETF"/>
        <s v="Direxion mRNA ETF"/>
        <s v="MicroSectors Oil &amp; Gas Exploration &amp; Production -3X Inverse "/>
        <s v="VegTech Plant-based Innovation &amp; Climate ETF"/>
        <s v="Emles @ Home ETF"/>
        <s v="RiverNorth Volition America Patriot ETF"/>
        <s v="Defiance Next Gen Big Data ETF"/>
        <s v="Fidelity Women's Leadership ETF"/>
        <s v="Global Beta Smart Income ETF"/>
        <s v="SPDR S&amp;P SmallCap 600 ESG ETF"/>
        <s v="Invesco Real Assets ESG ETF"/>
        <s v="Invesco Russell 1000 Enhanced Equal Weight ETF"/>
        <s v="APEX HealthCare ETF"/>
        <s v="Barclays Return on Disability ETN"/>
        <s v="Xtrackers Eurozone Equity ETF"/>
        <s v="KraneShares Emerging Markets Healthcare Index ETF"/>
        <s v="FlexShares ESG &amp; Climate U.S. Large Cap Core Index Fund"/>
        <s v="WisdomTree Emerging Markets Multifactor Fund"/>
        <s v="First Trust Active Factor Small Cap ETF"/>
        <s v="First Trust Active Factor Mid Cap ETF"/>
        <s v="VictoryShares THB Mid Cap ESG ETF"/>
        <s v="AAM S&amp;P Developed Markets High Dividend Value ETF"/>
        <s v="Simplify US Small Cap PLUS Downside Convexity ETF"/>
        <s v="KraneShares China Innovation ETF"/>
        <s v="VanEck Future of Food ETF"/>
        <s v="ETFMG Breakwave Sea Decarbonization Tech ETF"/>
        <s v="SmartETFs Advertising &amp; Marketing Technology ETF"/>
        <s v="Invesco ESG NASDAQ Next Gen 100 ETF"/>
        <s v="The De-SPAC ETF"/>
        <s v="Impact Shares MSCI Global Climate Select ETF"/>
        <s v="Direxion Nanotechnology ETF"/>
        <s v="ETFMG Real Estate Tech ETF"/>
        <s v="VanEck Morningstar ESG Moat ETF"/>
        <s v="The NextGen Trend and Defend ETF - United States"/>
        <s v="Innovator U.S. Equity Accelerated ETF"/>
        <s v="Emles Federal Contractors ETF"/>
        <s v="Motley Fool Capital Efficiency 100 Index ETF"/>
        <s v="Roundhill IO Digital Infrastructure ETF"/>
        <s v="iClima Distributed Renewable Energy Transition Leaders ETF"/>
        <s v="Global X MSCI China Utilities ETF"/>
        <s v="First Trust Multi-Manager Small Cap Opportunities ETF"/>
        <s v="Roundhill Meme ETF"/>
        <s v="Simplify Volt Fintech Disruption ETF"/>
        <s v="Elements Spectrum Large Cap US Sector Momentum Index ETN"/>
        <s v="Kelly Hotel &amp; Lodging Sector ETF"/>
        <s v="Avantis U.S. Small Cap Equity ETF"/>
        <s v="iClima Global Decarbonization Transition Leaders ETF"/>
        <s v="Kelly CRISPR &amp; Gene Editing Technology ETF"/>
        <s v="Global Beta Low Beta ETF"/>
        <s v="Invesco Select Growth ETF"/>
        <s v="ETFMG Prime 2x Daily Junior Silver Miners ETF"/>
        <s v="V-Shares US Leadership Diversity ETF"/>
        <s v="Innovator U.S. Equity Accelerated ETF - January"/>
        <s v="Amplify Pure Junior Gold Miners ETF"/>
        <s v="UBC Algorithmic Fundamentals ETF"/>
        <s v="Wisdom Tree Artificial Intelligence and Innovation Fund"/>
        <s v="Invesco Focused Discovery Growth ETF"/>
        <s v="Global Beta Rising Stars ETF"/>
        <s v="First Trust TCW ESG Premier Equity ETF"/>
        <s v="ETFMG 2X Daily Inverse Alternative Harvest ETF"/>
        <s v="Simplify Volt Pop Culture Disruption ETF"/>
        <s v="Amplify Cleaner Living ETF"/>
        <s v="Siren Large Cap Blend Index ETF"/>
        <s v="Grizzle Growth ETF"/>
        <s v="Alpha Intelligent - Large Cap Growth ETF"/>
        <s v="ETFMG 2x Daily Alternative Harvest ETF"/>
        <s v="Strategy Shares Halt Climate Change ETF"/>
        <s v="Amplify Digital and Online Trading ETF"/>
        <s v="ETFMG 2x Daily Travel Tech ETF"/>
        <s v="Alpha Intelligent - Large Cap Value ETF"/>
        <s v="Valkyrie Balance Sheet Opportunities ETF"/>
        <s v="iBET Sports Betting &amp; Gaming ETF"/>
        <s v="Amberwave Invest USA JSG Fund"/>
        <s v="ETFMG Prime 2x Daily Inverse Junior Silver Miners ETF"/>
        <s v="Direxion S&amp;P 500 Equal Weight Bull 2X Shares"/>
        <s v="Direxion Daily FinTech Bull 2X Shares"/>
        <s v="Kelly Residential &amp; Apartment Real Estate ETF"/>
        <s v="Gabelli Asset ETF"/>
        <s v="Harbor Disruptive Innovation ETF"/>
        <s v="ProShares On-Demand ETF"/>
        <s v="ProShares Smart Materials ETF"/>
        <s v="ProShares Nanotechnology ETF"/>
        <s v="ProShares S&amp;P Kensho Cleantech ETF"/>
        <s v="ProShares Big Data Refiners ETF"/>
        <s v="ProShares S&amp;P Kensho Smart Factories ETF"/>
        <s v="ETRACS 2x Leveraged MSCI USA ESG Focus TR ETN"/>
        <s v="ETRACS 2x Leveraged IFED Invest with the Fed TR Index ETN"/>
        <s v="ETRACS IFED Invest with the Fed TR Index ETN"/>
        <s v="Virtus Duff &amp; Phelps Clean Energy ETF"/>
        <s v="First Trust Indxx Medical Devices ETF"/>
        <s v="ProShares NASDAQ-100 Dorsey Wright Momentum ETF"/>
        <s v="ProShares Ultra Nasdaq Cloud Computing"/>
        <s v="ProShares Ultra Nasdaq Cybersecurity"/>
        <s v="Virtus Terranova U.S. Quality Momentum ETF"/>
        <s v="VictoryShares Protect America ETF"/>
        <s v="VictoryShares Top Veteran Employers ETF"/>
        <s v="ProShares MSCI Transformational Changes ETF"/>
        <s v="Direxion Connected Consumer ETF"/>
        <s v="American Century Mid Cap Growth Impact ETF"/>
        <s v="Direxion High Growth ETF"/>
        <s v="Trend Aggregation Growth ETF"/>
        <s v="The Active Dividend Stock ETF"/>
        <s v="iShares Factors US Blend Style ETF"/>
        <s v="iShares Factors US Mid Blend Style ETF"/>
        <s v="iShares Factors US Small Blend Style ETF"/>
        <s v="ProShares S&amp;P Technology Dividend Aristocrats ETF"/>
        <s v="ProShares Russell U.S. Dividend Growers ETF"/>
        <s v="The Cannabis ETF"/>
        <s v="Virtus Real Asset Income ETF"/>
        <s v="ProShares Pet Care ETF"/>
        <s v="ProShares Online Retail ETF"/>
        <s v="ProShares Long Online/Short Stores ETF"/>
        <s v="ProShares Decline of the Retail Store ETF"/>
        <s v="Virtus WMC International Dividend ETF"/>
        <s v="ProShares Equities for Rising Rates ETF"/>
        <s v="ProShares MSCI Emerging Markets Dividend Growers ETF"/>
        <s v="Virtus Reaves Utilities ETF"/>
        <s v="ProShares S&amp;P 500 Ex-Energy ETF"/>
        <s v="ProShares S&amp;P 500 Ex-Financials ETF"/>
        <s v="ProShares S&amp;P 500 Ex-Technology ETF"/>
        <s v="ProShares S&amp;P 500 Ex-Health Care ETF"/>
        <s v="ProShares MSCI Europe Dividend Growers ETF"/>
        <s v="ProShares S&amp;P MidCap 400 Dividend Aristocrats ETF"/>
        <s v="ProShares Russell 2000 Dividend Growers ETF"/>
        <s v="Virtus LifeSci Biotech Products ETF"/>
        <s v="Virtus LifeSci Biotech Clinical Trials ETF"/>
        <s v="InfraCap MLP ETF"/>
        <s v="ProShares MSCI EAFE Dividend Growers ETF"/>
        <s v="ProShares DJ Brookfield Global Infrastructure ETF"/>
        <s v="ProShares S&amp;P 500 Dividend Aristocrats ETF"/>
        <s v="ProShares Global Listed Private Equity ETF"/>
        <s v="ProShares Ultra MSCI Brazil Capped"/>
        <s v="ProShares Ultra FTSE Europe"/>
        <s v="ProShares Ultra NASDAQ Biotechnology"/>
        <s v="ProShares UltraShort NASDAQ Biotechnology"/>
        <s v="ProShares Short Real Estate"/>
        <s v="ProShares Short Basic Materials"/>
        <s v="ProShares Short FTSE China 50"/>
        <s v="ProShares UltraPro Short Dow30"/>
        <s v="ProShares UltraPro Short MidCap400"/>
        <s v="ProShares UltraPro Short Russell2000"/>
        <s v="ProShares UltraPro Dow30"/>
        <s v="ProShares UltraPro MidCap400"/>
        <s v="ProShares UltraPro Russell2000"/>
        <s v="ProShares UltraPro Short QQQ"/>
        <s v="ProShares UltraPro QQQ"/>
        <s v="ProShares Large Cap Core Plus"/>
        <s v="ProShares UltraPro Short S&amp;P500"/>
        <s v="ProShares UltraPro S&amp;P500"/>
        <s v="ProShares UltraShort MSCI Brazil Capped"/>
        <s v="ProShares UltraShort FTSE Europe"/>
        <s v="ProShares Ultra MSCI Emerging Markets"/>
        <s v="ProShares Ultra MSCI EAFE"/>
        <s v="ProShares Ultra MSCI Japan"/>
        <s v="ProShares Ultra FTSE China 50"/>
        <s v="ProShares Short Oil &amp; Gas"/>
        <s v="ProShares Short Financials"/>
        <s v="ProShares Ultra Telecommunications"/>
        <s v="ProShares UltraShort FTSE China 50"/>
        <s v="ProShares UltraShort MSCI Japan"/>
        <s v="ProShares UltraShort MSCI Emerging Markets"/>
        <s v="ProShares Short MSCI Emerging Markets"/>
        <s v="ProShares UltraShort MSCI EAFE"/>
        <s v="ProShares Short MSCI EAFE"/>
        <s v="ProShares Ultra Oil &amp; Gas"/>
        <s v="ProShares UltraShort Oil &amp; Gas"/>
        <s v="ProShares UltraShort Technology"/>
        <s v="ProShares Ultra Technology"/>
        <s v="ProShares UltraShort Health Care"/>
        <s v="ProShares Ultra Health Care"/>
        <s v="ProShares UltraShort Consumer Services"/>
        <s v="ProShares UltraShort Utilities"/>
        <s v="ProShares UltraShort Industrials"/>
        <s v="ProShares UltraShort Financials"/>
        <s v="ProShares UltraShort Basic Materials"/>
        <s v="ProShares UltraShort Real Estate"/>
        <s v="ProShares UltraShort Semiconductors"/>
        <s v="ProShares UltraShort Consumer Goods"/>
        <s v="ProShares Ultra Consumer Services"/>
        <s v="ProShares Ultra Consumer Goods"/>
        <s v="ProShares Ultra Utilities"/>
        <s v="ProShares Ultra Real Estate"/>
        <s v="ProShares Ultra Semiconductors"/>
        <s v="ProShares Ultra Industrials"/>
        <s v="ProShares Ultra Financials"/>
        <s v="ProShares Ultra Basic Materials"/>
        <s v="ProShares Short Russell2000"/>
        <s v="ProShares Ultra SmallCap600"/>
        <s v="ProShares Short SmallCap600"/>
        <s v="ProShares UltraShort SmallCap600"/>
        <s v="ProShares UltraShort Russell2000"/>
        <s v="ProShares Ultra Russell2000"/>
        <s v="ProShares UltraShort Dow30"/>
        <s v="ProShares UltraShort MidCap400"/>
        <s v="ProShares UltraShort QQQ"/>
        <s v="ProShares UltraShort S&amp;P500"/>
        <s v="ProShares Ultra Dow30"/>
        <s v="ProShares Short Dow30"/>
        <s v="ProShares Ultra MidCap400"/>
        <s v="ProShares Short MidCap400"/>
        <s v="ProShares Short QQQ"/>
        <s v="ProShares Ultra QQQ"/>
        <s v="ProShares Short S&amp;P500"/>
        <s v="ProShares Ultra S&amp;P 500"/>
      </sharedItems>
    </cacheField>
    <cacheField name="AUM(mn)" numFmtId="177">
      <sharedItems containsMixedTypes="1" containsNumber="1" minValue="0.13235" maxValue="410410" count="1747">
        <n v="410410"/>
        <n v="306720"/>
        <n v="276070"/>
        <n v="259089.99999999997"/>
        <n v="187260"/>
        <n v="108510"/>
        <n v="101200"/>
        <n v="92170"/>
        <n v="82190"/>
        <n v="78940"/>
        <n v="76710"/>
        <n v="69620"/>
        <n v="68160"/>
        <n v="64450"/>
        <n v="62810"/>
        <n v="60030"/>
        <n v="56870"/>
        <n v="55360"/>
        <n v="53190"/>
        <n v="52300"/>
        <n v="49200"/>
        <n v="45920"/>
        <n v="45860"/>
        <n v="45500"/>
        <n v="45410"/>
        <n v="42940"/>
        <n v="42080"/>
        <n v="35450"/>
        <n v="35230"/>
        <n v="33960"/>
        <n v="32509.999999999996"/>
        <n v="32049.999999999996"/>
        <n v="31480"/>
        <n v="31430"/>
        <n v="31330"/>
        <n v="29550"/>
        <n v="29440"/>
        <n v="29030"/>
        <n v="28870"/>
        <n v="28630"/>
        <n v="28110"/>
        <n v="26080"/>
        <n v="25600"/>
        <n v="24740"/>
        <n v="24040"/>
        <n v="23800"/>
        <n v="22400"/>
        <n v="22330"/>
        <n v="22100"/>
        <n v="21740"/>
        <n v="20490"/>
        <n v="20430"/>
        <n v="19990"/>
        <n v="19690"/>
        <n v="17490"/>
        <n v="17080"/>
        <n v="16480"/>
        <n v="15910"/>
        <n v="15740"/>
        <n v="15700"/>
        <n v="15480"/>
        <n v="15370"/>
        <n v="15320"/>
        <n v="14830"/>
        <n v="14570"/>
        <n v="14460"/>
        <n v="14450"/>
        <n v="14310"/>
        <n v="13790"/>
        <n v="13660"/>
        <n v="13500"/>
        <n v="13490"/>
        <n v="13130"/>
        <n v="13090"/>
        <n v="12880"/>
        <n v="12820"/>
        <n v="12790"/>
        <n v="12780"/>
        <n v="12680"/>
        <n v="12640"/>
        <n v="12630"/>
        <n v="12430"/>
        <n v="12140"/>
        <n v="12130"/>
        <n v="11830"/>
        <n v="11730"/>
        <n v="11600"/>
        <n v="11380"/>
        <n v="10800"/>
        <n v="10120"/>
        <n v="9960"/>
        <n v="9670"/>
        <n v="9620"/>
        <n v="9550"/>
        <n v="9450"/>
        <n v="9430"/>
        <n v="9390"/>
        <n v="8900"/>
        <n v="8880"/>
        <n v="8830"/>
        <n v="8560"/>
        <n v="8480"/>
        <n v="8420"/>
        <n v="8380"/>
        <n v="8220"/>
        <n v="8100"/>
        <n v="8039.9999999999991"/>
        <n v="7950"/>
        <n v="7810"/>
        <n v="7630"/>
        <n v="7590"/>
        <n v="7530"/>
        <n v="7470"/>
        <n v="7410"/>
        <n v="7380"/>
        <n v="7370"/>
        <n v="7320"/>
        <n v="7210"/>
        <n v="7090"/>
        <n v="7060"/>
        <n v="6960"/>
        <n v="6890"/>
        <n v="6870"/>
        <n v="6860"/>
        <n v="6830"/>
        <n v="6810"/>
        <n v="6760"/>
        <n v="6620"/>
        <n v="6550"/>
        <n v="6450"/>
        <n v="6400"/>
        <n v="6360"/>
        <n v="6350"/>
        <n v="6250"/>
        <n v="6180"/>
        <n v="6100"/>
        <n v="6030"/>
        <n v="6010"/>
        <n v="5980"/>
        <n v="5970"/>
        <n v="5940"/>
        <n v="5800"/>
        <n v="5780"/>
        <n v="5740"/>
        <n v="5710"/>
        <n v="5670"/>
        <n v="5620"/>
        <n v="5530"/>
        <n v="5520"/>
        <n v="5460"/>
        <n v="5420"/>
        <n v="5390"/>
        <n v="5360"/>
        <n v="5340"/>
        <n v="5320"/>
        <n v="5230"/>
        <n v="5120"/>
        <n v="5090"/>
        <n v="5070"/>
        <n v="5050"/>
        <n v="5030"/>
        <n v="4950"/>
        <n v="4890"/>
        <n v="4880"/>
        <n v="4770"/>
        <n v="4740"/>
        <n v="4710"/>
        <n v="4690"/>
        <n v="4670"/>
        <n v="4510"/>
        <n v="4450"/>
        <n v="4380"/>
        <n v="4340"/>
        <n v="4290"/>
        <n v="4220"/>
        <n v="4190"/>
        <n v="4100"/>
        <n v="4090"/>
        <n v="4050"/>
        <n v="4040"/>
        <n v="4000"/>
        <n v="3910"/>
        <n v="3840"/>
        <n v="3830"/>
        <n v="3820"/>
        <n v="3800"/>
        <n v="3790"/>
        <n v="3780"/>
        <n v="3720"/>
        <n v="3700"/>
        <n v="3690"/>
        <n v="3680"/>
        <n v="3610"/>
        <n v="3550"/>
        <n v="3480"/>
        <n v="3470"/>
        <n v="3440"/>
        <n v="3420"/>
        <n v="3370"/>
        <n v="3290"/>
        <n v="3270"/>
        <n v="3250"/>
        <n v="3240"/>
        <n v="3220"/>
        <n v="3210"/>
        <n v="3160"/>
        <n v="3140"/>
        <n v="3110"/>
        <n v="3090"/>
        <n v="3030"/>
        <n v="3010"/>
        <n v="2980"/>
        <n v="2950"/>
        <n v="2880"/>
        <n v="2870"/>
        <n v="2850"/>
        <n v="2830"/>
        <n v="2770"/>
        <n v="2760"/>
        <n v="2720"/>
        <n v="2710"/>
        <n v="2690"/>
        <n v="2680"/>
        <n v="2650"/>
        <n v="2630"/>
        <n v="2600"/>
        <n v="2560"/>
        <n v="2530"/>
        <n v="2510"/>
        <n v="2470"/>
        <n v="2440"/>
        <n v="2430"/>
        <n v="2420"/>
        <n v="2350"/>
        <n v="2330"/>
        <n v="2310"/>
        <n v="2270"/>
        <n v="2250"/>
        <n v="2200"/>
        <n v="2190"/>
        <n v="2180"/>
        <n v="2160"/>
        <n v="2150"/>
        <n v="2140"/>
        <n v="2120"/>
        <n v="2090"/>
        <n v="2080"/>
        <n v="2070"/>
        <n v="1980"/>
        <n v="1970"/>
        <n v="1950"/>
        <n v="1940"/>
        <n v="1930"/>
        <n v="1910"/>
        <n v="1900"/>
        <n v="1890"/>
        <n v="1870"/>
        <n v="1850"/>
        <n v="1840"/>
        <n v="1820"/>
        <n v="1810"/>
        <n v="1790"/>
        <n v="1780"/>
        <n v="1770"/>
        <n v="1760"/>
        <n v="1750"/>
        <n v="1740"/>
        <n v="1730"/>
        <n v="1700"/>
        <n v="1690"/>
        <n v="1670"/>
        <n v="1650"/>
        <n v="1620"/>
        <n v="1600"/>
        <n v="1590"/>
        <n v="1580"/>
        <n v="1560"/>
        <n v="1550"/>
        <n v="1540"/>
        <n v="1510"/>
        <n v="1500"/>
        <n v="1490"/>
        <n v="1450"/>
        <n v="1440"/>
        <n v="1430"/>
        <n v="1420"/>
        <n v="1410"/>
        <n v="1400"/>
        <n v="1390"/>
        <n v="1380"/>
        <n v="1350"/>
        <n v="1340"/>
        <n v="1330"/>
        <n v="1290"/>
        <n v="1280"/>
        <n v="1270"/>
        <n v="1260"/>
        <n v="1240"/>
        <n v="1230"/>
        <n v="1210"/>
        <n v="1200"/>
        <n v="1190"/>
        <n v="1180"/>
        <n v="1170"/>
        <n v="1160"/>
        <n v="1150"/>
        <n v="1140"/>
        <n v="1130"/>
        <n v="1120"/>
        <n v="1110"/>
        <n v="1090"/>
        <n v="1080"/>
        <n v="1060"/>
        <n v="1040"/>
        <n v="1030"/>
        <n v="1020"/>
        <n v="1010"/>
        <n v="1000"/>
        <n v="993.47"/>
        <n v="988.17"/>
        <n v="987.72"/>
        <n v="979.45"/>
        <n v="972.51"/>
        <n v="971.57"/>
        <n v="967.61"/>
        <n v="966.94"/>
        <n v="955.2"/>
        <n v="953.42"/>
        <n v="952.13"/>
        <n v="944.61"/>
        <n v="939.41"/>
        <n v="937.6"/>
        <n v="930.93"/>
        <n v="928.25"/>
        <n v="927.53"/>
        <n v="927.23"/>
        <n v="917.72"/>
        <n v="913.94"/>
        <n v="908.57"/>
        <n v="907.6"/>
        <n v="903.91"/>
        <n v="903.23"/>
        <n v="899.17"/>
        <n v="896.12"/>
        <n v="895.65"/>
        <n v="894.93"/>
        <n v="893.56"/>
        <n v="887.14"/>
        <n v="883.31"/>
        <n v="878.35"/>
        <n v="870.79"/>
        <n v="868.5"/>
        <n v="863.95"/>
        <n v="855.89"/>
        <n v="848.87"/>
        <n v="844.49"/>
        <n v="842.51"/>
        <n v="842.12"/>
        <n v="837.04"/>
        <n v="836.57"/>
        <n v="833.31"/>
        <n v="831.78"/>
        <n v="831.17"/>
        <n v="827.46"/>
        <n v="825.7"/>
        <n v="825.53"/>
        <n v="822.61"/>
        <n v="821.24"/>
        <n v="820.98"/>
        <n v="819.81"/>
        <n v="815.41"/>
        <n v="811.47"/>
        <n v="810.47"/>
        <n v="809.46"/>
        <n v="800.63"/>
        <n v="798.5"/>
        <n v="797.67"/>
        <n v="792.91"/>
        <n v="791.56"/>
        <n v="788.43"/>
        <n v="788.28"/>
        <n v="786.75"/>
        <n v="783.84"/>
        <n v="778.26"/>
        <n v="770.58"/>
        <n v="769.31"/>
        <n v="767.8"/>
        <n v="760.34"/>
        <n v="759.41"/>
        <n v="758.18"/>
        <n v="756.45"/>
        <n v="750.11"/>
        <n v="744.39"/>
        <n v="742.21"/>
        <n v="738.47"/>
        <n v="735.24"/>
        <n v="733.02"/>
        <n v="729.75"/>
        <n v="728.47"/>
        <n v="720.83"/>
        <n v="718.58"/>
        <n v="718.03"/>
        <n v="716.74"/>
        <n v="710.68"/>
        <n v="710.08"/>
        <n v="705"/>
        <n v="703.58"/>
        <n v="703.54"/>
        <n v="689.06"/>
        <n v="688.49"/>
        <n v="687.75"/>
        <n v="687.05"/>
        <n v="681.71"/>
        <n v="680.45"/>
        <n v="675.62"/>
        <n v="660.53"/>
        <n v="655.82"/>
        <n v="655.42"/>
        <n v="643.5"/>
        <n v="642.80999999999995"/>
        <n v="640.57000000000005"/>
        <n v="639.87"/>
        <n v="638.61"/>
        <n v="638.28"/>
        <n v="637.28"/>
        <n v="634.92999999999995"/>
        <n v="634.01"/>
        <n v="632.41"/>
        <n v="622.29999999999995"/>
        <n v="620.86"/>
        <n v="620.54"/>
        <n v="619.76"/>
        <n v="619.41999999999996"/>
        <n v="615.07000000000005"/>
        <n v="610.98"/>
        <n v="609.76"/>
        <n v="607.41999999999996"/>
        <n v="599.11"/>
        <n v="597.67999999999995"/>
        <n v="595.47"/>
        <n v="583.07000000000005"/>
        <n v="574.36"/>
        <n v="572.89"/>
        <n v="572.03"/>
        <n v="567.07000000000005"/>
        <n v="563.32000000000005"/>
        <n v="562.29"/>
        <n v="558.19000000000005"/>
        <n v="557.25"/>
        <n v="555.64"/>
        <n v="554.54"/>
        <n v="551.94000000000005"/>
        <n v="550.02"/>
        <n v="549.16"/>
        <n v="545.26"/>
        <n v="543.66"/>
        <n v="543.37"/>
        <n v="541.73"/>
        <n v="540.19000000000005"/>
        <n v="538.33000000000004"/>
        <n v="534.41999999999996"/>
        <n v="534.34"/>
        <n v="533.22"/>
        <n v="529.41999999999996"/>
        <n v="524.51"/>
        <n v="523.95000000000005"/>
        <n v="520.91999999999996"/>
        <n v="518.36"/>
        <n v="515.07000000000005"/>
        <n v="514.91"/>
        <n v="513.51"/>
        <n v="510.72"/>
        <n v="506.44"/>
        <n v="506.43"/>
        <n v="502.92"/>
        <n v="501.14"/>
        <n v="498.01"/>
        <n v="497.15"/>
        <n v="494.2"/>
        <n v="492.79"/>
        <n v="492.72"/>
        <n v="492.53"/>
        <n v="490.09"/>
        <n v="484.82"/>
        <n v="483.53"/>
        <n v="481.61"/>
        <n v="479.75"/>
        <n v="479.34"/>
        <n v="478.95"/>
        <n v="477.74"/>
        <n v="476.79"/>
        <n v="476.75"/>
        <n v="472.26"/>
        <n v="471.5"/>
        <n v="471.04"/>
        <n v="470.5"/>
        <n v="464.9"/>
        <n v="462.99"/>
        <n v="462.54"/>
        <n v="462.19"/>
        <n v="456.15"/>
        <n v="455.97"/>
        <n v="448.79"/>
        <n v="439.86"/>
        <n v="438.77"/>
        <n v="436.42"/>
        <n v="436.06"/>
        <n v="435.58"/>
        <n v="435.4"/>
        <n v="434.4"/>
        <n v="434.02"/>
        <n v="433.43"/>
        <n v="432.13"/>
        <n v="430.25"/>
        <n v="428.29"/>
        <n v="427.16"/>
        <n v="425.56"/>
        <n v="425.18"/>
        <n v="420.28"/>
        <n v="416.85"/>
        <n v="416.6"/>
        <n v="416.5"/>
        <n v="415.32"/>
        <n v="414.31"/>
        <n v="413.87"/>
        <n v="410.38"/>
        <n v="409.97"/>
        <n v="409.4"/>
        <n v="408.7"/>
        <n v="406.31"/>
        <n v="405.44"/>
        <n v="403.2"/>
        <n v="402.19"/>
        <n v="402.15"/>
        <n v="400.29"/>
        <n v="400.07"/>
        <n v="395.9"/>
        <n v="395.48"/>
        <n v="395.1"/>
        <n v="393.69"/>
        <n v="392.59"/>
        <n v="390.23"/>
        <n v="387.73"/>
        <n v="386.26"/>
        <n v="384.35"/>
        <n v="382.46"/>
        <n v="382.04"/>
        <n v="380.58"/>
        <n v="380.34"/>
        <n v="379.42"/>
        <n v="378.96"/>
        <n v="378.88"/>
        <n v="378.46"/>
        <n v="378.09"/>
        <n v="377.96"/>
        <n v="376.8"/>
        <n v="372.1"/>
        <n v="370.9"/>
        <n v="370.1"/>
        <n v="369.43"/>
        <n v="369.04"/>
        <n v="368.33"/>
        <n v="368.29"/>
        <n v="365.37"/>
        <n v="363.04"/>
        <n v="362.16"/>
        <n v="361.43"/>
        <n v="358.51"/>
        <n v="352.61"/>
        <n v="350.74"/>
        <n v="350.58"/>
        <n v="347.44"/>
        <n v="346.64"/>
        <n v="345.76"/>
        <n v="345.25"/>
        <n v="343.85"/>
        <n v="343.68"/>
        <n v="342.29"/>
        <n v="338.39"/>
        <n v="337.96"/>
        <n v="336.85"/>
        <n v="336.68"/>
        <n v="336.04"/>
        <n v="334.77"/>
        <n v="330.46"/>
        <n v="330.37"/>
        <n v="329.84"/>
        <n v="329.17"/>
        <n v="329.08"/>
        <n v="324.16000000000003"/>
        <n v="323.33999999999997"/>
        <n v="322.67"/>
        <n v="322.20999999999998"/>
        <n v="322.10000000000002"/>
        <n v="321.52999999999997"/>
        <n v="318.45"/>
        <n v="317.11"/>
        <n v="317.08"/>
        <n v="316.33999999999997"/>
        <n v="315.8"/>
        <n v="312.51"/>
        <n v="310.87"/>
        <n v="310.36"/>
        <n v="310.31"/>
        <n v="308.08"/>
        <n v="306.41000000000003"/>
        <n v="305"/>
        <n v="304.08"/>
        <n v="303.5"/>
        <n v="302.52"/>
        <n v="299.08"/>
        <n v="298.3"/>
        <n v="292.81"/>
        <n v="292.12"/>
        <n v="291.81"/>
        <n v="291.7"/>
        <n v="290.60000000000002"/>
        <n v="285.81"/>
        <n v="284.20999999999998"/>
        <n v="283.63"/>
        <n v="280.52999999999997"/>
        <n v="280.2"/>
        <n v="278.14"/>
        <n v="276.97000000000003"/>
        <n v="274.70999999999998"/>
        <n v="273.98"/>
        <n v="268.89999999999998"/>
        <n v="268.63"/>
        <n v="267.83"/>
        <n v="263.93"/>
        <n v="262.41000000000003"/>
        <n v="262.14"/>
        <n v="260.33"/>
        <n v="259.10000000000002"/>
        <n v="258.52999999999997"/>
        <n v="258.07"/>
        <n v="257.12"/>
        <n v="255.07"/>
        <n v="253.96"/>
        <n v="253.37"/>
        <n v="253.08"/>
        <n v="250.66"/>
        <n v="250.53"/>
        <n v="250.46"/>
        <n v="248.62"/>
        <n v="247.01"/>
        <n v="246.71"/>
        <n v="245.52"/>
        <n v="244.25"/>
        <n v="241.48"/>
        <n v="241.06"/>
        <n v="240.43"/>
        <n v="239.74"/>
        <n v="239.37"/>
        <n v="238.77"/>
        <n v="238.18"/>
        <n v="236.3"/>
        <n v="235.95"/>
        <n v="235.76"/>
        <n v="235.01"/>
        <n v="234.4"/>
        <n v="232.97"/>
        <n v="230.74"/>
        <n v="230.13"/>
        <n v="229.15"/>
        <n v="228.89"/>
        <n v="228.88"/>
        <n v="227.25"/>
        <n v="225.14"/>
        <n v="224.09"/>
        <n v="223.73"/>
        <n v="223.52"/>
        <n v="222.78"/>
        <n v="222"/>
        <n v="220.75"/>
        <n v="220.24"/>
        <n v="219.27"/>
        <n v="218.41"/>
        <n v="217.91"/>
        <n v="217.46"/>
        <n v="216.54"/>
        <n v="214.44"/>
        <n v="213.49"/>
        <n v="213.42"/>
        <n v="212.84"/>
        <n v="212.38"/>
        <n v="211.68"/>
        <n v="210.61"/>
        <n v="210.52"/>
        <n v="210.16"/>
        <n v="209.58"/>
        <n v="209.08"/>
        <n v="208.73"/>
        <n v="208.6"/>
        <n v="208.08"/>
        <n v="207.69"/>
        <n v="207.32"/>
        <n v="207.2"/>
        <n v="206.89"/>
        <n v="206.8"/>
        <n v="206.42"/>
        <n v="205.92"/>
        <n v="202.22"/>
        <n v="201.99"/>
        <n v="201.17"/>
        <n v="200.31"/>
        <n v="200.17"/>
        <n v="199.88"/>
        <n v="198.91"/>
        <n v="198.51"/>
        <n v="196.76"/>
        <n v="196.47"/>
        <n v="195.78"/>
        <n v="195.59"/>
        <n v="193.48"/>
        <n v="192.77"/>
        <n v="192.73"/>
        <n v="192.59"/>
        <n v="192.26"/>
        <n v="192.13"/>
        <n v="191.78"/>
        <n v="191.65"/>
        <n v="191.52"/>
        <n v="190.87"/>
        <n v="190.69"/>
        <n v="189.41"/>
        <n v="186.85"/>
        <n v="186.07"/>
        <n v="185.68"/>
        <n v="185.11"/>
        <n v="185.08"/>
        <n v="185.03"/>
        <n v="185.01"/>
        <n v="184.19"/>
        <n v="182.59"/>
        <n v="181.86"/>
        <n v="180.76"/>
        <n v="178.53"/>
        <n v="178.16"/>
        <n v="177.94"/>
        <n v="177.78"/>
        <n v="177.66"/>
        <n v="176.93"/>
        <n v="176.68"/>
        <n v="176.04"/>
        <n v="175.77"/>
        <n v="174.07"/>
        <n v="173.91"/>
        <n v="173.51"/>
        <n v="173.1"/>
        <n v="172.9"/>
        <n v="172.33"/>
        <n v="170.7"/>
        <n v="170.27"/>
        <n v="170.06"/>
        <n v="169.36"/>
        <n v="168.67"/>
        <n v="168.06"/>
        <n v="167.79"/>
        <n v="166.08"/>
        <n v="165.99"/>
        <n v="165.16"/>
        <n v="164.71"/>
        <n v="163.66999999999999"/>
        <n v="163.16"/>
        <n v="162.94"/>
        <n v="162.22999999999999"/>
        <n v="161.93"/>
        <n v="161.84"/>
        <n v="160.9"/>
        <n v="160.38999999999999"/>
        <n v="160.09"/>
        <n v="159.13"/>
        <n v="158.33000000000001"/>
        <n v="157.38999999999999"/>
        <n v="156.63999999999999"/>
        <n v="155.49"/>
        <n v="155.36000000000001"/>
        <n v="155.02000000000001"/>
        <n v="154.03"/>
        <n v="153.71"/>
        <n v="153.61000000000001"/>
        <n v="153.07"/>
        <n v="151.56"/>
        <n v="151.43"/>
        <n v="151"/>
        <n v="150.38999999999999"/>
        <n v="149.18"/>
        <n v="148.69999999999999"/>
        <n v="148.38"/>
        <n v="147.9"/>
        <n v="147.83000000000001"/>
        <n v="147.38999999999999"/>
        <n v="147.24"/>
        <n v="146.91"/>
        <n v="145.38"/>
        <n v="143.69"/>
        <n v="143.61000000000001"/>
        <n v="143.05000000000001"/>
        <n v="142.84"/>
        <n v="142.72999999999999"/>
        <n v="142.66"/>
        <n v="142.63999999999999"/>
        <n v="142.57"/>
        <n v="142.52000000000001"/>
        <n v="142"/>
        <n v="141.82"/>
        <n v="140.84"/>
        <n v="140.81"/>
        <n v="140.47"/>
        <n v="140.11000000000001"/>
        <n v="140.08000000000001"/>
        <n v="139.66999999999999"/>
        <n v="139.63999999999999"/>
        <n v="138.76"/>
        <n v="138.53"/>
        <n v="138.34"/>
        <n v="137.84"/>
        <n v="136.72999999999999"/>
        <n v="136.66"/>
        <n v="136.57"/>
        <n v="136.53"/>
        <n v="136.12"/>
        <n v="135.63"/>
        <n v="135.5"/>
        <n v="134.19999999999999"/>
        <n v="133.51"/>
        <n v="133.43"/>
        <n v="133.06"/>
        <n v="132.97999999999999"/>
        <n v="131.77000000000001"/>
        <n v="131.52000000000001"/>
        <n v="130.75"/>
        <n v="130.09"/>
        <n v="130.03"/>
        <n v="129.77000000000001"/>
        <n v="129.72"/>
        <n v="129.34"/>
        <n v="129.24"/>
        <n v="129.07"/>
        <n v="129"/>
        <n v="128.97999999999999"/>
        <n v="128.88999999999999"/>
        <n v="128.69999999999999"/>
        <n v="128.6"/>
        <n v="128.55000000000001"/>
        <n v="127.98"/>
        <n v="127.1"/>
        <n v="126.93"/>
        <n v="126.19"/>
        <n v="125.73"/>
        <n v="125.51"/>
        <n v="125.4"/>
        <n v="125.11"/>
        <n v="124.87"/>
        <n v="124.68"/>
        <n v="124.65"/>
        <n v="124.64"/>
        <n v="124.46"/>
        <n v="124.39"/>
        <n v="124.29"/>
        <n v="123.72"/>
        <n v="123.64"/>
        <n v="123.03"/>
        <n v="122.64"/>
        <n v="120.86"/>
        <n v="120.83"/>
        <n v="120.45"/>
        <n v="119.98"/>
        <n v="119.51"/>
        <n v="119.4"/>
        <n v="118.7"/>
        <n v="118.32"/>
        <n v="118.31"/>
        <n v="117.93"/>
        <n v="117.5"/>
        <n v="117.05"/>
        <n v="117"/>
        <n v="116.91"/>
        <n v="116.5"/>
        <n v="116.14"/>
        <n v="115.22"/>
        <n v="115.08"/>
        <n v="114.44"/>
        <n v="114.19"/>
        <n v="114"/>
        <n v="113.02"/>
        <n v="112.7"/>
        <n v="112.34"/>
        <n v="112.23"/>
        <n v="112.09"/>
        <n v="111.86"/>
        <n v="110.92"/>
        <n v="110.5"/>
        <n v="109.98"/>
        <n v="109.68"/>
        <n v="109.06"/>
        <n v="108.34"/>
        <n v="108.17"/>
        <n v="107.88"/>
        <n v="107.67"/>
        <n v="107.16"/>
        <n v="106.64"/>
        <n v="106.06"/>
        <n v="105.66"/>
        <n v="105.2"/>
        <n v="104.94"/>
        <n v="103.9"/>
        <n v="103.87"/>
        <n v="102.96"/>
        <n v="102.74"/>
        <n v="102.46"/>
        <n v="102.44"/>
        <n v="102.32"/>
        <n v="101.73"/>
        <n v="101.4"/>
        <n v="100.69"/>
        <n v="100.61"/>
        <n v="100.6"/>
        <n v="99.78"/>
        <n v="99.6"/>
        <n v="98.72"/>
        <n v="98.27"/>
        <n v="98.16"/>
        <n v="97.11"/>
        <n v="97.07"/>
        <n v="97.04"/>
        <n v="96.54"/>
        <n v="95.98"/>
        <n v="95.74"/>
        <n v="95.67"/>
        <n v="94.9"/>
        <n v="94.54"/>
        <n v="94.49"/>
        <n v="94.38"/>
        <n v="94.17"/>
        <n v="94.08"/>
        <n v="93.94"/>
        <n v="93.47"/>
        <n v="93.38"/>
        <n v="93.31"/>
        <n v="93.18"/>
        <n v="92.93"/>
        <n v="92.91"/>
        <n v="92.86"/>
        <n v="92.43"/>
        <n v="92.14"/>
        <n v="92.13"/>
        <n v="91.81"/>
        <n v="91.65"/>
        <n v="91.63"/>
        <n v="91.07"/>
        <n v="90.15"/>
        <n v="89.85"/>
        <n v="89.72"/>
        <n v="89.66"/>
        <n v="88.87"/>
        <n v="88.71"/>
        <n v="88.45"/>
        <n v="87.96"/>
        <n v="87.72"/>
        <n v="87.69"/>
        <n v="87"/>
        <n v="86.7"/>
        <n v="86.35"/>
        <n v="86.15"/>
        <n v="86.02"/>
        <n v="85.91"/>
        <n v="84.17"/>
        <n v="84.15"/>
        <n v="84.09"/>
        <n v="84"/>
        <n v="83.91"/>
        <n v="83.68"/>
        <n v="83.32"/>
        <n v="83.1"/>
        <n v="82.91"/>
        <n v="82.73"/>
        <n v="82.68"/>
        <n v="82.49"/>
        <n v="82"/>
        <n v="81.75"/>
        <n v="81.73"/>
        <n v="81.650000000000006"/>
        <n v="81.62"/>
        <n v="81.5"/>
        <n v="80.67"/>
        <n v="80.5"/>
        <n v="80.239999999999995"/>
        <n v="79.98"/>
        <n v="79"/>
        <n v="78.569999999999993"/>
        <n v="78.12"/>
        <n v="78.06"/>
        <n v="78.010000000000005"/>
        <n v="77.98"/>
        <n v="77.42"/>
        <n v="77.34"/>
        <n v="77.260000000000005"/>
        <n v="77.02"/>
        <n v="76.95"/>
        <n v="76.86"/>
        <n v="76.63"/>
        <n v="76.510000000000005"/>
        <n v="76.31"/>
        <n v="76.28"/>
        <n v="76.23"/>
        <n v="76.14"/>
        <n v="75.64"/>
        <n v="75.28"/>
        <n v="74.72"/>
        <n v="74.12"/>
        <n v="73.92"/>
        <n v="73.66"/>
        <n v="73.599999999999994"/>
        <n v="72.88"/>
        <n v="72.86"/>
        <n v="72.84"/>
        <n v="72.569999999999993"/>
        <n v="72.3"/>
        <n v="72.08"/>
        <n v="71.95"/>
        <n v="71.72"/>
        <n v="71.47"/>
        <n v="71.400000000000006"/>
        <n v="71.13"/>
        <n v="70.75"/>
        <n v="70.66"/>
        <n v="70.56"/>
        <n v="70.11"/>
        <n v="69.650000000000006"/>
        <n v="69.12"/>
        <n v="69.069999999999993"/>
        <n v="69.03"/>
        <n v="69.02"/>
        <n v="68.67"/>
        <n v="68.400000000000006"/>
        <n v="68.03"/>
        <n v="67.760000000000005"/>
        <n v="67.709999999999994"/>
        <n v="67.650000000000006"/>
        <n v="67.150000000000006"/>
        <n v="66.88"/>
        <n v="66.08"/>
        <n v="65.64"/>
        <n v="65.39"/>
        <n v="65.349999999999994"/>
        <n v="65.08"/>
        <n v="64.55"/>
        <n v="64.5"/>
        <n v="64.08"/>
        <n v="63.77"/>
        <n v="63.22"/>
        <n v="62.78"/>
        <n v="62.56"/>
        <n v="61.91"/>
        <n v="61.68"/>
        <n v="61.66"/>
        <n v="61.52"/>
        <n v="61.51"/>
        <n v="61.43"/>
        <n v="61.04"/>
        <n v="60.89"/>
        <n v="60.71"/>
        <n v="60.6"/>
        <n v="60.42"/>
        <n v="60.4"/>
        <n v="60.36"/>
        <n v="60.3"/>
        <n v="60.09"/>
        <n v="59.38"/>
        <n v="59.09"/>
        <n v="58.57"/>
        <n v="58.48"/>
        <n v="58.2"/>
        <n v="57.82"/>
        <n v="57.75"/>
        <n v="57.33"/>
        <n v="57.1"/>
        <n v="56.89"/>
        <n v="56.8"/>
        <n v="56.5"/>
        <n v="56.27"/>
        <n v="56.21"/>
        <n v="56.09"/>
        <n v="56.06"/>
        <n v="55.81"/>
        <n v="55.67"/>
        <n v="55.63"/>
        <n v="55.36"/>
        <n v="54.9"/>
        <n v="54.79"/>
        <n v="54.38"/>
        <n v="53.24"/>
        <n v="53.17"/>
        <n v="52.76"/>
        <n v="52.73"/>
        <n v="52.7"/>
        <n v="52.46"/>
        <n v="52.4"/>
        <n v="52.38"/>
        <n v="52.29"/>
        <n v="52.02"/>
        <n v="51.32"/>
        <n v="51.27"/>
        <n v="51.21"/>
        <n v="50.93"/>
        <n v="50.8"/>
        <n v="50.29"/>
        <n v="50.1"/>
        <n v="50.09"/>
        <n v="49.68"/>
        <n v="49.65"/>
        <n v="49.64"/>
        <n v="49.44"/>
        <n v="49.38"/>
        <n v="49.28"/>
        <n v="49.27"/>
        <n v="49.17"/>
        <n v="49.08"/>
        <n v="48.67"/>
        <n v="48.48"/>
        <n v="48.42"/>
        <n v="48.41"/>
        <n v="48.19"/>
        <n v="48.05"/>
        <n v="48.02"/>
        <n v="47.94"/>
        <n v="47.84"/>
        <n v="47.63"/>
        <n v="47.46"/>
        <n v="47.27"/>
        <n v="47.25"/>
        <n v="46.79"/>
        <n v="46.67"/>
        <n v="46.65"/>
        <n v="46.53"/>
        <n v="46.4"/>
        <n v="46.26"/>
        <n v="46.21"/>
        <n v="45.56"/>
        <n v="45.34"/>
        <n v="45.3"/>
        <n v="44.83"/>
        <n v="44.66"/>
        <n v="44.39"/>
        <n v="44.15"/>
        <n v="44.05"/>
        <n v="43.87"/>
        <n v="43.58"/>
        <n v="43.46"/>
        <n v="43.45"/>
        <n v="43.41"/>
        <n v="43.4"/>
        <n v="43.22"/>
        <n v="43.05"/>
        <n v="42.72"/>
        <n v="42.71"/>
        <n v="42.61"/>
        <n v="42.43"/>
        <n v="42.39"/>
        <n v="42.15"/>
        <n v="41.92"/>
        <n v="41.74"/>
        <n v="41.63"/>
        <n v="41.62"/>
        <n v="41.44"/>
        <n v="41.37"/>
        <n v="41.3"/>
        <n v="41.25"/>
        <n v="41.17"/>
        <n v="40.96"/>
        <n v="40.880000000000003"/>
        <n v="40.770000000000003"/>
        <n v="40.5"/>
        <n v="40.19"/>
        <n v="39.92"/>
        <n v="39.85"/>
        <n v="39.729999999999997"/>
        <n v="39.46"/>
        <n v="39.39"/>
        <n v="39.200000000000003"/>
        <n v="39.18"/>
        <n v="39.03"/>
        <n v="38.83"/>
        <n v="38.590000000000003"/>
        <n v="38.57"/>
        <n v="38.56"/>
        <n v="38.479999999999997"/>
        <n v="38.31"/>
        <n v="38.29"/>
        <n v="38.03"/>
        <n v="38.020000000000003"/>
        <n v="37.99"/>
        <n v="37.94"/>
        <n v="37.9"/>
        <n v="37.71"/>
        <n v="37.68"/>
        <n v="37.32"/>
        <n v="37.28"/>
        <n v="37.26"/>
        <n v="37.19"/>
        <n v="36.880000000000003"/>
        <n v="36.82"/>
        <n v="36.770000000000003"/>
        <n v="36.54"/>
        <n v="36.409999999999997"/>
        <n v="36.33"/>
        <n v="36.22"/>
        <n v="36.17"/>
        <n v="36.130000000000003"/>
        <n v="36.1"/>
        <n v="35.69"/>
        <n v="35.590000000000003"/>
        <n v="35.409999999999997"/>
        <n v="35.28"/>
        <n v="35.270000000000003"/>
        <n v="35.26"/>
        <n v="35.19"/>
        <n v="35.119999999999997"/>
        <n v="35.020000000000003"/>
        <n v="34.979999999999997"/>
        <n v="34.869999999999997"/>
        <n v="34.270000000000003"/>
        <n v="34.229999999999997"/>
        <n v="33.99"/>
        <n v="33.83"/>
        <n v="33.82"/>
        <n v="33.79"/>
        <n v="33.76"/>
        <n v="33.68"/>
        <n v="33.659999999999997"/>
        <n v="33.64"/>
        <n v="33.57"/>
        <n v="33.42"/>
        <n v="32.93"/>
        <n v="32.909999999999997"/>
        <n v="32.89"/>
        <n v="32.729999999999997"/>
        <n v="32.35"/>
        <n v="32.24"/>
        <n v="32.159999999999997"/>
        <n v="32.04"/>
        <n v="32.03"/>
        <n v="31.9"/>
        <n v="31.82"/>
        <n v="31.8"/>
        <n v="31.77"/>
        <n v="31.73"/>
        <n v="31.64"/>
        <n v="31.62"/>
        <n v="31.43"/>
        <n v="31.4"/>
        <n v="31.17"/>
        <n v="31.05"/>
        <n v="30.74"/>
        <n v="30.72"/>
        <n v="30.37"/>
        <n v="30.12"/>
        <n v="29.97"/>
        <n v="29.95"/>
        <n v="29.81"/>
        <n v="29.76"/>
        <n v="29.71"/>
        <n v="29.7"/>
        <n v="29.55"/>
        <n v="29.53"/>
        <n v="29.38"/>
        <n v="28.98"/>
        <n v="28.9"/>
        <n v="28.45"/>
        <n v="28.4"/>
        <n v="28.32"/>
        <n v="28.27"/>
        <n v="28.25"/>
        <n v="28.15"/>
        <n v="28.13"/>
        <n v="27.94"/>
        <n v="27.88"/>
        <n v="27.74"/>
        <n v="27.58"/>
        <n v="27.35"/>
        <n v="27.23"/>
        <n v="27.1"/>
        <n v="27.09"/>
        <n v="26.95"/>
        <n v="26.93"/>
        <n v="26.82"/>
        <n v="26.72"/>
        <n v="26.68"/>
        <n v="26.52"/>
        <n v="26.45"/>
        <n v="26.41"/>
        <n v="26.38"/>
        <n v="26.06"/>
        <n v="26.03"/>
        <n v="26"/>
        <n v="25.84"/>
        <n v="25.8"/>
        <n v="25.71"/>
        <n v="25.68"/>
        <n v="25.53"/>
        <n v="25.52"/>
        <n v="25.41"/>
        <n v="25.37"/>
        <n v="25.36"/>
        <n v="25.32"/>
        <n v="25.26"/>
        <n v="25.23"/>
        <n v="25.21"/>
        <n v="25.19"/>
        <n v="24.96"/>
        <n v="24.87"/>
        <n v="24.81"/>
        <n v="24.68"/>
        <n v="24.65"/>
        <n v="24.58"/>
        <n v="24.46"/>
        <n v="24.43"/>
        <n v="24.23"/>
        <n v="24.13"/>
        <n v="24.11"/>
        <n v="23.87"/>
        <n v="23.83"/>
        <n v="23.8"/>
        <n v="23.69"/>
        <n v="23.64"/>
        <n v="23.62"/>
        <n v="23.49"/>
        <n v="23.46"/>
        <n v="23.39"/>
        <n v="23.27"/>
        <n v="23.13"/>
        <n v="23.1"/>
        <n v="23.06"/>
        <n v="22.99"/>
        <n v="22.97"/>
        <n v="22.8"/>
        <n v="22.77"/>
        <n v="22.76"/>
        <n v="22.73"/>
        <n v="22.54"/>
        <n v="22.48"/>
        <n v="22.41"/>
        <n v="22.4"/>
        <n v="22.39"/>
        <n v="22.37"/>
        <n v="22.33"/>
        <n v="22.06"/>
        <n v="21.99"/>
        <n v="21.95"/>
        <n v="21.89"/>
        <n v="21.83"/>
        <n v="21.69"/>
        <n v="21.62"/>
        <n v="21.55"/>
        <n v="21.48"/>
        <n v="21.47"/>
        <n v="21.45"/>
        <n v="21.33"/>
        <n v="21.26"/>
        <n v="21.13"/>
        <n v="21.1"/>
        <n v="20.94"/>
        <n v="20.83"/>
        <n v="20.82"/>
        <n v="20.77"/>
        <n v="20.76"/>
        <n v="20.69"/>
        <n v="20.62"/>
        <n v="20.59"/>
        <n v="20.54"/>
        <n v="20.36"/>
        <n v="20.29"/>
        <n v="20.27"/>
        <n v="20.239999999999998"/>
        <n v="20.18"/>
        <n v="20.170000000000002"/>
        <n v="20.16"/>
        <n v="20.12"/>
        <n v="20.059999999999999"/>
        <n v="19.93"/>
        <n v="19.600000000000001"/>
        <n v="19.579999999999998"/>
        <n v="19.510000000000002"/>
        <n v="19.34"/>
        <n v="19.079999999999998"/>
        <n v="18.97"/>
        <n v="18.920000000000002"/>
        <n v="18.899999999999999"/>
        <n v="18.89"/>
        <n v="18.87"/>
        <n v="18.739999999999998"/>
        <n v="18.72"/>
        <n v="18.649999999999999"/>
        <n v="18.579999999999998"/>
        <n v="18.510000000000002"/>
        <n v="18.350000000000001"/>
        <n v="18.29"/>
        <n v="18.260000000000002"/>
        <n v="18.25"/>
        <n v="18.23"/>
        <n v="18.079999999999998"/>
        <n v="18"/>
        <n v="17.98"/>
        <n v="17.940000000000001"/>
        <n v="17.87"/>
        <n v="17.84"/>
        <n v="17.72"/>
        <n v="17.71"/>
        <n v="17.54"/>
        <n v="17.52"/>
        <n v="17.5"/>
        <n v="17.399999999999999"/>
        <n v="17.38"/>
        <n v="17.11"/>
        <n v="17.100000000000001"/>
        <n v="17.079999999999998"/>
        <n v="17.059999999999999"/>
        <n v="17.05"/>
        <n v="17"/>
        <n v="16.940000000000001"/>
        <n v="16.899999999999999"/>
        <n v="16.78"/>
        <n v="16.760000000000002"/>
        <n v="16.670000000000002"/>
        <n v="16.64"/>
        <n v="16.61"/>
        <n v="16.52"/>
        <n v="16.510000000000002"/>
        <n v="16.48"/>
        <n v="16.420000000000002"/>
        <n v="16.16"/>
        <n v="16.04"/>
        <n v="16.02"/>
        <n v="16"/>
        <n v="15.95"/>
        <n v="15.93"/>
        <n v="15.89"/>
        <n v="15.71"/>
        <n v="15.7"/>
        <n v="15.66"/>
        <n v="15.62"/>
        <n v="15.57"/>
        <n v="15.56"/>
        <n v="15.53"/>
        <n v="15.41"/>
        <n v="15.37"/>
        <n v="15.35"/>
        <n v="15.18"/>
        <n v="14.96"/>
        <n v="14.85"/>
        <n v="14.68"/>
        <n v="14.55"/>
        <n v="14.42"/>
        <n v="14.31"/>
        <n v="14.1"/>
        <n v="13.91"/>
        <n v="13.9"/>
        <n v="13.87"/>
        <n v="13.86"/>
        <n v="13.59"/>
        <n v="13.55"/>
        <n v="13.51"/>
        <n v="13.44"/>
        <n v="13.43"/>
        <n v="13.39"/>
        <n v="13.36"/>
        <n v="13.29"/>
        <n v="13.21"/>
        <n v="13.14"/>
        <n v="13.09"/>
        <n v="13.02"/>
        <n v="12.99"/>
        <n v="12.98"/>
        <n v="12.91"/>
        <n v="12.9"/>
        <n v="12.86"/>
        <n v="12.84"/>
        <n v="12.83"/>
        <n v="12.82"/>
        <n v="12.74"/>
        <n v="12.65"/>
        <n v="12.44"/>
        <n v="12.2"/>
        <n v="12.14"/>
        <n v="12.11"/>
        <n v="12.1"/>
        <n v="11.98"/>
        <n v="11.95"/>
        <n v="11.88"/>
        <n v="11.78"/>
        <n v="11.65"/>
        <n v="11.62"/>
        <n v="11.58"/>
        <n v="11.43"/>
        <n v="11.39"/>
        <n v="11.31"/>
        <n v="11.1"/>
        <n v="11.07"/>
        <n v="10.98"/>
        <n v="10.92"/>
        <n v="10.88"/>
        <n v="10.85"/>
        <n v="10.84"/>
        <n v="10.77"/>
        <n v="10.69"/>
        <n v="10.64"/>
        <n v="10.56"/>
        <n v="10.55"/>
        <n v="10.5"/>
        <n v="10.45"/>
        <n v="10.39"/>
        <n v="10.29"/>
        <n v="10.23"/>
        <n v="10.07"/>
        <n v="10.050000000000001"/>
        <n v="10.02"/>
        <n v="9.99"/>
        <n v="9.92"/>
        <n v="9.9"/>
        <n v="9.84"/>
        <n v="9.82"/>
        <n v="9.7899999999999991"/>
        <n v="9.7100000000000009"/>
        <n v="9.59"/>
        <n v="9.57"/>
        <n v="9.5500000000000007"/>
        <n v="9.52"/>
        <n v="9.4600000000000009"/>
        <n v="9.4"/>
        <n v="9.35"/>
        <n v="9.25"/>
        <n v="9.23"/>
        <n v="9.2100000000000009"/>
        <n v="9.09"/>
        <n v="8.9600000000000009"/>
        <n v="8.92"/>
        <n v="8.8699999999999992"/>
        <n v="8.7100000000000009"/>
        <n v="8.69"/>
        <n v="8.68"/>
        <n v="8.6300000000000008"/>
        <n v="8.59"/>
        <n v="8.49"/>
        <n v="8.4"/>
        <n v="8.3800000000000008"/>
        <n v="8.36"/>
        <n v="8.32"/>
        <n v="8.27"/>
        <n v="8.25"/>
        <n v="8.2100000000000009"/>
        <n v="8.16"/>
        <n v="7.93"/>
        <n v="7.87"/>
        <n v="7.83"/>
        <n v="7.8"/>
        <n v="7.76"/>
        <n v="7.75"/>
        <n v="7.71"/>
        <n v="7.7"/>
        <n v="7.68"/>
        <n v="7.59"/>
        <n v="7.51"/>
        <n v="7.48"/>
        <n v="7.47"/>
        <n v="7.45"/>
        <n v="7.42"/>
        <n v="7.38"/>
        <n v="7.24"/>
        <n v="7.23"/>
        <n v="7.21"/>
        <n v="7.19"/>
        <n v="7.14"/>
        <n v="7.12"/>
        <n v="7.1"/>
        <n v="7.09"/>
        <n v="7.07"/>
        <n v="6.89"/>
        <n v="6.86"/>
        <n v="6.83"/>
        <n v="6.81"/>
        <n v="6.75"/>
        <n v="6.74"/>
        <n v="6.59"/>
        <n v="6.54"/>
        <n v="6.52"/>
        <n v="6.5"/>
        <n v="6.47"/>
        <n v="6.41"/>
        <n v="6.35"/>
        <n v="6.3"/>
        <n v="6.25"/>
        <n v="6.24"/>
        <n v="6.23"/>
        <n v="6.2"/>
        <n v="6.18"/>
        <n v="6.13"/>
        <n v="6.1"/>
        <n v="6.07"/>
        <n v="6.02"/>
        <n v="6"/>
        <n v="5.95"/>
        <n v="5.94"/>
        <n v="5.89"/>
        <n v="5.83"/>
        <n v="5.82"/>
        <n v="5.79"/>
        <n v="5.68"/>
        <n v="5.63"/>
        <n v="5.58"/>
        <n v="5.52"/>
        <n v="5.49"/>
        <n v="5.47"/>
        <n v="5.45"/>
        <n v="5.42"/>
        <n v="5.39"/>
        <n v="5.36"/>
        <n v="5.34"/>
        <n v="5.31"/>
        <n v="5.3"/>
        <n v="5.29"/>
        <n v="5.24"/>
        <n v="5.22"/>
        <n v="5.2"/>
        <n v="5.12"/>
        <n v="5.09"/>
        <n v="4.99"/>
        <n v="4.95"/>
        <n v="4.9000000000000004"/>
        <n v="4.83"/>
        <n v="4.78"/>
        <n v="4.7699999999999996"/>
        <n v="4.72"/>
        <n v="4.66"/>
        <n v="4.6100000000000003"/>
        <n v="4.59"/>
        <n v="4.5199999999999996"/>
        <n v="4.51"/>
        <n v="4.5"/>
        <n v="4.47"/>
        <n v="4.3"/>
        <n v="4.28"/>
        <n v="4.2300000000000004"/>
        <n v="4.21"/>
        <n v="4.18"/>
        <n v="4.16"/>
        <n v="4.1100000000000003"/>
        <n v="4.09"/>
        <n v="4.07"/>
        <n v="4"/>
        <n v="3.96"/>
        <n v="3.88"/>
        <n v="3.87"/>
        <n v="3.84"/>
        <n v="3.8"/>
        <n v="3.73"/>
        <n v="3.72"/>
        <n v="3.71"/>
        <n v="3.68"/>
        <n v="3.66"/>
        <n v="3.6"/>
        <n v="3.56"/>
        <n v="3.55"/>
        <n v="3.54"/>
        <n v="3.53"/>
        <n v="3.52"/>
        <n v="3.48"/>
        <n v="3.44"/>
        <n v="3.43"/>
        <n v="3.41"/>
        <n v="3.38"/>
        <n v="3.3"/>
        <n v="3.28"/>
        <n v="3.24"/>
        <n v="3.21"/>
        <n v="3.2"/>
        <n v="3.13"/>
        <n v="3.12"/>
        <n v="3.11"/>
        <n v="3.1"/>
        <n v="3.07"/>
        <n v="3"/>
        <n v="2.89"/>
        <n v="2.88"/>
        <n v="2.85"/>
        <n v="2.84"/>
        <n v="2.81"/>
        <n v="2.8"/>
        <n v="2.78"/>
        <n v="2.74"/>
        <n v="2.73"/>
        <n v="2.7"/>
        <n v="2.65"/>
        <n v="2.64"/>
        <n v="2.57"/>
        <n v="2.5299999999999998"/>
        <n v="2.4500000000000002"/>
        <n v="2.42"/>
        <n v="2.41"/>
        <n v="2.35"/>
        <n v="2.27"/>
        <n v="2.23"/>
        <n v="2.19"/>
        <n v="2.1800000000000002"/>
        <n v="2.12"/>
        <n v="1.89"/>
        <n v="1.88"/>
        <n v="1.85"/>
        <n v="1.84"/>
        <n v="1.83"/>
        <n v="1.81"/>
        <n v="1.76"/>
        <n v="1.7"/>
        <n v="1.68"/>
        <n v="1.63"/>
        <n v="1.58"/>
        <n v="1.48"/>
        <n v="1.44"/>
        <n v="1.38"/>
        <n v="1.33"/>
        <n v="1.31"/>
        <n v="1.27"/>
        <n v="1.22"/>
        <n v="1.19"/>
        <n v="1.1399999999999999"/>
        <n v="1.1200000000000001"/>
        <n v="1.1100000000000001"/>
        <n v="1.0900000000000001"/>
        <n v="1.02"/>
        <n v="0.96653999999999995"/>
        <n v="0.96428000000000003"/>
        <n v="0.93013000000000001"/>
        <n v="0.87589000000000006"/>
        <n v="0.75246000000000002"/>
        <n v="0.66549999999999998"/>
        <n v="0.61535000000000006"/>
        <n v="0.61471000000000009"/>
        <n v="0.56977999999999995"/>
        <n v="0.54175000000000006"/>
        <n v="0.53398999999999996"/>
        <n v="0.51451000000000002"/>
        <n v="0.47610000000000002"/>
        <n v="0.46016000000000001"/>
        <n v="0.42775000000000002"/>
        <n v="0.13235"/>
        <s v="--"/>
      </sharedItems>
    </cacheField>
    <cacheField name="AUM" numFmtId="0">
      <sharedItems count="1747">
        <s v="$410.41B"/>
        <s v="$306.72B"/>
        <s v="$276.07B"/>
        <s v="$259.09B"/>
        <s v="$187.26B"/>
        <s v="$108.51B"/>
        <s v="$101.20B"/>
        <s v="$92.17B"/>
        <s v="$82.19B"/>
        <s v="$78.94B"/>
        <s v="$76.71B"/>
        <s v="$69.62B"/>
        <s v="$68.16B"/>
        <s v="$64.45B"/>
        <s v="$62.81B"/>
        <s v="$60.03B"/>
        <s v="$56.87B"/>
        <s v="$55.36B"/>
        <s v="$53.19B"/>
        <s v="$52.30B"/>
        <s v="$49.20B"/>
        <s v="$45.92B"/>
        <s v="$45.86B"/>
        <s v="$45.50B"/>
        <s v="$45.41B"/>
        <s v="$42.94B"/>
        <s v="$42.08B"/>
        <s v="$35.45B"/>
        <s v="$35.23B"/>
        <s v="$33.96B"/>
        <s v="$32.51B"/>
        <s v="$32.05B"/>
        <s v="$31.48B"/>
        <s v="$31.43B"/>
        <s v="$31.33B"/>
        <s v="$29.55B"/>
        <s v="$29.44B"/>
        <s v="$29.03B"/>
        <s v="$28.87B"/>
        <s v="$28.63B"/>
        <s v="$28.11B"/>
        <s v="$26.08B"/>
        <s v="$25.60B"/>
        <s v="$24.74B"/>
        <s v="$24.04B"/>
        <s v="$23.80B"/>
        <s v="$22.40B"/>
        <s v="$22.33B"/>
        <s v="$22.10B"/>
        <s v="$21.74B"/>
        <s v="$20.49B"/>
        <s v="$20.43B"/>
        <s v="$19.99B"/>
        <s v="$19.69B"/>
        <s v="$17.49B"/>
        <s v="$17.08B"/>
        <s v="$16.48B"/>
        <s v="$15.91B"/>
        <s v="$15.74B"/>
        <s v="$15.70B"/>
        <s v="$15.48B"/>
        <s v="$15.37B"/>
        <s v="$15.32B"/>
        <s v="$14.83B"/>
        <s v="$14.57B"/>
        <s v="$14.46B"/>
        <s v="$14.45B"/>
        <s v="$14.31B"/>
        <s v="$13.79B"/>
        <s v="$13.66B"/>
        <s v="$13.50B"/>
        <s v="$13.49B"/>
        <s v="$13.13B"/>
        <s v="$13.09B"/>
        <s v="$12.88B"/>
        <s v="$12.82B"/>
        <s v="$12.79B"/>
        <s v="$12.78B"/>
        <s v="$12.68B"/>
        <s v="$12.64B"/>
        <s v="$12.63B"/>
        <s v="$12.43B"/>
        <s v="$12.14B"/>
        <s v="$12.13B"/>
        <s v="$11.83B"/>
        <s v="$11.73B"/>
        <s v="$11.60B"/>
        <s v="$11.38B"/>
        <s v="$10.80B"/>
        <s v="$10.12B"/>
        <s v="$9.96B"/>
        <s v="$9.67B"/>
        <s v="$9.62B"/>
        <s v="$9.55B"/>
        <s v="$9.45B"/>
        <s v="$9.43B"/>
        <s v="$9.39B"/>
        <s v="$8.90B"/>
        <s v="$8.88B"/>
        <s v="$8.83B"/>
        <s v="$8.56B"/>
        <s v="$8.48B"/>
        <s v="$8.42B"/>
        <s v="$8.38B"/>
        <s v="$8.22B"/>
        <s v="$8.10B"/>
        <s v="$8.04B"/>
        <s v="$7.95B"/>
        <s v="$7.81B"/>
        <s v="$7.63B"/>
        <s v="$7.59B"/>
        <s v="$7.53B"/>
        <s v="$7.47B"/>
        <s v="$7.41B"/>
        <s v="$7.38B"/>
        <s v="$7.37B"/>
        <s v="$7.32B"/>
        <s v="$7.21B"/>
        <s v="$7.09B"/>
        <s v="$7.06B"/>
        <s v="$6.96B"/>
        <s v="$6.89B"/>
        <s v="$6.87B"/>
        <s v="$6.86B"/>
        <s v="$6.83B"/>
        <s v="$6.81B"/>
        <s v="$6.76B"/>
        <s v="$6.62B"/>
        <s v="$6.55B"/>
        <s v="$6.45B"/>
        <s v="$6.40B"/>
        <s v="$6.36B"/>
        <s v="$6.35B"/>
        <s v="$6.25B"/>
        <s v="$6.18B"/>
        <s v="$6.10B"/>
        <s v="$6.03B"/>
        <s v="$6.01B"/>
        <s v="$5.98B"/>
        <s v="$5.97B"/>
        <s v="$5.94B"/>
        <s v="$5.80B"/>
        <s v="$5.78B"/>
        <s v="$5.74B"/>
        <s v="$5.71B"/>
        <s v="$5.67B"/>
        <s v="$5.62B"/>
        <s v="$5.53B"/>
        <s v="$5.52B"/>
        <s v="$5.46B"/>
        <s v="$5.42B"/>
        <s v="$5.39B"/>
        <s v="$5.36B"/>
        <s v="$5.34B"/>
        <s v="$5.32B"/>
        <s v="$5.23B"/>
        <s v="$5.12B"/>
        <s v="$5.09B"/>
        <s v="$5.07B"/>
        <s v="$5.05B"/>
        <s v="$5.03B"/>
        <s v="$4.95B"/>
        <s v="$4.89B"/>
        <s v="$4.88B"/>
        <s v="$4.77B"/>
        <s v="$4.74B"/>
        <s v="$4.71B"/>
        <s v="$4.69B"/>
        <s v="$4.67B"/>
        <s v="$4.51B"/>
        <s v="$4.45B"/>
        <s v="$4.38B"/>
        <s v="$4.34B"/>
        <s v="$4.29B"/>
        <s v="$4.22B"/>
        <s v="$4.19B"/>
        <s v="$4.10B"/>
        <s v="$4.09B"/>
        <s v="$4.05B"/>
        <s v="$4.04B"/>
        <s v="$4.00B"/>
        <s v="$3.91B"/>
        <s v="$3.84B"/>
        <s v="$3.83B"/>
        <s v="$3.82B"/>
        <s v="$3.80B"/>
        <s v="$3.79B"/>
        <s v="$3.78B"/>
        <s v="$3.72B"/>
        <s v="$3.70B"/>
        <s v="$3.69B"/>
        <s v="$3.68B"/>
        <s v="$3.61B"/>
        <s v="$3.55B"/>
        <s v="$3.48B"/>
        <s v="$3.47B"/>
        <s v="$3.44B"/>
        <s v="$3.42B"/>
        <s v="$3.37B"/>
        <s v="$3.29B"/>
        <s v="$3.27B"/>
        <s v="$3.25B"/>
        <s v="$3.24B"/>
        <s v="$3.22B"/>
        <s v="$3.21B"/>
        <s v="$3.16B"/>
        <s v="$3.14B"/>
        <s v="$3.11B"/>
        <s v="$3.09B"/>
        <s v="$3.03B"/>
        <s v="$3.01B"/>
        <s v="$2.98B"/>
        <s v="$2.95B"/>
        <s v="$2.88B"/>
        <s v="$2.87B"/>
        <s v="$2.85B"/>
        <s v="$2.83B"/>
        <s v="$2.77B"/>
        <s v="$2.76B"/>
        <s v="$2.72B"/>
        <s v="$2.71B"/>
        <s v="$2.69B"/>
        <s v="$2.68B"/>
        <s v="$2.65B"/>
        <s v="$2.63B"/>
        <s v="$2.60B"/>
        <s v="$2.56B"/>
        <s v="$2.53B"/>
        <s v="$2.51B"/>
        <s v="$2.47B"/>
        <s v="$2.44B"/>
        <s v="$2.43B"/>
        <s v="$2.42B"/>
        <s v="$2.35B"/>
        <s v="$2.33B"/>
        <s v="$2.31B"/>
        <s v="$2.27B"/>
        <s v="$2.25B"/>
        <s v="$2.20B"/>
        <s v="$2.19B"/>
        <s v="$2.18B"/>
        <s v="$2.16B"/>
        <s v="$2.15B"/>
        <s v="$2.14B"/>
        <s v="$2.12B"/>
        <s v="$2.09B"/>
        <s v="$2.08B"/>
        <s v="$2.07B"/>
        <s v="$1.98B"/>
        <s v="$1.97B"/>
        <s v="$1.95B"/>
        <s v="$1.94B"/>
        <s v="$1.93B"/>
        <s v="$1.91B"/>
        <s v="$1.90B"/>
        <s v="$1.89B"/>
        <s v="$1.87B"/>
        <s v="$1.85B"/>
        <s v="$1.84B"/>
        <s v="$1.82B"/>
        <s v="$1.81B"/>
        <s v="$1.79B"/>
        <s v="$1.78B"/>
        <s v="$1.77B"/>
        <s v="$1.76B"/>
        <s v="$1.75B"/>
        <s v="$1.74B"/>
        <s v="$1.73B"/>
        <s v="$1.70B"/>
        <s v="$1.69B"/>
        <s v="$1.67B"/>
        <s v="$1.65B"/>
        <s v="$1.62B"/>
        <s v="$1.60B"/>
        <s v="$1.59B"/>
        <s v="$1.58B"/>
        <s v="$1.56B"/>
        <s v="$1.55B"/>
        <s v="$1.54B"/>
        <s v="$1.51B"/>
        <s v="$1.50B"/>
        <s v="$1.49B"/>
        <s v="$1.45B"/>
        <s v="$1.44B"/>
        <s v="$1.43B"/>
        <s v="$1.42B"/>
        <s v="$1.41B"/>
        <s v="$1.40B"/>
        <s v="$1.39B"/>
        <s v="$1.38B"/>
        <s v="$1.35B"/>
        <s v="$1.34B"/>
        <s v="$1.33B"/>
        <s v="$1.29B"/>
        <s v="$1.28B"/>
        <s v="$1.27B"/>
        <s v="$1.26B"/>
        <s v="$1.24B"/>
        <s v="$1.23B"/>
        <s v="$1.21B"/>
        <s v="$1.20B"/>
        <s v="$1.19B"/>
        <s v="$1.18B"/>
        <s v="$1.17B"/>
        <s v="$1.16B"/>
        <s v="$1.15B"/>
        <s v="$1.14B"/>
        <s v="$1.13B"/>
        <s v="$1.12B"/>
        <s v="$1.11B"/>
        <s v="$1.09B"/>
        <s v="$1.08B"/>
        <s v="$1.06B"/>
        <s v="$1.04B"/>
        <s v="$1.03B"/>
        <s v="$1.02B"/>
        <s v="$1.01B"/>
        <s v="$1.00B"/>
        <s v="$993.47M"/>
        <s v="$988.17M"/>
        <s v="$987.72M"/>
        <s v="$979.45M"/>
        <s v="$972.51M"/>
        <s v="$971.57M"/>
        <s v="$967.61M"/>
        <s v="$966.94M"/>
        <s v="$955.20M"/>
        <s v="$953.42M"/>
        <s v="$952.13M"/>
        <s v="$944.61M"/>
        <s v="$939.41M"/>
        <s v="$937.60M"/>
        <s v="$930.93M"/>
        <s v="$928.25M"/>
        <s v="$927.53M"/>
        <s v="$927.23M"/>
        <s v="$917.72M"/>
        <s v="$913.94M"/>
        <s v="$908.57M"/>
        <s v="$907.60M"/>
        <s v="$903.91M"/>
        <s v="$903.23M"/>
        <s v="$899.17M"/>
        <s v="$896.12M"/>
        <s v="$895.65M"/>
        <s v="$894.93M"/>
        <s v="$893.56M"/>
        <s v="$887.14M"/>
        <s v="$883.31M"/>
        <s v="$878.35M"/>
        <s v="$870.79M"/>
        <s v="$868.50M"/>
        <s v="$863.95M"/>
        <s v="$855.89M"/>
        <s v="$848.87M"/>
        <s v="$844.49M"/>
        <s v="$842.51M"/>
        <s v="$842.12M"/>
        <s v="$837.04M"/>
        <s v="$836.57M"/>
        <s v="$833.31M"/>
        <s v="$831.78M"/>
        <s v="$831.17M"/>
        <s v="$827.46M"/>
        <s v="$825.70M"/>
        <s v="$825.53M"/>
        <s v="$822.61M"/>
        <s v="$821.24M"/>
        <s v="$820.98M"/>
        <s v="$819.81M"/>
        <s v="$815.41M"/>
        <s v="$811.47M"/>
        <s v="$810.47M"/>
        <s v="$809.46M"/>
        <s v="$800.63M"/>
        <s v="$798.50M"/>
        <s v="$797.67M"/>
        <s v="$792.91M"/>
        <s v="$791.56M"/>
        <s v="$788.43M"/>
        <s v="$788.28M"/>
        <s v="$786.75M"/>
        <s v="$783.84M"/>
        <s v="$778.26M"/>
        <s v="$770.58M"/>
        <s v="$769.31M"/>
        <s v="$767.80M"/>
        <s v="$760.34M"/>
        <s v="$759.41M"/>
        <s v="$758.18M"/>
        <s v="$756.45M"/>
        <s v="$750.11M"/>
        <s v="$744.39M"/>
        <s v="$742.21M"/>
        <s v="$738.47M"/>
        <s v="$735.24M"/>
        <s v="$733.02M"/>
        <s v="$729.75M"/>
        <s v="$728.47M"/>
        <s v="$720.83M"/>
        <s v="$718.58M"/>
        <s v="$718.03M"/>
        <s v="$716.74M"/>
        <s v="$710.68M"/>
        <s v="$710.08M"/>
        <s v="$705.00M"/>
        <s v="$703.58M"/>
        <s v="$703.54M"/>
        <s v="$689.06M"/>
        <s v="$688.49M"/>
        <s v="$687.75M"/>
        <s v="$687.05M"/>
        <s v="$681.71M"/>
        <s v="$680.45M"/>
        <s v="$675.62M"/>
        <s v="$660.53M"/>
        <s v="$655.82M"/>
        <s v="$655.42M"/>
        <s v="$643.50M"/>
        <s v="$642.81M"/>
        <s v="$640.57M"/>
        <s v="$639.87M"/>
        <s v="$638.61M"/>
        <s v="$638.28M"/>
        <s v="$637.28M"/>
        <s v="$634.93M"/>
        <s v="$634.01M"/>
        <s v="$632.41M"/>
        <s v="$622.30M"/>
        <s v="$620.86M"/>
        <s v="$620.54M"/>
        <s v="$619.76M"/>
        <s v="$619.42M"/>
        <s v="$615.07M"/>
        <s v="$610.98M"/>
        <s v="$609.76M"/>
        <s v="$607.42M"/>
        <s v="$599.11M"/>
        <s v="$597.68M"/>
        <s v="$595.47M"/>
        <s v="$583.07M"/>
        <s v="$574.36M"/>
        <s v="$572.89M"/>
        <s v="$572.03M"/>
        <s v="$567.07M"/>
        <s v="$563.32M"/>
        <s v="$562.29M"/>
        <s v="$558.19M"/>
        <s v="$557.25M"/>
        <s v="$555.64M"/>
        <s v="$554.54M"/>
        <s v="$551.94M"/>
        <s v="$550.02M"/>
        <s v="$549.16M"/>
        <s v="$545.26M"/>
        <s v="$543.66M"/>
        <s v="$543.37M"/>
        <s v="$541.73M"/>
        <s v="$540.19M"/>
        <s v="$538.33M"/>
        <s v="$534.42M"/>
        <s v="$534.34M"/>
        <s v="$533.22M"/>
        <s v="$529.42M"/>
        <s v="$524.51M"/>
        <s v="$523.95M"/>
        <s v="$520.92M"/>
        <s v="$518.36M"/>
        <s v="$515.07M"/>
        <s v="$514.91M"/>
        <s v="$513.51M"/>
        <s v="$510.72M"/>
        <s v="$506.44M"/>
        <s v="$506.43M"/>
        <s v="$502.92M"/>
        <s v="$501.14M"/>
        <s v="$498.01M"/>
        <s v="$497.15M"/>
        <s v="$494.20M"/>
        <s v="$492.79M"/>
        <s v="$492.72M"/>
        <s v="$492.53M"/>
        <s v="$490.09M"/>
        <s v="$484.82M"/>
        <s v="$483.53M"/>
        <s v="$481.61M"/>
        <s v="$479.75M"/>
        <s v="$479.34M"/>
        <s v="$478.95M"/>
        <s v="$477.74M"/>
        <s v="$476.79M"/>
        <s v="$476.75M"/>
        <s v="$472.26M"/>
        <s v="$471.50M"/>
        <s v="$471.04M"/>
        <s v="$470.50M"/>
        <s v="$464.90M"/>
        <s v="$462.99M"/>
        <s v="$462.54M"/>
        <s v="$462.19M"/>
        <s v="$456.15M"/>
        <s v="$455.97M"/>
        <s v="$448.79M"/>
        <s v="$439.86M"/>
        <s v="$438.77M"/>
        <s v="$436.42M"/>
        <s v="$436.06M"/>
        <s v="$435.58M"/>
        <s v="$435.40M"/>
        <s v="$434.40M"/>
        <s v="$434.02M"/>
        <s v="$433.43M"/>
        <s v="$432.13M"/>
        <s v="$430.25M"/>
        <s v="$428.29M"/>
        <s v="$427.16M"/>
        <s v="$425.56M"/>
        <s v="$425.18M"/>
        <s v="$420.28M"/>
        <s v="$416.85M"/>
        <s v="$416.60M"/>
        <s v="$416.50M"/>
        <s v="$415.32M"/>
        <s v="$414.31M"/>
        <s v="$413.87M"/>
        <s v="$410.38M"/>
        <s v="$409.97M"/>
        <s v="$409.40M"/>
        <s v="$408.70M"/>
        <s v="$406.31M"/>
        <s v="$405.44M"/>
        <s v="$403.20M"/>
        <s v="$402.19M"/>
        <s v="$402.15M"/>
        <s v="$400.29M"/>
        <s v="$400.07M"/>
        <s v="$395.90M"/>
        <s v="$395.48M"/>
        <s v="$395.10M"/>
        <s v="$393.69M"/>
        <s v="$392.59M"/>
        <s v="$390.23M"/>
        <s v="$387.73M"/>
        <s v="$386.26M"/>
        <s v="$384.35M"/>
        <s v="$382.46M"/>
        <s v="$382.04M"/>
        <s v="$380.58M"/>
        <s v="$380.34M"/>
        <s v="$379.42M"/>
        <s v="$378.96M"/>
        <s v="$378.88M"/>
        <s v="$378.46M"/>
        <s v="$378.09M"/>
        <s v="$377.96M"/>
        <s v="$376.80M"/>
        <s v="$372.10M"/>
        <s v="$370.90M"/>
        <s v="$370.10M"/>
        <s v="$369.43M"/>
        <s v="$369.04M"/>
        <s v="$368.33M"/>
        <s v="$368.29M"/>
        <s v="$365.37M"/>
        <s v="$363.04M"/>
        <s v="$362.16M"/>
        <s v="$361.43M"/>
        <s v="$358.51M"/>
        <s v="$352.61M"/>
        <s v="$350.74M"/>
        <s v="$350.58M"/>
        <s v="$347.44M"/>
        <s v="$346.64M"/>
        <s v="$345.76M"/>
        <s v="$345.25M"/>
        <s v="$343.85M"/>
        <s v="$343.68M"/>
        <s v="$342.29M"/>
        <s v="$338.39M"/>
        <s v="$337.96M"/>
        <s v="$336.85M"/>
        <s v="$336.68M"/>
        <s v="$336.04M"/>
        <s v="$334.77M"/>
        <s v="$330.46M"/>
        <s v="$330.37M"/>
        <s v="$329.84M"/>
        <s v="$329.17M"/>
        <s v="$329.08M"/>
        <s v="$324.16M"/>
        <s v="$323.34M"/>
        <s v="$322.67M"/>
        <s v="$322.21M"/>
        <s v="$322.10M"/>
        <s v="$321.53M"/>
        <s v="$318.45M"/>
        <s v="$317.11M"/>
        <s v="$317.08M"/>
        <s v="$316.34M"/>
        <s v="$315.80M"/>
        <s v="$312.51M"/>
        <s v="$310.87M"/>
        <s v="$310.36M"/>
        <s v="$310.31M"/>
        <s v="$308.08M"/>
        <s v="$306.41M"/>
        <s v="$305.00M"/>
        <s v="$304.08M"/>
        <s v="$303.50M"/>
        <s v="$302.52M"/>
        <s v="$299.08M"/>
        <s v="$298.30M"/>
        <s v="$292.81M"/>
        <s v="$292.12M"/>
        <s v="$291.81M"/>
        <s v="$291.70M"/>
        <s v="$290.60M"/>
        <s v="$285.81M"/>
        <s v="$284.21M"/>
        <s v="$283.63M"/>
        <s v="$280.53M"/>
        <s v="$280.20M"/>
        <s v="$278.14M"/>
        <s v="$276.97M"/>
        <s v="$274.71M"/>
        <s v="$273.98M"/>
        <s v="$268.90M"/>
        <s v="$268.63M"/>
        <s v="$267.83M"/>
        <s v="$263.93M"/>
        <s v="$262.41M"/>
        <s v="$262.14M"/>
        <s v="$260.33M"/>
        <s v="$259.10M"/>
        <s v="$258.53M"/>
        <s v="$258.07M"/>
        <s v="$257.12M"/>
        <s v="$255.07M"/>
        <s v="$253.96M"/>
        <s v="$253.37M"/>
        <s v="$253.08M"/>
        <s v="$250.66M"/>
        <s v="$250.53M"/>
        <s v="$250.46M"/>
        <s v="$248.62M"/>
        <s v="$247.01M"/>
        <s v="$246.71M"/>
        <s v="$245.52M"/>
        <s v="$244.25M"/>
        <s v="$241.48M"/>
        <s v="$241.06M"/>
        <s v="$240.43M"/>
        <s v="$239.74M"/>
        <s v="$239.37M"/>
        <s v="$238.77M"/>
        <s v="$238.18M"/>
        <s v="$236.30M"/>
        <s v="$235.95M"/>
        <s v="$235.76M"/>
        <s v="$235.01M"/>
        <s v="$234.40M"/>
        <s v="$232.97M"/>
        <s v="$230.74M"/>
        <s v="$230.13M"/>
        <s v="$229.15M"/>
        <s v="$228.89M"/>
        <s v="$228.88M"/>
        <s v="$227.25M"/>
        <s v="$225.14M"/>
        <s v="$224.09M"/>
        <s v="$223.73M"/>
        <s v="$223.52M"/>
        <s v="$222.78M"/>
        <s v="$222.00M"/>
        <s v="$220.75M"/>
        <s v="$220.24M"/>
        <s v="$219.27M"/>
        <s v="$218.41M"/>
        <s v="$217.91M"/>
        <s v="$217.46M"/>
        <s v="$216.54M"/>
        <s v="$214.44M"/>
        <s v="$213.49M"/>
        <s v="$213.42M"/>
        <s v="$212.84M"/>
        <s v="$212.38M"/>
        <s v="$211.68M"/>
        <s v="$210.61M"/>
        <s v="$210.52M"/>
        <s v="$210.16M"/>
        <s v="$209.58M"/>
        <s v="$209.08M"/>
        <s v="$208.73M"/>
        <s v="$208.60M"/>
        <s v="$208.08M"/>
        <s v="$207.69M"/>
        <s v="$207.32M"/>
        <s v="$207.20M"/>
        <s v="$206.89M"/>
        <s v="$206.80M"/>
        <s v="$206.42M"/>
        <s v="$205.92M"/>
        <s v="$202.22M"/>
        <s v="$201.99M"/>
        <s v="$201.17M"/>
        <s v="$200.31M"/>
        <s v="$200.17M"/>
        <s v="$199.88M"/>
        <s v="$198.91M"/>
        <s v="$198.51M"/>
        <s v="$196.76M"/>
        <s v="$196.47M"/>
        <s v="$195.78M"/>
        <s v="$195.59M"/>
        <s v="$193.48M"/>
        <s v="$192.77M"/>
        <s v="$192.73M"/>
        <s v="$192.59M"/>
        <s v="$192.26M"/>
        <s v="$192.13M"/>
        <s v="$191.78M"/>
        <s v="$191.65M"/>
        <s v="$191.52M"/>
        <s v="$190.87M"/>
        <s v="$190.69M"/>
        <s v="$189.41M"/>
        <s v="$186.85M"/>
        <s v="$186.07M"/>
        <s v="$185.68M"/>
        <s v="$185.11M"/>
        <s v="$185.08M"/>
        <s v="$185.03M"/>
        <s v="$185.01M"/>
        <s v="$184.19M"/>
        <s v="$182.59M"/>
        <s v="$181.86M"/>
        <s v="$180.76M"/>
        <s v="$178.53M"/>
        <s v="$178.16M"/>
        <s v="$177.94M"/>
        <s v="$177.78M"/>
        <s v="$177.66M"/>
        <s v="$176.93M"/>
        <s v="$176.68M"/>
        <s v="$176.04M"/>
        <s v="$175.77M"/>
        <s v="$174.07M"/>
        <s v="$173.91M"/>
        <s v="$173.51M"/>
        <s v="$173.10M"/>
        <s v="$172.90M"/>
        <s v="$172.33M"/>
        <s v="$170.70M"/>
        <s v="$170.27M"/>
        <s v="$170.06M"/>
        <s v="$169.36M"/>
        <s v="$168.67M"/>
        <s v="$168.06M"/>
        <s v="$167.79M"/>
        <s v="$166.08M"/>
        <s v="$165.99M"/>
        <s v="$165.16M"/>
        <s v="$164.71M"/>
        <s v="$163.67M"/>
        <s v="$163.16M"/>
        <s v="$162.94M"/>
        <s v="$162.23M"/>
        <s v="$161.93M"/>
        <s v="$161.84M"/>
        <s v="$160.90M"/>
        <s v="$160.39M"/>
        <s v="$160.09M"/>
        <s v="$159.13M"/>
        <s v="$158.33M"/>
        <s v="$157.39M"/>
        <s v="$156.64M"/>
        <s v="$155.49M"/>
        <s v="$155.36M"/>
        <s v="$155.02M"/>
        <s v="$154.03M"/>
        <s v="$153.71M"/>
        <s v="$153.61M"/>
        <s v="$153.07M"/>
        <s v="$151.56M"/>
        <s v="$151.43M"/>
        <s v="$151.00M"/>
        <s v="$150.39M"/>
        <s v="$149.18M"/>
        <s v="$148.70M"/>
        <s v="$148.38M"/>
        <s v="$147.90M"/>
        <s v="$147.83M"/>
        <s v="$147.39M"/>
        <s v="$147.24M"/>
        <s v="$146.91M"/>
        <s v="$145.38M"/>
        <s v="$143.69M"/>
        <s v="$143.61M"/>
        <s v="$143.05M"/>
        <s v="$142.84M"/>
        <s v="$142.73M"/>
        <s v="$142.66M"/>
        <s v="$142.64M"/>
        <s v="$142.57M"/>
        <s v="$142.52M"/>
        <s v="$142.00M"/>
        <s v="$141.82M"/>
        <s v="$140.84M"/>
        <s v="$140.81M"/>
        <s v="$140.47M"/>
        <s v="$140.11M"/>
        <s v="$140.08M"/>
        <s v="$139.67M"/>
        <s v="$139.64M"/>
        <s v="$138.76M"/>
        <s v="$138.53M"/>
        <s v="$138.34M"/>
        <s v="$137.84M"/>
        <s v="$136.73M"/>
        <s v="$136.66M"/>
        <s v="$136.57M"/>
        <s v="$136.53M"/>
        <s v="$136.12M"/>
        <s v="$135.63M"/>
        <s v="$135.50M"/>
        <s v="$134.20M"/>
        <s v="$133.51M"/>
        <s v="$133.43M"/>
        <s v="$133.06M"/>
        <s v="$132.98M"/>
        <s v="$131.77M"/>
        <s v="$131.52M"/>
        <s v="$130.75M"/>
        <s v="$130.09M"/>
        <s v="$130.03M"/>
        <s v="$129.77M"/>
        <s v="$129.72M"/>
        <s v="$129.34M"/>
        <s v="$129.24M"/>
        <s v="$129.07M"/>
        <s v="$129.00M"/>
        <s v="$128.98M"/>
        <s v="$128.89M"/>
        <s v="$128.70M"/>
        <s v="$128.60M"/>
        <s v="$128.55M"/>
        <s v="$127.98M"/>
        <s v="$127.10M"/>
        <s v="$126.93M"/>
        <s v="$126.19M"/>
        <s v="$125.73M"/>
        <s v="$125.51M"/>
        <s v="$125.40M"/>
        <s v="$125.11M"/>
        <s v="$124.87M"/>
        <s v="$124.68M"/>
        <s v="$124.65M"/>
        <s v="$124.64M"/>
        <s v="$124.46M"/>
        <s v="$124.39M"/>
        <s v="$124.29M"/>
        <s v="$123.72M"/>
        <s v="$123.64M"/>
        <s v="$123.03M"/>
        <s v="$122.64M"/>
        <s v="$120.86M"/>
        <s v="$120.83M"/>
        <s v="$120.45M"/>
        <s v="$119.98M"/>
        <s v="$119.51M"/>
        <s v="$119.40M"/>
        <s v="$118.70M"/>
        <s v="$118.32M"/>
        <s v="$118.31M"/>
        <s v="$117.93M"/>
        <s v="$117.50M"/>
        <s v="$117.05M"/>
        <s v="$117.00M"/>
        <s v="$116.91M"/>
        <s v="$116.50M"/>
        <s v="$116.14M"/>
        <s v="$115.22M"/>
        <s v="$115.08M"/>
        <s v="$114.44M"/>
        <s v="$114.19M"/>
        <s v="$114.00M"/>
        <s v="$113.02M"/>
        <s v="$112.70M"/>
        <s v="$112.34M"/>
        <s v="$112.23M"/>
        <s v="$112.09M"/>
        <s v="$111.86M"/>
        <s v="$110.92M"/>
        <s v="$110.50M"/>
        <s v="$109.98M"/>
        <s v="$109.68M"/>
        <s v="$109.06M"/>
        <s v="$108.34M"/>
        <s v="$108.17M"/>
        <s v="$107.88M"/>
        <s v="$107.67M"/>
        <s v="$107.16M"/>
        <s v="$106.64M"/>
        <s v="$106.06M"/>
        <s v="$105.66M"/>
        <s v="$105.20M"/>
        <s v="$104.94M"/>
        <s v="$103.90M"/>
        <s v="$103.87M"/>
        <s v="$102.96M"/>
        <s v="$102.74M"/>
        <s v="$102.46M"/>
        <s v="$102.44M"/>
        <s v="$102.32M"/>
        <s v="$101.73M"/>
        <s v="$101.40M"/>
        <s v="$100.69M"/>
        <s v="$100.61M"/>
        <s v="$100.60M"/>
        <s v="$99.78M"/>
        <s v="$99.60M"/>
        <s v="$98.72M"/>
        <s v="$98.27M"/>
        <s v="$98.16M"/>
        <s v="$97.11M"/>
        <s v="$97.07M"/>
        <s v="$97.04M"/>
        <s v="$96.54M"/>
        <s v="$95.98M"/>
        <s v="$95.74M"/>
        <s v="$95.67M"/>
        <s v="$94.90M"/>
        <s v="$94.54M"/>
        <s v="$94.49M"/>
        <s v="$94.38M"/>
        <s v="$94.17M"/>
        <s v="$94.08M"/>
        <s v="$93.94M"/>
        <s v="$93.47M"/>
        <s v="$93.38M"/>
        <s v="$93.31M"/>
        <s v="$93.18M"/>
        <s v="$92.93M"/>
        <s v="$92.91M"/>
        <s v="$92.86M"/>
        <s v="$92.43M"/>
        <s v="$92.14M"/>
        <s v="$92.13M"/>
        <s v="$91.81M"/>
        <s v="$91.65M"/>
        <s v="$91.63M"/>
        <s v="$91.07M"/>
        <s v="$90.15M"/>
        <s v="$89.85M"/>
        <s v="$89.72M"/>
        <s v="$89.66M"/>
        <s v="$88.87M"/>
        <s v="$88.71M"/>
        <s v="$88.45M"/>
        <s v="$87.96M"/>
        <s v="$87.72M"/>
        <s v="$87.69M"/>
        <s v="$87.00M"/>
        <s v="$86.70M"/>
        <s v="$86.35M"/>
        <s v="$86.15M"/>
        <s v="$86.02M"/>
        <s v="$85.91M"/>
        <s v="$84.17M"/>
        <s v="$84.15M"/>
        <s v="$84.09M"/>
        <s v="$84.00M"/>
        <s v="$83.91M"/>
        <s v="$83.68M"/>
        <s v="$83.32M"/>
        <s v="$83.10M"/>
        <s v="$82.91M"/>
        <s v="$82.73M"/>
        <s v="$82.68M"/>
        <s v="$82.49M"/>
        <s v="$82.00M"/>
        <s v="$81.75M"/>
        <s v="$81.73M"/>
        <s v="$81.65M"/>
        <s v="$81.62M"/>
        <s v="$81.50M"/>
        <s v="$80.67M"/>
        <s v="$80.50M"/>
        <s v="$80.24M"/>
        <s v="$79.98M"/>
        <s v="$79.00M"/>
        <s v="$78.57M"/>
        <s v="$78.12M"/>
        <s v="$78.06M"/>
        <s v="$78.01M"/>
        <s v="$77.98M"/>
        <s v="$77.42M"/>
        <s v="$77.34M"/>
        <s v="$77.26M"/>
        <s v="$77.02M"/>
        <s v="$76.95M"/>
        <s v="$76.86M"/>
        <s v="$76.63M"/>
        <s v="$76.51M"/>
        <s v="$76.31M"/>
        <s v="$76.28M"/>
        <s v="$76.23M"/>
        <s v="$76.14M"/>
        <s v="$75.64M"/>
        <s v="$75.28M"/>
        <s v="$74.72M"/>
        <s v="$74.12M"/>
        <s v="$73.92M"/>
        <s v="$73.66M"/>
        <s v="$73.60M"/>
        <s v="$72.88M"/>
        <s v="$72.86M"/>
        <s v="$72.84M"/>
        <s v="$72.57M"/>
        <s v="$72.30M"/>
        <s v="$72.08M"/>
        <s v="$71.95M"/>
        <s v="$71.72M"/>
        <s v="$71.47M"/>
        <s v="$71.40M"/>
        <s v="$71.13M"/>
        <s v="$70.75M"/>
        <s v="$70.66M"/>
        <s v="$70.56M"/>
        <s v="$70.11M"/>
        <s v="$69.65M"/>
        <s v="$69.12M"/>
        <s v="$69.07M"/>
        <s v="$69.03M"/>
        <s v="$69.02M"/>
        <s v="$68.67M"/>
        <s v="$68.40M"/>
        <s v="$68.03M"/>
        <s v="$67.76M"/>
        <s v="$67.71M"/>
        <s v="$67.65M"/>
        <s v="$67.15M"/>
        <s v="$66.88M"/>
        <s v="$66.08M"/>
        <s v="$65.64M"/>
        <s v="$65.39M"/>
        <s v="$65.35M"/>
        <s v="$65.08M"/>
        <s v="$64.55M"/>
        <s v="$64.50M"/>
        <s v="$64.08M"/>
        <s v="$63.77M"/>
        <s v="$63.22M"/>
        <s v="$62.78M"/>
        <s v="$62.56M"/>
        <s v="$61.91M"/>
        <s v="$61.68M"/>
        <s v="$61.66M"/>
        <s v="$61.52M"/>
        <s v="$61.51M"/>
        <s v="$61.43M"/>
        <s v="$61.04M"/>
        <s v="$60.89M"/>
        <s v="$60.71M"/>
        <s v="$60.60M"/>
        <s v="$60.42M"/>
        <s v="$60.40M"/>
        <s v="$60.36M"/>
        <s v="$60.30M"/>
        <s v="$60.09M"/>
        <s v="$59.38M"/>
        <s v="$59.09M"/>
        <s v="$58.57M"/>
        <s v="$58.48M"/>
        <s v="$58.20M"/>
        <s v="$57.82M"/>
        <s v="$57.75M"/>
        <s v="$57.33M"/>
        <s v="$57.10M"/>
        <s v="$56.89M"/>
        <s v="$56.80M"/>
        <s v="$56.50M"/>
        <s v="$56.27M"/>
        <s v="$56.21M"/>
        <s v="$56.09M"/>
        <s v="$56.06M"/>
        <s v="$55.81M"/>
        <s v="$55.67M"/>
        <s v="$55.63M"/>
        <s v="$55.36M"/>
        <s v="$54.90M"/>
        <s v="$54.79M"/>
        <s v="$54.38M"/>
        <s v="$53.24M"/>
        <s v="$53.17M"/>
        <s v="$52.76M"/>
        <s v="$52.73M"/>
        <s v="$52.70M"/>
        <s v="$52.46M"/>
        <s v="$52.40M"/>
        <s v="$52.38M"/>
        <s v="$52.29M"/>
        <s v="$52.02M"/>
        <s v="$51.32M"/>
        <s v="$51.27M"/>
        <s v="$51.21M"/>
        <s v="$50.93M"/>
        <s v="$50.80M"/>
        <s v="$50.29M"/>
        <s v="$50.10M"/>
        <s v="$50.09M"/>
        <s v="$49.68M"/>
        <s v="$49.65M"/>
        <s v="$49.64M"/>
        <s v="$49.44M"/>
        <s v="$49.38M"/>
        <s v="$49.28M"/>
        <s v="$49.27M"/>
        <s v="$49.17M"/>
        <s v="$49.08M"/>
        <s v="$48.67M"/>
        <s v="$48.48M"/>
        <s v="$48.42M"/>
        <s v="$48.41M"/>
        <s v="$48.19M"/>
        <s v="$48.05M"/>
        <s v="$48.02M"/>
        <s v="$47.94M"/>
        <s v="$47.84M"/>
        <s v="$47.63M"/>
        <s v="$47.46M"/>
        <s v="$47.27M"/>
        <s v="$47.25M"/>
        <s v="$46.79M"/>
        <s v="$46.67M"/>
        <s v="$46.65M"/>
        <s v="$46.53M"/>
        <s v="$46.40M"/>
        <s v="$46.26M"/>
        <s v="$46.21M"/>
        <s v="$45.56M"/>
        <s v="$45.34M"/>
        <s v="$45.30M"/>
        <s v="$44.83M"/>
        <s v="$44.66M"/>
        <s v="$44.39M"/>
        <s v="$44.15M"/>
        <s v="$44.05M"/>
        <s v="$43.87M"/>
        <s v="$43.58M"/>
        <s v="$43.46M"/>
        <s v="$43.45M"/>
        <s v="$43.41M"/>
        <s v="$43.40M"/>
        <s v="$43.22M"/>
        <s v="$43.05M"/>
        <s v="$42.72M"/>
        <s v="$42.71M"/>
        <s v="$42.61M"/>
        <s v="$42.43M"/>
        <s v="$42.39M"/>
        <s v="$42.15M"/>
        <s v="$41.92M"/>
        <s v="$41.74M"/>
        <s v="$41.63M"/>
        <s v="$41.62M"/>
        <s v="$41.44M"/>
        <s v="$41.37M"/>
        <s v="$41.30M"/>
        <s v="$41.25M"/>
        <s v="$41.17M"/>
        <s v="$40.96M"/>
        <s v="$40.88M"/>
        <s v="$40.77M"/>
        <s v="$40.50M"/>
        <s v="$40.19M"/>
        <s v="$39.92M"/>
        <s v="$39.85M"/>
        <s v="$39.73M"/>
        <s v="$39.46M"/>
        <s v="$39.39M"/>
        <s v="$39.20M"/>
        <s v="$39.18M"/>
        <s v="$39.03M"/>
        <s v="$38.83M"/>
        <s v="$38.59M"/>
        <s v="$38.57M"/>
        <s v="$38.56M"/>
        <s v="$38.48M"/>
        <s v="$38.31M"/>
        <s v="$38.29M"/>
        <s v="$38.03M"/>
        <s v="$38.02M"/>
        <s v="$37.99M"/>
        <s v="$37.94M"/>
        <s v="$37.90M"/>
        <s v="$37.71M"/>
        <s v="$37.68M"/>
        <s v="$37.32M"/>
        <s v="$37.28M"/>
        <s v="$37.26M"/>
        <s v="$37.19M"/>
        <s v="$36.88M"/>
        <s v="$36.82M"/>
        <s v="$36.77M"/>
        <s v="$36.54M"/>
        <s v="$36.41M"/>
        <s v="$36.33M"/>
        <s v="$36.22M"/>
        <s v="$36.17M"/>
        <s v="$36.13M"/>
        <s v="$36.10M"/>
        <s v="$35.69M"/>
        <s v="$35.59M"/>
        <s v="$35.41M"/>
        <s v="$35.28M"/>
        <s v="$35.27M"/>
        <s v="$35.26M"/>
        <s v="$35.19M"/>
        <s v="$35.12M"/>
        <s v="$35.02M"/>
        <s v="$34.98M"/>
        <s v="$34.87M"/>
        <s v="$34.27M"/>
        <s v="$34.23M"/>
        <s v="$33.99M"/>
        <s v="$33.83M"/>
        <s v="$33.82M"/>
        <s v="$33.79M"/>
        <s v="$33.76M"/>
        <s v="$33.68M"/>
        <s v="$33.66M"/>
        <s v="$33.64M"/>
        <s v="$33.57M"/>
        <s v="$33.42M"/>
        <s v="$32.93M"/>
        <s v="$32.91M"/>
        <s v="$32.89M"/>
        <s v="$32.73M"/>
        <s v="$32.35M"/>
        <s v="$32.24M"/>
        <s v="$32.16M"/>
        <s v="$32.04M"/>
        <s v="$32.03M"/>
        <s v="$31.90M"/>
        <s v="$31.82M"/>
        <s v="$31.80M"/>
        <s v="$31.77M"/>
        <s v="$31.73M"/>
        <s v="$31.64M"/>
        <s v="$31.62M"/>
        <s v="$31.43M"/>
        <s v="$31.40M"/>
        <s v="$31.17M"/>
        <s v="$31.05M"/>
        <s v="$30.74M"/>
        <s v="$30.72M"/>
        <s v="$30.37M"/>
        <s v="$30.12M"/>
        <s v="$29.97M"/>
        <s v="$29.95M"/>
        <s v="$29.81M"/>
        <s v="$29.76M"/>
        <s v="$29.71M"/>
        <s v="$29.70M"/>
        <s v="$29.55M"/>
        <s v="$29.53M"/>
        <s v="$29.38M"/>
        <s v="$28.98M"/>
        <s v="$28.90M"/>
        <s v="$28.45M"/>
        <s v="$28.40M"/>
        <s v="$28.32M"/>
        <s v="$28.27M"/>
        <s v="$28.25M"/>
        <s v="$28.15M"/>
        <s v="$28.13M"/>
        <s v="$27.94M"/>
        <s v="$27.88M"/>
        <s v="$27.74M"/>
        <s v="$27.58M"/>
        <s v="$27.35M"/>
        <s v="$27.23M"/>
        <s v="$27.10M"/>
        <s v="$27.09M"/>
        <s v="$26.95M"/>
        <s v="$26.93M"/>
        <s v="$26.82M"/>
        <s v="$26.72M"/>
        <s v="$26.68M"/>
        <s v="$26.52M"/>
        <s v="$26.45M"/>
        <s v="$26.41M"/>
        <s v="$26.38M"/>
        <s v="$26.06M"/>
        <s v="$26.03M"/>
        <s v="$26.00M"/>
        <s v="$25.84M"/>
        <s v="$25.80M"/>
        <s v="$25.71M"/>
        <s v="$25.68M"/>
        <s v="$25.53M"/>
        <s v="$25.52M"/>
        <s v="$25.41M"/>
        <s v="$25.37M"/>
        <s v="$25.36M"/>
        <s v="$25.32M"/>
        <s v="$25.26M"/>
        <s v="$25.23M"/>
        <s v="$25.21M"/>
        <s v="$25.19M"/>
        <s v="$24.96M"/>
        <s v="$24.87M"/>
        <s v="$24.81M"/>
        <s v="$24.68M"/>
        <s v="$24.65M"/>
        <s v="$24.58M"/>
        <s v="$24.46M"/>
        <s v="$24.43M"/>
        <s v="$24.23M"/>
        <s v="$24.13M"/>
        <s v="$24.11M"/>
        <s v="$23.87M"/>
        <s v="$23.83M"/>
        <s v="$23.80M"/>
        <s v="$23.69M"/>
        <s v="$23.64M"/>
        <s v="$23.62M"/>
        <s v="$23.49M"/>
        <s v="$23.46M"/>
        <s v="$23.39M"/>
        <s v="$23.27M"/>
        <s v="$23.13M"/>
        <s v="$23.10M"/>
        <s v="$23.06M"/>
        <s v="$22.99M"/>
        <s v="$22.97M"/>
        <s v="$22.80M"/>
        <s v="$22.77M"/>
        <s v="$22.76M"/>
        <s v="$22.73M"/>
        <s v="$22.54M"/>
        <s v="$22.48M"/>
        <s v="$22.41M"/>
        <s v="$22.40M"/>
        <s v="$22.39M"/>
        <s v="$22.37M"/>
        <s v="$22.33M"/>
        <s v="$22.06M"/>
        <s v="$21.99M"/>
        <s v="$21.95M"/>
        <s v="$21.89M"/>
        <s v="$21.83M"/>
        <s v="$21.69M"/>
        <s v="$21.62M"/>
        <s v="$21.55M"/>
        <s v="$21.48M"/>
        <s v="$21.47M"/>
        <s v="$21.45M"/>
        <s v="$21.33M"/>
        <s v="$21.26M"/>
        <s v="$21.13M"/>
        <s v="$21.10M"/>
        <s v="$20.94M"/>
        <s v="$20.83M"/>
        <s v="$20.82M"/>
        <s v="$20.77M"/>
        <s v="$20.76M"/>
        <s v="$20.69M"/>
        <s v="$20.62M"/>
        <s v="$20.59M"/>
        <s v="$20.54M"/>
        <s v="$20.36M"/>
        <s v="$20.29M"/>
        <s v="$20.27M"/>
        <s v="$20.24M"/>
        <s v="$20.18M"/>
        <s v="$20.17M"/>
        <s v="$20.16M"/>
        <s v="$20.12M"/>
        <s v="$20.06M"/>
        <s v="$19.93M"/>
        <s v="$19.60M"/>
        <s v="$19.58M"/>
        <s v="$19.51M"/>
        <s v="$19.34M"/>
        <s v="$19.08M"/>
        <s v="$18.97M"/>
        <s v="$18.92M"/>
        <s v="$18.90M"/>
        <s v="$18.89M"/>
        <s v="$18.87M"/>
        <s v="$18.74M"/>
        <s v="$18.72M"/>
        <s v="$18.65M"/>
        <s v="$18.58M"/>
        <s v="$18.51M"/>
        <s v="$18.35M"/>
        <s v="$18.29M"/>
        <s v="$18.26M"/>
        <s v="$18.25M"/>
        <s v="$18.23M"/>
        <s v="$18.08M"/>
        <s v="$18.00M"/>
        <s v="$17.98M"/>
        <s v="$17.94M"/>
        <s v="$17.87M"/>
        <s v="$17.84M"/>
        <s v="$17.72M"/>
        <s v="$17.71M"/>
        <s v="$17.54M"/>
        <s v="$17.52M"/>
        <s v="$17.50M"/>
        <s v="$17.40M"/>
        <s v="$17.38M"/>
        <s v="$17.11M"/>
        <s v="$17.10M"/>
        <s v="$17.08M"/>
        <s v="$17.06M"/>
        <s v="$17.05M"/>
        <s v="$17.00M"/>
        <s v="$16.94M"/>
        <s v="$16.90M"/>
        <s v="$16.78M"/>
        <s v="$16.76M"/>
        <s v="$16.67M"/>
        <s v="$16.64M"/>
        <s v="$16.61M"/>
        <s v="$16.52M"/>
        <s v="$16.51M"/>
        <s v="$16.48M"/>
        <s v="$16.42M"/>
        <s v="$16.16M"/>
        <s v="$16.04M"/>
        <s v="$16.02M"/>
        <s v="$16.00M"/>
        <s v="$15.95M"/>
        <s v="$15.93M"/>
        <s v="$15.89M"/>
        <s v="$15.71M"/>
        <s v="$15.70M"/>
        <s v="$15.66M"/>
        <s v="$15.62M"/>
        <s v="$15.57M"/>
        <s v="$15.56M"/>
        <s v="$15.53M"/>
        <s v="$15.41M"/>
        <s v="$15.37M"/>
        <s v="$15.35M"/>
        <s v="$15.18M"/>
        <s v="$14.96M"/>
        <s v="$14.85M"/>
        <s v="$14.68M"/>
        <s v="$14.55M"/>
        <s v="$14.42M"/>
        <s v="$14.31M"/>
        <s v="$14.10M"/>
        <s v="$13.91M"/>
        <s v="$13.90M"/>
        <s v="$13.87M"/>
        <s v="$13.86M"/>
        <s v="$13.59M"/>
        <s v="$13.55M"/>
        <s v="$13.51M"/>
        <s v="$13.44M"/>
        <s v="$13.43M"/>
        <s v="$13.39M"/>
        <s v="$13.36M"/>
        <s v="$13.29M"/>
        <s v="$13.21M"/>
        <s v="$13.14M"/>
        <s v="$13.09M"/>
        <s v="$13.02M"/>
        <s v="$12.99M"/>
        <s v="$12.98M"/>
        <s v="$12.91M"/>
        <s v="$12.90M"/>
        <s v="$12.86M"/>
        <s v="$12.84M"/>
        <s v="$12.83M"/>
        <s v="$12.82M"/>
        <s v="$12.74M"/>
        <s v="$12.65M"/>
        <s v="$12.44M"/>
        <s v="$12.20M"/>
        <s v="$12.14M"/>
        <s v="$12.11M"/>
        <s v="$12.10M"/>
        <s v="$11.98M"/>
        <s v="$11.95M"/>
        <s v="$11.88M"/>
        <s v="$11.78M"/>
        <s v="$11.65M"/>
        <s v="$11.62M"/>
        <s v="$11.58M"/>
        <s v="$11.43M"/>
        <s v="$11.39M"/>
        <s v="$11.31M"/>
        <s v="$11.10M"/>
        <s v="$11.07M"/>
        <s v="$10.98M"/>
        <s v="$10.92M"/>
        <s v="$10.88M"/>
        <s v="$10.85M"/>
        <s v="$10.84M"/>
        <s v="$10.77M"/>
        <s v="$10.69M"/>
        <s v="$10.64M"/>
        <s v="$10.56M"/>
        <s v="$10.55M"/>
        <s v="$10.50M"/>
        <s v="$10.45M"/>
        <s v="$10.39M"/>
        <s v="$10.29M"/>
        <s v="$10.23M"/>
        <s v="$10.07M"/>
        <s v="$10.05M"/>
        <s v="$10.02M"/>
        <s v="$9.99M"/>
        <s v="$9.92M"/>
        <s v="$9.90M"/>
        <s v="$9.84M"/>
        <s v="$9.82M"/>
        <s v="$9.79M"/>
        <s v="$9.71M"/>
        <s v="$9.59M"/>
        <s v="$9.57M"/>
        <s v="$9.55M"/>
        <s v="$9.52M"/>
        <s v="$9.46M"/>
        <s v="$9.40M"/>
        <s v="$9.35M"/>
        <s v="$9.25M"/>
        <s v="$9.23M"/>
        <s v="$9.21M"/>
        <s v="$9.09M"/>
        <s v="$8.96M"/>
        <s v="$8.92M"/>
        <s v="$8.87M"/>
        <s v="$8.71M"/>
        <s v="$8.69M"/>
        <s v="$8.68M"/>
        <s v="$8.63M"/>
        <s v="$8.59M"/>
        <s v="$8.49M"/>
        <s v="$8.40M"/>
        <s v="$8.38M"/>
        <s v="$8.36M"/>
        <s v="$8.32M"/>
        <s v="$8.27M"/>
        <s v="$8.25M"/>
        <s v="$8.21M"/>
        <s v="$8.16M"/>
        <s v="$7.93M"/>
        <s v="$7.87M"/>
        <s v="$7.83M"/>
        <s v="$7.80M"/>
        <s v="$7.76M"/>
        <s v="$7.75M"/>
        <s v="$7.71M"/>
        <s v="$7.70M"/>
        <s v="$7.68M"/>
        <s v="$7.59M"/>
        <s v="$7.51M"/>
        <s v="$7.48M"/>
        <s v="$7.47M"/>
        <s v="$7.45M"/>
        <s v="$7.42M"/>
        <s v="$7.38M"/>
        <s v="$7.24M"/>
        <s v="$7.23M"/>
        <s v="$7.21M"/>
        <s v="$7.19M"/>
        <s v="$7.14M"/>
        <s v="$7.12M"/>
        <s v="$7.10M"/>
        <s v="$7.09M"/>
        <s v="$7.07M"/>
        <s v="$6.89M"/>
        <s v="$6.86M"/>
        <s v="$6.83M"/>
        <s v="$6.81M"/>
        <s v="$6.75M"/>
        <s v="$6.74M"/>
        <s v="$6.59M"/>
        <s v="$6.54M"/>
        <s v="$6.52M"/>
        <s v="$6.50M"/>
        <s v="$6.47M"/>
        <s v="$6.41M"/>
        <s v="$6.35M"/>
        <s v="$6.30M"/>
        <s v="$6.25M"/>
        <s v="$6.24M"/>
        <s v="$6.23M"/>
        <s v="$6.20M"/>
        <s v="$6.18M"/>
        <s v="$6.13M"/>
        <s v="$6.10M"/>
        <s v="$6.07M"/>
        <s v="$6.02M"/>
        <s v="$6.00M"/>
        <s v="$5.95M"/>
        <s v="$5.94M"/>
        <s v="$5.89M"/>
        <s v="$5.83M"/>
        <s v="$5.82M"/>
        <s v="$5.79M"/>
        <s v="$5.68M"/>
        <s v="$5.63M"/>
        <s v="$5.58M"/>
        <s v="$5.52M"/>
        <s v="$5.49M"/>
        <s v="$5.47M"/>
        <s v="$5.45M"/>
        <s v="$5.42M"/>
        <s v="$5.39M"/>
        <s v="$5.36M"/>
        <s v="$5.34M"/>
        <s v="$5.31M"/>
        <s v="$5.30M"/>
        <s v="$5.29M"/>
        <s v="$5.24M"/>
        <s v="$5.22M"/>
        <s v="$5.20M"/>
        <s v="$5.12M"/>
        <s v="$5.09M"/>
        <s v="$4.99M"/>
        <s v="$4.95M"/>
        <s v="$4.90M"/>
        <s v="$4.83M"/>
        <s v="$4.78M"/>
        <s v="$4.77M"/>
        <s v="$4.72M"/>
        <s v="$4.66M"/>
        <s v="$4.61M"/>
        <s v="$4.59M"/>
        <s v="$4.52M"/>
        <s v="$4.51M"/>
        <s v="$4.50M"/>
        <s v="$4.47M"/>
        <s v="$4.30M"/>
        <s v="$4.28M"/>
        <s v="$4.23M"/>
        <s v="$4.21M"/>
        <s v="$4.18M"/>
        <s v="$4.16M"/>
        <s v="$4.11M"/>
        <s v="$4.09M"/>
        <s v="$4.07M"/>
        <s v="$4.00M"/>
        <s v="$3.96M"/>
        <s v="$3.88M"/>
        <s v="$3.87M"/>
        <s v="$3.84M"/>
        <s v="$3.80M"/>
        <s v="$3.73M"/>
        <s v="$3.72M"/>
        <s v="$3.71M"/>
        <s v="$3.68M"/>
        <s v="$3.66M"/>
        <s v="$3.60M"/>
        <s v="$3.56M"/>
        <s v="$3.55M"/>
        <s v="$3.54M"/>
        <s v="$3.53M"/>
        <s v="$3.52M"/>
        <s v="$3.48M"/>
        <s v="$3.44M"/>
        <s v="$3.43M"/>
        <s v="$3.41M"/>
        <s v="$3.38M"/>
        <s v="$3.30M"/>
        <s v="$3.28M"/>
        <s v="$3.24M"/>
        <s v="$3.21M"/>
        <s v="$3.20M"/>
        <s v="$3.13M"/>
        <s v="$3.12M"/>
        <s v="$3.11M"/>
        <s v="$3.10M"/>
        <s v="$3.07M"/>
        <s v="$3.00M"/>
        <s v="$2.89M"/>
        <s v="$2.88M"/>
        <s v="$2.85M"/>
        <s v="$2.84M"/>
        <s v="$2.81M"/>
        <s v="$2.80M"/>
        <s v="$2.78M"/>
        <s v="$2.74M"/>
        <s v="$2.73M"/>
        <s v="$2.70M"/>
        <s v="$2.65M"/>
        <s v="$2.64M"/>
        <s v="$2.57M"/>
        <s v="$2.53M"/>
        <s v="$2.45M"/>
        <s v="$2.42M"/>
        <s v="$2.41M"/>
        <s v="$2.35M"/>
        <s v="$2.27M"/>
        <s v="$2.23M"/>
        <s v="$2.19M"/>
        <s v="$2.18M"/>
        <s v="$2.12M"/>
        <s v="$1.89M"/>
        <s v="$1.88M"/>
        <s v="$1.85M"/>
        <s v="$1.84M"/>
        <s v="$1.83M"/>
        <s v="$1.81M"/>
        <s v="$1.76M"/>
        <s v="$1.70M"/>
        <s v="$1.68M"/>
        <s v="$1.63M"/>
        <s v="$1.58M"/>
        <s v="$1.48M"/>
        <s v="$1.44M"/>
        <s v="$1.38M"/>
        <s v="$1.33M"/>
        <s v="$1.31M"/>
        <s v="$1.27M"/>
        <s v="$1.22M"/>
        <s v="$1.19M"/>
        <s v="$1.14M"/>
        <s v="$1.12M"/>
        <s v="$1.11M"/>
        <s v="$1.09M"/>
        <s v="$1.02M"/>
        <s v="$966.54K"/>
        <s v="$964.28K"/>
        <s v="$930.13K"/>
        <s v="$875.89K"/>
        <s v="$752.46K"/>
        <s v="$665.50K"/>
        <s v="$615.35K"/>
        <s v="$614.71K"/>
        <s v="$569.78K"/>
        <s v="$541.75K"/>
        <s v="$533.99K"/>
        <s v="$514.51K"/>
        <s v="$476.10K"/>
        <s v="$460.16K"/>
        <s v="$427.75K"/>
        <s v="$132.35K"/>
        <s v="--"/>
      </sharedItems>
    </cacheField>
    <cacheField name="3M_Return" numFmtId="0">
      <sharedItems containsMixedTypes="1" containsNumber="1" minValue="-0.98670000000000002" maxValue="1.0871999999999999" count="1311">
        <n v="-3.1E-2"/>
        <n v="-3.0800000000000001E-2"/>
        <n v="-5.5899999999999998E-2"/>
        <n v="-3.09E-2"/>
        <n v="-6.6600000000000006E-2"/>
        <n v="-3.3300000000000003E-2"/>
        <n v="1.1599999999999999E-2"/>
        <n v="-3.3799999999999997E-2"/>
        <n v="-9.2499999999999999E-2"/>
        <n v="-4.1300000000000003E-2"/>
        <n v="-6.9199999999999998E-2"/>
        <n v="-8.0299999999999996E-2"/>
        <n v="-1.5299999999999999E-2"/>
        <n v="-6.8199999999999997E-2"/>
        <n v="-0.13320000000000001"/>
        <n v="-1.46E-2"/>
        <n v="-2.7199999999999998E-2"/>
        <n v="-3.4299999999999997E-2"/>
        <n v="-8.7800000000000003E-2"/>
        <n v="-5.9499999999999997E-2"/>
        <n v="-2.1499999999999998E-2"/>
        <n v="-2.7300000000000001E-2"/>
        <n v="-4.1799999999999997E-2"/>
        <n v="-0.1105"/>
        <n v="-5.5500000000000001E-2"/>
        <n v="2.23E-2"/>
        <n v="-2.9700000000000001E-2"/>
        <n v="-6.0600000000000001E-2"/>
        <n v="-8.8999999999999999E-3"/>
        <n v="-4.8399999999999999E-2"/>
        <n v="-3.6900000000000002E-2"/>
        <n v="-2.86E-2"/>
        <n v="6.3E-3"/>
        <n v="0.1021"/>
        <n v="-4.9099999999999998E-2"/>
        <n v="-4.6199999999999998E-2"/>
        <n v="-2.8199999999999999E-2"/>
        <n v="-9.3399999999999997E-2"/>
        <n v="-2.3099999999999999E-2"/>
        <n v="-4.7100000000000003E-2"/>
        <n v="-4.9599999999999998E-2"/>
        <n v="-4.4600000000000001E-2"/>
        <n v="-1.6000000000000001E-3"/>
        <n v="5.0000000000000001E-3"/>
        <n v="-6.13E-2"/>
        <n v="-5.45E-2"/>
        <n v="-2.6800000000000001E-2"/>
        <n v="-6.59E-2"/>
        <n v="2.4400000000000002E-2"/>
        <n v="2.6200000000000001E-2"/>
        <n v="-6.9000000000000006E-2"/>
        <n v="1.43E-2"/>
        <n v="-4.7300000000000002E-2"/>
        <n v="-1.5100000000000001E-2"/>
        <n v="2.35E-2"/>
        <n v="-9.4299999999999995E-2"/>
        <n v="-0.12239999999999999"/>
        <n v="-0.16950000000000001"/>
        <n v="-7.22E-2"/>
        <n v="8.1100000000000005E-2"/>
        <n v="-3.6799999999999999E-2"/>
        <n v="-7.1800000000000003E-2"/>
        <n v="-4.07E-2"/>
        <n v="-0.18629999999999999"/>
        <n v="-4.3299999999999998E-2"/>
        <n v="-0.1895"/>
        <n v="-8.0000000000000004E-4"/>
        <n v="3.6900000000000002E-2"/>
        <n v="-3.8199999999999998E-2"/>
        <n v="-1.61E-2"/>
        <n v="-8.1600000000000006E-2"/>
        <n v="1.3100000000000001E-2"/>
        <n v="-6.9599999999999995E-2"/>
        <n v="-0.1187"/>
        <n v="-0.14180000000000001"/>
        <n v="-0.39729999999999999"/>
        <n v="-5.4199999999999998E-2"/>
        <n v="-4.9399999999999999E-2"/>
        <n v="-2.0999999999999999E-3"/>
        <n v="-3.2300000000000002E-2"/>
        <n v="-0.15540000000000001"/>
        <n v="-6.7999999999999996E-3"/>
        <n v="-0.1918"/>
        <n v="2.0000000000000001E-4"/>
        <n v="-3.8699999999999998E-2"/>
        <n v="-1.8599999999999998E-2"/>
        <n v="-9.5100000000000004E-2"/>
        <n v="-6.3399999999999998E-2"/>
        <n v="2.7199999999999998E-2"/>
        <n v="-2.8000000000000001E-2"/>
        <n v="-1.41E-2"/>
        <n v="1.37E-2"/>
        <n v="-0.19"/>
        <n v="-7.3099999999999998E-2"/>
        <n v="-2.75E-2"/>
        <n v="-5.0599999999999999E-2"/>
        <n v="-2.9899999999999999E-2"/>
        <n v="-8.5599999999999996E-2"/>
        <n v="-0.23480000000000001"/>
        <n v="-6.1000000000000004E-3"/>
        <n v="-2.81E-2"/>
        <n v="4.65E-2"/>
        <n v="-5.9400000000000001E-2"/>
        <n v="-2.5899999999999999E-2"/>
        <n v="1.3599999999999999E-2"/>
        <n v="-0.25690000000000002"/>
        <n v="-0.1095"/>
        <n v="5.3E-3"/>
        <n v="-3.0599999999999999E-2"/>
        <n v="-5.9900000000000002E-2"/>
        <n v="6.6100000000000006E-2"/>
        <n v="-3.9600000000000003E-2"/>
        <n v="-1.43E-2"/>
        <n v="7.6700000000000004E-2"/>
        <n v="1.67E-2"/>
        <n v="5.6399999999999999E-2"/>
        <n v="-9.9000000000000008E-3"/>
        <n v="7.0499999999999993E-2"/>
        <n v="-3.3700000000000001E-2"/>
        <n v="-0.11700000000000001"/>
        <n v="-9.5600000000000004E-2"/>
        <n v="-0.1321"/>
        <n v="-8.8000000000000005E-3"/>
        <n v="-3.1899999999999998E-2"/>
        <n v="-1.1999999999999999E-3"/>
        <n v="-6.9900000000000004E-2"/>
        <n v="-6.08E-2"/>
        <n v="-3.4000000000000002E-2"/>
        <n v="-1.8100000000000002E-2"/>
        <n v="-4.2200000000000001E-2"/>
        <n v="-4.36E-2"/>
        <n v="-3.3500000000000002E-2"/>
        <n v="-8.1900000000000001E-2"/>
        <n v="-2.5999999999999999E-3"/>
        <n v="-2.3599999999999999E-2"/>
        <n v="-0.27300000000000002"/>
        <n v="3.3099999999999997E-2"/>
        <n v="3.49E-2"/>
        <n v="-2.5000000000000001E-2"/>
        <n v="-1.3299999999999999E-2"/>
        <n v="-0.10390000000000001"/>
        <n v="-5.4999999999999997E-3"/>
        <n v="-0.22220000000000001"/>
        <n v="-3.5999999999999997E-2"/>
        <n v="-0.13109999999999999"/>
        <n v="6.9599999999999995E-2"/>
        <n v="-0.22309999999999999"/>
        <n v="1.89E-2"/>
        <n v="-6.8500000000000005E-2"/>
        <n v="-3.44E-2"/>
        <n v="-4.4499999999999998E-2"/>
        <n v="-2.06E-2"/>
        <n v="-4.1200000000000001E-2"/>
        <n v="-0.22500000000000001"/>
        <n v="-3.9300000000000002E-2"/>
        <n v="-5.79E-2"/>
        <n v="-4.6699999999999998E-2"/>
        <n v="3.3700000000000001E-2"/>
        <n v="-5.4899999999999997E-2"/>
        <n v="-4.7600000000000003E-2"/>
        <n v="-9.1000000000000004E-3"/>
        <n v="-5.11E-2"/>
        <n v="-9.0700000000000003E-2"/>
        <n v="-3.3099999999999997E-2"/>
        <n v="-6.7900000000000002E-2"/>
        <n v="-3.8100000000000002E-2"/>
        <n v="-4.9200000000000001E-2"/>
        <n v="-6.6100000000000006E-2"/>
        <n v="-4.9299999999999997E-2"/>
        <n v="-4.7699999999999999E-2"/>
        <n v="-4.2999999999999997E-2"/>
        <n v="-3.5799999999999998E-2"/>
        <n v="-4.3700000000000003E-2"/>
        <n v="-1.3599999999999999E-2"/>
        <s v="--"/>
        <n v="-0.1414"/>
        <n v="-3.9399999999999998E-2"/>
        <n v="-6.0400000000000002E-2"/>
        <n v="-8.6499999999999994E-2"/>
        <n v="-0.38080000000000003"/>
        <n v="-2E-3"/>
        <n v="-6.6400000000000001E-2"/>
        <n v="-3.6499999999999998E-2"/>
        <n v="-7.8100000000000003E-2"/>
        <n v="-1.8499999999999999E-2"/>
        <n v="-3.3399999999999999E-2"/>
        <n v="-1.04E-2"/>
        <n v="-2.4299999999999999E-2"/>
        <n v="-0.1075"/>
        <n v="-2.4799999999999999E-2"/>
        <n v="-8.3900000000000002E-2"/>
        <n v="-0.11"/>
        <n v="1.7000000000000001E-2"/>
        <n v="-9.2999999999999992E-3"/>
        <n v="-2.35E-2"/>
        <n v="2.2599999999999999E-2"/>
        <n v="-4.2500000000000003E-2"/>
        <n v="-3.39E-2"/>
        <n v="-3.7199999999999997E-2"/>
        <n v="2.69E-2"/>
        <n v="4.3700000000000003E-2"/>
        <n v="-5.3900000000000003E-2"/>
        <n v="1.0699999999999999E-2"/>
        <n v="-0.15970000000000001"/>
        <n v="-2.1100000000000001E-2"/>
        <n v="-0.1103"/>
        <n v="-3.6999999999999998E-2"/>
        <n v="-0.12939999999999999"/>
        <n v="-0.1106"/>
        <n v="7.2800000000000004E-2"/>
        <n v="-1.5699999999999999E-2"/>
        <n v="-4.8899999999999999E-2"/>
        <n v="-4.82E-2"/>
        <n v="-5.5800000000000002E-2"/>
        <n v="-5.7799999999999997E-2"/>
        <n v="-9.0800000000000006E-2"/>
        <n v="-2.8899999999999999E-2"/>
        <n v="-4.41E-2"/>
        <n v="-0.39689999999999998"/>
        <n v="-5.7000000000000002E-2"/>
        <n v="-2.6700000000000002E-2"/>
        <n v="-4.6100000000000002E-2"/>
        <n v="5.0900000000000001E-2"/>
        <n v="2.5000000000000001E-3"/>
        <n v="-6.88E-2"/>
        <n v="-5.6000000000000001E-2"/>
        <n v="-2.5999999999999999E-2"/>
        <n v="-2.9600000000000001E-2"/>
        <n v="-4.1000000000000002E-2"/>
        <n v="-3.8999999999999998E-3"/>
        <n v="-2.3800000000000002E-2"/>
        <n v="-0.19689999999999999"/>
        <n v="-5.0299999999999997E-2"/>
        <n v="-0.20549999999999999"/>
        <n v="-5.1299999999999998E-2"/>
        <n v="-8.4699999999999998E-2"/>
        <n v="-0.01"/>
        <n v="-5.1700000000000003E-2"/>
        <n v="1.24E-2"/>
        <n v="-0.29299999999999998"/>
        <n v="1.01E-2"/>
        <n v="-0.1739"/>
        <n v="2.92E-2"/>
        <n v="-0.1011"/>
        <n v="-5.5599999999999997E-2"/>
        <n v="-2.5100000000000001E-2"/>
        <n v="-3.0200000000000001E-2"/>
        <n v="-5.0099999999999999E-2"/>
        <n v="-7.0800000000000002E-2"/>
        <n v="8.8999999999999999E-3"/>
        <n v="-6.7299999999999999E-2"/>
        <n v="-1.7399999999999999E-2"/>
        <n v="7.3599999999999999E-2"/>
        <n v="-2.24E-2"/>
        <n v="-5.04E-2"/>
        <n v="-4.2799999999999998E-2"/>
        <n v="2.3300000000000001E-2"/>
        <n v="-7.3300000000000004E-2"/>
        <n v="-0.19939999999999999"/>
        <n v="1.18E-2"/>
        <n v="1.09E-2"/>
        <n v="-1.2800000000000001E-2"/>
        <n v="-0.20599999999999999"/>
        <n v="-5.1200000000000002E-2"/>
        <n v="-6.7500000000000004E-2"/>
        <n v="-0.10349999999999999"/>
        <n v="7.6100000000000001E-2"/>
        <n v="-3.9699999999999999E-2"/>
        <n v="-6.4799999999999996E-2"/>
        <n v="-1.03E-2"/>
        <n v="5.7999999999999996E-3"/>
        <n v="-1.44E-2"/>
        <n v="-0.10829999999999999"/>
        <n v="-9.4700000000000006E-2"/>
        <n v="-0.1363"/>
        <n v="-0.43"/>
        <n v="-0.37769999999999998"/>
        <n v="-0.12429999999999999"/>
        <n v="-0.2185"/>
        <n v="-3.8600000000000002E-2"/>
        <n v="-5.8799999999999998E-2"/>
        <n v="-2.7699999999999999E-2"/>
        <n v="-0.1026"/>
        <n v="-5.2900000000000003E-2"/>
        <n v="-6.8599999999999994E-2"/>
        <n v="-0.16850000000000001"/>
        <n v="5.9999999999999995E-4"/>
        <n v="-4.2900000000000001E-2"/>
        <n v="-8.7300000000000003E-2"/>
        <n v="-0.16250000000000001"/>
        <n v="-4.1999999999999997E-3"/>
        <n v="-0.1167"/>
        <n v="-0.1028"/>
        <n v="-8.09E-2"/>
        <n v="-3.1099999999999999E-2"/>
        <n v="-7.9100000000000004E-2"/>
        <n v="-5.3800000000000001E-2"/>
        <n v="-5.3100000000000001E-2"/>
        <n v="-0.40179999999999999"/>
        <n v="-0.10639999999999999"/>
        <n v="-3.27E-2"/>
        <n v="-7.7999999999999996E-3"/>
        <n v="-1.17E-2"/>
        <n v="2.47E-2"/>
        <n v="-4.3999999999999997E-2"/>
        <n v="-2.69E-2"/>
        <n v="-6.7799999999999999E-2"/>
        <n v="-0.24970000000000001"/>
        <n v="-1.1299999999999999E-2"/>
        <n v="-0.10580000000000001"/>
        <n v="2.5600000000000001E-2"/>
        <n v="-3.9800000000000002E-2"/>
        <n v="3.56E-2"/>
        <n v="-0.1234"/>
        <n v="-3.1600000000000003E-2"/>
        <n v="-0.14280000000000001"/>
        <n v="3.1600000000000003E-2"/>
        <n v="-0.23219999999999999"/>
        <n v="-5.3999999999999999E-2"/>
        <n v="7.7700000000000005E-2"/>
        <n v="-5.2699999999999997E-2"/>
        <n v="-3.2899999999999999E-2"/>
        <n v="4.5999999999999999E-3"/>
        <n v="-5.1900000000000002E-2"/>
        <n v="2.3400000000000001E-2"/>
        <n v="-0.31580000000000003"/>
        <n v="-2.2100000000000002E-2"/>
        <n v="2.24E-2"/>
        <n v="-1.3899999999999999E-2"/>
        <n v="2.5899999999999999E-2"/>
        <n v="-0.159"/>
        <n v="-3.2000000000000002E-3"/>
        <n v="-0.1313"/>
        <n v="4.7E-2"/>
        <n v="1.3299999999999999E-2"/>
        <n v="-8.9800000000000005E-2"/>
        <n v="-4.53E-2"/>
        <n v="-8.1000000000000003E-2"/>
        <n v="-7.2400000000000006E-2"/>
        <n v="-9.7699999999999995E-2"/>
        <n v="-0.14460000000000001"/>
        <n v="3.5400000000000001E-2"/>
        <n v="-9.4999999999999998E-3"/>
        <n v="-0.1719"/>
        <n v="-8.9999999999999998E-4"/>
        <n v="2.0299999999999999E-2"/>
        <n v="-3.2000000000000001E-2"/>
        <n v="-2.6200000000000001E-2"/>
        <n v="-0.1522"/>
        <n v="-7.9500000000000001E-2"/>
        <n v="-0.27039999999999997"/>
        <n v="-2.29E-2"/>
        <n v="3.0000000000000001E-3"/>
        <n v="-0.25430000000000003"/>
        <n v="2.5999999999999999E-3"/>
        <n v="-4.0300000000000002E-2"/>
        <n v="-0.28299999999999997"/>
        <n v="6.9699999999999998E-2"/>
        <n v="-0.29649999999999999"/>
        <n v="-7.3899999999999993E-2"/>
        <n v="-3.9199999999999999E-2"/>
        <n v="-2.9000000000000001E-2"/>
        <n v="-3.0000000000000001E-3"/>
        <n v="2.8299999999999999E-2"/>
        <n v="-0.33479999999999999"/>
        <n v="-4.5499999999999999E-2"/>
        <n v="-6.8900000000000003E-2"/>
        <n v="-0.25209999999999999"/>
        <n v="4.6100000000000002E-2"/>
        <n v="-0.34320000000000001"/>
        <n v="-1.0200000000000001E-2"/>
        <n v="6.3100000000000003E-2"/>
        <n v="-8.3400000000000002E-2"/>
        <n v="-4.8300000000000003E-2"/>
        <n v="0.16270000000000001"/>
        <n v="-4.4400000000000002E-2"/>
        <n v="-0.16589999999999999"/>
        <n v="-7.5700000000000003E-2"/>
        <n v="-9.5299999999999996E-2"/>
        <n v="-4.99E-2"/>
        <n v="-2.47E-2"/>
        <n v="-0.1062"/>
        <n v="0.10589999999999999"/>
        <n v="-1.67E-2"/>
        <n v="-2.7799999999999998E-2"/>
        <n v="-7.7799999999999994E-2"/>
        <n v="1.12E-2"/>
        <n v="-5.3400000000000003E-2"/>
        <n v="-7.7200000000000005E-2"/>
        <n v="-3.4799999999999998E-2"/>
        <n v="3.5999999999999999E-3"/>
        <n v="5.1999999999999998E-3"/>
        <n v="-6.5199999999999994E-2"/>
        <n v="7.4000000000000003E-3"/>
        <n v="-5.0900000000000001E-2"/>
        <n v="-7.7299999999999994E-2"/>
        <n v="-0.1409"/>
        <n v="-4.2099999999999999E-2"/>
        <n v="-2.63E-2"/>
        <n v="-0.6603"/>
        <n v="-4.4200000000000003E-2"/>
        <n v="-4.0800000000000003E-2"/>
        <n v="6.0100000000000001E-2"/>
        <n v="-5.21E-2"/>
        <n v="-3.5400000000000001E-2"/>
        <n v="-0.2767"/>
        <n v="-0.21590000000000001"/>
        <n v="3.8600000000000002E-2"/>
        <n v="4.7000000000000002E-3"/>
        <n v="-9.6100000000000005E-2"/>
        <n v="-5.8200000000000002E-2"/>
        <n v="-0.27810000000000001"/>
        <n v="-5.6800000000000003E-2"/>
        <n v="-2.46E-2"/>
        <n v="-0.02"/>
        <n v="3.2899999999999999E-2"/>
        <n v="-0.32829999999999998"/>
        <n v="-4.7000000000000002E-3"/>
        <n v="-3.8399999999999997E-2"/>
        <n v="-0.26850000000000002"/>
        <n v="-1.35E-2"/>
        <n v="-3.61E-2"/>
        <n v="-5.2200000000000003E-2"/>
        <n v="1.3899999999999999E-2"/>
        <n v="-1.78E-2"/>
        <n v="-3.1800000000000002E-2"/>
        <n v="-4.9700000000000001E-2"/>
        <n v="-2.7400000000000001E-2"/>
        <n v="-1.47E-2"/>
        <n v="4.4000000000000003E-3"/>
        <n v="1.9099999999999999E-2"/>
        <n v="1.17E-2"/>
        <n v="-1.9599999999999999E-2"/>
        <n v="-0.1381"/>
        <n v="-7.7000000000000002E-3"/>
        <n v="-9.0300000000000005E-2"/>
        <n v="-1.4800000000000001E-2"/>
        <n v="-0.18970000000000001"/>
        <n v="-3.7900000000000003E-2"/>
        <n v="1.2800000000000001E-2"/>
        <n v="-1.52E-2"/>
        <n v="5.7000000000000002E-3"/>
        <n v="0.18859999999999999"/>
        <n v="3.7000000000000002E-3"/>
        <n v="-1.9E-3"/>
        <n v="-3.1199999999999999E-2"/>
        <n v="-0.12959999999999999"/>
        <n v="-3.0099999999999998E-2"/>
        <n v="-4.5699999999999998E-2"/>
        <n v="-6.9400000000000003E-2"/>
        <n v="-4.5100000000000001E-2"/>
        <n v="-3.6299999999999999E-2"/>
        <n v="-4.4299999999999999E-2"/>
        <n v="-0.1784"/>
        <n v="1.8700000000000001E-2"/>
        <n v="-7.4000000000000003E-3"/>
        <n v="-6.8000000000000005E-2"/>
        <n v="-8.4599999999999995E-2"/>
        <n v="-2.3E-2"/>
        <n v="-7.8899999999999998E-2"/>
        <n v="7.6200000000000004E-2"/>
        <n v="-0.14480000000000001"/>
        <n v="1.6400000000000001E-2"/>
        <n v="-8.4099999999999994E-2"/>
        <n v="-1.29E-2"/>
        <n v="-4.1500000000000002E-2"/>
        <n v="-7.4899999999999994E-2"/>
        <n v="-2.7000000000000001E-3"/>
        <n v="5.1700000000000003E-2"/>
        <n v="-0.26910000000000001"/>
        <n v="-4.0899999999999999E-2"/>
        <n v="4.4999999999999997E-3"/>
        <n v="-3.2099999999999997E-2"/>
        <n v="9.5899999999999999E-2"/>
        <n v="-0.2424"/>
        <n v="-2.2499999999999999E-2"/>
        <n v="-1.18E-2"/>
        <n v="0.1391"/>
        <n v="-1.1900000000000001E-2"/>
        <n v="-1E-3"/>
        <n v="-6.4399999999999999E-2"/>
        <n v="-6.9099999999999995E-2"/>
        <n v="-0.36909999999999998"/>
        <n v="-2.76E-2"/>
        <n v="-7.46E-2"/>
        <n v="-4.0599999999999997E-2"/>
        <n v="-0.18410000000000001"/>
        <n v="-3.4099999999999998E-2"/>
        <n v="-5.1000000000000004E-3"/>
        <n v="-1.54E-2"/>
        <n v="-7.4999999999999997E-3"/>
        <n v="1.9E-3"/>
        <n v="-0.1764"/>
        <n v="-5.1999999999999998E-3"/>
        <n v="-8.3000000000000001E-3"/>
        <n v="-2.3E-3"/>
        <n v="-8.8200000000000001E-2"/>
        <n v="-0.12039999999999999"/>
        <n v="-0.13089999999999999"/>
        <n v="1.8200000000000001E-2"/>
        <n v="-7.8700000000000006E-2"/>
        <n v="-1.7100000000000001E-2"/>
        <n v="3.7900000000000003E-2"/>
        <n v="-4.0000000000000001E-3"/>
        <n v="-0.13070000000000001"/>
        <n v="-0.14879999999999999"/>
        <n v="4.53E-2"/>
        <n v="-0.18229999999999999"/>
        <n v="1.2699999999999999E-2"/>
        <n v="-1.4500000000000001E-2"/>
        <n v="0.40949999999999998"/>
        <n v="-0.1462"/>
        <n v="-6.1199999999999997E-2"/>
        <n v="-6.93E-2"/>
        <n v="-4.58E-2"/>
        <n v="-6.54E-2"/>
        <n v="-8.2400000000000001E-2"/>
        <n v="-3.04E-2"/>
        <n v="0.06"/>
        <n v="-0.19109999999999999"/>
        <n v="1.04E-2"/>
        <n v="-0.16259999999999999"/>
        <n v="5.4999999999999997E-3"/>
        <n v="-0.12870000000000001"/>
        <n v="-9.4399999999999998E-2"/>
        <n v="2.7099999999999999E-2"/>
        <n v="-4.65E-2"/>
        <n v="-1.4E-2"/>
        <n v="-3.2500000000000001E-2"/>
        <n v="-0.16159999999999999"/>
        <n v="-0.184"/>
        <n v="-0.30070000000000002"/>
        <n v="1.5299999999999999E-2"/>
        <n v="-0.15379999999999999"/>
        <n v="-9.2899999999999996E-2"/>
        <n v="-0.1144"/>
        <n v="-1.1599999999999999E-2"/>
        <n v="-1.6E-2"/>
        <n v="7.0099999999999996E-2"/>
        <n v="-2.3400000000000001E-2"/>
        <n v="-0.1072"/>
        <n v="-3.1399999999999997E-2"/>
        <n v="-0.48559999999999998"/>
        <n v="-6.0499999999999998E-2"/>
        <n v="-0.15479999999999999"/>
        <n v="-8.1100000000000005E-2"/>
        <n v="-6.3E-3"/>
        <n v="7.1999999999999998E-3"/>
        <n v="3.2599999999999997E-2"/>
        <n v="-8.0199999999999994E-2"/>
        <n v="-3.32E-2"/>
        <n v="-0.215"/>
        <n v="-6.3799999999999996E-2"/>
        <n v="-0.20180000000000001"/>
        <n v="-3.8800000000000001E-2"/>
        <n v="7.9000000000000001E-2"/>
        <n v="-0.2195"/>
        <n v="-0.13769999999999999"/>
        <n v="1.0999999999999999E-2"/>
        <n v="-6.0699999999999997E-2"/>
        <n v="-0.1341"/>
        <n v="-7.9600000000000004E-2"/>
        <n v="4.48E-2"/>
        <n v="3.44E-2"/>
        <n v="-0.22819999999999999"/>
        <n v="-0.26290000000000002"/>
        <n v="-8.7999999999999995E-2"/>
        <n v="-1.8E-3"/>
        <n v="5.91E-2"/>
        <n v="2.3999999999999998E-3"/>
        <n v="-0.10630000000000001"/>
        <n v="2.3E-2"/>
        <n v="-0.19139999999999999"/>
        <n v="-0.35649999999999998"/>
        <n v="-8.5099999999999995E-2"/>
        <n v="-0.26379999999999998"/>
        <n v="-0.39750000000000002"/>
        <n v="-4.48E-2"/>
        <n v="-6.0900000000000003E-2"/>
        <n v="-0.1164"/>
        <n v="-3.2199999999999999E-2"/>
        <n v="-0.13159999999999999"/>
        <n v="-0.24540000000000001"/>
        <n v="-0.1018"/>
        <n v="-1.37E-2"/>
        <n v="-2.41E-2"/>
        <n v="-6.1999999999999998E-3"/>
        <n v="-0.14680000000000001"/>
        <n v="8.0000000000000004E-4"/>
        <n v="-0.2964"/>
        <n v="-0.19570000000000001"/>
        <n v="-1.4E-3"/>
        <n v="-8.9399999999999993E-2"/>
        <n v="-2.8999999999999998E-3"/>
        <n v="-0.1736"/>
        <n v="-5.6099999999999997E-2"/>
        <n v="-0.1585"/>
        <n v="-0.31519999999999998"/>
        <n v="1.1000000000000001E-3"/>
        <n v="-0.1361"/>
        <n v="-7.9000000000000008E-3"/>
        <n v="-9.4600000000000004E-2"/>
        <n v="-8.0500000000000002E-2"/>
        <n v="-7.6999999999999999E-2"/>
        <n v="-5.91E-2"/>
        <n v="-0.19170000000000001"/>
        <n v="-0.21279999999999999"/>
        <n v="2.0999999999999999E-3"/>
        <n v="-1.5599999999999999E-2"/>
        <n v="6.9999999999999999E-4"/>
        <n v="-0.21340000000000001"/>
        <n v="-7.3499999999999996E-2"/>
        <n v="-1.9400000000000001E-2"/>
        <n v="-2.93E-2"/>
        <n v="-0.13550000000000001"/>
        <n v="4.82E-2"/>
        <n v="-4.24E-2"/>
        <n v="-4.8099999999999997E-2"/>
        <n v="-0.2046"/>
        <n v="-0.1069"/>
        <n v="-0.12130000000000001"/>
        <n v="-6.4899999999999999E-2"/>
        <n v="-4.9000000000000002E-2"/>
        <n v="0.12429999999999999"/>
        <n v="-9.4000000000000004E-3"/>
        <n v="-9.6699999999999994E-2"/>
        <n v="-6.7000000000000002E-3"/>
        <n v="-1.2999999999999999E-3"/>
        <n v="-5.5100000000000003E-2"/>
        <n v="-5.8999999999999999E-3"/>
        <n v="-3.0700000000000002E-2"/>
        <n v="-2.2599999999999999E-2"/>
        <n v="-3.7999999999999999E-2"/>
        <n v="-4.4999999999999997E-3"/>
        <n v="-2.5700000000000001E-2"/>
        <n v="-0.3332"/>
        <n v="-0.27050000000000002"/>
        <n v="5.9700000000000003E-2"/>
        <n v="2.6499999999999999E-2"/>
        <n v="-1.9699999999999999E-2"/>
        <n v="-0.17280000000000001"/>
        <n v="-0.1227"/>
        <n v="-6.6E-3"/>
        <n v="-6.7000000000000004E-2"/>
        <n v="-2.8E-3"/>
        <n v="-0.27789999999999998"/>
        <n v="-3.73E-2"/>
        <n v="-3.5000000000000003E-2"/>
        <n v="-0.19869999999999999"/>
        <n v="-0.13880000000000001"/>
        <n v="-0.24610000000000001"/>
        <n v="3.2399999999999998E-2"/>
        <n v="-0.10730000000000001"/>
        <n v="-7.6200000000000004E-2"/>
        <n v="-4.6800000000000001E-2"/>
        <n v="-0.27329999999999999"/>
        <n v="-1.2E-2"/>
        <n v="-3.7699999999999997E-2"/>
        <n v="-4.87E-2"/>
        <n v="-8.6300000000000002E-2"/>
        <n v="3.3799999999999997E-2"/>
        <n v="-0.19070000000000001"/>
        <n v="-0.21149999999999999"/>
        <n v="-2.8400000000000002E-2"/>
        <n v="-2.3999999999999998E-3"/>
        <n v="2.3099999999999999E-2"/>
        <n v="-8.6E-3"/>
        <n v="-0.18079999999999999"/>
        <n v="-0.1237"/>
        <n v="-7.0499999999999993E-2"/>
        <n v="-0.15509999999999999"/>
        <n v="-0.12089999999999999"/>
        <n v="-2.18E-2"/>
        <n v="-2.0199999999999999E-2"/>
        <n v="-4.2700000000000002E-2"/>
        <n v="1.78E-2"/>
        <n v="-3.49E-2"/>
        <n v="3.4000000000000002E-2"/>
        <n v="-0.1295"/>
        <n v="-3.9E-2"/>
        <n v="3.3000000000000002E-2"/>
        <n v="2.5000000000000001E-2"/>
        <n v="-1.9E-2"/>
        <n v="6.7999999999999996E-3"/>
        <n v="-1.55E-2"/>
        <n v="9.3799999999999994E-2"/>
        <n v="-0.17369999999999999"/>
        <n v="-0.1119"/>
        <n v="-2.0899999999999998E-2"/>
        <n v="2.1100000000000001E-2"/>
        <n v="-1.95E-2"/>
        <n v="7.1000000000000004E-3"/>
        <n v="-2.92E-2"/>
        <n v="-8.3999999999999995E-3"/>
        <n v="-9.8900000000000002E-2"/>
        <n v="-5.3199999999999997E-2"/>
        <n v="-2.52E-2"/>
        <n v="-2.1999999999999999E-2"/>
        <n v="-0.22950000000000001"/>
        <n v="-0.35510000000000003"/>
        <n v="-0.2382"/>
        <n v="-0.59099999999999997"/>
        <n v="1.52E-2"/>
        <n v="-0.26329999999999998"/>
        <n v="-0.104"/>
        <n v="-2.1299999999999999E-2"/>
        <n v="-0.16"/>
        <n v="-1.66E-2"/>
        <n v="-6.1499999999999999E-2"/>
        <n v="-8.1500000000000003E-2"/>
        <n v="-4.0099999999999997E-2"/>
        <n v="-2.0500000000000001E-2"/>
        <n v="-2.1899999999999999E-2"/>
        <n v="-2.4199999999999999E-2"/>
        <n v="-9.0499999999999997E-2"/>
        <n v="-2.6499999999999999E-2"/>
        <n v="-0.17949999999999999"/>
        <n v="-2.07E-2"/>
        <n v="2.4799999999999999E-2"/>
        <n v="-0.17699999999999999"/>
        <n v="-1.2500000000000001E-2"/>
        <n v="-1.9199999999999998E-2"/>
        <n v="5.4000000000000003E-3"/>
        <n v="-7.6700000000000004E-2"/>
        <n v="-3.3599999999999998E-2"/>
        <n v="1.54E-2"/>
        <n v="-0.20039999999999999"/>
        <n v="4.2099999999999999E-2"/>
        <n v="-0.17380000000000001"/>
        <n v="-0.1305"/>
        <n v="-1.5800000000000002E-2"/>
        <n v="-0.18179999999999999"/>
        <n v="-0.12809999999999999"/>
        <n v="1.6899999999999998E-2"/>
        <n v="-7.7600000000000002E-2"/>
        <n v="-5.3600000000000002E-2"/>
        <n v="-8.3599999999999994E-2"/>
        <n v="-8.2699999999999996E-2"/>
        <n v="-3.95E-2"/>
        <n v="-8.5000000000000006E-3"/>
        <n v="-5.7099999999999998E-2"/>
        <n v="1.7399999999999999E-2"/>
        <n v="-0.1633"/>
        <n v="2.3199999999999998E-2"/>
        <n v="9.4999999999999998E-3"/>
        <n v="-4.8500000000000001E-2"/>
        <n v="-0.1053"/>
        <n v="8.5000000000000006E-2"/>
        <n v="-2.87E-2"/>
        <n v="-0.13289999999999999"/>
        <n v="-0.20810000000000001"/>
        <n v="-0.13589999999999999"/>
        <n v="-1.01E-2"/>
        <n v="-1.11E-2"/>
        <n v="-7.7100000000000002E-2"/>
        <n v="-1.0800000000000001E-2"/>
        <n v="-0.13539999999999999"/>
        <n v="-0.1134"/>
        <n v="-5.33E-2"/>
        <n v="-0.26540000000000002"/>
        <n v="-6.4199999999999993E-2"/>
        <n v="-8.5400000000000004E-2"/>
        <n v="-0.1804"/>
        <n v="-0.109"/>
        <n v="-9.7000000000000003E-3"/>
        <n v="-4.7199999999999999E-2"/>
        <n v="-0.1066"/>
        <n v="3.6999999999999998E-2"/>
        <n v="-8.6999999999999994E-3"/>
        <n v="-0.15440000000000001"/>
        <n v="-0.08"/>
        <n v="-0.1137"/>
        <n v="-3.7600000000000001E-2"/>
        <n v="-8.0000000000000002E-3"/>
        <n v="6.7000000000000002E-3"/>
        <n v="-4.3499999999999997E-2"/>
        <n v="-3.8E-3"/>
        <n v="-0.1489"/>
        <n v="-2.53E-2"/>
        <n v="-0.11360000000000001"/>
        <n v="-0.2838"/>
        <n v="-0.1875"/>
        <n v="-3.5200000000000002E-2"/>
        <n v="-0.1077"/>
        <n v="1.2E-2"/>
        <n v="-1.4999999999999999E-2"/>
        <n v="-0.14749999999999999"/>
        <n v="-3.4599999999999999E-2"/>
        <n v="-7.51E-2"/>
        <n v="3.9100000000000003E-2"/>
        <n v="-0.4052"/>
        <n v="3.6200000000000003E-2"/>
        <n v="-2.5399999999999999E-2"/>
        <n v="-4.3E-3"/>
        <n v="-7.0300000000000001E-2"/>
        <n v="-2.0400000000000001E-2"/>
        <n v="-2.1000000000000001E-2"/>
        <n v="2.2800000000000001E-2"/>
        <n v="4.5699999999999998E-2"/>
        <n v="-0.20580000000000001"/>
        <n v="-0.4304"/>
        <n v="-4.0399999999999998E-2"/>
        <n v="2.1999999999999999E-2"/>
        <n v="-1.2999999999999999E-2"/>
        <n v="-0.47670000000000001"/>
        <n v="5.3800000000000001E-2"/>
        <n v="-0.1709"/>
        <n v="-6.3700000000000007E-2"/>
        <n v="3.8E-3"/>
        <n v="-7.0699999999999999E-2"/>
        <n v="-1.89E-2"/>
        <n v="0.3644"/>
        <n v="-5.0200000000000002E-2"/>
        <n v="-0.1615"/>
        <n v="-8.8499999999999995E-2"/>
        <n v="8.9999999999999998E-4"/>
        <n v="-0.23050000000000001"/>
        <n v="-6.0299999999999999E-2"/>
        <n v="4.1399999999999999E-2"/>
        <n v="-7.2700000000000001E-2"/>
        <n v="-6.2199999999999998E-2"/>
        <n v="-0.10979999999999999"/>
        <n v="-2.0000000000000001E-4"/>
        <n v="2.06E-2"/>
        <n v="-4.5999999999999999E-3"/>
        <n v="-0.25519999999999998"/>
        <n v="-0.1416"/>
        <n v="-0.15620000000000001"/>
        <n v="3.9300000000000002E-2"/>
        <n v="-6.0100000000000001E-2"/>
        <n v="-0.45350000000000001"/>
        <n v="-1.9099999999999999E-2"/>
        <n v="2.3699999999999999E-2"/>
        <n v="6.8999999999999999E-3"/>
        <n v="-5.7500000000000002E-2"/>
        <n v="-3.56E-2"/>
        <n v="-1.14E-2"/>
        <n v="-6.6000000000000003E-2"/>
        <n v="-4.3200000000000002E-2"/>
        <n v="-0.39739999999999998"/>
        <n v="-9.4200000000000006E-2"/>
        <n v="-2.01E-2"/>
        <n v="-0.2172"/>
        <n v="-1.7600000000000001E-2"/>
        <n v="-0.1239"/>
        <n v="-0.1162"/>
        <n v="-8.9200000000000002E-2"/>
        <n v="-0.29420000000000002"/>
        <n v="-7.8399999999999997E-2"/>
        <n v="-4.7800000000000002E-2"/>
        <n v="-9.5999999999999992E-3"/>
        <n v="-7.6E-3"/>
        <n v="-6.8099999999999994E-2"/>
        <n v="-5.4300000000000001E-2"/>
        <n v="-0.13250000000000001"/>
        <n v="-0.36299999999999999"/>
        <n v="5.1000000000000004E-3"/>
        <n v="-0.1061"/>
        <n v="1.6799999999999999E-2"/>
        <n v="-9.1999999999999998E-3"/>
        <n v="-2.5600000000000001E-2"/>
        <n v="-6.7599999999999993E-2"/>
        <n v="-0.15670000000000001"/>
        <n v="-0.1245"/>
        <n v="4.3299999999999998E-2"/>
        <n v="-3.5099999999999999E-2"/>
        <n v="-5.3699999999999998E-2"/>
        <n v="-0.25969999999999999"/>
        <n v="-6.7400000000000002E-2"/>
        <n v="-1.23E-2"/>
        <n v="-0.1817"/>
        <n v="-6.2100000000000002E-2"/>
        <n v="-0.25409999999999999"/>
        <n v="-0.25330000000000003"/>
        <n v="-1.83E-2"/>
        <n v="-2.8299999999999999E-2"/>
        <n v="-2.7E-2"/>
        <n v="-3.2599999999999997E-2"/>
        <n v="-0.1772"/>
        <n v="-8.6599999999999996E-2"/>
        <n v="-3.3E-3"/>
        <n v="1.0871999999999999"/>
        <n v="-0.1002"/>
        <n v="-7.0000000000000001E-3"/>
        <n v="-2.58E-2"/>
        <n v="-0.15210000000000001"/>
        <n v="-5.96E-2"/>
        <n v="-0.12770000000000001"/>
        <n v="-1.6799999999999999E-2"/>
        <n v="-8.9999999999999993E-3"/>
        <n v="0.1648"/>
        <n v="-0.19289999999999999"/>
        <n v="-2.5499999999999998E-2"/>
        <n v="1.11E-2"/>
        <n v="-0.1825"/>
        <n v="-9.2799999999999994E-2"/>
        <n v="-0.224"/>
        <n v="-8.9700000000000002E-2"/>
        <n v="-6.7100000000000007E-2"/>
        <n v="1.2999999999999999E-2"/>
        <n v="-0.45829999999999999"/>
        <n v="7.6E-3"/>
        <n v="6.2700000000000006E-2"/>
        <n v="-3.4500000000000003E-2"/>
        <n v="1.14E-2"/>
        <n v="-3.5299999999999998E-2"/>
        <n v="-9.35E-2"/>
        <n v="-0.31890000000000002"/>
        <n v="-0.1125"/>
        <n v="-9.3899999999999997E-2"/>
        <n v="-2.9100000000000001E-2"/>
        <n v="-0.14399999999999999"/>
        <n v="-1.5E-3"/>
        <n v="1.7500000000000002E-2"/>
        <n v="-2.4500000000000001E-2"/>
        <n v="7.7999999999999996E-3"/>
        <n v="-8.5900000000000004E-2"/>
        <n v="-0.14649999999999999"/>
        <n v="1.1900000000000001E-2"/>
        <n v="-0.127"/>
        <n v="-7.0099999999999996E-2"/>
        <n v="-0.1666"/>
        <n v="0.1166"/>
        <n v="-0.121"/>
        <n v="-4.0000000000000002E-4"/>
        <n v="-1.15E-2"/>
        <n v="-9.7100000000000006E-2"/>
        <n v="-0.155"/>
        <n v="-0.10929999999999999"/>
        <n v="-8.0999999999999996E-3"/>
        <n v="-6.2899999999999998E-2"/>
        <n v="-0.1048"/>
        <n v="-0.10299999999999999"/>
        <n v="9.1000000000000004E-3"/>
        <n v="-9.7299999999999998E-2"/>
        <n v="0.12709999999999999"/>
        <n v="-0.30890000000000001"/>
        <n v="-4.5999999999999999E-2"/>
        <n v="-1.8200000000000001E-2"/>
        <n v="-0.16500000000000001"/>
        <n v="-0.26479999999999998"/>
        <n v="-6.4299999999999996E-2"/>
        <n v="-0.41120000000000001"/>
        <n v="-0.49109999999999998"/>
        <n v="-0.28110000000000002"/>
        <n v="-0.18440000000000001"/>
        <n v="-1.6500000000000001E-2"/>
        <n v="-1.7000000000000001E-2"/>
        <n v="-1.12E-2"/>
        <n v="-9.9000000000000005E-2"/>
        <n v="-0.1575"/>
        <n v="-1.21E-2"/>
        <n v="-0.18579999999999999"/>
        <n v="2.8E-3"/>
        <n v="-7.8200000000000006E-2"/>
        <n v="-2.1600000000000001E-2"/>
        <n v="-7.4300000000000005E-2"/>
        <n v="8.6E-3"/>
        <n v="-1.9800000000000002E-2"/>
        <n v="6.4999999999999997E-3"/>
        <n v="-0.17050000000000001"/>
        <n v="-5.6399999999999999E-2"/>
        <n v="0.14729999999999999"/>
        <n v="-0.23580000000000001"/>
        <n v="-0.26050000000000001"/>
        <n v="-8.3000000000000004E-2"/>
        <n v="-3.7400000000000003E-2"/>
        <n v="1.9900000000000001E-2"/>
        <n v="-2.23E-2"/>
        <n v="1.03E-2"/>
        <n v="3.4200000000000001E-2"/>
        <n v="0.46100000000000002"/>
        <n v="-4.2000000000000003E-2"/>
        <n v="6.6900000000000001E-2"/>
        <n v="-0.1108"/>
        <n v="-0.12609999999999999"/>
        <n v="-1.6299999999999999E-2"/>
        <n v="2.6700000000000002E-2"/>
        <n v="-0.22109999999999999"/>
        <n v="1.21E-2"/>
        <n v="-0.1033"/>
        <n v="-0.22170000000000001"/>
        <n v="-6.1600000000000002E-2"/>
        <n v="0.113"/>
        <n v="-8.0100000000000005E-2"/>
        <n v="-0.1439"/>
        <n v="-0.21049999999999999"/>
        <n v="-0.1661"/>
        <n v="-9.1600000000000001E-2"/>
        <n v="2.8799999999999999E-2"/>
        <n v="-4.7500000000000001E-2"/>
        <n v="-0.35549999999999998"/>
        <n v="-5.0799999999999998E-2"/>
        <n v="-4.8800000000000003E-2"/>
        <n v="2.5499999999999998E-2"/>
        <n v="-0.24060000000000001"/>
        <n v="1.47E-2"/>
        <n v="1.6000000000000001E-3"/>
        <n v="1.44E-2"/>
        <n v="3.6700000000000003E-2"/>
        <n v="-0.28220000000000001"/>
        <n v="-7.5899999999999995E-2"/>
        <n v="-0.1807"/>
        <n v="-0.1065"/>
        <n v="-0.34860000000000002"/>
        <n v="-3.5499999999999997E-2"/>
        <n v="7.5600000000000001E-2"/>
        <n v="8.2600000000000007E-2"/>
        <n v="-2.12E-2"/>
        <n v="-6.3E-2"/>
        <n v="-0.1042"/>
        <n v="-0.18140000000000001"/>
        <n v="-3.8300000000000001E-2"/>
        <n v="1.5800000000000002E-2"/>
        <n v="-0.15759999999999999"/>
        <n v="-0.20469999999999999"/>
        <n v="4.0000000000000001E-3"/>
        <n v="9.1399999999999995E-2"/>
        <n v="-1.4200000000000001E-2"/>
        <n v="-4.4900000000000002E-2"/>
        <n v="1.8499999999999999E-2"/>
        <n v="-0.2074"/>
        <n v="-0.35310000000000002"/>
        <n v="-0.21329999999999999"/>
        <n v="-2.98E-2"/>
        <n v="4.1000000000000003E-3"/>
        <n v="-5.0000000000000001E-3"/>
        <n v="-0.24349999999999999"/>
        <n v="-7.3000000000000001E-3"/>
        <n v="-0.2349"/>
        <n v="-0.2258"/>
        <n v="6.2E-2"/>
        <n v="4.3900000000000002E-2"/>
        <n v="5.8000000000000003E-2"/>
        <n v="-0.27550000000000002"/>
        <n v="-0.10589999999999999"/>
        <n v="-0.39119999999999999"/>
        <n v="-0.2535"/>
        <n v="-7.1999999999999998E-3"/>
        <n v="-8.0799999999999997E-2"/>
        <n v="-5.4000000000000003E-3"/>
        <n v="1.49E-2"/>
        <n v="9.9000000000000008E-3"/>
        <n v="-4.2599999999999999E-2"/>
        <n v="-7.6399999999999996E-2"/>
        <n v="-0.21110000000000001"/>
        <n v="2E-3"/>
        <n v="-6.4500000000000002E-2"/>
        <n v="4.4699999999999997E-2"/>
        <n v="-0.15029999999999999"/>
        <n v="-1.8700000000000001E-2"/>
        <n v="-3.85E-2"/>
        <n v="-8.3699999999999997E-2"/>
        <n v="5.8400000000000001E-2"/>
        <n v="0.85599999999999998"/>
        <n v="-0.26939999999999997"/>
        <n v="-4.7E-2"/>
        <n v="-7.9399999999999998E-2"/>
        <n v="1.38E-2"/>
        <n v="-0.114"/>
        <n v="0.1217"/>
        <n v="-3.8899999999999997E-2"/>
        <n v="1E-4"/>
        <n v="-0.15140000000000001"/>
        <n v="-0.22259999999999999"/>
        <n v="-4.8999999999999998E-3"/>
        <n v="-0.33550000000000002"/>
        <n v="-0.2268"/>
        <n v="-4.5900000000000003E-2"/>
        <n v="-5.2600000000000001E-2"/>
        <n v="-5.4800000000000001E-2"/>
        <n v="-0.26790000000000003"/>
        <n v="-0.27"/>
        <n v="2.64E-2"/>
        <n v="-6.2300000000000001E-2"/>
        <n v="-2.4899999999999999E-2"/>
        <n v="4.6800000000000001E-2"/>
        <n v="-8.2900000000000001E-2"/>
        <n v="-0.2104"/>
        <n v="-0.21260000000000001"/>
        <n v="-6.6199999999999995E-2"/>
        <n v="-0.2208"/>
        <n v="6.5000000000000002E-2"/>
        <n v="-1.06E-2"/>
        <n v="0.99629999999999996"/>
        <n v="-0.35849999999999999"/>
        <n v="-0.51700000000000002"/>
        <n v="-0.31990000000000002"/>
        <n v="-0.22370000000000001"/>
        <n v="-9.8100000000000007E-2"/>
        <n v="3.9800000000000002E-2"/>
        <n v="-1.77E-2"/>
        <n v="-0.2203"/>
        <n v="-0.1086"/>
        <n v="-1.0999999999999999E-2"/>
        <n v="-7.9000000000000001E-2"/>
        <n v="8.0999999999999996E-3"/>
        <n v="-0.16750000000000001"/>
        <n v="-0.3947"/>
        <n v="-2.8500000000000001E-2"/>
        <n v="-7.1999999999999995E-2"/>
        <n v="-2.2700000000000001E-2"/>
        <n v="3.8899999999999997E-2"/>
        <n v="-5.8700000000000002E-2"/>
        <n v="-0.1696"/>
        <n v="-0.2702"/>
        <n v="1.15E-2"/>
        <n v="-0.31219999999999998"/>
        <n v="-0.16170000000000001"/>
        <n v="-0.10150000000000001"/>
        <n v="-0.25740000000000002"/>
        <n v="-0.1104"/>
        <n v="-9.6500000000000002E-2"/>
        <n v="-8.2000000000000007E-3"/>
        <n v="-9.9199999999999997E-2"/>
        <n v="1.7899999999999999E-2"/>
        <n v="-0.217"/>
        <n v="-0.1288"/>
        <n v="-0.46860000000000002"/>
        <n v="-8.7099999999999997E-2"/>
        <n v="5.7799999999999997E-2"/>
        <n v="3.6600000000000001E-2"/>
        <n v="-0.16009999999999999"/>
        <n v="6.0499999999999998E-2"/>
        <n v="-0.1358"/>
        <n v="-7.5499999999999998E-2"/>
        <n v="-2.3199999999999998E-2"/>
        <n v="-0.2455"/>
        <n v="-0.40570000000000001"/>
        <n v="-7.5600000000000001E-2"/>
        <n v="-1.7299999999999999E-2"/>
        <n v="-0.23830000000000001"/>
        <n v="-9.7000000000000003E-2"/>
        <n v="-6.6500000000000004E-2"/>
        <n v="-6.1699999999999998E-2"/>
        <n v="-3.2399999999999998E-2"/>
        <n v="-0.48449999999999999"/>
        <n v="-0.4103"/>
        <n v="-6.2700000000000006E-2"/>
        <n v="-0.4723"/>
        <n v="-0.31059999999999999"/>
        <n v="-0.14760000000000001"/>
        <n v="-6.6799999999999998E-2"/>
        <n v="-0.14369999999999999"/>
        <n v="-0.1135"/>
        <n v="-4.6600000000000003E-2"/>
        <n v="-5.1400000000000001E-2"/>
        <n v="-0.29559999999999997"/>
        <n v="-0.30609999999999998"/>
        <n v="1.61E-2"/>
        <n v="-5.7999999999999996E-3"/>
        <n v="3.3999999999999998E-3"/>
        <n v="-0.18679999999999999"/>
        <n v="-0.28839999999999999"/>
        <n v="4.8999999999999998E-3"/>
        <n v="-0.41439999999999999"/>
        <n v="-7.1000000000000004E-3"/>
        <n v="3.0599999999999999E-2"/>
        <n v="-0.17"/>
        <n v="-7.1599999999999997E-2"/>
        <n v="-0.1172"/>
        <n v="3.8999999999999998E-3"/>
        <n v="-0.19259999999999999"/>
        <n v="-0.23100000000000001"/>
        <n v="-8.2799999999999999E-2"/>
        <n v="-0.1153"/>
        <n v="-0.36349999999999999"/>
        <n v="-5.9700000000000003E-2"/>
        <n v="-4.6300000000000001E-2"/>
        <n v="-0.18290000000000001"/>
        <n v="3.8300000000000001E-2"/>
        <n v="0.31680000000000003"/>
        <n v="4.7500000000000001E-2"/>
        <n v="-2.2200000000000001E-2"/>
        <n v="-1.6199999999999999E-2"/>
        <n v="-3.9100000000000003E-2"/>
        <n v="-0.17330000000000001"/>
        <n v="-0.28179999999999999"/>
        <n v="3.1199999999999999E-2"/>
        <n v="-0.26569999999999999"/>
        <n v="-0.24160000000000001"/>
        <n v="-0.29470000000000002"/>
        <n v="-7.4999999999999997E-2"/>
        <n v="-0.18740000000000001"/>
        <n v="-0.21859999999999999"/>
        <n v="-0.17649999999999999"/>
        <n v="-2.7099999999999999E-2"/>
        <n v="-0.1149"/>
        <n v="-0.38800000000000001"/>
        <n v="-0.2001"/>
        <n v="-4.1599999999999998E-2"/>
        <n v="-0.26829999999999998"/>
        <n v="-6.4999999999999997E-3"/>
        <n v="-1.0699999999999999E-2"/>
        <n v="-5.2299999999999999E-2"/>
        <n v="-0.19600000000000001"/>
        <n v="-0.33600000000000002"/>
        <n v="-0.1081"/>
        <n v="6.9400000000000003E-2"/>
        <n v="-0.13780000000000001"/>
        <n v="-2.3900000000000001E-2"/>
        <n v="-9.2100000000000001E-2"/>
        <n v="-7.0599999999999996E-2"/>
        <n v="1.06E-2"/>
        <n v="-1.3100000000000001E-2"/>
        <n v="-0.15040000000000001"/>
        <n v="-0.3836"/>
        <n v="-0.26500000000000001"/>
        <n v="-6.4600000000000005E-2"/>
        <n v="-0.19400000000000001"/>
        <n v="-0.2223"/>
        <n v="-0.19220000000000001"/>
        <n v="-0.50390000000000001"/>
        <n v="-4.19E-2"/>
        <n v="-0.1502"/>
        <n v="5.9299999999999999E-2"/>
        <n v="-0.1386"/>
        <n v="-0.18010000000000001"/>
        <n v="-5.6599999999999998E-2"/>
        <n v="-0.13689999999999999"/>
        <n v="0.69420000000000004"/>
        <n v="-0.26269999999999999"/>
        <n v="-0.25080000000000002"/>
        <n v="-0.55789999999999995"/>
        <n v="-0.20349999999999999"/>
        <n v="-0.31209999999999999"/>
        <n v="-0.31659999999999999"/>
        <n v="-0.25819999999999999"/>
        <n v="-0.13930000000000001"/>
        <n v="-0.1056"/>
        <n v="1.4E-3"/>
        <n v="-0.2094"/>
        <n v="-0.1394"/>
        <n v="-0.14729999999999999"/>
        <n v="-0.40699999999999997"/>
        <n v="-0.2364"/>
        <n v="-7.9299999999999995E-2"/>
        <n v="-3.7000000000000002E-3"/>
        <n v="1.1999999999999999E-3"/>
        <n v="4.58E-2"/>
        <n v="0"/>
        <n v="-0.22739999999999999"/>
        <n v="-0.98670000000000002"/>
        <n v="-2.7900000000000001E-2"/>
        <n v="1.6E-2"/>
        <n v="-0.42559999999999998"/>
        <n v="-0.18779999999999999"/>
        <n v="-0.30780000000000002"/>
        <n v="-0.29020000000000001"/>
        <n v="3.5799999999999998E-2"/>
        <n v="-9.7999999999999997E-3"/>
        <n v="3.5700000000000003E-2"/>
        <n v="-2.9399999999999999E-2"/>
        <n v="-0.34310000000000002"/>
        <n v="0.1123"/>
        <n v="-5.74E-2"/>
        <n v="-0.33729999999999999"/>
        <n v="0.4113"/>
        <n v="6.2899999999999998E-2"/>
        <n v="7.7499999999999999E-2"/>
        <n v="0.17100000000000001"/>
        <n v="0.40570000000000001"/>
        <n v="-0.1145"/>
        <n v="-0.21709999999999999"/>
        <n v="-0.37730000000000002"/>
        <n v="0.1449"/>
        <n v="-0.21809999999999999"/>
        <n v="-1.9300000000000001E-2"/>
        <n v="6.1600000000000002E-2"/>
        <n v="-0.18509999999999999"/>
        <n v="-9.9099999999999994E-2"/>
        <n v="-7.3400000000000007E-2"/>
        <n v="3.4500000000000003E-2"/>
        <n v="-5.3E-3"/>
        <n v="0.1174"/>
        <n v="4.5499999999999999E-2"/>
        <n v="7.17E-2"/>
        <n v="3.8100000000000002E-2"/>
        <n v="3.6499999999999998E-2"/>
        <n v="0.15720000000000001"/>
        <n v="-0.19850000000000001"/>
        <n v="9.2200000000000004E-2"/>
        <n v="-0.14499999999999999"/>
        <n v="5.8900000000000001E-2"/>
        <n v="-8.1799999999999998E-2"/>
        <n v="0.28499999999999998"/>
        <n v="-8.8099999999999998E-2"/>
        <n v="0.1142"/>
        <n v="6.3500000000000001E-2"/>
        <n v="3.0200000000000001E-2"/>
        <n v="-0.11559999999999999"/>
        <n v="-0.2487"/>
        <n v="5.2600000000000001E-2"/>
        <n v="7.1499999999999994E-2"/>
        <n v="-6.2E-2"/>
        <n v="-1.6400000000000001E-2"/>
        <n v="-1.2200000000000001E-2"/>
        <n v="0.1328"/>
        <n v="5.7700000000000001E-2"/>
        <n v="0.1061"/>
        <n v="0.26910000000000001"/>
        <n v="-0.26079999999999998"/>
        <n v="5.4100000000000002E-2"/>
        <n v="0.1087"/>
        <n v="4.5100000000000001E-2"/>
        <n v="-7.3999999999999996E-2"/>
        <n v="2.76E-2"/>
        <n v="6.0600000000000001E-2"/>
        <n v="5.8099999999999999E-2"/>
        <n v="-0.1431"/>
        <n v="2.3599999999999999E-2"/>
      </sharedItems>
    </cacheField>
    <cacheField name="Expense" numFmtId="0">
      <sharedItems containsMixedTypes="1" containsNumber="1" minValue="0" maxValue="0.1007" count="137">
        <n v="8.9999999999999998E-4"/>
        <n v="2.9999999999999997E-4"/>
        <n v="2E-3"/>
        <n v="5.0000000000000001E-4"/>
        <n v="6.9999999999999999E-4"/>
        <n v="4.0000000000000002E-4"/>
        <n v="1E-3"/>
        <n v="1.1000000000000001E-3"/>
        <n v="5.9999999999999995E-4"/>
        <n v="1.9E-3"/>
        <n v="3.2000000000000002E-3"/>
        <n v="8.0000000000000004E-4"/>
        <n v="1.1999999999999999E-3"/>
        <n v="1.8E-3"/>
        <n v="1.5E-3"/>
        <n v="1.6000000000000001E-3"/>
        <n v="7.0000000000000001E-3"/>
        <n v="3.5000000000000001E-3"/>
        <n v="3.8999999999999998E-3"/>
        <n v="2.3E-3"/>
        <n v="2.3999999999999998E-3"/>
        <n v="4.0000000000000001E-3"/>
        <n v="5.1999999999999998E-3"/>
        <n v="7.4999999999999997E-3"/>
        <n v="5.1000000000000004E-3"/>
        <n v="2.5000000000000001E-3"/>
        <n v="5.5999999999999999E-3"/>
        <n v="4.3E-3"/>
        <n v="4.4999999999999997E-3"/>
        <n v="5.0000000000000001E-3"/>
        <n v="4.1000000000000003E-3"/>
        <n v="7.6E-3"/>
        <n v="1.6999999999999999E-3"/>
        <n v="5.8999999999999999E-3"/>
        <n v="4.7000000000000002E-3"/>
        <n v="2.8E-3"/>
        <n v="4.5999999999999999E-3"/>
        <n v="3.3999999999999998E-3"/>
        <n v="6.0000000000000001E-3"/>
        <n v="6.8999999999999999E-3"/>
        <n v="7.4000000000000003E-3"/>
        <n v="8.9999999999999993E-3"/>
        <n v="3.0999999999999999E-3"/>
        <n v="9.5999999999999992E-3"/>
        <n v="4.1999999999999997E-3"/>
        <n v="4.8999999999999998E-3"/>
        <n v="5.3E-3"/>
        <n v="3.5999999999999999E-3"/>
        <n v="2.0999999999999999E-3"/>
        <n v="3.0000000000000001E-3"/>
        <n v="1.4E-3"/>
        <n v="5.7000000000000002E-3"/>
        <n v="2.7000000000000001E-3"/>
        <n v="6.4999999999999997E-3"/>
        <n v="9.9000000000000008E-3"/>
        <n v="3.8E-3"/>
        <n v="1.01E-2"/>
        <n v="5.4999999999999997E-3"/>
        <n v="8.6999999999999994E-3"/>
        <n v="3.3E-3"/>
        <n v="1.0800000000000001E-2"/>
        <n v="8.3000000000000001E-3"/>
        <n v="5.7999999999999996E-3"/>
        <n v="2.8999999999999998E-3"/>
        <n v="8.5000000000000006E-3"/>
        <n v="4.7999999999999996E-3"/>
        <n v="6.7999999999999996E-3"/>
        <n v="6.3E-3"/>
        <n v="6.4000000000000003E-3"/>
        <n v="9.4999999999999998E-3"/>
        <n v="3.7000000000000002E-3"/>
        <n v="6.1000000000000004E-3"/>
        <n v="1.12E-2"/>
        <n v="6.1999999999999998E-3"/>
        <n v="5.4000000000000003E-3"/>
        <n v="6.7000000000000002E-3"/>
        <n v="7.7999999999999996E-3"/>
        <n v="8.3999999999999995E-3"/>
        <n v="7.3000000000000001E-3"/>
        <n v="8.6E-3"/>
        <n v="7.1000000000000004E-3"/>
        <n v="2.0000000000000001E-4"/>
        <n v="1.0200000000000001E-2"/>
        <n v="1.17E-2"/>
        <n v="1.0500000000000001E-2"/>
        <n v="0.01"/>
        <n v="6.6E-3"/>
        <n v="8.0000000000000002E-3"/>
        <n v="0.1007"/>
        <n v="1.37E-2"/>
        <n v="7.9000000000000008E-3"/>
        <n v="1.24E-2"/>
        <n v="0"/>
        <n v="8.0999999999999996E-3"/>
        <n v="1.0699999999999999E-2"/>
        <n v="1.11E-2"/>
        <n v="1.15E-2"/>
        <n v="1.2999999999999999E-2"/>
        <n v="1.44E-2"/>
        <n v="7.1999999999999998E-3"/>
        <n v="1.06E-2"/>
        <n v="1.29E-2"/>
        <n v="1.46E-2"/>
        <n v="1.2999999999999999E-3"/>
        <n v="4.4000000000000003E-3"/>
        <n v="1.3299999999999999E-2"/>
        <n v="2.2000000000000001E-3"/>
        <n v="9.7999999999999997E-3"/>
        <n v="8.8000000000000005E-3"/>
        <n v="8.8999999999999999E-3"/>
        <n v="1.0999999999999999E-2"/>
        <n v="1.21E-2"/>
        <n v="5.1999999999999998E-2"/>
        <n v="8.2000000000000007E-3"/>
        <n v="1.03E-2"/>
        <n v="9.2999999999999992E-3"/>
        <n v="7.7000000000000002E-3"/>
        <n v="1.49E-2"/>
        <n v="9.7000000000000003E-3"/>
        <n v="1.23E-2"/>
        <n v="1.2500000000000001E-2"/>
        <n v="9.1000000000000004E-3"/>
        <n v="1.14E-2"/>
        <n v="1.7500000000000002E-2"/>
        <n v="1.4999999999999999E-2"/>
        <n v="3.6799999999999999E-2"/>
        <n v="1.6500000000000001E-2"/>
        <n v="1.18E-2"/>
        <n v="1.95E-2"/>
        <n v="1.3599999999999999E-2"/>
        <n v="1.2699999999999999E-2"/>
        <n v="9.1999999999999998E-3"/>
        <s v="--"/>
        <n v="1.6899999999999998E-2"/>
        <n v="1.6799999999999999E-2"/>
        <n v="2.01E-2"/>
        <n v="3.4099999999999998E-2"/>
      </sharedItems>
    </cacheField>
    <cacheField name="Segment" numFmtId="0">
      <sharedItems count="420">
        <s v="Equity: U.S. - Large Cap"/>
        <s v="Equity: U.S. - Total Market"/>
        <s v="Equity: Developed Markets Ex-U.S. - Total Market"/>
        <s v="Equity: Developed Markets Ex-North America - Total Market"/>
        <s v="Equity: U.S. - Large Cap Value"/>
        <s v="Equity: Emerging Markets - Total Market"/>
        <s v="Equity: U.S. - Large Cap Growth"/>
        <s v="Equity: U.S. - Small Cap"/>
        <s v="Equity: U.S. - Mid Cap"/>
        <s v="Equity: Global Ex-U.S. - Total Market"/>
        <s v="Equity: U.S. Information Technology"/>
        <s v="Equity: U.S. Real Estate"/>
        <s v="Equity: U.S. Financials"/>
        <s v="Equity: U.S. - High Dividend Yield"/>
        <s v="Equity: U.S. Health Care"/>
        <s v="Equity: U.S. Energy"/>
        <s v="Equity: U.S. - Small Cap Value"/>
        <s v="Equity: Global - Total Market"/>
        <s v="Equity: Developed Europe - Total Market"/>
        <s v="Equity: U.S. Consumer Discretionary"/>
        <s v="Equity: U.S. Industrials"/>
        <s v="Equity: Developed Markets Ex-North America - Total Market "/>
        <s v="Equity: U.S. - Mid Cap Value"/>
        <s v="Equity: U.S. - Total Market Value"/>
        <s v="Equity: U.S. - Extended Market"/>
        <s v="Equity: U.S. Consumer Staples"/>
        <s v="Equity: Developed Markets Ex-North America - Small Cap"/>
        <s v="Equity: U.S. - Small Cap Growth"/>
        <s v="Equity: U.S. - Mid Cap Growth"/>
        <s v="Equity: U.S. Utilities"/>
        <s v="Equity: Global Gold Miners"/>
        <s v="Equity: Developed Markets Ex-North America - Total Market Gr"/>
        <s v="Equity: U.S. Communication Services"/>
        <s v="Equity: Global Broad Thematic"/>
        <s v="Equity: U.S. - Total Market Growth"/>
        <s v="Equity: Japan - Total Market"/>
        <s v="Equity: Global Ex-U.S. - Small Cap"/>
        <s v="Equity: U.S. Semiconductors"/>
        <s v="Equity: U.S. Biotechnology"/>
        <s v="Equity: U.S. Health Care Equipment"/>
        <s v="Equity: U.S. Internet"/>
        <s v="Equity: U.S. Materials"/>
        <s v="Equity: Global Semiconductors"/>
        <s v="Equity: China Internet"/>
        <s v="Equity: Developed Markets Ex-U.S. - Large Cap"/>
        <s v="Equity: Taiwan - Total Market"/>
        <s v="Equity: Global Natural Resources"/>
        <s v="Equity: U.S. REITs"/>
        <s v="Equity: U.S. - Extended Market Value"/>
        <s v="Equity: China - Total Market"/>
        <s v="Equity: Canada - Total Market"/>
        <s v="Equity: India - Total Market"/>
        <s v="Equity: Developed Asia-Pacific - Total Market"/>
        <s v="Equity: China - Large Cap"/>
        <s v="Equity: U.S. MLPs"/>
        <s v="Equity: U.S. Regional Banks"/>
        <s v="Equity: Global Information Technology"/>
        <s v="Equity: Global Mobility"/>
        <s v="Equity: Emerging Markets - Large Cap"/>
        <s v="Equity: U.S. Software &amp; Services"/>
        <s v="Equity: U.S. Infrastructure"/>
        <s v="Equity: Global Cybersecurity"/>
        <s v="Equity: Brazil - Total Market"/>
        <s v="Equity: North America Software"/>
        <s v="Leveraged Equity: U.S. Semiconductors"/>
        <s v="Equity: Global Renewable Energy"/>
        <s v="Equity: Global Ex-U.S. Real Estate"/>
        <s v="Equity: Asia-Pacific Ex-Japan - Total Market"/>
        <s v="Equity: Developed Markets Ex-U.S. - High Dividend Yield"/>
        <s v="Equity: South Korea - Total Market"/>
        <s v="Equity: Developed Asia-Pacific Ex-Japan - Total Market"/>
        <s v="Equity: U.S. Oil, Gas &amp; Consumable Fuels"/>
        <s v="Equity: Developed Markets Ex-U.S. - Total Market Value"/>
        <s v="Equity: Global Genomic Advancements"/>
        <s v="Equity: Global - Large Cap"/>
        <s v="Equity: Developed Markets Ex-U.S. - Small Cap"/>
        <s v="Equity: Global REITs"/>
        <s v="Equity: Global Health Care"/>
        <s v="Equity: Global Airlines"/>
        <s v="Equity: North America Broad Technology"/>
        <s v="Equity: Global Ex-U.S. - High Dividend Yield"/>
        <s v="Equity: Global Infrastructure"/>
        <s v="Equity: U.K. - Total Market"/>
        <s v="Equity: U.S. Banks"/>
        <s v="Leveraged Equity: U.S. Financials"/>
        <s v="Leveraged Equity: U.S. - Large Cap"/>
        <s v="Equity: Global Financials"/>
        <s v="Leveraged Equity: U.S. Information Technology"/>
        <s v="Equity: U.S. Housing"/>
        <s v="Equity: Global Internet"/>
        <s v="Equity: Emerging Markets - Small Cap"/>
        <s v="Equity: U.S. Aerospace &amp; Defense"/>
        <s v="Equity: U.S. Energy Equipment &amp; Services"/>
        <s v="Equity: Germany - Total Market"/>
        <s v="Equity: Developed Europe - Large Cap"/>
        <s v="Equity: North America MLPs"/>
        <s v="Equity: U.S. Renewable Energy"/>
        <s v="Equity: Asia-Pacific Ex-Japan - Large Cap"/>
        <s v="Equity: Developed Markets Robotics &amp; AI"/>
        <s v="Equity: Developed Markets - Total Market"/>
        <s v="Equity: Emerging Markets - High Dividend Yield"/>
        <s v="Equity: U.S. Metals &amp; Mining"/>
        <s v="Equity: U.S. Water"/>
        <s v="Equity: Developed Europe Financials"/>
        <s v="Equity: Global Copper Miners"/>
        <s v="Equity: Global Robotics &amp; AI"/>
        <s v="Equity: Switzerland - Total Market"/>
        <s v="Equity: Global Real Estate"/>
        <s v="Equity: U.S. Transportation"/>
        <s v="Equity: Global Energy"/>
        <s v="Equity: Global FinTech"/>
        <s v="Leveraged Equity: U.S. - Small Cap"/>
        <s v="Equity: U.S. Low Carbon"/>
        <s v="Equity: China Information Technology"/>
        <s v="Equity: U.S. Specialized REITs"/>
        <s v="Equity: Australia - Total Market"/>
        <s v="Equity: Developed Markets Ex-U.S. - Small Cap Value"/>
        <s v="Leveraged Equity: U.S. Big Tech"/>
        <s v="Equity: Global Low Carbon"/>
        <s v="Equity: Russia - Total Market"/>
        <s v="Equity: Global 5G"/>
        <s v="Equity: U.S. Mortgage REITs"/>
        <s v="Equity: U.S. Health Care Providers &amp; Services"/>
        <s v="Equity: U.S. Hotels, Restaurants &amp; Leisure"/>
        <s v="Equity: Global Nuclear Energy"/>
        <s v="Equity: Global Water"/>
        <s v="Equity: Global Agriculture"/>
        <s v="Equity: Global Metals &amp; Mining"/>
        <s v="Equity: Saudi Arabia - Total Market"/>
        <s v="Equity: U.S. - Micro Cap"/>
        <s v="Equity: Global Consumer Staples"/>
        <s v="Equity: Developed Markets - High Dividend Yield"/>
        <s v="Equity: Global Silver Miners"/>
        <s v="Equity: U.S. Cannabis"/>
        <s v="Equity: Hong Kong - Total Market"/>
        <s v="Equity: Emerging Markets Internet"/>
        <s v="Equity: Global Diversified Metals &amp; Mining"/>
        <s v="Equity: Global Blockchain"/>
        <s v="Equity: Global - High Dividend Yield"/>
        <s v="Equity: U.S. Capital Markets"/>
        <s v="Equity: Latin America - Large Cap"/>
        <s v="Equity: Developed Markets FinTech"/>
        <s v="Equity: Global Digital Payments"/>
        <s v="Equity: Developed Markets Ex-North America - High Dividend Y"/>
        <s v="Leveraged Equity: U.S. Oil, Gas &amp; Consumable Fuels"/>
        <s v="Equity: France - Total Market"/>
        <s v="Equity: Emerging Asia-Pacific - Total Market"/>
        <s v="Equity: Mexico - Total Market"/>
        <s v="Equity: Emerging Markets Low Carbon"/>
        <s v="Leveraged Equity: U.S. Biotechnology"/>
        <s v="Leveraged Equity: Global Gold Miners"/>
        <s v="Equity: Global Cannabis"/>
        <s v="Equity: India - Large Cap"/>
        <s v="Equity: Italy - Total Market"/>
        <s v="Equity: Global Materials"/>
        <s v="Equity: Sweden - Total Market"/>
        <s v="Leveraged Equity: U.S. Energy"/>
        <s v="Equity: Global - Total Market Growth"/>
        <s v="Equity: Developed Markets Ex-U.S. Low Carbon"/>
        <s v="Equity: Spain - Total Market"/>
        <s v="Equity: Singapore - Total Market"/>
        <s v="Equity: Vietnam - Total Market"/>
        <s v="Equity: U.S. Health Care Equipment &amp; Supplies"/>
        <s v="Equity: U.S. Asset Management &amp; Custody Banks"/>
        <s v="Equity: Global Video Games &amp; eSports"/>
        <s v="Equity: North America Natural Resources"/>
        <s v="Equity: U.S. Telecoms"/>
        <s v="Leveraged Equity: China - Large Cap"/>
        <s v="Equity: Frontier Markets - Total Market"/>
        <s v="Equity: Chile - Total Market"/>
        <s v="Equity: Developed Markets Ex-U.S. - Extended Market"/>
        <s v="Equity: Global Internet &amp; Direct Marketing Retail"/>
        <s v="Equity: Developed Markets Internet"/>
        <s v="Equity: Global Biotechnology"/>
        <s v="Equity: U.S. Broad Retail"/>
        <s v="Equity: U.S. Industrial REITs"/>
        <s v="Equity: U.S. Insurance"/>
        <s v="Equity: Global Industrials"/>
        <s v="Equity: Global Environment"/>
        <s v="Equity: Global - Large Cap Growth"/>
        <s v="Equity: U.S. Oil &amp; Gas Exploration &amp; Production"/>
        <s v="Equity: China Consumer Discretionary"/>
        <s v="Equity: Netherlands - Total Market"/>
        <s v="Equity: India - Small Cap"/>
        <s v="Inverse Equity: U.S. - Small Cap"/>
        <s v="Equity: Global Consumer Discretionary"/>
        <s v="Equity: Thailand - Total Market"/>
        <s v="Leveraged Equity: U.S. Regional Banks"/>
        <s v="Inverse Equity: U.S. - Large Cap"/>
        <s v="Equity: Global Space"/>
        <s v="Equity: Global Pharmaceuticals"/>
        <s v="Equity: U.S. Pharmaceuticals"/>
        <s v="Equity: Indonesia - Total Market"/>
        <s v="Equity: Developed Markets Ex-Japan - Total Market"/>
        <s v="Equity: U.S. Broad Technology"/>
        <s v="Leveraged Equity: China Internet"/>
        <s v="Equity: South Africa - Total Market"/>
        <s v="Equity: Developed Europe - Small Cap"/>
        <s v="Equity: Global Timber"/>
        <s v="Equity: Turkey - Total Market"/>
        <s v="Equity: Global Digital Economy"/>
        <s v="Equity: Developed Europe - High Dividend Yield"/>
        <s v="Equity: Poland - Total Market"/>
        <s v="Equity: U.S. Software"/>
        <s v="Equity: Global Asset Management &amp; Custody Banks"/>
        <s v="Leveraged Equity: U.S. Aerospace &amp; Defense"/>
        <s v="Equity: U.S. Construction &amp; Engineering"/>
        <s v="Equity: Global Communication Services"/>
        <s v="Equity: Malaysia - Total Market"/>
        <s v="Equity: Global Casinos &amp; Gaming"/>
        <s v="Leveraged Equity: U.S. Housing"/>
        <s v="Equity: Developed Markets Ex-U.S. Real Estate"/>
        <s v="Equity: Global Broad Technology"/>
        <s v="Equity: Global Health Care Equipment &amp; Services"/>
        <s v="Leveraged Equity: U.S. Health Care"/>
        <s v="Equity: Global Broad Retail"/>
        <s v="Equity: Japan - Small Cap"/>
        <s v="Equity: Peru - Total Market"/>
        <s v="Leveraged Equity: Brazil - Total Market"/>
        <s v="Equity: Israel - Total Market"/>
        <s v="Equity: Global Health Care Technology"/>
        <s v="Equity: U.S. Millennials"/>
        <s v="Equity: Israel Information Technology"/>
        <s v="Leveraged Equity: Emerging Markets - Total Market"/>
        <s v="Equity: U.S. - Extended Market Growth"/>
        <s v="Equity: Global Utilities"/>
        <s v="Equity: Developed Markets - Large Cap"/>
        <s v="Leveraged Equity: U.S. - Large Cap Growth"/>
        <s v="Equity: Denmark - Total Market"/>
        <s v="Leveraged Equity: U.S. Internet"/>
        <s v="Equity: Developed Markets Ex-U.S. - Mid Cap"/>
        <s v="Equity: U.S. Mobility"/>
        <s v="Equity: China Health Care"/>
        <s v="Equity: North America Communications Equipment"/>
        <s v="Equity: Emerging Markets Consumer"/>
        <s v="Equity: Philippines - Total Market"/>
        <s v="Inverse Equity: China - Total Market"/>
        <s v="Equity: Greece - Total Market"/>
        <s v="Inverse Equity: U.S. Semiconductors"/>
        <s v="Equity: New Zealand - Total Market"/>
        <s v="Equity: Developed Markets Ex-North America - Large Cap"/>
        <s v="Equity: Global - Total Market Value"/>
        <s v="Inverse Equity: U.S. Financials"/>
        <s v="Equity: U.S. Oil &amp; Gas Equipment &amp; Services"/>
        <s v="Equity: Global Ex-U.S. - Large Cap"/>
        <s v="Leveraged Equity: U.S. Real Estate"/>
        <s v="Asset Allocation: U.S. Target Risk"/>
        <s v="Equity: Global - Large Cap Value"/>
        <s v="Equity: Global Steel Producers"/>
        <s v="Equity: Brazil - Small Cap"/>
        <s v="Equity: Global Millennials"/>
        <s v="Equity: India Consumer"/>
        <s v="Equity: U.K. - Small Cap"/>
        <s v="Equity: China Financials"/>
        <s v="Equity: Qatar - Total Market"/>
        <s v="Leveraged Equity: China - Total Market"/>
        <s v="Leveraged Equity: U.S. Broad Retail"/>
        <s v="Equity: Global Oil, Gas &amp; Consumable Fuels"/>
        <s v="Inverse Equity: U.S. Big Tech"/>
        <s v="Inverse Equity: U.S. Oil, Gas &amp; Consumable Fuels"/>
        <s v="Equity: U.S. Remote Work"/>
        <s v="Inverse Equity: U.S. Information Technology"/>
        <s v="Leveraged Equity: India - Total Market"/>
        <s v="Equity: Austria - Total Market"/>
        <s v="Equity: Ireland - Total Market"/>
        <s v="Equity: Japan - Total Market Value"/>
        <s v="Equity: Emerging Markets Information Technology"/>
        <s v="Inverse Equity: U.S. - Total Market"/>
        <s v="Equity: Global Specialized REITs"/>
        <s v="Equity: Developed Markets Cannabis"/>
        <s v="Equity: Global Automobiles"/>
        <s v="Equity: U.S. Property &amp; Casualty Insurance"/>
        <s v="Equity: U.S. Broad Thematic"/>
        <s v="Equity: India - Total Market Growth"/>
        <s v="Leveraged Equity: U.S. - Mid Cap"/>
        <s v="Equity: Norway - Total Market"/>
        <s v="Equity: China - Small Cap"/>
        <s v="Equity: U.S. Agriculture"/>
        <s v="Equity: U.S. Big Tech"/>
        <s v="Equity: Emerging Markets - Total Market Value"/>
        <s v="Inverse Equity: Global Gold Miners"/>
        <s v="Equity: Global Ex-U.S. Internet"/>
        <s v="Equity: Africa - Total Market"/>
        <s v="Equity: Developed Markets Water"/>
        <s v="Equity: Developed Markets Consumer"/>
        <s v="Inverse Equity: U.S. Biotechnology"/>
        <s v="Leveraged Equity: U.S. Transportation"/>
        <s v="Equity: Global Ex-U.S. - Total Market Growth"/>
        <s v="Equity: China Consumer"/>
        <s v="Inverse Equity: China - Large Cap"/>
        <s v="Equity: U.S. Media &amp; Entertainment"/>
        <s v="Leveraged Equity: Russia - Total Market"/>
        <s v="Equity: Asia-Pacific - High Dividend Yield"/>
        <s v="Equity: Nigeria - Total Market"/>
        <s v="Leveraged Equity: U.S. Industrials"/>
        <s v="Leveraged Equity: U.S. Consumer Discretionary"/>
        <s v="Equity: Colombia - Total Market"/>
        <s v="Leveraged Equity: Developed Europe - Total Market"/>
        <s v="Equity: U.S. Health Care Equipment &amp; Services"/>
        <s v="Leveraged Equity: U.S. Mortgage REITs"/>
        <s v="Equity: Germany - Large Cap"/>
        <s v="Equity: Global Internet Services &amp; Infrastructure"/>
        <s v="Leveraged Equity: U.S. Asset Management &amp; Custody Banks"/>
        <s v="Equity: Germany - Small Cap"/>
        <s v="Equity: U.S. Life Sciences Tools &amp; Services"/>
        <s v="Leveraged Equity: South Korea - Total Market"/>
        <s v="Equity: Global Ex-U.S. Broad Thematic"/>
        <s v="Leveraged Equity: U.S. - High Dividend Yield"/>
        <s v="Equity: Developed Markets Real Estate"/>
        <s v="Equity: Southeast Asia - Total Market"/>
        <s v="Leveraged Equity: U.S. MLPs"/>
        <s v="Equity: United Arab Emirates - Total Market"/>
        <s v="Equity: Developed Markets Cybersecurity"/>
        <s v="Equity: U.S. Robotics &amp; AI"/>
        <s v="Equity: Finland - Total Market"/>
        <s v="Equity: Belgium - Total Market"/>
        <s v="Equity: Developed Markets Natural Resources"/>
        <s v="Leveraged Equity: Developed Markets - High Dividend Yield"/>
        <s v="Leveraged Equity: U.S. - Total Market"/>
        <s v="Equity: China Industrials"/>
        <s v="Inverse Equity: U.S. Energy"/>
        <s v="Inverse Equity: Emerging Markets - Total Market"/>
        <s v="Equity: Global - Extended Market"/>
        <s v="Equity: Argentina - Total Market"/>
        <s v="Leveraged Equity: Global Robotics &amp; AI"/>
        <s v="Equity: Global Hotels, Resorts &amp; Cruise Lines"/>
        <s v="Equity: U.S. Pharma, Biotech &amp; Life Sciences"/>
        <s v="Equity: China - Total Market Growth"/>
        <s v="Leveraged Equity: U.S. 5G"/>
        <s v="Equity: U.S. Consumer"/>
        <s v="Equity: North America Energy"/>
        <s v="Equity: Global - Small Cap"/>
        <s v="Equity: Developed Markets Ex-U.S. Large Cap Value"/>
        <s v="Leveraged Equity: U.S. Utilities"/>
        <s v="Inverse Equity: U.S. Real Estate"/>
        <s v="Leveraged Equity: U.S. Pharmaceuticals"/>
        <s v="Equity: Russia - Small Cap"/>
        <s v="Equity: Egypt - Total Market"/>
        <s v="Equity: Kuwait Total Market"/>
        <s v="Equity: Pakistan - Total Market"/>
        <s v="Equity: Developed Markets Low Carbon"/>
        <s v="Equity: U.S. Space"/>
        <s v="Equity: Global Software &amp; Services"/>
        <s v="Equity: Global Oil &amp; Gas Refining &amp; Marketing"/>
        <s v="Equity: Emerging Markets Infrastructure"/>
        <s v="Equity: Global Consumer"/>
        <s v="Inverse Equity: U.S. Software &amp; Services"/>
        <s v="Leveraged Equity: Developed Europe - Large Cap"/>
        <s v="Leveraged Equity: Mexico - Total Market"/>
        <s v="Equity: Global Media &amp; Entertainment"/>
        <s v="Equity: Developed Markets REITs"/>
        <s v="Equity: Asia-Pacific - Total Market"/>
        <s v="Equity: Global Transportation"/>
        <s v="Equity: China Consumer Staples"/>
        <s v="Inverse Equity: U.S. Internet"/>
        <s v="Leveraged Equity: U.S. Software &amp; Services"/>
        <s v="Equity: China Materials"/>
        <s v="Equity: China Communication Services"/>
        <s v="Equity: China Energy"/>
        <s v="Equity: Developed Markets Digital Economy"/>
        <s v="Equity: Global Construction &amp; Engineering"/>
        <s v="Equity: Developed Markets Digital Payments"/>
        <s v="Equity: Portugal - Total Market"/>
        <s v="Equity: U.S. Hotels, Resorts &amp; Cruise Lines"/>
        <s v="Equity: India Financials"/>
        <s v="Equity: China Pharma, Biotech &amp; Life Sciences"/>
        <s v="Equity: North America Pharma, Biotech &amp; Life Sciences"/>
        <s v="Equity: Latin America - Total Market"/>
        <s v="Equity: U.S. Food, Beverage &amp; Tobacco"/>
        <s v="Equity: China Real Estate"/>
        <s v="Equity: Global Pharma, Biotech &amp; Life Sciences"/>
        <s v="Equity: Global Ex-U.S. Internet &amp; Direct Marketing Retail"/>
        <s v="Leveraged Equity: U.S. Metals &amp; Mining"/>
        <s v="Equity: China Broad Technology"/>
        <s v="Leveraged Equity: U.S. Infrastructure"/>
        <s v="Equity: Global Remote Work"/>
        <s v="Leveraged Equity: Global Cannabis"/>
        <s v="Leveraged Equity: Global Renewable Energy"/>
        <s v="Equity: U.S. Restaurants"/>
        <s v="Equity: Developed Markets Genomic Advancements"/>
        <s v="Equity: China Biotechnology"/>
        <s v="Leveraged Equity: North America Software"/>
        <s v="Equity: North America - Total Market"/>
        <s v="Equity: Emerging Markets Health Care"/>
        <s v="Equity: China Broad Thematic"/>
        <s v="--"/>
        <s v="Equity: China Utilities"/>
        <s v="Equity: Developed Markets Hotels, Resorts &amp; Cruise Lines"/>
        <s v="Equity:Developed Markets Sector Pharma, Biotech &amp; Life Scien"/>
        <s v="Leveraged Equity: Global Silver Miners"/>
        <s v="Equity: Global - Mid Cap Growth"/>
        <s v="Inverse Equity: Global Cannabis"/>
        <s v="Leveraged Equity: Global Internet &amp; Direct Marketing Retail"/>
        <s v="Equity: U.S. Digital Economy"/>
        <s v="Inverse Equity: Global Silver Miners"/>
        <s v="Leveraged Equity:U.S. Sector FinTech"/>
        <s v="Equity: Developed Markets Housing"/>
        <s v="Equity: Developed Markets Broad Technology"/>
        <s v="Equity: Global Health Care Equipment"/>
        <s v="Leveraged Equity: Global Cybersecurity"/>
        <s v="Equity: North America Cannabis"/>
        <s v="Inverse Equity:U.S. Broad Retail"/>
        <s v="Leveraged Equity: U.S. Pharma, Biotech &amp; Life Sciences"/>
        <s v="Inverse Equity: U.S. Pharma, Biotech &amp; Life Sciences"/>
        <s v="Inverse Equity: U.S. Materials"/>
        <s v="Inverse Equity: U.S. - Mid Cap"/>
        <s v="Inverse Equity: Brazil - Total Market"/>
        <s v="Inverse Equity: Developed Europe - Total Market"/>
        <s v="Leveraged Equity: Developed Markets Ex-North America - Total"/>
        <s v="Leveraged Equity: Japan - Total Market"/>
        <s v="Leveraged Equity: U.S. Telecoms"/>
        <s v="Inverse Equity: Japan - Total Market"/>
        <s v="Inverse Equity: Developed Markets Ex-North America - Total M"/>
        <s v="Inverse Equity: U.S. Health Care"/>
        <s v="Inverse Equity: U.S. Consumer Discretionary"/>
        <s v="Inverse Equity: U.S. Utilities"/>
        <s v="Inverse Equity: U.S. Industrials"/>
        <s v="Inverse Equity: U.S. Consumer Staples"/>
        <s v="Leveraged Equity: U.S. Consumer Staples"/>
        <s v="Leveraged Equity: U.S. Materials"/>
      </sharedItems>
    </cacheField>
    <cacheField name="Ticker" numFmtId="0">
      <sharedItems count="2029">
        <s v="SPY"/>
        <s v="IVV"/>
        <s v="VTI"/>
        <s v="VOO"/>
        <s v="QQQ"/>
        <s v="VEA"/>
        <s v="IEFA"/>
        <s v="VTV"/>
        <s v="VWO"/>
        <s v="VUG"/>
        <s v="IEMG"/>
        <s v="IJR"/>
        <s v="IWF"/>
        <s v="VIG"/>
        <s v="IJH"/>
        <s v="IWM"/>
        <s v="IWD"/>
        <s v="EFA"/>
        <s v="VXUS"/>
        <s v="VO"/>
        <s v="VGT"/>
        <s v="VNQ"/>
        <s v="XLK"/>
        <s v="XLF"/>
        <s v="VB"/>
        <s v="ITOT"/>
        <s v="VYM"/>
        <s v="VEU"/>
        <s v="IVW"/>
        <s v="XLV"/>
        <s v="SCHX"/>
        <s v="IXUS"/>
        <s v="RSP"/>
        <s v="SCHD"/>
        <s v="XLE"/>
        <s v="IWB"/>
        <s v="DIA"/>
        <s v="EEM"/>
        <s v="SCHF"/>
        <s v="IWR"/>
        <s v="USMV"/>
        <s v="VV"/>
        <s v="VBR"/>
        <s v="VT"/>
        <s v="IVE"/>
        <s v="ESGU"/>
        <s v="DGRO"/>
        <s v="QUAL"/>
        <s v="SCHB"/>
        <s v="VGK"/>
        <s v="XLY"/>
        <s v="SDY"/>
        <s v="DVY"/>
        <s v="MDY"/>
        <s v="ACWI"/>
        <s v="XLI"/>
        <s v="EFV"/>
        <s v="VHT"/>
        <s v="VOE"/>
        <s v="VLUE"/>
        <s v="SCHG"/>
        <s v="SCHA"/>
        <s v="VXF"/>
        <s v="IWN"/>
        <s v="XLP"/>
        <s v="IWS"/>
        <s v="SCZ"/>
        <s v="DFAC"/>
        <s v="VBK"/>
        <s v="GSLC"/>
        <s v="IWP"/>
        <s v="SPYG"/>
        <s v="SPYV"/>
        <s v="XLU"/>
        <s v="SPDW"/>
        <s v="SPLG"/>
        <s v="GDX"/>
        <s v="MGK"/>
        <s v="FVD"/>
        <s v="EFG"/>
        <s v="XLC"/>
        <s v="MTUM"/>
        <s v="ARKK"/>
        <s v="IUSG"/>
        <s v="IWV"/>
        <s v="VFH"/>
        <s v="IUSV"/>
        <s v="EWJ"/>
        <s v="VOT"/>
        <s v="SCHV"/>
        <s v="IWO"/>
        <s v="FNDX"/>
        <s v="SCHE"/>
        <s v="BBEU"/>
        <s v="SCHM"/>
        <s v="VSS"/>
        <s v="SPLV"/>
        <s v="OEF"/>
        <s v="FTCS"/>
        <s v="SOXX"/>
        <s v="IBB"/>
        <s v="IYW"/>
        <s v="IJJ"/>
        <s v="IJS"/>
        <s v="RDVY"/>
        <s v="IHI"/>
        <s v="FDN"/>
        <s v="XLB"/>
        <s v="EFAV"/>
        <s v="HDV"/>
        <s v="BBJP"/>
        <s v="ESGD"/>
        <s v="SMH"/>
        <s v="KWEB"/>
        <s v="IJK"/>
        <s v="FNDF"/>
        <s v="VONG"/>
        <s v="EZU"/>
        <s v="VOOG"/>
        <s v="EWT"/>
        <s v="IYR"/>
        <s v="MOAT"/>
        <s v="VONV"/>
        <s v="IDEV"/>
        <s v="VDE"/>
        <s v="DGRW"/>
        <s v="GUNR"/>
        <s v="SCHH"/>
        <s v="VDC"/>
        <s v="DFAT"/>
        <s v="FTEC"/>
        <s v="MCHI"/>
        <s v="VCR"/>
        <s v="ESGE"/>
        <s v="VTWO"/>
        <s v="JEPI"/>
        <s v="BBCA"/>
        <s v="XLRE"/>
        <s v="QYLD"/>
        <s v="ESGV"/>
        <s v="SPEM"/>
        <s v="INDA"/>
        <s v="VPL"/>
        <s v="DFUS"/>
        <s v="SPTM"/>
        <s v="FXI"/>
        <s v="PRF"/>
        <s v="AMLP"/>
        <s v="IJT"/>
        <s v="XBI"/>
        <s v="KRE"/>
        <s v="SPYD"/>
        <s v="VPU"/>
        <s v="IEUR"/>
        <s v="IXN"/>
        <s v="ACWV"/>
        <s v="LIT"/>
        <s v="FNDE"/>
        <s v="SKYY"/>
        <s v="PAVE"/>
        <s v="CIBR"/>
        <s v="EWZ"/>
        <s v="IGV"/>
        <s v="MGV"/>
        <s v="SPMD"/>
        <s v="ACWX"/>
        <s v="VIS"/>
        <s v="DFAX"/>
        <s v="SOXL"/>
        <s v="ICLN"/>
        <s v="VNQI"/>
        <s v="FNDA"/>
        <s v="AAXJ"/>
        <s v="IDV"/>
        <s v="IWY"/>
        <s v="GDXJ"/>
        <s v="DBEF"/>
        <s v="EWY"/>
        <s v="ONEQ"/>
        <s v="IQLT"/>
        <s v="SPSM"/>
        <s v="MGC"/>
        <s v="BBAX"/>
        <s v="DFAS"/>
        <s v="SLYV"/>
        <s v="SUSA"/>
        <s v="XOP"/>
        <s v="EWC"/>
        <s v="VIGI"/>
        <s v="VAW"/>
        <s v="DFIV"/>
        <s v="VOX"/>
        <s v="DSI"/>
        <s v="XSOE"/>
        <s v="XT"/>
        <s v="ARKG"/>
        <s v="EEMV"/>
        <s v="IOO"/>
        <s v="QQQM"/>
        <s v="SUSL"/>
        <s v="SCHC"/>
        <s v="KBE"/>
        <s v="SPHQ"/>
        <s v="REET"/>
        <s v="BBIN"/>
        <s v="QTEC"/>
        <s v="IXJ"/>
        <s v="JETS"/>
        <s v="IGM"/>
        <s v="VYMI"/>
        <s v="HEFA"/>
        <s v="IGF"/>
        <s v="ASHR"/>
        <s v="DLN"/>
        <s v="VSGX"/>
        <s v="USSG"/>
        <s v="GSIE"/>
        <s v="EWU"/>
        <s v="SPHD"/>
        <s v="KBWB"/>
        <s v="RPV"/>
        <s v="FAS"/>
        <s v="DON"/>
        <s v="SPXL"/>
        <s v="IYH"/>
        <s v="RPG"/>
        <s v="NUGO"/>
        <s v="IYE"/>
        <s v="IXG"/>
        <s v="FHLC"/>
        <s v="VONE"/>
        <s v="FV"/>
        <s v="ICF"/>
        <s v="FNDC"/>
        <s v="TECL"/>
        <s v="ITB"/>
        <s v="PBUS"/>
        <s v="ARKW"/>
        <s v="VOOV"/>
        <s v="RYT"/>
        <s v="NFRA"/>
        <s v="IYF"/>
        <s v="IYG"/>
        <s v="GNR"/>
        <s v="USRT"/>
        <s v="JHMM"/>
        <s v="DGS"/>
        <s v="ITA"/>
        <s v="OIH"/>
        <s v="EWG"/>
        <s v="XLG"/>
        <s v="FEZ"/>
        <s v="AVUV"/>
        <s v="EMXC"/>
        <s v="AMJ"/>
        <s v="QCLN"/>
        <s v="EPP"/>
        <s v="AIA"/>
        <s v="BOTZ"/>
        <s v="SCHK"/>
        <s v="SLYG"/>
        <s v="EMLP"/>
        <s v="FREL"/>
        <s v="DXJ"/>
        <s v="XHB"/>
        <s v="HEDJ"/>
        <s v="IEV"/>
        <s v="TAN"/>
        <s v="RWR"/>
        <s v="URTH"/>
        <s v="HACK"/>
        <s v="DEM"/>
        <s v="XME"/>
        <s v="ILCG"/>
        <s v="OMFL"/>
        <s v="CWI"/>
        <s v="PTLC"/>
        <s v="FNCL"/>
        <s v="PHO"/>
        <s v="EUFN"/>
        <s v="VIOO"/>
        <s v="DES"/>
        <s v="FDL"/>
        <s v="RODM"/>
        <s v="FXR"/>
        <s v="AVUS"/>
        <s v="COPX"/>
        <s v="PRFZ"/>
        <s v="ROBO"/>
        <s v="KOMP"/>
        <s v="EWL"/>
        <s v="TDIV"/>
        <s v="RWO"/>
        <s v="ARKQ"/>
        <s v="IYY"/>
        <s v="SLY"/>
        <s v="IYT"/>
        <s v="FXD"/>
        <s v="IXC"/>
        <s v="DFAU"/>
        <s v="IYJ"/>
        <s v="QDF"/>
        <s v="COWZ"/>
        <s v="USMC"/>
        <s v="TILT"/>
        <s v="MDYG"/>
        <s v="FDIS"/>
        <s v="FXL"/>
        <s v="ARKF"/>
        <s v="TNA"/>
        <s v="FBT"/>
        <s v="FPX"/>
        <s v="LCTU"/>
        <s v="PKW"/>
        <s v="MDYV"/>
        <s v="GXC"/>
        <s v="FXO"/>
        <s v="IVOO"/>
        <s v="PDP"/>
        <s v="BBRE"/>
        <s v="IAT"/>
        <s v="FXH"/>
        <s v="CQQQ"/>
        <s v="PXH"/>
        <s v="FIW"/>
        <s v="BBMC"/>
        <s v="IYC"/>
        <s v="SRVR"/>
        <s v="DRIV"/>
        <s v="EWA"/>
        <s v="DLS"/>
        <s v="XSD"/>
        <s v="VTWV"/>
        <s v="AVDV"/>
        <s v="GEM"/>
        <s v="FNGU"/>
        <s v="ESML"/>
        <s v="SPYX"/>
        <s v="XMLV"/>
        <s v="NULV"/>
        <s v="IVLU"/>
        <s v="CRBN"/>
        <s v="AVDE"/>
        <s v="VIOV"/>
        <s v="SPHB"/>
        <s v="QQEW"/>
        <s v="RSX"/>
        <s v="FIVG"/>
        <s v="REM"/>
        <s v="SDOG"/>
        <s v="IHF"/>
        <s v="IWX"/>
        <s v="FUTY"/>
        <s v="PEJ"/>
        <s v="DFAI"/>
        <s v="FTA"/>
        <s v="FTXR"/>
        <s v="IMCG"/>
        <s v="CDC"/>
        <s v="URA"/>
        <s v="VTHR"/>
        <s v="FENY"/>
        <s v="FEX"/>
        <s v="LRGF"/>
        <s v="PXF"/>
        <s v="CGW"/>
        <s v="REZ"/>
        <s v="RWL"/>
        <s v="PBW"/>
        <s v="MOO"/>
        <s v="PICK"/>
        <s v="KSA"/>
        <s v="IHDG"/>
        <s v="FTXN"/>
        <s v="IWC"/>
        <s v="XSLV"/>
        <s v="FTC"/>
        <s v="KXI"/>
        <s v="FDVV"/>
        <s v="XAR"/>
        <s v="IPAC"/>
        <s v="SIL"/>
        <s v="SMLF"/>
        <s v="NUSC"/>
        <s v="CXSE"/>
        <s v="AVEM"/>
        <s v="PEY"/>
        <s v="MLPA"/>
        <s v="QQQJ"/>
        <s v="NXTG"/>
        <s v="SECT"/>
        <s v="DTD"/>
        <s v="CFO"/>
        <s v="EPI"/>
        <s v="QUS"/>
        <s v="BUG"/>
        <s v="FNX"/>
        <s v="MSOS"/>
        <s v="XYLD"/>
        <s v="EWH"/>
        <s v="IWL"/>
        <s v="EMQQ"/>
        <s v="DIVO"/>
        <s v="REMX"/>
        <s v="CLOU"/>
        <s v="FSTA"/>
        <s v="BLOK"/>
        <s v="SDIV"/>
        <s v="IAI"/>
        <s v="RYH"/>
        <s v="CNYA"/>
        <s v="FLQL"/>
        <s v="ILF"/>
        <s v="NUSI"/>
        <s v="FINX"/>
        <s v="BBUS"/>
        <s v="FYX"/>
        <s v="IPAY"/>
        <s v="HDEF"/>
        <s v="WCLD"/>
        <s v="QEFA"/>
        <s v="EMGF"/>
        <s v="INTF"/>
        <s v="DHS"/>
        <s v="RYLD"/>
        <s v="ILCB"/>
        <s v="NRGU"/>
        <s v="FIDU"/>
        <s v="META"/>
        <s v="GSEW"/>
        <s v="XMMO"/>
        <s v="IMTM"/>
        <s v="INFL"/>
        <s v="IDU"/>
        <s v="SPGP"/>
        <s v="IVOG"/>
        <s v="DVYE"/>
        <s v="NULG"/>
        <s v="IYK"/>
        <s v="SNPE"/>
        <s v="MLPX"/>
        <s v="JPIN"/>
        <s v="IMCB"/>
        <s v="PWV"/>
        <s v="EWQ"/>
        <s v="EEMA"/>
        <s v="PSC"/>
        <s v="FLJP"/>
        <s v="IVOV"/>
        <s v="EZM"/>
        <s v="ILCV"/>
        <s v="OUSA"/>
        <s v="XTN"/>
        <s v="EWW"/>
        <s v="SMMV"/>
        <s v="QVML"/>
        <s v="GWX"/>
        <s v="IFRA"/>
        <s v="FCOM"/>
        <s v="EMCR"/>
        <s v="PSI"/>
        <s v="LABU"/>
        <s v="GRID"/>
        <s v="JHML"/>
        <s v="LVHD"/>
        <s v="SILJ"/>
        <s v="RWX"/>
        <s v="PTNQ"/>
        <s v="HEWJ"/>
        <s v="GUSH"/>
        <s v="PNQI"/>
        <s v="FPXI"/>
        <s v="RDIV"/>
        <s v="ONEY"/>
        <s v="PWB"/>
        <s v="RWJ"/>
        <s v="ACES"/>
        <s v="NUGT"/>
        <s v="JHEM"/>
        <s v="IYM"/>
        <s v="KBA"/>
        <s v="EPS"/>
        <s v="DIV"/>
        <s v="IDLV"/>
        <s v="MJ"/>
        <s v="PFM"/>
        <s v="INDY"/>
        <s v="URNM"/>
        <s v="EWX"/>
        <s v="EWI"/>
        <s v="JPUS"/>
        <s v="KRMA"/>
        <s v="EQAL"/>
        <s v="PPA"/>
        <s v="PID"/>
        <s v="DFAE"/>
        <s v="CFA"/>
        <s v="EES"/>
        <s v="CALF"/>
        <s v="TLTD"/>
        <s v="LGLV"/>
        <s v="DWX"/>
        <s v="MXI"/>
        <s v="DWM"/>
        <s v="IQDF"/>
        <s v="FLGB"/>
        <s v="XNTK"/>
        <s v="IDRV"/>
        <s v="EWD"/>
        <s v="BUFR"/>
        <s v="VTWG"/>
        <s v="CATH"/>
        <s v="DSTL"/>
        <s v="ONEV"/>
        <s v="DBEU"/>
        <s v="ERX"/>
        <s v="FDRR"/>
        <s v="HAUZ"/>
        <s v="HEZU"/>
        <s v="TMFG"/>
        <s v="LCTD"/>
        <s v="FCTR"/>
        <s v="XSVM"/>
        <s v="EWP"/>
        <s v="SDVY"/>
        <s v="EWS"/>
        <s v="GMF"/>
        <s v="VNM"/>
        <s v="SPGM"/>
        <s v="FEP"/>
        <s v="XHE"/>
        <s v="FGD"/>
        <s v="BIZD"/>
        <s v="USXF"/>
        <s v="VIOG"/>
        <s v="JHMD"/>
        <s v="ESPO"/>
        <s v="NANR"/>
        <s v="IHAK"/>
        <s v="AIVL"/>
        <s v="SDG"/>
        <s v="DNL"/>
        <s v="IYZ"/>
        <s v="FMAT"/>
        <s v="RYF"/>
        <s v="TMFC"/>
        <s v="RING"/>
        <s v="IGE"/>
        <s v="YINN"/>
        <s v="FM"/>
        <s v="SIZE"/>
        <s v="FXN"/>
        <s v="PJAN"/>
        <s v="RHS"/>
        <s v="ERUS"/>
        <s v="FXZ"/>
        <s v="VFVA"/>
        <s v="ECH"/>
        <s v="JVAL"/>
        <s v="KBWD"/>
        <s v="FCG"/>
        <s v="RGI"/>
        <s v="EUSA"/>
        <s v="PDN"/>
        <s v="IBUY"/>
        <s v="SPD"/>
        <s v="SNSR"/>
        <s v="IMCV"/>
        <s v="PSCT"/>
        <s v="CAPE"/>
        <s v="BBH"/>
        <s v="IQSU"/>
        <s v="GII"/>
        <s v="TPYP"/>
        <s v="FDLO"/>
        <s v="FVAL"/>
        <s v="RTM"/>
        <s v="XRT"/>
        <s v="GQRE"/>
        <s v="VUSE"/>
        <s v="VIDI"/>
        <s v="FEM"/>
        <s v="GSSC"/>
        <s v="BKLC"/>
        <s v="JNUG"/>
        <s v="GSUS"/>
        <s v="GINN"/>
        <s v="INDS"/>
        <s v="KIE"/>
        <s v="QDEF"/>
        <s v="FDT"/>
        <s v="PTMC"/>
        <s v="RCD"/>
        <s v="EFIV"/>
        <s v="ALTL"/>
        <s v="FNDB"/>
        <s v="EXI"/>
        <s v="ERTH"/>
        <s v="FBCG"/>
        <s v="IEO"/>
        <s v="CHIQ"/>
        <s v="KNG"/>
        <s v="EWN"/>
        <s v="SMIN"/>
        <s v="TZA"/>
        <s v="PSCH"/>
        <s v="RXI"/>
        <s v="SRET"/>
        <s v="THD"/>
        <s v="ISCV"/>
        <s v="DPST"/>
        <s v="JHSC"/>
        <s v="JQUA"/>
        <s v="SPEU"/>
        <s v="SPXS"/>
        <s v="EEMS"/>
        <s v="ARKX"/>
        <s v="XVV"/>
        <s v="GSID"/>
        <s v="PPH"/>
        <s v="DWAS"/>
        <s v="IHE"/>
        <s v="BBSC"/>
        <s v="QQQE"/>
        <s v="DOL"/>
        <s v="RWK"/>
        <s v="SSUS"/>
        <s v="EIDO"/>
        <s v="KOKU"/>
        <s v="TECB"/>
        <s v="IRBO"/>
        <s v="SYLD"/>
        <s v="OGIG"/>
        <s v="EELV"/>
        <s v="FNY"/>
        <s v="DUSA"/>
        <s v="SFY"/>
        <s v="HERO"/>
        <s v="SMMD"/>
        <s v="ISCG"/>
        <s v="IQDG"/>
        <s v="ACIO"/>
        <s v="ROUS"/>
        <s v="QQH"/>
        <s v="RYE"/>
        <s v="UIVM"/>
        <s v="KCE"/>
        <s v="JEMA"/>
        <s v="MSTB"/>
        <s v="CWEB"/>
        <s v="DWLD"/>
        <s v="NUMG"/>
        <s v="LGH"/>
        <s v="BUFD"/>
        <s v="PJP"/>
        <s v="RFG"/>
        <s v="KARS"/>
        <s v="ADME"/>
        <s v="VSDA"/>
        <s v="PHDG"/>
        <s v="EZA"/>
        <s v="IEUS"/>
        <s v="ULVM"/>
        <s v="TLTE"/>
        <s v="IGRO"/>
        <s v="PTH"/>
        <s v="PIO"/>
        <s v="ISDX"/>
        <s v="PRNT"/>
        <s v="CLRG"/>
        <s v="FTXO"/>
        <s v="FXG"/>
        <s v="XSW"/>
        <s v="FAN"/>
        <s v="HFXI"/>
        <s v="KBWY"/>
        <s v="DMXF"/>
        <s v="DFE"/>
        <s v="FYC"/>
        <s v="XMHQ"/>
        <s v="ONEO"/>
        <s v="EDIV"/>
        <s v="WOOD"/>
        <s v="TUR"/>
        <s v="CNRG"/>
        <s v="SOCL"/>
        <s v="BIBL"/>
        <s v="DEF"/>
        <s v="FLBR"/>
        <s v="WDIV"/>
        <s v="MORT"/>
        <s v="FDD"/>
        <s v="PTF"/>
        <s v="IPO"/>
        <s v="EPOL"/>
        <s v="PSJ"/>
        <s v="FNOV"/>
        <s v="NUMV"/>
        <s v="BULZ"/>
        <s v="VOTE"/>
        <s v="JUST"/>
        <s v="RZV"/>
        <s v="ROBT"/>
        <s v="USVM"/>
        <s v="EFAX"/>
        <s v="SMOG"/>
        <s v="PBD"/>
        <s v="PSP"/>
        <s v="TMFM"/>
        <s v="PSEP"/>
        <s v="GSPY"/>
        <s v="FQAL"/>
        <s v="VLU"/>
        <s v="SHE"/>
        <s v="SIXH"/>
        <s v="IDNA"/>
        <s v="DFEN"/>
        <s v="DFEB"/>
        <s v="PKB"/>
        <s v="SARK"/>
        <s v="CDL"/>
        <s v="IXP"/>
        <s v="CSB"/>
        <s v="AWAY"/>
        <s v="OVL"/>
        <s v="EWM"/>
        <s v="TCHP"/>
        <s v="BETZ"/>
        <s v="UEVM"/>
        <s v="NAIL"/>
        <s v="FFEB"/>
        <s v="JMOM"/>
        <s v="SLVP"/>
        <s v="AIRR"/>
        <s v="BATT"/>
        <s v="IFGL"/>
        <s v="GTEK"/>
        <s v="EDOC"/>
        <s v="FLV"/>
        <s v="SGDM"/>
        <s v="FRI"/>
        <s v="PBE"/>
        <s v="PRN"/>
        <s v="IQIN"/>
        <s v="FYT"/>
        <s v="FAD"/>
        <s v="RYU"/>
        <s v="CURE"/>
        <s v="QINT"/>
        <s v="RTH"/>
        <s v="JPME"/>
        <s v="BLCN"/>
        <s v="PIZ"/>
        <s v="QGRO"/>
        <s v="IFV"/>
        <s v="QVAL"/>
        <s v="DFJ"/>
        <s v="EPU"/>
        <s v="PDEC"/>
        <s v="ISCB"/>
        <s v="CZA"/>
        <s v="LRGE"/>
        <s v="PMAY"/>
        <s v="DIVB"/>
        <s v="FVC"/>
        <s v="EQL"/>
        <s v="FNK"/>
        <s v="XMVM"/>
        <s v="IQSI"/>
        <s v="PIE"/>
        <s v="DGRS"/>
        <s v="XITK"/>
        <s v="PGJ"/>
        <s v="SMLV"/>
        <s v="BRZU"/>
        <s v="PALC"/>
        <s v="SCHY"/>
        <s v="FLEE"/>
        <s v="DTEC"/>
        <s v="XPH"/>
        <s v="PNOV"/>
        <s v="EIS"/>
        <s v="ISCF"/>
        <s v="MLPB"/>
        <s v="CSML"/>
        <s v="VALQ"/>
        <s v="FAUG"/>
        <s v="PAPR"/>
        <s v="DFNL"/>
        <s v="QVMM"/>
        <s v="GNOM"/>
        <s v="IUS"/>
        <s v="BJAN"/>
        <s v="TTAC"/>
        <s v="DBJP"/>
        <s v="PJUL"/>
        <s v="HTEC"/>
        <s v="GVIP"/>
        <s v="FFTY"/>
        <s v="FXU"/>
        <s v="ESG"/>
        <s v="CACG"/>
        <s v="OMFS"/>
        <s v="HEEM"/>
        <s v="FNGO"/>
        <s v="POCT"/>
        <s v="TOK"/>
        <s v="OSCV"/>
        <s v="XLSR"/>
        <s v="KLDW"/>
        <s v="ATMP"/>
        <s v="ETHO"/>
        <s v="DTH"/>
        <s v="MILN"/>
        <s v="FDG"/>
        <s v="ESGG"/>
        <s v="VFQY"/>
        <s v="JPEM"/>
        <s v="DINT"/>
        <s v="SPDN"/>
        <s v="DJD"/>
        <s v="VFMO"/>
        <s v="AUSF"/>
        <s v="IZRL"/>
        <s v="KGRN"/>
        <s v="JPSE"/>
        <s v="ADRE"/>
        <s v="PAUG"/>
        <s v="EDC"/>
        <s v="JSMD"/>
        <s v="FDEC"/>
        <s v="NUDM"/>
        <s v="FDM"/>
        <s v="DDWM"/>
        <s v="RFDI"/>
        <s v="PBP"/>
        <s v="JXI"/>
        <s v="AIQ"/>
        <s v="DEUS"/>
        <s v="IDOG"/>
        <s v="QTUM"/>
        <s v="SIXA"/>
        <s v="PXE"/>
        <s v="RFV"/>
        <s v="HLAL"/>
        <s v="HEGD"/>
        <s v="GCOW"/>
        <s v="FBGX"/>
        <s v="EDEN"/>
        <s v="QLV"/>
        <s v="SPVU"/>
        <s v="FOCT"/>
        <s v="FAB"/>
        <s v="EWRE"/>
        <s v="TPLC"/>
        <s v="VSMV"/>
        <s v="FCPI"/>
        <s v="USMF"/>
        <s v="ESGA"/>
        <s v="OUSM"/>
        <s v="LEGR"/>
        <s v="PPTY"/>
        <s v="XSMO"/>
        <s v="NUEM"/>
        <s v="SVAL"/>
        <s v="PXI"/>
        <s v="BSEP"/>
        <s v="ITEQ"/>
        <s v="YOLO"/>
        <s v="EBIZ"/>
        <s v="WEBL"/>
        <s v="FJAN"/>
        <s v="EDOW"/>
        <s v="ACWF"/>
        <s v="SBIO"/>
        <s v="FAPR"/>
        <s v="BLES"/>
        <s v="PTIN"/>
        <s v="AIEQ"/>
        <s v="FEMS"/>
        <s v="PJUN"/>
        <s v="FJUL"/>
        <s v="BFOR"/>
        <s v="XES"/>
        <s v="EEMX"/>
        <s v="DAUG"/>
        <s v="DBAW"/>
        <s v="DIM"/>
        <s v="DNOV"/>
        <s v="IETC"/>
        <s v="SIXL"/>
        <s v="HAIL"/>
        <s v="QLC"/>
        <s v="AIVI"/>
        <s v="BNKU"/>
        <s v="KURE"/>
        <s v="IVAL"/>
        <s v="PYZ"/>
        <s v="FLLV"/>
        <s v="LSAT"/>
        <s v="FSEP"/>
        <s v="PLRG"/>
        <s v="VFMF"/>
        <s v="PXUS"/>
        <s v="IGN"/>
        <s v="ECON"/>
        <s v="EPHE"/>
        <s v="IDHQ"/>
        <s v="TPHD"/>
        <s v="PSR"/>
        <s v="CHAD"/>
        <s v="GREK"/>
        <s v="TMFS"/>
        <s v="PBJ"/>
        <s v="QQQN"/>
        <s v="DWAW"/>
        <s v="SPUS"/>
        <s v="HAWX"/>
        <s v="SOXS"/>
        <s v="AVLV"/>
        <s v="ENZL"/>
        <s v="HUSV"/>
        <s v="XOUT"/>
        <s v="BKF"/>
        <s v="RYJ"/>
        <s v="NETL"/>
        <s v="EWMC"/>
        <s v="LSAF"/>
        <s v="PFEB"/>
        <s v="DYNF"/>
        <s v="QQXT"/>
        <s v="IDME"/>
        <s v="RBIN"/>
        <s v="SGDJ"/>
        <s v="IMFL"/>
        <s v="PIN"/>
        <s v="QABA"/>
        <s v="UMI"/>
        <s v="GVAL"/>
        <s v="PEZ"/>
        <s v="RFDA"/>
        <s v="NURE"/>
        <s v="DVOL"/>
        <s v="NJAN"/>
        <s v="FLCH"/>
        <s v="FAZ"/>
        <s v="RBUS"/>
        <s v="RNRG"/>
        <s v="MMLG"/>
        <s v="RZG"/>
        <s v="IEZ"/>
        <s v="TDVG"/>
        <s v="FMAY"/>
        <s v="CHGX"/>
        <s v="EQWL"/>
        <s v="WWJD"/>
        <s v="PSCE"/>
        <s v="ISMD"/>
        <s v="IPKW"/>
        <s v="BUZZ"/>
        <s v="FDMO"/>
        <s v="DRN"/>
        <s v="JSML"/>
        <s v="PWC"/>
        <s v="ONOF"/>
        <s v="BAPR"/>
        <s v="DBEM"/>
        <s v="AESR"/>
        <s v="LOWC"/>
        <s v="KJAN"/>
        <s v="CIL"/>
        <s v="FJUN"/>
        <s v="FRDM"/>
        <s v="BOCT"/>
        <s v="FUNL"/>
        <s v="XHS"/>
        <s v="PSCI"/>
        <s v="BKIE"/>
        <s v="HSCZ"/>
        <s v="BKMC"/>
        <s v="SQEW"/>
        <s v="SPYC"/>
        <s v="HKND"/>
        <s v="DAPR"/>
        <s v="PMAR"/>
        <s v="FBCV"/>
        <s v="PBDM"/>
        <s v="SLX"/>
        <s v="EWZS"/>
        <s v="MFEM"/>
        <s v="FTXL"/>
        <s v="SSPY"/>
        <s v="GENY"/>
        <s v="UJAN"/>
        <s v="GSFP"/>
        <s v="CTEC"/>
        <s v="FNI"/>
        <s v="PSET"/>
        <s v="MXDU"/>
        <s v="EJAN"/>
        <s v="PSL"/>
        <s v="DGT"/>
        <s v="DDEC"/>
        <s v="RESP"/>
        <s v="PFI"/>
        <s v="INCO"/>
        <s v="WTV"/>
        <s v="DEIF"/>
        <s v="EWUS"/>
        <s v="IAK"/>
        <s v="CHIX"/>
        <s v="BITQ"/>
        <s v="EYLD"/>
        <s v="AZBJ"/>
        <s v="BJUL"/>
        <s v="DMAR"/>
        <s v="GAMR"/>
        <s v="FSZ"/>
        <s v="GOAU"/>
        <s v="DWUS"/>
        <s v="HAP"/>
        <s v="BUFG"/>
        <s v="QAT"/>
        <s v="MFDX"/>
        <s v="UFO"/>
        <s v="BKCH"/>
        <s v="DGRE"/>
        <s v="CHAU"/>
        <s v="XVOL"/>
        <s v="JSTC"/>
        <s v="FIDI"/>
        <s v="PY"/>
        <s v="DOCT"/>
        <s v="RETL"/>
        <s v="FILL"/>
        <s v="GXTG"/>
        <s v="BJK"/>
        <s v="EWSC"/>
        <s v="CUT"/>
        <s v="SPMO"/>
        <s v="FKU"/>
        <s v="QDEC"/>
        <s v="MMTM"/>
        <s v="FNGD"/>
        <s v="SZNE"/>
        <s v="DRIP"/>
        <s v="WFH"/>
        <s v="FGM"/>
        <s v="KSTR"/>
        <s v="TECS"/>
        <s v="BUFF"/>
        <s v="HIBL"/>
        <s v="KAPR"/>
        <s v="FMAR"/>
        <s v="TPIF"/>
        <s v="LVHI"/>
        <s v="INDL"/>
        <s v="EWO"/>
        <s v="MFUS"/>
        <s v="EIRL"/>
        <s v="KBWR"/>
        <s v="BNOV"/>
        <s v="BKSE"/>
        <s v="EWJV"/>
        <s v="JPXN"/>
        <s v="DMAY"/>
        <s v="IQDY"/>
        <s v="VEGI"/>
        <s v="AMUB"/>
        <s v="QEMM"/>
        <s v="KEMQ"/>
        <s v="SDEM"/>
        <s v="QMOM"/>
        <s v="TTAI"/>
        <s v="DFNV"/>
        <s v="PUTW"/>
        <s v="HDGE"/>
        <s v="VPN"/>
        <s v="POTX"/>
        <s v="BAUG"/>
        <s v="ICOW"/>
        <s v="BDEC"/>
        <s v="CSF"/>
        <s v="CARZ"/>
        <s v="KBWP"/>
        <s v="ACSI"/>
        <s v="HOMZ"/>
        <s v="UTRN"/>
        <s v="QLVD"/>
        <s v="LDEM"/>
        <s v="FEUZ"/>
        <s v="ACTV"/>
        <s v="MOON"/>
        <s v="BALT"/>
        <s v="HDMV"/>
        <s v="XCEM"/>
        <s v="GLIN"/>
        <s v="ISRA"/>
        <s v="IDX"/>
        <s v="MIDU"/>
        <s v="PSFF"/>
        <s v="ENFR"/>
        <s v="RUFF"/>
        <s v="EVX"/>
        <s v="NORW"/>
        <s v="BTEC"/>
        <s v="SCJ"/>
        <s v="JHMT"/>
        <s v="HFGO"/>
        <s v="XTL"/>
        <s v="EUDG"/>
        <s v="IQDE"/>
        <s v="ECNS"/>
        <s v="DJUL"/>
        <s v="IJAN"/>
        <s v="VEGN"/>
        <s v="FSMD"/>
        <s v="IMOM"/>
        <s v="FNGS"/>
        <s v="UOCT"/>
        <s v="CNBS"/>
        <s v="AVES"/>
        <s v="CSD"/>
        <s v="JDST"/>
        <s v="AMNA"/>
        <s v="MOTI"/>
        <s v="DJUN"/>
        <s v="TRND"/>
        <s v="BMAY"/>
        <s v="AADR"/>
        <s v="WBIY"/>
        <s v="LOUP"/>
        <s v="SENT"/>
        <s v="DEW"/>
        <s v="TPLE"/>
        <s v="DJAN"/>
        <s v="WPS"/>
        <s v="TMAT"/>
        <s v="XJH"/>
        <s v="KJUL"/>
        <s v="DSEP"/>
        <s v="BFEB"/>
        <s v="GURU"/>
        <s v="SIXS"/>
        <s v="BJUN"/>
        <s v="USEP"/>
        <s v="AQGX"/>
        <s v="DFRA"/>
        <s v="FLKR"/>
        <s v="ENTR"/>
        <s v="FDNI"/>
        <s v="AFK"/>
        <s v="TEQI"/>
        <s v="NOCT"/>
        <s v="FMIL"/>
        <s v="BUFT"/>
        <s v="NFTY"/>
        <s v="LCG"/>
        <s v="EBLU"/>
        <s v="AGNG"/>
        <s v="EUSC"/>
        <s v="LABD"/>
        <s v="TPOR"/>
        <s v="HEWG"/>
        <s v="BMAR"/>
        <s v="DEEF"/>
        <s v="NERD"/>
        <s v="DRW"/>
        <s v="XRLV"/>
        <s v="JIG"/>
        <s v="LEAD"/>
        <s v="BDCZ"/>
        <s v="KBUY"/>
        <s v="YANG"/>
        <s v="DWEQ"/>
        <s v="SPCX"/>
        <s v="ABEQ"/>
        <s v="OALC"/>
        <s v="DUST"/>
        <s v="PBS"/>
        <s v="IJUL"/>
        <s v="JDIV"/>
        <s v="HDRO"/>
        <s v="SPUU"/>
        <s v="FLQM"/>
        <s v="TPSC"/>
        <s v="DEEP"/>
        <s v="DURA"/>
        <s v="SPDV"/>
        <s v="QWLD"/>
        <s v="FGRO"/>
        <s v="ENOR"/>
        <s v="QYLG"/>
        <s v="FYLD"/>
        <s v="RUSL"/>
        <s v="SOXQ"/>
        <s v="FLTW"/>
        <s v="RAYC"/>
        <s v="AZAJ"/>
        <s v="OEUR"/>
        <s v="AMTR"/>
        <s v="PSCC"/>
        <s v="DDIV"/>
        <s v="PTEU"/>
        <s v="VFMV"/>
        <s v="DDLS"/>
        <s v="FMAG"/>
        <s v="QVMS"/>
        <s v="NRGD"/>
        <s v="FLSW"/>
        <s v="FRLG"/>
        <s v="PXQ"/>
        <s v="VFLQ"/>
        <s v="FLIN"/>
        <s v="GOEX"/>
        <s v="TPHE"/>
        <s v="MGMT"/>
        <s v="JZRO"/>
        <s v="PSCF"/>
        <s v="WBIF"/>
        <s v="DBLV"/>
        <s v="RFEM"/>
        <s v="SIMS"/>
        <s v="FTHI"/>
        <s v="SPC"/>
        <s v="DIVZ"/>
        <s v="DVYA"/>
        <s v="NJUL"/>
        <s v="FID"/>
        <s v="IUSS"/>
        <s v="UJUL"/>
        <s v="SFYX"/>
        <s v="KLCD"/>
        <s v="PUI"/>
        <s v="PSCD"/>
        <s v="ZIG"/>
        <s v="SHUS"/>
        <s v="ROOF"/>
        <s v="TGRW"/>
        <s v="HIBS"/>
        <s v="NGE"/>
        <s v="FDRV"/>
        <s v="WBIG"/>
        <s v="JHMH"/>
        <s v="FOVL"/>
        <s v="DUSL"/>
        <s v="VMOT"/>
        <s v="RFFC"/>
        <s v="GDXU"/>
        <s v="AZAO"/>
        <s v="UAPR"/>
        <s v="WBIL"/>
        <s v="LFEQ"/>
        <s v="WANT"/>
        <s v="UMAY"/>
        <s v="ROAM"/>
        <s v="EWCO"/>
        <s v="UDEC"/>
        <s v="KOCT"/>
        <s v="SMHB"/>
        <s v="SSPX"/>
        <s v="GXG"/>
        <s v="EURL"/>
        <s v="FTRI"/>
        <s v="PINK"/>
        <s v="CIZ"/>
        <s v="ASET"/>
        <s v="XWEB"/>
        <s v="SPVM"/>
        <s v="FIVA"/>
        <s v="IEHS"/>
        <s v="PQIN"/>
        <s v="MVRL"/>
        <s v="DAX"/>
        <s v="IVES"/>
        <s v="NACP"/>
        <s v="IEIH"/>
        <s v="CRPT"/>
        <s v="FFSG"/>
        <s v="BDCX"/>
        <s v="JOYY"/>
        <s v="BKEM"/>
        <s v="DAPP"/>
        <s v="STNC"/>
        <s v="XYLG"/>
        <s v="ICOL"/>
        <s v="EWGS"/>
        <s v="ASHS"/>
        <s v="GERM"/>
        <s v="KORU"/>
        <s v="UNOV"/>
        <s v="AZBO"/>
        <s v="EJUL"/>
        <s v="NAPR"/>
        <s v="SXUS"/>
        <s v="WOMN"/>
        <s v="BFIT"/>
        <s v="DFND"/>
        <s v="BUL"/>
        <s v="SIXO"/>
        <s v="WUGI"/>
        <s v="KSCD"/>
        <s v="DWMF"/>
        <s v="THNQ"/>
        <s v="SCDL"/>
        <s v="NLR"/>
        <s v="PAMC"/>
        <s v="AMND"/>
        <s v="CNXT"/>
        <s v="MBOX"/>
        <s v="FFR"/>
        <s v="ASEA"/>
        <s v="EAPR"/>
        <s v="FEVR"/>
        <s v="RWVG"/>
        <s v="FJP"/>
        <s v="MLPR"/>
        <s v="WLDR"/>
        <s v="UAE"/>
        <s v="FRTY"/>
        <s v="WCBR"/>
        <s v="SMIG"/>
        <s v="DXJS"/>
        <s v="GFGF"/>
        <s v="PBSM"/>
        <s v="AVDR"/>
        <s v="GSEE"/>
        <s v="IWDL"/>
        <s v="DWSH"/>
        <s v="RAYE"/>
        <s v="RAYD"/>
        <s v="FLCA"/>
        <s v="UAUG"/>
        <s v="ACVF"/>
        <s v="LRNZ"/>
        <s v="EFNL"/>
        <s v="CWS"/>
        <s v="EWK"/>
        <s v="GRES"/>
        <s v="SOGU"/>
        <s v="BRF"/>
        <s v="FLAX"/>
        <s v="FIHD"/>
        <s v="UGCE"/>
        <s v="CHIK"/>
        <s v="USML"/>
        <s v="QULL"/>
        <s v="CHII"/>
        <s v="DXGE"/>
        <s v="HJEN"/>
        <s v="ISEM"/>
        <s v="EMXF"/>
        <s v="REMG"/>
        <s v="KVLE"/>
        <s v="MBCC"/>
        <s v="ERY"/>
        <s v="JAVA"/>
        <s v="RNDM"/>
        <s v="RNLC"/>
        <s v="TSJA"/>
        <s v="EASG"/>
        <s v="JHMF"/>
        <s v="EDZ"/>
        <s v="JIDA"/>
        <s v="RDMX"/>
        <s v="FSMO"/>
        <s v="RESE"/>
        <s v="KFVG"/>
        <s v="ARGT"/>
        <s v="ERSX"/>
        <s v="NULC"/>
        <s v="PSCU"/>
        <s v="IWFL"/>
        <s v="KEMX"/>
        <s v="FTXD"/>
        <s v="QSPT"/>
        <s v="UMAR"/>
        <s v="FLQD"/>
        <s v="JUSA"/>
        <s v="KOIN"/>
        <s v="RDOG"/>
        <s v="UBOT"/>
        <s v="USAI"/>
        <s v="SPMV"/>
        <s v="CRUZ"/>
        <s v="SPRE"/>
        <s v="ALFA"/>
        <s v="ESGS"/>
        <s v="SXQG"/>
        <s v="NDJI"/>
        <s v="EDOG"/>
        <s v="RAFE"/>
        <s v="QDIV"/>
        <s v="ROSC"/>
        <s v="HDAW"/>
        <s v="CNCR"/>
        <s v="PSFD"/>
        <s v="IEDI"/>
        <s v="CSA"/>
        <s v="GLRY"/>
        <s v="FLAU"/>
        <s v="FITE"/>
        <s v="XDEC"/>
        <s v="EMSG"/>
        <s v="EGIS"/>
        <s v="HYDR"/>
        <s v="DSTX"/>
        <s v="GLCN"/>
        <s v="UFEB"/>
        <s v="TENG"/>
        <s v="HLGE"/>
        <s v="XSHQ"/>
        <s v="EINC"/>
        <s v="JHMS"/>
        <s v="SIXJ"/>
        <s v="MLPO"/>
        <s v="SEPZ"/>
        <s v="YPS"/>
        <s v="DVLU"/>
        <s v="XJR"/>
        <s v="PXJ"/>
        <s v="JCTR"/>
        <s v="SMCP"/>
        <s v="TEMP"/>
        <s v="IBBQ"/>
        <s v="FICS"/>
        <s v="REIT"/>
        <s v="DIVS"/>
        <s v="GK"/>
        <s v="KOCG"/>
        <s v="SPAK"/>
        <s v="TUSA"/>
        <s v="BICK"/>
        <s v="MOHR"/>
        <s v="AVIV"/>
        <s v="UTSL"/>
        <s v="REVS"/>
        <s v="VAMO"/>
        <s v="DRV"/>
        <s v="TOKE"/>
        <s v="PILL"/>
        <s v="AMOM"/>
        <s v="AVRE"/>
        <s v="QJUN"/>
        <s v="FLEH"/>
        <s v="SFYF"/>
        <s v="FPRO"/>
        <s v="CVAR"/>
        <s v="PVAL"/>
        <s v="RECS"/>
        <s v="PSCM"/>
        <s v="RFEU"/>
        <s v="UMMA"/>
        <s v="TSPA"/>
        <s v="RSXJ"/>
        <s v="EMFM"/>
        <s v="QDYN"/>
        <s v="FLQE"/>
        <s v="FRNW"/>
        <s v="FLRU"/>
        <s v="RNMC"/>
        <s v="BLDG"/>
        <s v="JHME"/>
        <s v="EGPT"/>
        <s v="KWT"/>
        <s v="GDOC"/>
        <s v="RIET"/>
        <s v="FDEM"/>
        <s v="MTUL"/>
        <s v="JHMC"/>
        <s v="BUYZ"/>
        <s v="YLDE"/>
        <s v="PAK"/>
        <s v="DBOC"/>
        <s v="QARP"/>
        <s v="KALL"/>
        <s v="OVLH"/>
        <s v="XBAP"/>
        <s v="JMIN"/>
        <s v="ECLN"/>
        <s v="ROKT"/>
        <s v="IWML"/>
        <s v="AZBL"/>
        <s v="GSEU"/>
        <s v="RNSC"/>
        <s v="IAPR"/>
        <s v="SSLY"/>
        <s v="FLHK"/>
        <s v="NSPI"/>
        <s v="PYPE"/>
        <s v="SPUC"/>
        <s v="SPAX"/>
        <s v="FLGR"/>
        <s v="JPN"/>
        <s v="UJUN"/>
        <s v="IDHD"/>
        <s v="SQLV"/>
        <s v="QTAP"/>
        <s v="QRFT"/>
        <s v="KONG"/>
        <s v="CID"/>
        <s v="TMFX"/>
        <s v="GTR"/>
        <s v="FCLD"/>
        <s v="MOTG"/>
        <s v="HEWC"/>
        <s v="XSHD"/>
        <s v="QQD"/>
        <s v="RNDV"/>
        <s v="CRAK"/>
        <s v="CTRU"/>
        <s v="JHMU"/>
        <s v="EMIF"/>
        <s v="JHCS"/>
        <s v="AZAL"/>
        <s v="PSMD"/>
        <s v="JHMI"/>
        <s v="GDXD"/>
        <s v="AUGZ"/>
        <s v="GBUY"/>
        <s v="GREI"/>
        <s v="GMET"/>
        <s v="IECS"/>
        <s v="XRMI"/>
        <s v="CLDS"/>
        <s v="FDEV"/>
        <s v="HELX"/>
        <s v="ISZE"/>
        <s v="JHMA"/>
        <s v="LYFE"/>
        <s v="XPND"/>
        <s v="FLQH"/>
        <s v="CEY"/>
        <s v="PBEE"/>
        <s v="NTKI"/>
        <s v="RWGV"/>
        <s v="FLRG"/>
        <s v="FIEE"/>
        <s v="FTXH"/>
        <s v="HDLB"/>
        <s v="QMAR"/>
        <s v="MEXX"/>
        <s v="SYUS"/>
        <s v="FLQG"/>
        <s v="FLQS"/>
        <s v="TSOC"/>
        <s v="QLVE"/>
        <s v="UVDV"/>
        <s v="QRMI"/>
        <s v="IEME"/>
        <s v="PLAT"/>
        <s v="DBEZ"/>
        <s v="GIGE"/>
        <s v="IPOS"/>
        <s v="DWCR"/>
        <s v="MOTO"/>
        <s v="BOUT"/>
        <s v="DBJA"/>
        <s v="FPA"/>
        <s v="DEMZ"/>
        <s v="BTEK"/>
        <s v="PSMO"/>
        <s v="SUBZ"/>
        <s v="SDEI"/>
        <s v="HSMV"/>
        <s v="GSJY"/>
        <s v="IOCT"/>
        <s v="JULZ"/>
        <s v="ISVL"/>
        <s v="QQC"/>
        <s v="RITA"/>
        <s v="YJUN"/>
        <s v="HEWU"/>
        <s v="XDQQ"/>
        <s v="CN"/>
        <s v="BOSS"/>
        <s v="CHIH"/>
        <s v="NOVZ"/>
        <s v="HEQT"/>
        <s v="MAGA"/>
        <s v="YMAR"/>
        <s v="FDTS"/>
        <s v="FFND"/>
        <s v="MTVR"/>
        <s v="CUBS"/>
        <s v="BOAT"/>
        <s v="INFR"/>
        <s v="DBGR"/>
        <s v="CHIS"/>
        <s v="AZAA"/>
        <s v="WEBS"/>
        <s v="AZBA"/>
        <s v="BFTR"/>
        <s v="CLDL"/>
        <s v="VCLO"/>
        <s v="MVPS"/>
        <s v="FLJH"/>
        <s v="CHIM"/>
        <s v="FBZ"/>
        <s v="XJUN"/>
        <s v="EFAS"/>
        <s v="XDSQ"/>
        <s v="JRE"/>
        <s v="CHIC"/>
        <s v="CHIE"/>
        <s v="IMLP"/>
        <s v="ATFV"/>
        <s v="PSMJ"/>
        <s v="IQM"/>
        <s v="DWPP"/>
        <s v="ZECP"/>
        <s v="XBJL"/>
        <s v="EKAR"/>
        <s v="LOPP"/>
        <s v="FLMX"/>
        <s v="FLFR"/>
        <s v="FPXE"/>
        <s v="VICE"/>
        <s v="RIGZ"/>
        <s v="FLM"/>
        <s v="TRYP"/>
        <s v="XBJA"/>
        <s v="VSLU"/>
        <s v="KFYP"/>
        <s v="YDEC"/>
        <s v="MIDE"/>
        <s v="KNGS"/>
        <s v="NFTZ"/>
        <s v="TPAY"/>
        <s v="SMLE"/>
        <s v="USLB"/>
        <s v="EQOP"/>
        <s v="FMQQ"/>
        <s v="FDHT"/>
        <s v="FCA"/>
        <s v="ECOW"/>
        <s v="BKIS"/>
        <s v="IEFN"/>
        <s v="BKCI"/>
        <s v="HEET"/>
        <s v="PGRO"/>
        <s v="SPXZ"/>
        <s v="KESG"/>
        <s v="BKES"/>
        <s v="PGAL"/>
        <s v="QQMG"/>
        <s v="SMDY"/>
        <s v="ECOZ"/>
        <s v="OBOR"/>
        <s v="XTJL"/>
        <s v="BKUS"/>
        <s v="BEDZ"/>
        <s v="IDMO"/>
        <s v="WKLY"/>
        <s v="INDF"/>
        <s v="ASHX"/>
        <s v="CHNA"/>
        <s v="FPAG"/>
        <s v="VNMC"/>
        <s v="DSOC"/>
        <s v="PSY"/>
        <s v="IDAT"/>
        <s v="FTLB"/>
        <s v="AFTY"/>
        <s v="LUXE"/>
        <s v="QTJL"/>
        <s v="VCAR"/>
        <s v="OVF"/>
        <s v="SAEF"/>
        <s v="CBSE"/>
        <s v="AQWA"/>
        <s v="BAD"/>
        <s v="FLN"/>
        <s v="BMED"/>
        <s v="FTXG"/>
        <s v="PSFM"/>
        <s v="YSEP"/>
        <s v="BNE"/>
        <s v="VIRS"/>
        <s v="EEMD"/>
        <s v="OCTZ"/>
        <s v="XDAP"/>
        <s v="RAYS"/>
        <s v="CBTG"/>
        <s v="AIIQ"/>
        <s v="XTAP"/>
        <s v="RESD"/>
        <s v="MIDF"/>
        <s v="SUBS"/>
        <s v="EOCT"/>
        <s v="PFUT"/>
        <s v="VSL"/>
        <s v="GPAL"/>
        <s v="RNEM"/>
        <s v="RSPY"/>
        <s v="STLV"/>
        <s v="EWJE"/>
        <s v="DECZ"/>
        <s v="IXSE"/>
        <s v="PSCX"/>
        <s v="IDLB"/>
        <s v="PSMR"/>
        <s v="JRNY"/>
        <s v="CHIR"/>
        <s v="PLDR"/>
        <s v="DWMC"/>
        <s v="HART"/>
        <s v="QTJA"/>
        <s v="LVOL"/>
        <s v="GCIG"/>
        <s v="OVS"/>
        <s v="FNGG"/>
        <s v="LSLT"/>
        <s v="IVLC"/>
        <s v="SATO"/>
        <s v="ESGY"/>
        <s v="PSIL"/>
        <s v="XBUY"/>
        <s v="MNM"/>
        <s v="KTEC"/>
        <s v="XTJA"/>
        <s v="PSFO"/>
        <s v="NDVG"/>
        <s v="DSJA"/>
        <s v="AGT"/>
        <s v="EEMO"/>
        <s v="DOZR"/>
        <s v="PLTL"/>
        <s v="NSCS"/>
        <s v="CLNR"/>
        <s v="APRZ"/>
        <s v="QTOC"/>
        <s v="ESMV"/>
        <s v="EQUL"/>
        <s v="IWFH"/>
        <s v="MJUS"/>
        <s v="FTAG"/>
        <s v="PSDN"/>
        <s v="SDGA"/>
        <s v="RODE"/>
        <s v="FSST"/>
        <s v="NVQ"/>
        <s v="VNSE"/>
        <s v="HVAL"/>
        <s v="EDUT"/>
        <s v="XBOC"/>
        <s v="ESGN"/>
        <s v="KLNE"/>
        <s v="HDIV"/>
        <s v="SLT"/>
        <s v="FLZA"/>
        <s v="KROP"/>
        <s v="MARZ"/>
        <s v="STLG"/>
        <s v="SOLR"/>
        <s v="XDJL"/>
        <s v="PSFJ"/>
        <s v="NWLG"/>
        <s v="BTCR"/>
        <s v="NUDV"/>
        <s v="MAYZ"/>
        <s v="FEDM"/>
        <s v="OOTO"/>
        <s v="XTOC"/>
        <s v="WWOW"/>
        <s v="OCEN"/>
        <s v="SPRX"/>
        <s v="RSPE"/>
        <s v="MVP"/>
        <s v="JFWD"/>
        <s v="BECO"/>
        <s v="CEFA"/>
        <s v="BTHM"/>
        <s v="ICAP"/>
        <s v="GBLD"/>
        <s v="WGRO"/>
        <s v="OILU"/>
        <s v="BNKD"/>
        <s v="BERZ"/>
        <s v="AMER"/>
        <s v="ADIV"/>
        <s v="PEXL"/>
        <s v="FLLA"/>
        <s v="ZGEN"/>
        <s v="JANZ"/>
        <s v="GLIF"/>
        <s v="FLIY"/>
        <s v="WIL"/>
        <s v="WNDY"/>
        <s v="JUNZ"/>
        <s v="BLKC"/>
        <s v="AFLG"/>
        <s v="FLSA"/>
        <s v="NIFE"/>
        <s v="EWEB"/>
        <s v="QTR"/>
        <s v="LOPX"/>
        <s v="EATZ"/>
        <s v="ILDR"/>
        <s v="PSCQ"/>
        <s v="WDNA"/>
        <s v="VNAM"/>
        <s v="CHB"/>
        <s v="CFCV"/>
        <s v="FEBZ"/>
        <s v="SWAR"/>
        <s v="KEJI"/>
        <s v="HERD"/>
        <s v="BUDX"/>
        <s v="GGRW"/>
        <s v="XCLR"/>
        <s v="HJPX"/>
        <s v="LGBT"/>
        <s v="XDAT"/>
        <s v="PSCW"/>
        <s v="USVT"/>
        <s v="DMCY"/>
        <s v="ITAN"/>
        <s v="EMGD"/>
        <s v="XTR"/>
        <s v="QCLR"/>
        <s v="PSCJ"/>
        <s v="AVDG"/>
        <s v="EAFD"/>
        <s v="MSGR"/>
        <s v="OILD"/>
        <s v="EATV"/>
        <s v="LIV"/>
        <s v="FLDZ"/>
        <s v="BIGY"/>
        <s v="FDWM"/>
        <s v="GBDV"/>
        <s v="ESIX"/>
        <s v="IVRA"/>
        <s v="USEQ"/>
        <s v="APXH"/>
        <s v="RODI"/>
        <s v="EURZ"/>
        <s v="KMED"/>
        <s v="FEUS"/>
        <s v="EMMF"/>
        <s v="AFSM"/>
        <s v="AFMC"/>
        <s v="MDCP"/>
        <s v="DMDV"/>
        <s v="RTYD"/>
        <s v="KGRO"/>
        <s v="YUMY"/>
        <s v="BSEA"/>
        <s v="MRAD"/>
        <s v="QQJG"/>
        <s v="DSPC"/>
        <s v="NTZO"/>
        <s v="TYNE"/>
        <s v="HHH"/>
        <s v="MOTE"/>
        <s v="TRDF"/>
        <s v="XDOC"/>
        <s v="FEDX"/>
        <s v="TMFE"/>
        <s v="BYTE"/>
        <s v="SHFT"/>
        <s v="CHIU"/>
        <s v="MMSC"/>
        <s v="MEME"/>
        <s v="VFIN"/>
        <s v="EEH"/>
        <s v="HOTL"/>
        <s v="AVSC"/>
        <s v="CLMA"/>
        <s v="XDNA"/>
        <s v="GBLO"/>
        <s v="IVSG"/>
        <s v="SILX"/>
        <s v="VDNI"/>
        <s v="XDJA"/>
        <s v="JGLD"/>
        <s v="UBCB"/>
        <s v="WTAI"/>
        <s v="IVDG"/>
        <s v="GBGR"/>
        <s v="EPRE"/>
        <s v="MJIN"/>
        <s v="VPOP"/>
        <s v="DTOX"/>
        <s v="SPQQ"/>
        <s v="GRZZ"/>
        <s v="AILG"/>
        <s v="MJXL"/>
        <s v="NZRO"/>
        <s v="BIDS"/>
        <s v="AWYX"/>
        <s v="AILV"/>
        <s v="VBB"/>
        <s v="IBET"/>
        <s v="IUSA"/>
        <s v="SINV"/>
        <s v="EVEN"/>
        <s v="FNTC"/>
        <s v="RESI"/>
        <s v="GAST"/>
        <s v="INNO"/>
        <s v="OND"/>
        <s v="TINT"/>
        <s v="TINY"/>
        <s v="CTEX"/>
        <s v="DAT"/>
        <s v="MAKX"/>
        <s v="ESUS"/>
        <s v="FEDL"/>
        <s v="IFED"/>
        <s v="VCLN"/>
        <s v="MDEV"/>
        <s v="QQQA"/>
        <s v="SKYU"/>
        <s v="UCYB"/>
        <s v="JOET"/>
        <s v="SULR"/>
        <s v="SHLD"/>
        <s v="VTRN"/>
        <s v="NVMZ"/>
        <s v="ANEW"/>
        <s v="CCON"/>
        <s v="MID"/>
        <s v="HIPR"/>
        <s v="TAAG"/>
        <s v="TADS"/>
        <s v="STLC"/>
        <s v="STMB"/>
        <s v="STSB"/>
        <s v="TDV"/>
        <s v="TMDV"/>
        <s v="THCX"/>
        <s v="VRAI"/>
        <s v="PAWZ"/>
        <s v="ONLN"/>
        <s v="CLIX"/>
        <s v="EMTY"/>
        <s v="VWID"/>
        <s v="EQRR"/>
        <s v="EMDV"/>
        <s v="UTES"/>
        <s v="SPXE"/>
        <s v="SPXN"/>
        <s v="SPXT"/>
        <s v="SPXV"/>
        <s v="EUDV"/>
        <s v="REGL"/>
        <s v="SMDV"/>
        <s v="BBP"/>
        <s v="BBC"/>
        <s v="AMZA"/>
        <s v="EFAD"/>
        <s v="TOLZ"/>
        <s v="NOBL"/>
        <s v="PEX"/>
        <s v="UBR"/>
        <s v="UPV"/>
        <s v="BIB"/>
        <s v="BIS"/>
        <s v="REK"/>
        <s v="SBM"/>
        <s v="YXI"/>
        <s v="SDOW"/>
        <s v="SMDD"/>
        <s v="SRTY"/>
        <s v="UDOW"/>
        <s v="UMDD"/>
        <s v="URTY"/>
        <s v="SQQQ"/>
        <s v="TQQQ"/>
        <s v="CSM"/>
        <s v="SPXU"/>
        <s v="UPRO"/>
        <s v="BZQ"/>
        <s v="EPV"/>
        <s v="EET"/>
        <s v="EFO"/>
        <s v="EZJ"/>
        <s v="XPP"/>
        <s v="DDG"/>
        <s v="SEF"/>
        <s v="LTL"/>
        <s v="FXP"/>
        <s v="EWV"/>
        <s v="EEV"/>
        <s v="EUM"/>
        <s v="EFU"/>
        <s v="EFZ"/>
        <s v="DIG"/>
        <s v="DUG"/>
        <s v="REW"/>
        <s v="ROM"/>
        <s v="RXD"/>
        <s v="RXL"/>
        <s v="SCC"/>
        <s v="SDP"/>
        <s v="SIJ"/>
        <s v="SKF"/>
        <s v="SMN"/>
        <s v="SRS"/>
        <s v="SSG"/>
        <s v="SZK"/>
        <s v="UCC"/>
        <s v="UGE"/>
        <s v="UPW"/>
        <s v="URE"/>
        <s v="USD"/>
        <s v="UXI"/>
        <s v="UYG"/>
        <s v="UYM"/>
        <s v="RWM"/>
        <s v="SAA"/>
        <s v="SBB"/>
        <s v="SDD"/>
        <s v="TWM"/>
        <s v="UWM"/>
        <s v="DXD"/>
        <s v="MZZ"/>
        <s v="QID"/>
        <s v="SDS"/>
        <s v="DDM"/>
        <s v="DOG"/>
        <s v="MVV"/>
        <s v="MYY"/>
        <s v="PSQ"/>
        <s v="QLD"/>
        <s v="SH"/>
        <s v="S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9">
  <r>
    <x v="0"/>
    <x v="0"/>
    <x v="0"/>
    <x v="0"/>
    <x v="0"/>
    <x v="0"/>
    <x v="0"/>
    <x v="0"/>
  </r>
  <r>
    <x v="1"/>
    <x v="1"/>
    <x v="1"/>
    <x v="1"/>
    <x v="1"/>
    <x v="1"/>
    <x v="0"/>
    <x v="1"/>
  </r>
  <r>
    <x v="2"/>
    <x v="2"/>
    <x v="2"/>
    <x v="2"/>
    <x v="2"/>
    <x v="1"/>
    <x v="1"/>
    <x v="2"/>
  </r>
  <r>
    <x v="2"/>
    <x v="3"/>
    <x v="3"/>
    <x v="3"/>
    <x v="3"/>
    <x v="1"/>
    <x v="0"/>
    <x v="3"/>
  </r>
  <r>
    <x v="3"/>
    <x v="4"/>
    <x v="4"/>
    <x v="4"/>
    <x v="4"/>
    <x v="2"/>
    <x v="0"/>
    <x v="4"/>
  </r>
  <r>
    <x v="2"/>
    <x v="5"/>
    <x v="5"/>
    <x v="5"/>
    <x v="5"/>
    <x v="3"/>
    <x v="2"/>
    <x v="5"/>
  </r>
  <r>
    <x v="1"/>
    <x v="6"/>
    <x v="6"/>
    <x v="6"/>
    <x v="5"/>
    <x v="4"/>
    <x v="3"/>
    <x v="6"/>
  </r>
  <r>
    <x v="2"/>
    <x v="7"/>
    <x v="7"/>
    <x v="7"/>
    <x v="6"/>
    <x v="5"/>
    <x v="4"/>
    <x v="7"/>
  </r>
  <r>
    <x v="2"/>
    <x v="8"/>
    <x v="8"/>
    <x v="8"/>
    <x v="7"/>
    <x v="6"/>
    <x v="5"/>
    <x v="8"/>
  </r>
  <r>
    <x v="2"/>
    <x v="9"/>
    <x v="9"/>
    <x v="9"/>
    <x v="8"/>
    <x v="5"/>
    <x v="6"/>
    <x v="9"/>
  </r>
  <r>
    <x v="1"/>
    <x v="10"/>
    <x v="10"/>
    <x v="10"/>
    <x v="9"/>
    <x v="7"/>
    <x v="5"/>
    <x v="10"/>
  </r>
  <r>
    <x v="1"/>
    <x v="11"/>
    <x v="11"/>
    <x v="11"/>
    <x v="10"/>
    <x v="8"/>
    <x v="7"/>
    <x v="11"/>
  </r>
  <r>
    <x v="1"/>
    <x v="12"/>
    <x v="12"/>
    <x v="12"/>
    <x v="11"/>
    <x v="9"/>
    <x v="6"/>
    <x v="12"/>
  </r>
  <r>
    <x v="2"/>
    <x v="13"/>
    <x v="13"/>
    <x v="13"/>
    <x v="12"/>
    <x v="8"/>
    <x v="1"/>
    <x v="13"/>
  </r>
  <r>
    <x v="1"/>
    <x v="14"/>
    <x v="14"/>
    <x v="14"/>
    <x v="13"/>
    <x v="3"/>
    <x v="8"/>
    <x v="14"/>
  </r>
  <r>
    <x v="1"/>
    <x v="15"/>
    <x v="15"/>
    <x v="15"/>
    <x v="14"/>
    <x v="9"/>
    <x v="7"/>
    <x v="15"/>
  </r>
  <r>
    <x v="1"/>
    <x v="16"/>
    <x v="16"/>
    <x v="16"/>
    <x v="15"/>
    <x v="9"/>
    <x v="4"/>
    <x v="16"/>
  </r>
  <r>
    <x v="1"/>
    <x v="17"/>
    <x v="17"/>
    <x v="17"/>
    <x v="16"/>
    <x v="10"/>
    <x v="3"/>
    <x v="17"/>
  </r>
  <r>
    <x v="2"/>
    <x v="18"/>
    <x v="18"/>
    <x v="18"/>
    <x v="17"/>
    <x v="11"/>
    <x v="9"/>
    <x v="18"/>
  </r>
  <r>
    <x v="2"/>
    <x v="19"/>
    <x v="19"/>
    <x v="19"/>
    <x v="18"/>
    <x v="5"/>
    <x v="8"/>
    <x v="19"/>
  </r>
  <r>
    <x v="2"/>
    <x v="20"/>
    <x v="20"/>
    <x v="20"/>
    <x v="19"/>
    <x v="6"/>
    <x v="10"/>
    <x v="20"/>
  </r>
  <r>
    <x v="2"/>
    <x v="21"/>
    <x v="21"/>
    <x v="21"/>
    <x v="20"/>
    <x v="12"/>
    <x v="11"/>
    <x v="21"/>
  </r>
  <r>
    <x v="0"/>
    <x v="22"/>
    <x v="22"/>
    <x v="22"/>
    <x v="21"/>
    <x v="12"/>
    <x v="10"/>
    <x v="22"/>
  </r>
  <r>
    <x v="0"/>
    <x v="23"/>
    <x v="23"/>
    <x v="23"/>
    <x v="22"/>
    <x v="12"/>
    <x v="12"/>
    <x v="23"/>
  </r>
  <r>
    <x v="2"/>
    <x v="24"/>
    <x v="24"/>
    <x v="24"/>
    <x v="23"/>
    <x v="3"/>
    <x v="7"/>
    <x v="24"/>
  </r>
  <r>
    <x v="1"/>
    <x v="25"/>
    <x v="25"/>
    <x v="25"/>
    <x v="24"/>
    <x v="1"/>
    <x v="1"/>
    <x v="25"/>
  </r>
  <r>
    <x v="2"/>
    <x v="26"/>
    <x v="26"/>
    <x v="26"/>
    <x v="25"/>
    <x v="8"/>
    <x v="13"/>
    <x v="26"/>
  </r>
  <r>
    <x v="2"/>
    <x v="27"/>
    <x v="27"/>
    <x v="27"/>
    <x v="26"/>
    <x v="11"/>
    <x v="9"/>
    <x v="27"/>
  </r>
  <r>
    <x v="1"/>
    <x v="28"/>
    <x v="28"/>
    <x v="28"/>
    <x v="27"/>
    <x v="13"/>
    <x v="6"/>
    <x v="28"/>
  </r>
  <r>
    <x v="0"/>
    <x v="29"/>
    <x v="29"/>
    <x v="29"/>
    <x v="28"/>
    <x v="12"/>
    <x v="14"/>
    <x v="29"/>
  </r>
  <r>
    <x v="4"/>
    <x v="30"/>
    <x v="30"/>
    <x v="30"/>
    <x v="29"/>
    <x v="1"/>
    <x v="0"/>
    <x v="30"/>
  </r>
  <r>
    <x v="1"/>
    <x v="31"/>
    <x v="31"/>
    <x v="31"/>
    <x v="30"/>
    <x v="0"/>
    <x v="9"/>
    <x v="31"/>
  </r>
  <r>
    <x v="3"/>
    <x v="32"/>
    <x v="32"/>
    <x v="32"/>
    <x v="31"/>
    <x v="2"/>
    <x v="0"/>
    <x v="32"/>
  </r>
  <r>
    <x v="4"/>
    <x v="33"/>
    <x v="33"/>
    <x v="33"/>
    <x v="32"/>
    <x v="8"/>
    <x v="13"/>
    <x v="33"/>
  </r>
  <r>
    <x v="0"/>
    <x v="34"/>
    <x v="34"/>
    <x v="34"/>
    <x v="33"/>
    <x v="12"/>
    <x v="15"/>
    <x v="34"/>
  </r>
  <r>
    <x v="1"/>
    <x v="35"/>
    <x v="35"/>
    <x v="35"/>
    <x v="34"/>
    <x v="14"/>
    <x v="0"/>
    <x v="35"/>
  </r>
  <r>
    <x v="0"/>
    <x v="36"/>
    <x v="36"/>
    <x v="36"/>
    <x v="7"/>
    <x v="15"/>
    <x v="0"/>
    <x v="36"/>
  </r>
  <r>
    <x v="1"/>
    <x v="37"/>
    <x v="37"/>
    <x v="37"/>
    <x v="35"/>
    <x v="16"/>
    <x v="5"/>
    <x v="37"/>
  </r>
  <r>
    <x v="4"/>
    <x v="38"/>
    <x v="38"/>
    <x v="38"/>
    <x v="36"/>
    <x v="8"/>
    <x v="2"/>
    <x v="38"/>
  </r>
  <r>
    <x v="1"/>
    <x v="39"/>
    <x v="39"/>
    <x v="39"/>
    <x v="37"/>
    <x v="9"/>
    <x v="8"/>
    <x v="39"/>
  </r>
  <r>
    <x v="1"/>
    <x v="40"/>
    <x v="40"/>
    <x v="40"/>
    <x v="38"/>
    <x v="14"/>
    <x v="1"/>
    <x v="40"/>
  </r>
  <r>
    <x v="2"/>
    <x v="41"/>
    <x v="41"/>
    <x v="41"/>
    <x v="39"/>
    <x v="5"/>
    <x v="0"/>
    <x v="41"/>
  </r>
  <r>
    <x v="2"/>
    <x v="42"/>
    <x v="42"/>
    <x v="42"/>
    <x v="40"/>
    <x v="4"/>
    <x v="16"/>
    <x v="42"/>
  </r>
  <r>
    <x v="2"/>
    <x v="43"/>
    <x v="43"/>
    <x v="43"/>
    <x v="41"/>
    <x v="11"/>
    <x v="17"/>
    <x v="43"/>
  </r>
  <r>
    <x v="1"/>
    <x v="44"/>
    <x v="44"/>
    <x v="44"/>
    <x v="42"/>
    <x v="13"/>
    <x v="4"/>
    <x v="44"/>
  </r>
  <r>
    <x v="1"/>
    <x v="45"/>
    <x v="45"/>
    <x v="45"/>
    <x v="34"/>
    <x v="14"/>
    <x v="1"/>
    <x v="45"/>
  </r>
  <r>
    <x v="1"/>
    <x v="46"/>
    <x v="46"/>
    <x v="46"/>
    <x v="43"/>
    <x v="11"/>
    <x v="1"/>
    <x v="46"/>
  </r>
  <r>
    <x v="1"/>
    <x v="47"/>
    <x v="47"/>
    <x v="47"/>
    <x v="44"/>
    <x v="14"/>
    <x v="1"/>
    <x v="47"/>
  </r>
  <r>
    <x v="4"/>
    <x v="48"/>
    <x v="48"/>
    <x v="48"/>
    <x v="45"/>
    <x v="1"/>
    <x v="1"/>
    <x v="48"/>
  </r>
  <r>
    <x v="2"/>
    <x v="49"/>
    <x v="49"/>
    <x v="49"/>
    <x v="46"/>
    <x v="11"/>
    <x v="18"/>
    <x v="49"/>
  </r>
  <r>
    <x v="0"/>
    <x v="50"/>
    <x v="50"/>
    <x v="50"/>
    <x v="47"/>
    <x v="12"/>
    <x v="19"/>
    <x v="50"/>
  </r>
  <r>
    <x v="0"/>
    <x v="51"/>
    <x v="51"/>
    <x v="51"/>
    <x v="48"/>
    <x v="17"/>
    <x v="13"/>
    <x v="51"/>
  </r>
  <r>
    <x v="1"/>
    <x v="52"/>
    <x v="52"/>
    <x v="52"/>
    <x v="49"/>
    <x v="18"/>
    <x v="13"/>
    <x v="52"/>
  </r>
  <r>
    <x v="0"/>
    <x v="53"/>
    <x v="53"/>
    <x v="53"/>
    <x v="50"/>
    <x v="19"/>
    <x v="8"/>
    <x v="53"/>
  </r>
  <r>
    <x v="1"/>
    <x v="54"/>
    <x v="54"/>
    <x v="54"/>
    <x v="9"/>
    <x v="10"/>
    <x v="17"/>
    <x v="54"/>
  </r>
  <r>
    <x v="0"/>
    <x v="55"/>
    <x v="55"/>
    <x v="55"/>
    <x v="16"/>
    <x v="12"/>
    <x v="20"/>
    <x v="55"/>
  </r>
  <r>
    <x v="1"/>
    <x v="56"/>
    <x v="56"/>
    <x v="56"/>
    <x v="51"/>
    <x v="18"/>
    <x v="21"/>
    <x v="56"/>
  </r>
  <r>
    <x v="2"/>
    <x v="57"/>
    <x v="57"/>
    <x v="57"/>
    <x v="52"/>
    <x v="6"/>
    <x v="14"/>
    <x v="57"/>
  </r>
  <r>
    <x v="2"/>
    <x v="58"/>
    <x v="58"/>
    <x v="58"/>
    <x v="53"/>
    <x v="4"/>
    <x v="22"/>
    <x v="58"/>
  </r>
  <r>
    <x v="1"/>
    <x v="59"/>
    <x v="59"/>
    <x v="59"/>
    <x v="54"/>
    <x v="14"/>
    <x v="23"/>
    <x v="59"/>
  </r>
  <r>
    <x v="4"/>
    <x v="60"/>
    <x v="60"/>
    <x v="60"/>
    <x v="55"/>
    <x v="5"/>
    <x v="6"/>
    <x v="60"/>
  </r>
  <r>
    <x v="4"/>
    <x v="61"/>
    <x v="61"/>
    <x v="61"/>
    <x v="56"/>
    <x v="5"/>
    <x v="7"/>
    <x v="61"/>
  </r>
  <r>
    <x v="2"/>
    <x v="62"/>
    <x v="62"/>
    <x v="62"/>
    <x v="57"/>
    <x v="8"/>
    <x v="24"/>
    <x v="62"/>
  </r>
  <r>
    <x v="1"/>
    <x v="63"/>
    <x v="63"/>
    <x v="63"/>
    <x v="58"/>
    <x v="20"/>
    <x v="16"/>
    <x v="63"/>
  </r>
  <r>
    <x v="0"/>
    <x v="64"/>
    <x v="64"/>
    <x v="64"/>
    <x v="59"/>
    <x v="12"/>
    <x v="25"/>
    <x v="64"/>
  </r>
  <r>
    <x v="1"/>
    <x v="65"/>
    <x v="65"/>
    <x v="65"/>
    <x v="60"/>
    <x v="19"/>
    <x v="22"/>
    <x v="65"/>
  </r>
  <r>
    <x v="1"/>
    <x v="66"/>
    <x v="66"/>
    <x v="66"/>
    <x v="61"/>
    <x v="21"/>
    <x v="26"/>
    <x v="66"/>
  </r>
  <r>
    <x v="5"/>
    <x v="67"/>
    <x v="67"/>
    <x v="67"/>
    <x v="62"/>
    <x v="9"/>
    <x v="1"/>
    <x v="67"/>
  </r>
  <r>
    <x v="2"/>
    <x v="68"/>
    <x v="68"/>
    <x v="68"/>
    <x v="63"/>
    <x v="4"/>
    <x v="27"/>
    <x v="68"/>
  </r>
  <r>
    <x v="6"/>
    <x v="69"/>
    <x v="69"/>
    <x v="69"/>
    <x v="64"/>
    <x v="0"/>
    <x v="0"/>
    <x v="69"/>
  </r>
  <r>
    <x v="1"/>
    <x v="70"/>
    <x v="70"/>
    <x v="70"/>
    <x v="65"/>
    <x v="19"/>
    <x v="28"/>
    <x v="70"/>
  </r>
  <r>
    <x v="0"/>
    <x v="71"/>
    <x v="71"/>
    <x v="71"/>
    <x v="19"/>
    <x v="5"/>
    <x v="6"/>
    <x v="71"/>
  </r>
  <r>
    <x v="0"/>
    <x v="72"/>
    <x v="72"/>
    <x v="72"/>
    <x v="66"/>
    <x v="5"/>
    <x v="4"/>
    <x v="72"/>
  </r>
  <r>
    <x v="0"/>
    <x v="73"/>
    <x v="73"/>
    <x v="73"/>
    <x v="67"/>
    <x v="12"/>
    <x v="29"/>
    <x v="73"/>
  </r>
  <r>
    <x v="0"/>
    <x v="74"/>
    <x v="74"/>
    <x v="74"/>
    <x v="68"/>
    <x v="5"/>
    <x v="2"/>
    <x v="74"/>
  </r>
  <r>
    <x v="0"/>
    <x v="75"/>
    <x v="75"/>
    <x v="75"/>
    <x v="0"/>
    <x v="1"/>
    <x v="0"/>
    <x v="75"/>
  </r>
  <r>
    <x v="7"/>
    <x v="76"/>
    <x v="76"/>
    <x v="76"/>
    <x v="69"/>
    <x v="22"/>
    <x v="30"/>
    <x v="76"/>
  </r>
  <r>
    <x v="2"/>
    <x v="77"/>
    <x v="77"/>
    <x v="77"/>
    <x v="70"/>
    <x v="4"/>
    <x v="6"/>
    <x v="77"/>
  </r>
  <r>
    <x v="8"/>
    <x v="78"/>
    <x v="78"/>
    <x v="78"/>
    <x v="71"/>
    <x v="16"/>
    <x v="13"/>
    <x v="78"/>
  </r>
  <r>
    <x v="1"/>
    <x v="79"/>
    <x v="79"/>
    <x v="79"/>
    <x v="72"/>
    <x v="21"/>
    <x v="31"/>
    <x v="79"/>
  </r>
  <r>
    <x v="0"/>
    <x v="80"/>
    <x v="80"/>
    <x v="80"/>
    <x v="73"/>
    <x v="12"/>
    <x v="32"/>
    <x v="80"/>
  </r>
  <r>
    <x v="1"/>
    <x v="81"/>
    <x v="81"/>
    <x v="81"/>
    <x v="74"/>
    <x v="14"/>
    <x v="1"/>
    <x v="81"/>
  </r>
  <r>
    <x v="9"/>
    <x v="82"/>
    <x v="82"/>
    <x v="82"/>
    <x v="75"/>
    <x v="23"/>
    <x v="33"/>
    <x v="82"/>
  </r>
  <r>
    <x v="1"/>
    <x v="83"/>
    <x v="83"/>
    <x v="83"/>
    <x v="44"/>
    <x v="5"/>
    <x v="34"/>
    <x v="83"/>
  </r>
  <r>
    <x v="1"/>
    <x v="84"/>
    <x v="84"/>
    <x v="84"/>
    <x v="76"/>
    <x v="2"/>
    <x v="1"/>
    <x v="84"/>
  </r>
  <r>
    <x v="2"/>
    <x v="85"/>
    <x v="85"/>
    <x v="85"/>
    <x v="77"/>
    <x v="6"/>
    <x v="12"/>
    <x v="85"/>
  </r>
  <r>
    <x v="1"/>
    <x v="86"/>
    <x v="86"/>
    <x v="86"/>
    <x v="78"/>
    <x v="5"/>
    <x v="23"/>
    <x v="86"/>
  </r>
  <r>
    <x v="1"/>
    <x v="87"/>
    <x v="87"/>
    <x v="87"/>
    <x v="79"/>
    <x v="24"/>
    <x v="35"/>
    <x v="87"/>
  </r>
  <r>
    <x v="2"/>
    <x v="88"/>
    <x v="88"/>
    <x v="88"/>
    <x v="80"/>
    <x v="4"/>
    <x v="28"/>
    <x v="88"/>
  </r>
  <r>
    <x v="4"/>
    <x v="89"/>
    <x v="89"/>
    <x v="89"/>
    <x v="81"/>
    <x v="5"/>
    <x v="4"/>
    <x v="89"/>
  </r>
  <r>
    <x v="1"/>
    <x v="90"/>
    <x v="90"/>
    <x v="90"/>
    <x v="82"/>
    <x v="20"/>
    <x v="27"/>
    <x v="90"/>
  </r>
  <r>
    <x v="4"/>
    <x v="91"/>
    <x v="91"/>
    <x v="91"/>
    <x v="83"/>
    <x v="25"/>
    <x v="0"/>
    <x v="91"/>
  </r>
  <r>
    <x v="4"/>
    <x v="92"/>
    <x v="92"/>
    <x v="92"/>
    <x v="84"/>
    <x v="7"/>
    <x v="5"/>
    <x v="92"/>
  </r>
  <r>
    <x v="10"/>
    <x v="93"/>
    <x v="93"/>
    <x v="93"/>
    <x v="85"/>
    <x v="0"/>
    <x v="18"/>
    <x v="93"/>
  </r>
  <r>
    <x v="4"/>
    <x v="94"/>
    <x v="94"/>
    <x v="94"/>
    <x v="86"/>
    <x v="5"/>
    <x v="8"/>
    <x v="94"/>
  </r>
  <r>
    <x v="2"/>
    <x v="95"/>
    <x v="95"/>
    <x v="95"/>
    <x v="87"/>
    <x v="7"/>
    <x v="36"/>
    <x v="95"/>
  </r>
  <r>
    <x v="3"/>
    <x v="96"/>
    <x v="96"/>
    <x v="96"/>
    <x v="88"/>
    <x v="25"/>
    <x v="0"/>
    <x v="96"/>
  </r>
  <r>
    <x v="1"/>
    <x v="97"/>
    <x v="97"/>
    <x v="97"/>
    <x v="89"/>
    <x v="2"/>
    <x v="0"/>
    <x v="97"/>
  </r>
  <r>
    <x v="8"/>
    <x v="98"/>
    <x v="98"/>
    <x v="98"/>
    <x v="90"/>
    <x v="26"/>
    <x v="0"/>
    <x v="98"/>
  </r>
  <r>
    <x v="1"/>
    <x v="99"/>
    <x v="99"/>
    <x v="99"/>
    <x v="91"/>
    <x v="27"/>
    <x v="37"/>
    <x v="99"/>
  </r>
  <r>
    <x v="1"/>
    <x v="100"/>
    <x v="100"/>
    <x v="100"/>
    <x v="92"/>
    <x v="28"/>
    <x v="38"/>
    <x v="100"/>
  </r>
  <r>
    <x v="1"/>
    <x v="101"/>
    <x v="101"/>
    <x v="101"/>
    <x v="93"/>
    <x v="27"/>
    <x v="10"/>
    <x v="101"/>
  </r>
  <r>
    <x v="1"/>
    <x v="102"/>
    <x v="102"/>
    <x v="102"/>
    <x v="94"/>
    <x v="13"/>
    <x v="22"/>
    <x v="102"/>
  </r>
  <r>
    <x v="1"/>
    <x v="103"/>
    <x v="103"/>
    <x v="103"/>
    <x v="95"/>
    <x v="13"/>
    <x v="16"/>
    <x v="103"/>
  </r>
  <r>
    <x v="8"/>
    <x v="104"/>
    <x v="104"/>
    <x v="104"/>
    <x v="96"/>
    <x v="29"/>
    <x v="0"/>
    <x v="104"/>
  </r>
  <r>
    <x v="1"/>
    <x v="105"/>
    <x v="105"/>
    <x v="105"/>
    <x v="97"/>
    <x v="30"/>
    <x v="39"/>
    <x v="105"/>
  </r>
  <r>
    <x v="8"/>
    <x v="106"/>
    <x v="106"/>
    <x v="106"/>
    <x v="98"/>
    <x v="24"/>
    <x v="40"/>
    <x v="106"/>
  </r>
  <r>
    <x v="0"/>
    <x v="107"/>
    <x v="107"/>
    <x v="107"/>
    <x v="99"/>
    <x v="12"/>
    <x v="41"/>
    <x v="107"/>
  </r>
  <r>
    <x v="1"/>
    <x v="108"/>
    <x v="108"/>
    <x v="108"/>
    <x v="100"/>
    <x v="2"/>
    <x v="3"/>
    <x v="108"/>
  </r>
  <r>
    <x v="1"/>
    <x v="109"/>
    <x v="109"/>
    <x v="109"/>
    <x v="101"/>
    <x v="11"/>
    <x v="13"/>
    <x v="109"/>
  </r>
  <r>
    <x v="10"/>
    <x v="110"/>
    <x v="110"/>
    <x v="110"/>
    <x v="102"/>
    <x v="9"/>
    <x v="35"/>
    <x v="110"/>
  </r>
  <r>
    <x v="1"/>
    <x v="111"/>
    <x v="111"/>
    <x v="111"/>
    <x v="103"/>
    <x v="2"/>
    <x v="3"/>
    <x v="111"/>
  </r>
  <r>
    <x v="7"/>
    <x v="112"/>
    <x v="112"/>
    <x v="112"/>
    <x v="104"/>
    <x v="17"/>
    <x v="42"/>
    <x v="112"/>
  </r>
  <r>
    <x v="11"/>
    <x v="113"/>
    <x v="113"/>
    <x v="113"/>
    <x v="105"/>
    <x v="31"/>
    <x v="43"/>
    <x v="113"/>
  </r>
  <r>
    <x v="1"/>
    <x v="114"/>
    <x v="114"/>
    <x v="114"/>
    <x v="106"/>
    <x v="32"/>
    <x v="28"/>
    <x v="114"/>
  </r>
  <r>
    <x v="4"/>
    <x v="115"/>
    <x v="115"/>
    <x v="115"/>
    <x v="107"/>
    <x v="25"/>
    <x v="44"/>
    <x v="115"/>
  </r>
  <r>
    <x v="2"/>
    <x v="116"/>
    <x v="116"/>
    <x v="116"/>
    <x v="11"/>
    <x v="11"/>
    <x v="6"/>
    <x v="116"/>
  </r>
  <r>
    <x v="1"/>
    <x v="117"/>
    <x v="117"/>
    <x v="117"/>
    <x v="108"/>
    <x v="24"/>
    <x v="18"/>
    <x v="117"/>
  </r>
  <r>
    <x v="2"/>
    <x v="118"/>
    <x v="118"/>
    <x v="118"/>
    <x v="109"/>
    <x v="6"/>
    <x v="6"/>
    <x v="118"/>
  </r>
  <r>
    <x v="1"/>
    <x v="119"/>
    <x v="119"/>
    <x v="119"/>
    <x v="110"/>
    <x v="33"/>
    <x v="45"/>
    <x v="119"/>
  </r>
  <r>
    <x v="1"/>
    <x v="120"/>
    <x v="120"/>
    <x v="120"/>
    <x v="21"/>
    <x v="30"/>
    <x v="11"/>
    <x v="120"/>
  </r>
  <r>
    <x v="7"/>
    <x v="121"/>
    <x v="121"/>
    <x v="121"/>
    <x v="111"/>
    <x v="34"/>
    <x v="1"/>
    <x v="121"/>
  </r>
  <r>
    <x v="2"/>
    <x v="122"/>
    <x v="122"/>
    <x v="122"/>
    <x v="112"/>
    <x v="11"/>
    <x v="4"/>
    <x v="122"/>
  </r>
  <r>
    <x v="1"/>
    <x v="123"/>
    <x v="123"/>
    <x v="123"/>
    <x v="7"/>
    <x v="3"/>
    <x v="2"/>
    <x v="123"/>
  </r>
  <r>
    <x v="2"/>
    <x v="124"/>
    <x v="124"/>
    <x v="124"/>
    <x v="113"/>
    <x v="6"/>
    <x v="15"/>
    <x v="124"/>
  </r>
  <r>
    <x v="12"/>
    <x v="125"/>
    <x v="125"/>
    <x v="125"/>
    <x v="114"/>
    <x v="35"/>
    <x v="1"/>
    <x v="125"/>
  </r>
  <r>
    <x v="13"/>
    <x v="126"/>
    <x v="126"/>
    <x v="126"/>
    <x v="115"/>
    <x v="36"/>
    <x v="46"/>
    <x v="126"/>
  </r>
  <r>
    <x v="4"/>
    <x v="127"/>
    <x v="127"/>
    <x v="127"/>
    <x v="116"/>
    <x v="4"/>
    <x v="47"/>
    <x v="127"/>
  </r>
  <r>
    <x v="2"/>
    <x v="128"/>
    <x v="128"/>
    <x v="128"/>
    <x v="117"/>
    <x v="6"/>
    <x v="25"/>
    <x v="128"/>
  </r>
  <r>
    <x v="5"/>
    <x v="129"/>
    <x v="129"/>
    <x v="129"/>
    <x v="118"/>
    <x v="37"/>
    <x v="48"/>
    <x v="129"/>
  </r>
  <r>
    <x v="14"/>
    <x v="130"/>
    <x v="130"/>
    <x v="130"/>
    <x v="102"/>
    <x v="11"/>
    <x v="10"/>
    <x v="130"/>
  </r>
  <r>
    <x v="1"/>
    <x v="131"/>
    <x v="131"/>
    <x v="131"/>
    <x v="119"/>
    <x v="33"/>
    <x v="49"/>
    <x v="131"/>
  </r>
  <r>
    <x v="2"/>
    <x v="132"/>
    <x v="132"/>
    <x v="132"/>
    <x v="120"/>
    <x v="6"/>
    <x v="19"/>
    <x v="132"/>
  </r>
  <r>
    <x v="1"/>
    <x v="133"/>
    <x v="133"/>
    <x v="133"/>
    <x v="95"/>
    <x v="25"/>
    <x v="5"/>
    <x v="133"/>
  </r>
  <r>
    <x v="2"/>
    <x v="134"/>
    <x v="133"/>
    <x v="133"/>
    <x v="121"/>
    <x v="6"/>
    <x v="7"/>
    <x v="134"/>
  </r>
  <r>
    <x v="10"/>
    <x v="135"/>
    <x v="134"/>
    <x v="134"/>
    <x v="122"/>
    <x v="17"/>
    <x v="0"/>
    <x v="135"/>
  </r>
  <r>
    <x v="10"/>
    <x v="136"/>
    <x v="135"/>
    <x v="135"/>
    <x v="123"/>
    <x v="9"/>
    <x v="50"/>
    <x v="136"/>
  </r>
  <r>
    <x v="0"/>
    <x v="137"/>
    <x v="136"/>
    <x v="136"/>
    <x v="124"/>
    <x v="12"/>
    <x v="11"/>
    <x v="137"/>
  </r>
  <r>
    <x v="15"/>
    <x v="138"/>
    <x v="137"/>
    <x v="137"/>
    <x v="125"/>
    <x v="38"/>
    <x v="0"/>
    <x v="138"/>
  </r>
  <r>
    <x v="2"/>
    <x v="139"/>
    <x v="138"/>
    <x v="138"/>
    <x v="126"/>
    <x v="0"/>
    <x v="1"/>
    <x v="139"/>
  </r>
  <r>
    <x v="0"/>
    <x v="140"/>
    <x v="139"/>
    <x v="139"/>
    <x v="127"/>
    <x v="7"/>
    <x v="5"/>
    <x v="140"/>
  </r>
  <r>
    <x v="1"/>
    <x v="141"/>
    <x v="140"/>
    <x v="140"/>
    <x v="128"/>
    <x v="39"/>
    <x v="51"/>
    <x v="141"/>
  </r>
  <r>
    <x v="2"/>
    <x v="142"/>
    <x v="141"/>
    <x v="141"/>
    <x v="129"/>
    <x v="11"/>
    <x v="52"/>
    <x v="142"/>
  </r>
  <r>
    <x v="5"/>
    <x v="143"/>
    <x v="142"/>
    <x v="142"/>
    <x v="130"/>
    <x v="7"/>
    <x v="1"/>
    <x v="143"/>
  </r>
  <r>
    <x v="0"/>
    <x v="144"/>
    <x v="143"/>
    <x v="143"/>
    <x v="131"/>
    <x v="1"/>
    <x v="1"/>
    <x v="144"/>
  </r>
  <r>
    <x v="1"/>
    <x v="145"/>
    <x v="144"/>
    <x v="144"/>
    <x v="132"/>
    <x v="40"/>
    <x v="53"/>
    <x v="145"/>
  </r>
  <r>
    <x v="3"/>
    <x v="146"/>
    <x v="145"/>
    <x v="145"/>
    <x v="133"/>
    <x v="18"/>
    <x v="0"/>
    <x v="146"/>
  </r>
  <r>
    <x v="16"/>
    <x v="147"/>
    <x v="146"/>
    <x v="146"/>
    <x v="134"/>
    <x v="41"/>
    <x v="54"/>
    <x v="147"/>
  </r>
  <r>
    <x v="1"/>
    <x v="148"/>
    <x v="147"/>
    <x v="147"/>
    <x v="18"/>
    <x v="13"/>
    <x v="27"/>
    <x v="148"/>
  </r>
  <r>
    <x v="0"/>
    <x v="149"/>
    <x v="148"/>
    <x v="148"/>
    <x v="135"/>
    <x v="17"/>
    <x v="38"/>
    <x v="149"/>
  </r>
  <r>
    <x v="0"/>
    <x v="150"/>
    <x v="149"/>
    <x v="149"/>
    <x v="83"/>
    <x v="17"/>
    <x v="55"/>
    <x v="150"/>
  </r>
  <r>
    <x v="0"/>
    <x v="151"/>
    <x v="150"/>
    <x v="150"/>
    <x v="136"/>
    <x v="4"/>
    <x v="13"/>
    <x v="151"/>
  </r>
  <r>
    <x v="2"/>
    <x v="152"/>
    <x v="151"/>
    <x v="151"/>
    <x v="137"/>
    <x v="6"/>
    <x v="29"/>
    <x v="152"/>
  </r>
  <r>
    <x v="1"/>
    <x v="153"/>
    <x v="152"/>
    <x v="152"/>
    <x v="138"/>
    <x v="0"/>
    <x v="18"/>
    <x v="153"/>
  </r>
  <r>
    <x v="1"/>
    <x v="154"/>
    <x v="153"/>
    <x v="153"/>
    <x v="118"/>
    <x v="27"/>
    <x v="56"/>
    <x v="154"/>
  </r>
  <r>
    <x v="1"/>
    <x v="155"/>
    <x v="154"/>
    <x v="154"/>
    <x v="139"/>
    <x v="2"/>
    <x v="17"/>
    <x v="155"/>
  </r>
  <r>
    <x v="15"/>
    <x v="156"/>
    <x v="155"/>
    <x v="155"/>
    <x v="140"/>
    <x v="23"/>
    <x v="57"/>
    <x v="156"/>
  </r>
  <r>
    <x v="4"/>
    <x v="157"/>
    <x v="156"/>
    <x v="156"/>
    <x v="141"/>
    <x v="18"/>
    <x v="58"/>
    <x v="157"/>
  </r>
  <r>
    <x v="8"/>
    <x v="158"/>
    <x v="156"/>
    <x v="156"/>
    <x v="142"/>
    <x v="38"/>
    <x v="59"/>
    <x v="158"/>
  </r>
  <r>
    <x v="15"/>
    <x v="159"/>
    <x v="157"/>
    <x v="157"/>
    <x v="143"/>
    <x v="34"/>
    <x v="60"/>
    <x v="159"/>
  </r>
  <r>
    <x v="8"/>
    <x v="160"/>
    <x v="158"/>
    <x v="158"/>
    <x v="144"/>
    <x v="38"/>
    <x v="61"/>
    <x v="160"/>
  </r>
  <r>
    <x v="1"/>
    <x v="161"/>
    <x v="159"/>
    <x v="159"/>
    <x v="145"/>
    <x v="33"/>
    <x v="62"/>
    <x v="161"/>
  </r>
  <r>
    <x v="1"/>
    <x v="162"/>
    <x v="159"/>
    <x v="159"/>
    <x v="146"/>
    <x v="27"/>
    <x v="63"/>
    <x v="162"/>
  </r>
  <r>
    <x v="2"/>
    <x v="163"/>
    <x v="159"/>
    <x v="159"/>
    <x v="147"/>
    <x v="4"/>
    <x v="4"/>
    <x v="163"/>
  </r>
  <r>
    <x v="0"/>
    <x v="164"/>
    <x v="160"/>
    <x v="160"/>
    <x v="148"/>
    <x v="3"/>
    <x v="8"/>
    <x v="164"/>
  </r>
  <r>
    <x v="1"/>
    <x v="165"/>
    <x v="161"/>
    <x v="161"/>
    <x v="149"/>
    <x v="10"/>
    <x v="9"/>
    <x v="165"/>
  </r>
  <r>
    <x v="2"/>
    <x v="166"/>
    <x v="162"/>
    <x v="162"/>
    <x v="150"/>
    <x v="6"/>
    <x v="20"/>
    <x v="166"/>
  </r>
  <r>
    <x v="5"/>
    <x v="167"/>
    <x v="163"/>
    <x v="163"/>
    <x v="151"/>
    <x v="42"/>
    <x v="36"/>
    <x v="167"/>
  </r>
  <r>
    <x v="17"/>
    <x v="168"/>
    <x v="164"/>
    <x v="164"/>
    <x v="152"/>
    <x v="43"/>
    <x v="64"/>
    <x v="168"/>
  </r>
  <r>
    <x v="1"/>
    <x v="169"/>
    <x v="165"/>
    <x v="165"/>
    <x v="153"/>
    <x v="44"/>
    <x v="65"/>
    <x v="169"/>
  </r>
  <r>
    <x v="2"/>
    <x v="170"/>
    <x v="166"/>
    <x v="166"/>
    <x v="154"/>
    <x v="12"/>
    <x v="66"/>
    <x v="170"/>
  </r>
  <r>
    <x v="4"/>
    <x v="171"/>
    <x v="167"/>
    <x v="167"/>
    <x v="155"/>
    <x v="25"/>
    <x v="7"/>
    <x v="171"/>
  </r>
  <r>
    <x v="1"/>
    <x v="172"/>
    <x v="168"/>
    <x v="168"/>
    <x v="156"/>
    <x v="16"/>
    <x v="67"/>
    <x v="172"/>
  </r>
  <r>
    <x v="1"/>
    <x v="173"/>
    <x v="169"/>
    <x v="169"/>
    <x v="157"/>
    <x v="45"/>
    <x v="68"/>
    <x v="173"/>
  </r>
  <r>
    <x v="1"/>
    <x v="174"/>
    <x v="170"/>
    <x v="170"/>
    <x v="158"/>
    <x v="2"/>
    <x v="6"/>
    <x v="174"/>
  </r>
  <r>
    <x v="7"/>
    <x v="175"/>
    <x v="171"/>
    <x v="171"/>
    <x v="159"/>
    <x v="46"/>
    <x v="30"/>
    <x v="175"/>
  </r>
  <r>
    <x v="18"/>
    <x v="176"/>
    <x v="172"/>
    <x v="172"/>
    <x v="160"/>
    <x v="47"/>
    <x v="3"/>
    <x v="176"/>
  </r>
  <r>
    <x v="1"/>
    <x v="177"/>
    <x v="172"/>
    <x v="172"/>
    <x v="161"/>
    <x v="33"/>
    <x v="69"/>
    <x v="177"/>
  </r>
  <r>
    <x v="14"/>
    <x v="178"/>
    <x v="173"/>
    <x v="173"/>
    <x v="162"/>
    <x v="48"/>
    <x v="1"/>
    <x v="178"/>
  </r>
  <r>
    <x v="1"/>
    <x v="179"/>
    <x v="174"/>
    <x v="174"/>
    <x v="163"/>
    <x v="49"/>
    <x v="2"/>
    <x v="179"/>
  </r>
  <r>
    <x v="0"/>
    <x v="180"/>
    <x v="175"/>
    <x v="175"/>
    <x v="164"/>
    <x v="3"/>
    <x v="7"/>
    <x v="180"/>
  </r>
  <r>
    <x v="2"/>
    <x v="181"/>
    <x v="175"/>
    <x v="175"/>
    <x v="165"/>
    <x v="4"/>
    <x v="0"/>
    <x v="181"/>
  </r>
  <r>
    <x v="10"/>
    <x v="182"/>
    <x v="176"/>
    <x v="176"/>
    <x v="166"/>
    <x v="9"/>
    <x v="70"/>
    <x v="182"/>
  </r>
  <r>
    <x v="5"/>
    <x v="183"/>
    <x v="177"/>
    <x v="177"/>
    <x v="167"/>
    <x v="37"/>
    <x v="7"/>
    <x v="183"/>
  </r>
  <r>
    <x v="0"/>
    <x v="184"/>
    <x v="178"/>
    <x v="178"/>
    <x v="168"/>
    <x v="14"/>
    <x v="16"/>
    <x v="184"/>
  </r>
  <r>
    <x v="1"/>
    <x v="185"/>
    <x v="178"/>
    <x v="178"/>
    <x v="169"/>
    <x v="25"/>
    <x v="1"/>
    <x v="185"/>
  </r>
  <r>
    <x v="0"/>
    <x v="186"/>
    <x v="178"/>
    <x v="178"/>
    <x v="170"/>
    <x v="17"/>
    <x v="71"/>
    <x v="186"/>
  </r>
  <r>
    <x v="1"/>
    <x v="187"/>
    <x v="179"/>
    <x v="179"/>
    <x v="171"/>
    <x v="24"/>
    <x v="50"/>
    <x v="187"/>
  </r>
  <r>
    <x v="2"/>
    <x v="188"/>
    <x v="180"/>
    <x v="180"/>
    <x v="172"/>
    <x v="2"/>
    <x v="9"/>
    <x v="188"/>
  </r>
  <r>
    <x v="2"/>
    <x v="189"/>
    <x v="181"/>
    <x v="181"/>
    <x v="173"/>
    <x v="6"/>
    <x v="41"/>
    <x v="189"/>
  </r>
  <r>
    <x v="5"/>
    <x v="190"/>
    <x v="182"/>
    <x v="182"/>
    <x v="174"/>
    <x v="17"/>
    <x v="72"/>
    <x v="190"/>
  </r>
  <r>
    <x v="2"/>
    <x v="191"/>
    <x v="183"/>
    <x v="183"/>
    <x v="175"/>
    <x v="6"/>
    <x v="32"/>
    <x v="191"/>
  </r>
  <r>
    <x v="1"/>
    <x v="192"/>
    <x v="184"/>
    <x v="184"/>
    <x v="176"/>
    <x v="25"/>
    <x v="1"/>
    <x v="192"/>
  </r>
  <r>
    <x v="12"/>
    <x v="193"/>
    <x v="185"/>
    <x v="185"/>
    <x v="177"/>
    <x v="10"/>
    <x v="5"/>
    <x v="193"/>
  </r>
  <r>
    <x v="1"/>
    <x v="194"/>
    <x v="186"/>
    <x v="186"/>
    <x v="178"/>
    <x v="36"/>
    <x v="56"/>
    <x v="194"/>
  </r>
  <r>
    <x v="9"/>
    <x v="195"/>
    <x v="187"/>
    <x v="187"/>
    <x v="179"/>
    <x v="23"/>
    <x v="73"/>
    <x v="195"/>
  </r>
  <r>
    <x v="1"/>
    <x v="196"/>
    <x v="187"/>
    <x v="187"/>
    <x v="180"/>
    <x v="25"/>
    <x v="5"/>
    <x v="196"/>
  </r>
  <r>
    <x v="1"/>
    <x v="197"/>
    <x v="188"/>
    <x v="188"/>
    <x v="180"/>
    <x v="21"/>
    <x v="74"/>
    <x v="197"/>
  </r>
  <r>
    <x v="3"/>
    <x v="198"/>
    <x v="189"/>
    <x v="189"/>
    <x v="181"/>
    <x v="14"/>
    <x v="0"/>
    <x v="198"/>
  </r>
  <r>
    <x v="1"/>
    <x v="199"/>
    <x v="190"/>
    <x v="190"/>
    <x v="182"/>
    <x v="6"/>
    <x v="1"/>
    <x v="199"/>
  </r>
  <r>
    <x v="4"/>
    <x v="200"/>
    <x v="191"/>
    <x v="191"/>
    <x v="183"/>
    <x v="7"/>
    <x v="75"/>
    <x v="200"/>
  </r>
  <r>
    <x v="0"/>
    <x v="201"/>
    <x v="192"/>
    <x v="192"/>
    <x v="184"/>
    <x v="17"/>
    <x v="12"/>
    <x v="201"/>
  </r>
  <r>
    <x v="3"/>
    <x v="202"/>
    <x v="193"/>
    <x v="193"/>
    <x v="185"/>
    <x v="14"/>
    <x v="0"/>
    <x v="202"/>
  </r>
  <r>
    <x v="1"/>
    <x v="203"/>
    <x v="194"/>
    <x v="194"/>
    <x v="186"/>
    <x v="50"/>
    <x v="76"/>
    <x v="203"/>
  </r>
  <r>
    <x v="10"/>
    <x v="204"/>
    <x v="195"/>
    <x v="195"/>
    <x v="187"/>
    <x v="4"/>
    <x v="3"/>
    <x v="204"/>
  </r>
  <r>
    <x v="8"/>
    <x v="205"/>
    <x v="196"/>
    <x v="196"/>
    <x v="188"/>
    <x v="51"/>
    <x v="10"/>
    <x v="205"/>
  </r>
  <r>
    <x v="1"/>
    <x v="206"/>
    <x v="197"/>
    <x v="197"/>
    <x v="189"/>
    <x v="27"/>
    <x v="77"/>
    <x v="206"/>
  </r>
  <r>
    <x v="19"/>
    <x v="207"/>
    <x v="197"/>
    <x v="197"/>
    <x v="190"/>
    <x v="38"/>
    <x v="78"/>
    <x v="207"/>
  </r>
  <r>
    <x v="1"/>
    <x v="208"/>
    <x v="198"/>
    <x v="198"/>
    <x v="191"/>
    <x v="27"/>
    <x v="79"/>
    <x v="208"/>
  </r>
  <r>
    <x v="2"/>
    <x v="209"/>
    <x v="198"/>
    <x v="198"/>
    <x v="192"/>
    <x v="52"/>
    <x v="80"/>
    <x v="209"/>
  </r>
  <r>
    <x v="1"/>
    <x v="210"/>
    <x v="199"/>
    <x v="199"/>
    <x v="193"/>
    <x v="17"/>
    <x v="3"/>
    <x v="210"/>
  </r>
  <r>
    <x v="1"/>
    <x v="211"/>
    <x v="200"/>
    <x v="200"/>
    <x v="99"/>
    <x v="27"/>
    <x v="81"/>
    <x v="211"/>
  </r>
  <r>
    <x v="18"/>
    <x v="212"/>
    <x v="201"/>
    <x v="201"/>
    <x v="194"/>
    <x v="53"/>
    <x v="49"/>
    <x v="212"/>
  </r>
  <r>
    <x v="12"/>
    <x v="213"/>
    <x v="202"/>
    <x v="202"/>
    <x v="195"/>
    <x v="35"/>
    <x v="0"/>
    <x v="213"/>
  </r>
  <r>
    <x v="2"/>
    <x v="214"/>
    <x v="203"/>
    <x v="203"/>
    <x v="196"/>
    <x v="12"/>
    <x v="9"/>
    <x v="214"/>
  </r>
  <r>
    <x v="18"/>
    <x v="215"/>
    <x v="203"/>
    <x v="203"/>
    <x v="197"/>
    <x v="6"/>
    <x v="1"/>
    <x v="215"/>
  </r>
  <r>
    <x v="6"/>
    <x v="216"/>
    <x v="204"/>
    <x v="204"/>
    <x v="198"/>
    <x v="25"/>
    <x v="2"/>
    <x v="216"/>
  </r>
  <r>
    <x v="1"/>
    <x v="217"/>
    <x v="205"/>
    <x v="205"/>
    <x v="199"/>
    <x v="24"/>
    <x v="82"/>
    <x v="217"/>
  </r>
  <r>
    <x v="3"/>
    <x v="218"/>
    <x v="206"/>
    <x v="206"/>
    <x v="200"/>
    <x v="49"/>
    <x v="0"/>
    <x v="218"/>
  </r>
  <r>
    <x v="3"/>
    <x v="219"/>
    <x v="207"/>
    <x v="207"/>
    <x v="201"/>
    <x v="17"/>
    <x v="83"/>
    <x v="219"/>
  </r>
  <r>
    <x v="3"/>
    <x v="220"/>
    <x v="208"/>
    <x v="208"/>
    <x v="202"/>
    <x v="17"/>
    <x v="4"/>
    <x v="220"/>
  </r>
  <r>
    <x v="17"/>
    <x v="221"/>
    <x v="209"/>
    <x v="209"/>
    <x v="203"/>
    <x v="54"/>
    <x v="84"/>
    <x v="221"/>
  </r>
  <r>
    <x v="12"/>
    <x v="222"/>
    <x v="210"/>
    <x v="210"/>
    <x v="204"/>
    <x v="55"/>
    <x v="8"/>
    <x v="222"/>
  </r>
  <r>
    <x v="17"/>
    <x v="223"/>
    <x v="211"/>
    <x v="211"/>
    <x v="205"/>
    <x v="56"/>
    <x v="85"/>
    <x v="223"/>
  </r>
  <r>
    <x v="1"/>
    <x v="224"/>
    <x v="212"/>
    <x v="212"/>
    <x v="206"/>
    <x v="27"/>
    <x v="14"/>
    <x v="224"/>
  </r>
  <r>
    <x v="3"/>
    <x v="225"/>
    <x v="213"/>
    <x v="213"/>
    <x v="207"/>
    <x v="17"/>
    <x v="6"/>
    <x v="225"/>
  </r>
  <r>
    <x v="20"/>
    <x v="226"/>
    <x v="214"/>
    <x v="214"/>
    <x v="208"/>
    <x v="57"/>
    <x v="0"/>
    <x v="226"/>
  </r>
  <r>
    <x v="1"/>
    <x v="227"/>
    <x v="215"/>
    <x v="215"/>
    <x v="209"/>
    <x v="44"/>
    <x v="15"/>
    <x v="227"/>
  </r>
  <r>
    <x v="1"/>
    <x v="228"/>
    <x v="216"/>
    <x v="216"/>
    <x v="210"/>
    <x v="27"/>
    <x v="86"/>
    <x v="228"/>
  </r>
  <r>
    <x v="14"/>
    <x v="229"/>
    <x v="217"/>
    <x v="217"/>
    <x v="211"/>
    <x v="11"/>
    <x v="14"/>
    <x v="229"/>
  </r>
  <r>
    <x v="2"/>
    <x v="230"/>
    <x v="217"/>
    <x v="217"/>
    <x v="212"/>
    <x v="11"/>
    <x v="0"/>
    <x v="230"/>
  </r>
  <r>
    <x v="8"/>
    <x v="231"/>
    <x v="218"/>
    <x v="218"/>
    <x v="213"/>
    <x v="58"/>
    <x v="17"/>
    <x v="231"/>
  </r>
  <r>
    <x v="1"/>
    <x v="232"/>
    <x v="219"/>
    <x v="219"/>
    <x v="180"/>
    <x v="59"/>
    <x v="47"/>
    <x v="232"/>
  </r>
  <r>
    <x v="4"/>
    <x v="233"/>
    <x v="220"/>
    <x v="220"/>
    <x v="214"/>
    <x v="18"/>
    <x v="75"/>
    <x v="233"/>
  </r>
  <r>
    <x v="17"/>
    <x v="234"/>
    <x v="221"/>
    <x v="221"/>
    <x v="215"/>
    <x v="60"/>
    <x v="87"/>
    <x v="234"/>
  </r>
  <r>
    <x v="1"/>
    <x v="235"/>
    <x v="222"/>
    <x v="222"/>
    <x v="216"/>
    <x v="30"/>
    <x v="88"/>
    <x v="235"/>
  </r>
  <r>
    <x v="3"/>
    <x v="236"/>
    <x v="223"/>
    <x v="223"/>
    <x v="217"/>
    <x v="5"/>
    <x v="1"/>
    <x v="236"/>
  </r>
  <r>
    <x v="9"/>
    <x v="237"/>
    <x v="224"/>
    <x v="224"/>
    <x v="218"/>
    <x v="61"/>
    <x v="89"/>
    <x v="237"/>
  </r>
  <r>
    <x v="2"/>
    <x v="238"/>
    <x v="224"/>
    <x v="224"/>
    <x v="124"/>
    <x v="6"/>
    <x v="4"/>
    <x v="238"/>
  </r>
  <r>
    <x v="3"/>
    <x v="239"/>
    <x v="225"/>
    <x v="225"/>
    <x v="219"/>
    <x v="21"/>
    <x v="10"/>
    <x v="239"/>
  </r>
  <r>
    <x v="13"/>
    <x v="240"/>
    <x v="226"/>
    <x v="226"/>
    <x v="220"/>
    <x v="34"/>
    <x v="81"/>
    <x v="240"/>
  </r>
  <r>
    <x v="1"/>
    <x v="241"/>
    <x v="227"/>
    <x v="227"/>
    <x v="221"/>
    <x v="44"/>
    <x v="12"/>
    <x v="241"/>
  </r>
  <r>
    <x v="1"/>
    <x v="242"/>
    <x v="228"/>
    <x v="228"/>
    <x v="50"/>
    <x v="44"/>
    <x v="12"/>
    <x v="242"/>
  </r>
  <r>
    <x v="0"/>
    <x v="243"/>
    <x v="228"/>
    <x v="228"/>
    <x v="222"/>
    <x v="21"/>
    <x v="46"/>
    <x v="243"/>
  </r>
  <r>
    <x v="1"/>
    <x v="244"/>
    <x v="229"/>
    <x v="229"/>
    <x v="223"/>
    <x v="11"/>
    <x v="47"/>
    <x v="244"/>
  </r>
  <r>
    <x v="21"/>
    <x v="245"/>
    <x v="230"/>
    <x v="230"/>
    <x v="224"/>
    <x v="30"/>
    <x v="8"/>
    <x v="245"/>
  </r>
  <r>
    <x v="12"/>
    <x v="246"/>
    <x v="230"/>
    <x v="230"/>
    <x v="107"/>
    <x v="62"/>
    <x v="90"/>
    <x v="246"/>
  </r>
  <r>
    <x v="1"/>
    <x v="247"/>
    <x v="231"/>
    <x v="231"/>
    <x v="225"/>
    <x v="44"/>
    <x v="91"/>
    <x v="247"/>
  </r>
  <r>
    <x v="7"/>
    <x v="248"/>
    <x v="231"/>
    <x v="231"/>
    <x v="226"/>
    <x v="17"/>
    <x v="92"/>
    <x v="248"/>
  </r>
  <r>
    <x v="1"/>
    <x v="249"/>
    <x v="232"/>
    <x v="232"/>
    <x v="149"/>
    <x v="24"/>
    <x v="93"/>
    <x v="249"/>
  </r>
  <r>
    <x v="3"/>
    <x v="250"/>
    <x v="233"/>
    <x v="233"/>
    <x v="227"/>
    <x v="2"/>
    <x v="0"/>
    <x v="250"/>
  </r>
  <r>
    <x v="0"/>
    <x v="251"/>
    <x v="233"/>
    <x v="233"/>
    <x v="184"/>
    <x v="63"/>
    <x v="94"/>
    <x v="251"/>
  </r>
  <r>
    <x v="22"/>
    <x v="252"/>
    <x v="234"/>
    <x v="234"/>
    <x v="228"/>
    <x v="25"/>
    <x v="16"/>
    <x v="252"/>
  </r>
  <r>
    <x v="1"/>
    <x v="253"/>
    <x v="235"/>
    <x v="235"/>
    <x v="229"/>
    <x v="25"/>
    <x v="5"/>
    <x v="253"/>
  </r>
  <r>
    <x v="10"/>
    <x v="254"/>
    <x v="236"/>
    <x v="236"/>
    <x v="230"/>
    <x v="64"/>
    <x v="95"/>
    <x v="254"/>
  </r>
  <r>
    <x v="8"/>
    <x v="255"/>
    <x v="237"/>
    <x v="237"/>
    <x v="231"/>
    <x v="38"/>
    <x v="96"/>
    <x v="255"/>
  </r>
  <r>
    <x v="1"/>
    <x v="256"/>
    <x v="238"/>
    <x v="238"/>
    <x v="155"/>
    <x v="65"/>
    <x v="70"/>
    <x v="256"/>
  </r>
  <r>
    <x v="1"/>
    <x v="257"/>
    <x v="239"/>
    <x v="239"/>
    <x v="232"/>
    <x v="29"/>
    <x v="97"/>
    <x v="257"/>
  </r>
  <r>
    <x v="15"/>
    <x v="258"/>
    <x v="239"/>
    <x v="239"/>
    <x v="233"/>
    <x v="66"/>
    <x v="98"/>
    <x v="258"/>
  </r>
  <r>
    <x v="4"/>
    <x v="259"/>
    <x v="240"/>
    <x v="240"/>
    <x v="234"/>
    <x v="3"/>
    <x v="0"/>
    <x v="259"/>
  </r>
  <r>
    <x v="0"/>
    <x v="260"/>
    <x v="240"/>
    <x v="240"/>
    <x v="235"/>
    <x v="14"/>
    <x v="27"/>
    <x v="260"/>
  </r>
  <r>
    <x v="8"/>
    <x v="261"/>
    <x v="241"/>
    <x v="241"/>
    <x v="236"/>
    <x v="43"/>
    <x v="95"/>
    <x v="261"/>
  </r>
  <r>
    <x v="14"/>
    <x v="262"/>
    <x v="242"/>
    <x v="242"/>
    <x v="20"/>
    <x v="0"/>
    <x v="11"/>
    <x v="262"/>
  </r>
  <r>
    <x v="12"/>
    <x v="263"/>
    <x v="243"/>
    <x v="243"/>
    <x v="107"/>
    <x v="65"/>
    <x v="35"/>
    <x v="263"/>
  </r>
  <r>
    <x v="0"/>
    <x v="264"/>
    <x v="244"/>
    <x v="244"/>
    <x v="237"/>
    <x v="17"/>
    <x v="88"/>
    <x v="264"/>
  </r>
  <r>
    <x v="12"/>
    <x v="265"/>
    <x v="245"/>
    <x v="245"/>
    <x v="238"/>
    <x v="62"/>
    <x v="18"/>
    <x v="265"/>
  </r>
  <r>
    <x v="1"/>
    <x v="266"/>
    <x v="246"/>
    <x v="246"/>
    <x v="184"/>
    <x v="33"/>
    <x v="94"/>
    <x v="266"/>
  </r>
  <r>
    <x v="3"/>
    <x v="267"/>
    <x v="247"/>
    <x v="247"/>
    <x v="239"/>
    <x v="39"/>
    <x v="65"/>
    <x v="267"/>
  </r>
  <r>
    <x v="0"/>
    <x v="268"/>
    <x v="248"/>
    <x v="248"/>
    <x v="240"/>
    <x v="25"/>
    <x v="47"/>
    <x v="268"/>
  </r>
  <r>
    <x v="1"/>
    <x v="269"/>
    <x v="249"/>
    <x v="249"/>
    <x v="9"/>
    <x v="20"/>
    <x v="99"/>
    <x v="269"/>
  </r>
  <r>
    <x v="23"/>
    <x v="270"/>
    <x v="250"/>
    <x v="250"/>
    <x v="241"/>
    <x v="38"/>
    <x v="61"/>
    <x v="270"/>
  </r>
  <r>
    <x v="12"/>
    <x v="271"/>
    <x v="250"/>
    <x v="250"/>
    <x v="242"/>
    <x v="67"/>
    <x v="100"/>
    <x v="271"/>
  </r>
  <r>
    <x v="0"/>
    <x v="272"/>
    <x v="251"/>
    <x v="251"/>
    <x v="182"/>
    <x v="17"/>
    <x v="101"/>
    <x v="272"/>
  </r>
  <r>
    <x v="1"/>
    <x v="273"/>
    <x v="252"/>
    <x v="252"/>
    <x v="243"/>
    <x v="5"/>
    <x v="34"/>
    <x v="273"/>
  </r>
  <r>
    <x v="3"/>
    <x v="274"/>
    <x v="253"/>
    <x v="253"/>
    <x v="244"/>
    <x v="63"/>
    <x v="0"/>
    <x v="274"/>
  </r>
  <r>
    <x v="0"/>
    <x v="275"/>
    <x v="254"/>
    <x v="254"/>
    <x v="245"/>
    <x v="49"/>
    <x v="9"/>
    <x v="275"/>
  </r>
  <r>
    <x v="24"/>
    <x v="276"/>
    <x v="254"/>
    <x v="254"/>
    <x v="246"/>
    <x v="38"/>
    <x v="0"/>
    <x v="276"/>
  </r>
  <r>
    <x v="14"/>
    <x v="277"/>
    <x v="255"/>
    <x v="255"/>
    <x v="247"/>
    <x v="11"/>
    <x v="12"/>
    <x v="277"/>
  </r>
  <r>
    <x v="3"/>
    <x v="278"/>
    <x v="256"/>
    <x v="256"/>
    <x v="248"/>
    <x v="38"/>
    <x v="102"/>
    <x v="278"/>
  </r>
  <r>
    <x v="1"/>
    <x v="279"/>
    <x v="257"/>
    <x v="257"/>
    <x v="249"/>
    <x v="65"/>
    <x v="103"/>
    <x v="279"/>
  </r>
  <r>
    <x v="2"/>
    <x v="280"/>
    <x v="258"/>
    <x v="258"/>
    <x v="250"/>
    <x v="6"/>
    <x v="7"/>
    <x v="280"/>
  </r>
  <r>
    <x v="12"/>
    <x v="281"/>
    <x v="259"/>
    <x v="259"/>
    <x v="251"/>
    <x v="55"/>
    <x v="7"/>
    <x v="281"/>
  </r>
  <r>
    <x v="8"/>
    <x v="282"/>
    <x v="260"/>
    <x v="260"/>
    <x v="252"/>
    <x v="28"/>
    <x v="13"/>
    <x v="282"/>
  </r>
  <r>
    <x v="25"/>
    <x v="283"/>
    <x v="261"/>
    <x v="261"/>
    <x v="253"/>
    <x v="63"/>
    <x v="2"/>
    <x v="283"/>
  </r>
  <r>
    <x v="8"/>
    <x v="284"/>
    <x v="261"/>
    <x v="261"/>
    <x v="254"/>
    <x v="68"/>
    <x v="20"/>
    <x v="284"/>
  </r>
  <r>
    <x v="22"/>
    <x v="285"/>
    <x v="261"/>
    <x v="261"/>
    <x v="255"/>
    <x v="14"/>
    <x v="1"/>
    <x v="285"/>
  </r>
  <r>
    <x v="15"/>
    <x v="286"/>
    <x v="262"/>
    <x v="262"/>
    <x v="256"/>
    <x v="53"/>
    <x v="104"/>
    <x v="286"/>
  </r>
  <r>
    <x v="3"/>
    <x v="287"/>
    <x v="263"/>
    <x v="263"/>
    <x v="257"/>
    <x v="18"/>
    <x v="24"/>
    <x v="287"/>
  </r>
  <r>
    <x v="26"/>
    <x v="288"/>
    <x v="264"/>
    <x v="264"/>
    <x v="58"/>
    <x v="69"/>
    <x v="105"/>
    <x v="288"/>
  </r>
  <r>
    <x v="0"/>
    <x v="289"/>
    <x v="265"/>
    <x v="265"/>
    <x v="258"/>
    <x v="2"/>
    <x v="33"/>
    <x v="289"/>
  </r>
  <r>
    <x v="1"/>
    <x v="290"/>
    <x v="265"/>
    <x v="265"/>
    <x v="259"/>
    <x v="24"/>
    <x v="106"/>
    <x v="290"/>
  </r>
  <r>
    <x v="8"/>
    <x v="291"/>
    <x v="266"/>
    <x v="266"/>
    <x v="260"/>
    <x v="29"/>
    <x v="56"/>
    <x v="291"/>
  </r>
  <r>
    <x v="0"/>
    <x v="292"/>
    <x v="266"/>
    <x v="266"/>
    <x v="261"/>
    <x v="29"/>
    <x v="107"/>
    <x v="292"/>
  </r>
  <r>
    <x v="9"/>
    <x v="293"/>
    <x v="267"/>
    <x v="267"/>
    <x v="262"/>
    <x v="23"/>
    <x v="105"/>
    <x v="293"/>
  </r>
  <r>
    <x v="1"/>
    <x v="294"/>
    <x v="268"/>
    <x v="268"/>
    <x v="263"/>
    <x v="2"/>
    <x v="1"/>
    <x v="294"/>
  </r>
  <r>
    <x v="0"/>
    <x v="295"/>
    <x v="268"/>
    <x v="268"/>
    <x v="264"/>
    <x v="14"/>
    <x v="7"/>
    <x v="295"/>
  </r>
  <r>
    <x v="1"/>
    <x v="296"/>
    <x v="269"/>
    <x v="269"/>
    <x v="31"/>
    <x v="44"/>
    <x v="108"/>
    <x v="296"/>
  </r>
  <r>
    <x v="8"/>
    <x v="297"/>
    <x v="269"/>
    <x v="269"/>
    <x v="265"/>
    <x v="67"/>
    <x v="19"/>
    <x v="297"/>
  </r>
  <r>
    <x v="1"/>
    <x v="298"/>
    <x v="270"/>
    <x v="270"/>
    <x v="266"/>
    <x v="27"/>
    <x v="109"/>
    <x v="298"/>
  </r>
  <r>
    <x v="5"/>
    <x v="299"/>
    <x v="271"/>
    <x v="271"/>
    <x v="267"/>
    <x v="12"/>
    <x v="1"/>
    <x v="299"/>
  </r>
  <r>
    <x v="1"/>
    <x v="300"/>
    <x v="272"/>
    <x v="272"/>
    <x v="268"/>
    <x v="44"/>
    <x v="20"/>
    <x v="300"/>
  </r>
  <r>
    <x v="13"/>
    <x v="301"/>
    <x v="272"/>
    <x v="272"/>
    <x v="269"/>
    <x v="70"/>
    <x v="1"/>
    <x v="301"/>
  </r>
  <r>
    <x v="24"/>
    <x v="302"/>
    <x v="273"/>
    <x v="273"/>
    <x v="270"/>
    <x v="45"/>
    <x v="0"/>
    <x v="302"/>
  </r>
  <r>
    <x v="27"/>
    <x v="303"/>
    <x v="274"/>
    <x v="274"/>
    <x v="271"/>
    <x v="12"/>
    <x v="0"/>
    <x v="303"/>
  </r>
  <r>
    <x v="13"/>
    <x v="304"/>
    <x v="275"/>
    <x v="275"/>
    <x v="40"/>
    <x v="25"/>
    <x v="1"/>
    <x v="304"/>
  </r>
  <r>
    <x v="0"/>
    <x v="305"/>
    <x v="276"/>
    <x v="276"/>
    <x v="272"/>
    <x v="14"/>
    <x v="28"/>
    <x v="305"/>
  </r>
  <r>
    <x v="14"/>
    <x v="306"/>
    <x v="276"/>
    <x v="276"/>
    <x v="273"/>
    <x v="11"/>
    <x v="19"/>
    <x v="306"/>
  </r>
  <r>
    <x v="8"/>
    <x v="307"/>
    <x v="277"/>
    <x v="277"/>
    <x v="274"/>
    <x v="71"/>
    <x v="10"/>
    <x v="307"/>
  </r>
  <r>
    <x v="9"/>
    <x v="308"/>
    <x v="278"/>
    <x v="278"/>
    <x v="275"/>
    <x v="23"/>
    <x v="110"/>
    <x v="308"/>
  </r>
  <r>
    <x v="17"/>
    <x v="309"/>
    <x v="279"/>
    <x v="279"/>
    <x v="276"/>
    <x v="72"/>
    <x v="111"/>
    <x v="309"/>
  </r>
  <r>
    <x v="8"/>
    <x v="310"/>
    <x v="279"/>
    <x v="279"/>
    <x v="277"/>
    <x v="57"/>
    <x v="38"/>
    <x v="310"/>
  </r>
  <r>
    <x v="8"/>
    <x v="311"/>
    <x v="279"/>
    <x v="279"/>
    <x v="278"/>
    <x v="51"/>
    <x v="1"/>
    <x v="311"/>
  </r>
  <r>
    <x v="1"/>
    <x v="312"/>
    <x v="279"/>
    <x v="279"/>
    <x v="279"/>
    <x v="50"/>
    <x v="112"/>
    <x v="312"/>
  </r>
  <r>
    <x v="3"/>
    <x v="313"/>
    <x v="280"/>
    <x v="280"/>
    <x v="280"/>
    <x v="68"/>
    <x v="1"/>
    <x v="313"/>
  </r>
  <r>
    <x v="0"/>
    <x v="314"/>
    <x v="280"/>
    <x v="280"/>
    <x v="281"/>
    <x v="14"/>
    <x v="22"/>
    <x v="314"/>
  </r>
  <r>
    <x v="0"/>
    <x v="315"/>
    <x v="280"/>
    <x v="280"/>
    <x v="282"/>
    <x v="33"/>
    <x v="49"/>
    <x v="315"/>
  </r>
  <r>
    <x v="8"/>
    <x v="316"/>
    <x v="281"/>
    <x v="281"/>
    <x v="283"/>
    <x v="73"/>
    <x v="12"/>
    <x v="316"/>
  </r>
  <r>
    <x v="2"/>
    <x v="317"/>
    <x v="282"/>
    <x v="282"/>
    <x v="284"/>
    <x v="6"/>
    <x v="8"/>
    <x v="317"/>
  </r>
  <r>
    <x v="3"/>
    <x v="318"/>
    <x v="283"/>
    <x v="283"/>
    <x v="285"/>
    <x v="73"/>
    <x v="1"/>
    <x v="318"/>
  </r>
  <r>
    <x v="10"/>
    <x v="319"/>
    <x v="283"/>
    <x v="283"/>
    <x v="286"/>
    <x v="7"/>
    <x v="47"/>
    <x v="319"/>
  </r>
  <r>
    <x v="1"/>
    <x v="320"/>
    <x v="283"/>
    <x v="283"/>
    <x v="287"/>
    <x v="30"/>
    <x v="55"/>
    <x v="320"/>
  </r>
  <r>
    <x v="8"/>
    <x v="321"/>
    <x v="284"/>
    <x v="284"/>
    <x v="288"/>
    <x v="71"/>
    <x v="14"/>
    <x v="321"/>
  </r>
  <r>
    <x v="3"/>
    <x v="322"/>
    <x v="284"/>
    <x v="284"/>
    <x v="289"/>
    <x v="16"/>
    <x v="113"/>
    <x v="322"/>
  </r>
  <r>
    <x v="3"/>
    <x v="323"/>
    <x v="285"/>
    <x v="285"/>
    <x v="290"/>
    <x v="29"/>
    <x v="5"/>
    <x v="323"/>
  </r>
  <r>
    <x v="8"/>
    <x v="324"/>
    <x v="285"/>
    <x v="285"/>
    <x v="268"/>
    <x v="74"/>
    <x v="102"/>
    <x v="324"/>
  </r>
  <r>
    <x v="10"/>
    <x v="325"/>
    <x v="286"/>
    <x v="286"/>
    <x v="291"/>
    <x v="4"/>
    <x v="8"/>
    <x v="325"/>
  </r>
  <r>
    <x v="1"/>
    <x v="326"/>
    <x v="287"/>
    <x v="287"/>
    <x v="292"/>
    <x v="27"/>
    <x v="19"/>
    <x v="326"/>
  </r>
  <r>
    <x v="24"/>
    <x v="327"/>
    <x v="288"/>
    <x v="288"/>
    <x v="293"/>
    <x v="38"/>
    <x v="114"/>
    <x v="327"/>
  </r>
  <r>
    <x v="15"/>
    <x v="328"/>
    <x v="288"/>
    <x v="288"/>
    <x v="294"/>
    <x v="66"/>
    <x v="57"/>
    <x v="328"/>
  </r>
  <r>
    <x v="1"/>
    <x v="329"/>
    <x v="288"/>
    <x v="288"/>
    <x v="295"/>
    <x v="24"/>
    <x v="115"/>
    <x v="329"/>
  </r>
  <r>
    <x v="12"/>
    <x v="330"/>
    <x v="289"/>
    <x v="289"/>
    <x v="296"/>
    <x v="62"/>
    <x v="75"/>
    <x v="330"/>
  </r>
  <r>
    <x v="0"/>
    <x v="331"/>
    <x v="290"/>
    <x v="290"/>
    <x v="297"/>
    <x v="17"/>
    <x v="37"/>
    <x v="331"/>
  </r>
  <r>
    <x v="2"/>
    <x v="332"/>
    <x v="290"/>
    <x v="290"/>
    <x v="248"/>
    <x v="14"/>
    <x v="16"/>
    <x v="332"/>
  </r>
  <r>
    <x v="22"/>
    <x v="333"/>
    <x v="291"/>
    <x v="291"/>
    <x v="68"/>
    <x v="47"/>
    <x v="116"/>
    <x v="333"/>
  </r>
  <r>
    <x v="6"/>
    <x v="334"/>
    <x v="291"/>
    <x v="291"/>
    <x v="7"/>
    <x v="28"/>
    <x v="5"/>
    <x v="334"/>
  </r>
  <r>
    <x v="28"/>
    <x v="335"/>
    <x v="292"/>
    <x v="292"/>
    <x v="298"/>
    <x v="69"/>
    <x v="117"/>
    <x v="335"/>
  </r>
  <r>
    <x v="1"/>
    <x v="336"/>
    <x v="293"/>
    <x v="293"/>
    <x v="299"/>
    <x v="32"/>
    <x v="7"/>
    <x v="336"/>
  </r>
  <r>
    <x v="0"/>
    <x v="337"/>
    <x v="294"/>
    <x v="294"/>
    <x v="300"/>
    <x v="2"/>
    <x v="0"/>
    <x v="337"/>
  </r>
  <r>
    <x v="3"/>
    <x v="338"/>
    <x v="295"/>
    <x v="295"/>
    <x v="301"/>
    <x v="25"/>
    <x v="8"/>
    <x v="338"/>
  </r>
  <r>
    <x v="20"/>
    <x v="339"/>
    <x v="295"/>
    <x v="295"/>
    <x v="302"/>
    <x v="25"/>
    <x v="4"/>
    <x v="339"/>
  </r>
  <r>
    <x v="1"/>
    <x v="340"/>
    <x v="295"/>
    <x v="295"/>
    <x v="303"/>
    <x v="49"/>
    <x v="72"/>
    <x v="340"/>
  </r>
  <r>
    <x v="1"/>
    <x v="341"/>
    <x v="296"/>
    <x v="296"/>
    <x v="304"/>
    <x v="2"/>
    <x v="118"/>
    <x v="341"/>
  </r>
  <r>
    <x v="22"/>
    <x v="342"/>
    <x v="296"/>
    <x v="296"/>
    <x v="305"/>
    <x v="19"/>
    <x v="2"/>
    <x v="342"/>
  </r>
  <r>
    <x v="2"/>
    <x v="343"/>
    <x v="297"/>
    <x v="297"/>
    <x v="34"/>
    <x v="14"/>
    <x v="16"/>
    <x v="343"/>
  </r>
  <r>
    <x v="3"/>
    <x v="344"/>
    <x v="298"/>
    <x v="298"/>
    <x v="306"/>
    <x v="25"/>
    <x v="0"/>
    <x v="344"/>
  </r>
  <r>
    <x v="8"/>
    <x v="345"/>
    <x v="298"/>
    <x v="298"/>
    <x v="273"/>
    <x v="62"/>
    <x v="0"/>
    <x v="345"/>
  </r>
  <r>
    <x v="7"/>
    <x v="346"/>
    <x v="298"/>
    <x v="298"/>
    <x v="307"/>
    <x v="75"/>
    <x v="119"/>
    <x v="346"/>
  </r>
  <r>
    <x v="29"/>
    <x v="347"/>
    <x v="299"/>
    <x v="299"/>
    <x v="308"/>
    <x v="49"/>
    <x v="120"/>
    <x v="347"/>
  </r>
  <r>
    <x v="1"/>
    <x v="348"/>
    <x v="299"/>
    <x v="299"/>
    <x v="309"/>
    <x v="65"/>
    <x v="121"/>
    <x v="348"/>
  </r>
  <r>
    <x v="16"/>
    <x v="349"/>
    <x v="299"/>
    <x v="299"/>
    <x v="310"/>
    <x v="21"/>
    <x v="0"/>
    <x v="349"/>
  </r>
  <r>
    <x v="1"/>
    <x v="350"/>
    <x v="299"/>
    <x v="299"/>
    <x v="311"/>
    <x v="44"/>
    <x v="122"/>
    <x v="350"/>
  </r>
  <r>
    <x v="1"/>
    <x v="351"/>
    <x v="300"/>
    <x v="300"/>
    <x v="78"/>
    <x v="2"/>
    <x v="4"/>
    <x v="351"/>
  </r>
  <r>
    <x v="14"/>
    <x v="352"/>
    <x v="300"/>
    <x v="300"/>
    <x v="312"/>
    <x v="11"/>
    <x v="29"/>
    <x v="352"/>
  </r>
  <r>
    <x v="3"/>
    <x v="353"/>
    <x v="300"/>
    <x v="300"/>
    <x v="313"/>
    <x v="57"/>
    <x v="123"/>
    <x v="353"/>
  </r>
  <r>
    <x v="5"/>
    <x v="354"/>
    <x v="301"/>
    <x v="301"/>
    <x v="187"/>
    <x v="13"/>
    <x v="2"/>
    <x v="354"/>
  </r>
  <r>
    <x v="8"/>
    <x v="355"/>
    <x v="302"/>
    <x v="302"/>
    <x v="91"/>
    <x v="38"/>
    <x v="4"/>
    <x v="355"/>
  </r>
  <r>
    <x v="8"/>
    <x v="356"/>
    <x v="303"/>
    <x v="303"/>
    <x v="314"/>
    <x v="38"/>
    <x v="108"/>
    <x v="356"/>
  </r>
  <r>
    <x v="1"/>
    <x v="357"/>
    <x v="303"/>
    <x v="303"/>
    <x v="315"/>
    <x v="8"/>
    <x v="28"/>
    <x v="357"/>
  </r>
  <r>
    <x v="30"/>
    <x v="358"/>
    <x v="303"/>
    <x v="303"/>
    <x v="316"/>
    <x v="17"/>
    <x v="0"/>
    <x v="358"/>
  </r>
  <r>
    <x v="15"/>
    <x v="359"/>
    <x v="303"/>
    <x v="303"/>
    <x v="317"/>
    <x v="39"/>
    <x v="124"/>
    <x v="359"/>
  </r>
  <r>
    <x v="2"/>
    <x v="360"/>
    <x v="303"/>
    <x v="303"/>
    <x v="318"/>
    <x v="6"/>
    <x v="1"/>
    <x v="360"/>
  </r>
  <r>
    <x v="14"/>
    <x v="361"/>
    <x v="304"/>
    <x v="304"/>
    <x v="319"/>
    <x v="11"/>
    <x v="15"/>
    <x v="361"/>
  </r>
  <r>
    <x v="8"/>
    <x v="362"/>
    <x v="304"/>
    <x v="304"/>
    <x v="320"/>
    <x v="33"/>
    <x v="0"/>
    <x v="362"/>
  </r>
  <r>
    <x v="1"/>
    <x v="363"/>
    <x v="304"/>
    <x v="304"/>
    <x v="321"/>
    <x v="2"/>
    <x v="1"/>
    <x v="363"/>
  </r>
  <r>
    <x v="3"/>
    <x v="364"/>
    <x v="305"/>
    <x v="305"/>
    <x v="322"/>
    <x v="28"/>
    <x v="2"/>
    <x v="364"/>
  </r>
  <r>
    <x v="3"/>
    <x v="365"/>
    <x v="305"/>
    <x v="305"/>
    <x v="323"/>
    <x v="51"/>
    <x v="125"/>
    <x v="365"/>
  </r>
  <r>
    <x v="1"/>
    <x v="366"/>
    <x v="305"/>
    <x v="305"/>
    <x v="324"/>
    <x v="65"/>
    <x v="11"/>
    <x v="366"/>
  </r>
  <r>
    <x v="3"/>
    <x v="367"/>
    <x v="306"/>
    <x v="306"/>
    <x v="43"/>
    <x v="18"/>
    <x v="0"/>
    <x v="367"/>
  </r>
  <r>
    <x v="3"/>
    <x v="368"/>
    <x v="306"/>
    <x v="306"/>
    <x v="325"/>
    <x v="71"/>
    <x v="65"/>
    <x v="368"/>
  </r>
  <r>
    <x v="7"/>
    <x v="369"/>
    <x v="307"/>
    <x v="307"/>
    <x v="326"/>
    <x v="26"/>
    <x v="126"/>
    <x v="369"/>
  </r>
  <r>
    <x v="1"/>
    <x v="370"/>
    <x v="308"/>
    <x v="308"/>
    <x v="145"/>
    <x v="18"/>
    <x v="127"/>
    <x v="370"/>
  </r>
  <r>
    <x v="1"/>
    <x v="371"/>
    <x v="308"/>
    <x v="308"/>
    <x v="327"/>
    <x v="40"/>
    <x v="128"/>
    <x v="371"/>
  </r>
  <r>
    <x v="12"/>
    <x v="372"/>
    <x v="309"/>
    <x v="309"/>
    <x v="328"/>
    <x v="62"/>
    <x v="3"/>
    <x v="372"/>
  </r>
  <r>
    <x v="8"/>
    <x v="373"/>
    <x v="310"/>
    <x v="310"/>
    <x v="329"/>
    <x v="38"/>
    <x v="15"/>
    <x v="373"/>
  </r>
  <r>
    <x v="1"/>
    <x v="374"/>
    <x v="310"/>
    <x v="310"/>
    <x v="330"/>
    <x v="38"/>
    <x v="129"/>
    <x v="374"/>
  </r>
  <r>
    <x v="3"/>
    <x v="375"/>
    <x v="311"/>
    <x v="311"/>
    <x v="331"/>
    <x v="25"/>
    <x v="7"/>
    <x v="375"/>
  </r>
  <r>
    <x v="8"/>
    <x v="376"/>
    <x v="311"/>
    <x v="311"/>
    <x v="332"/>
    <x v="38"/>
    <x v="6"/>
    <x v="376"/>
  </r>
  <r>
    <x v="1"/>
    <x v="377"/>
    <x v="312"/>
    <x v="312"/>
    <x v="333"/>
    <x v="27"/>
    <x v="130"/>
    <x v="377"/>
  </r>
  <r>
    <x v="14"/>
    <x v="378"/>
    <x v="312"/>
    <x v="312"/>
    <x v="334"/>
    <x v="63"/>
    <x v="131"/>
    <x v="378"/>
  </r>
  <r>
    <x v="0"/>
    <x v="379"/>
    <x v="312"/>
    <x v="312"/>
    <x v="335"/>
    <x v="17"/>
    <x v="91"/>
    <x v="379"/>
  </r>
  <r>
    <x v="1"/>
    <x v="380"/>
    <x v="313"/>
    <x v="313"/>
    <x v="336"/>
    <x v="0"/>
    <x v="52"/>
    <x v="380"/>
  </r>
  <r>
    <x v="15"/>
    <x v="381"/>
    <x v="313"/>
    <x v="313"/>
    <x v="337"/>
    <x v="53"/>
    <x v="132"/>
    <x v="381"/>
  </r>
  <r>
    <x v="1"/>
    <x v="382"/>
    <x v="314"/>
    <x v="314"/>
    <x v="338"/>
    <x v="49"/>
    <x v="7"/>
    <x v="382"/>
  </r>
  <r>
    <x v="20"/>
    <x v="383"/>
    <x v="314"/>
    <x v="314"/>
    <x v="339"/>
    <x v="49"/>
    <x v="7"/>
    <x v="383"/>
  </r>
  <r>
    <x v="12"/>
    <x v="384"/>
    <x v="314"/>
    <x v="314"/>
    <x v="340"/>
    <x v="10"/>
    <x v="49"/>
    <x v="384"/>
  </r>
  <r>
    <x v="22"/>
    <x v="385"/>
    <x v="314"/>
    <x v="314"/>
    <x v="230"/>
    <x v="59"/>
    <x v="5"/>
    <x v="385"/>
  </r>
  <r>
    <x v="3"/>
    <x v="386"/>
    <x v="314"/>
    <x v="314"/>
    <x v="341"/>
    <x v="46"/>
    <x v="13"/>
    <x v="386"/>
  </r>
  <r>
    <x v="15"/>
    <x v="387"/>
    <x v="315"/>
    <x v="315"/>
    <x v="342"/>
    <x v="36"/>
    <x v="54"/>
    <x v="387"/>
  </r>
  <r>
    <x v="3"/>
    <x v="388"/>
    <x v="315"/>
    <x v="315"/>
    <x v="343"/>
    <x v="14"/>
    <x v="0"/>
    <x v="388"/>
  </r>
  <r>
    <x v="8"/>
    <x v="389"/>
    <x v="315"/>
    <x v="315"/>
    <x v="344"/>
    <x v="16"/>
    <x v="120"/>
    <x v="389"/>
  </r>
  <r>
    <x v="31"/>
    <x v="390"/>
    <x v="315"/>
    <x v="315"/>
    <x v="5"/>
    <x v="76"/>
    <x v="0"/>
    <x v="390"/>
  </r>
  <r>
    <x v="12"/>
    <x v="391"/>
    <x v="316"/>
    <x v="316"/>
    <x v="345"/>
    <x v="35"/>
    <x v="1"/>
    <x v="391"/>
  </r>
  <r>
    <x v="30"/>
    <x v="392"/>
    <x v="317"/>
    <x v="317"/>
    <x v="346"/>
    <x v="17"/>
    <x v="0"/>
    <x v="392"/>
  </r>
  <r>
    <x v="12"/>
    <x v="393"/>
    <x v="318"/>
    <x v="318"/>
    <x v="163"/>
    <x v="77"/>
    <x v="51"/>
    <x v="393"/>
  </r>
  <r>
    <x v="0"/>
    <x v="394"/>
    <x v="319"/>
    <x v="319"/>
    <x v="347"/>
    <x v="14"/>
    <x v="1"/>
    <x v="394"/>
  </r>
  <r>
    <x v="15"/>
    <x v="395"/>
    <x v="320"/>
    <x v="320"/>
    <x v="348"/>
    <x v="29"/>
    <x v="61"/>
    <x v="395"/>
  </r>
  <r>
    <x v="8"/>
    <x v="396"/>
    <x v="321"/>
    <x v="321"/>
    <x v="349"/>
    <x v="38"/>
    <x v="8"/>
    <x v="396"/>
  </r>
  <r>
    <x v="32"/>
    <x v="397"/>
    <x v="322"/>
    <x v="322"/>
    <x v="350"/>
    <x v="78"/>
    <x v="133"/>
    <x v="397"/>
  </r>
  <r>
    <x v="15"/>
    <x v="398"/>
    <x v="323"/>
    <x v="323"/>
    <x v="351"/>
    <x v="38"/>
    <x v="0"/>
    <x v="398"/>
  </r>
  <r>
    <x v="1"/>
    <x v="399"/>
    <x v="324"/>
    <x v="324"/>
    <x v="352"/>
    <x v="24"/>
    <x v="134"/>
    <x v="399"/>
  </r>
  <r>
    <x v="1"/>
    <x v="400"/>
    <x v="325"/>
    <x v="325"/>
    <x v="123"/>
    <x v="14"/>
    <x v="0"/>
    <x v="400"/>
  </r>
  <r>
    <x v="26"/>
    <x v="401"/>
    <x v="326"/>
    <x v="326"/>
    <x v="353"/>
    <x v="79"/>
    <x v="135"/>
    <x v="401"/>
  </r>
  <r>
    <x v="33"/>
    <x v="402"/>
    <x v="327"/>
    <x v="327"/>
    <x v="354"/>
    <x v="57"/>
    <x v="0"/>
    <x v="402"/>
  </r>
  <r>
    <x v="7"/>
    <x v="403"/>
    <x v="328"/>
    <x v="328"/>
    <x v="355"/>
    <x v="33"/>
    <x v="136"/>
    <x v="403"/>
  </r>
  <r>
    <x v="15"/>
    <x v="404"/>
    <x v="329"/>
    <x v="329"/>
    <x v="356"/>
    <x v="66"/>
    <x v="56"/>
    <x v="404"/>
  </r>
  <r>
    <x v="14"/>
    <x v="405"/>
    <x v="330"/>
    <x v="330"/>
    <x v="357"/>
    <x v="11"/>
    <x v="25"/>
    <x v="405"/>
  </r>
  <r>
    <x v="33"/>
    <x v="406"/>
    <x v="331"/>
    <x v="331"/>
    <x v="358"/>
    <x v="80"/>
    <x v="137"/>
    <x v="406"/>
  </r>
  <r>
    <x v="15"/>
    <x v="407"/>
    <x v="332"/>
    <x v="332"/>
    <x v="24"/>
    <x v="33"/>
    <x v="138"/>
    <x v="407"/>
  </r>
  <r>
    <x v="1"/>
    <x v="408"/>
    <x v="333"/>
    <x v="333"/>
    <x v="359"/>
    <x v="30"/>
    <x v="139"/>
    <x v="408"/>
  </r>
  <r>
    <x v="3"/>
    <x v="409"/>
    <x v="334"/>
    <x v="334"/>
    <x v="360"/>
    <x v="21"/>
    <x v="14"/>
    <x v="409"/>
  </r>
  <r>
    <x v="1"/>
    <x v="410"/>
    <x v="335"/>
    <x v="335"/>
    <x v="361"/>
    <x v="38"/>
    <x v="49"/>
    <x v="410"/>
  </r>
  <r>
    <x v="34"/>
    <x v="411"/>
    <x v="336"/>
    <x v="336"/>
    <x v="362"/>
    <x v="14"/>
    <x v="0"/>
    <x v="411"/>
  </r>
  <r>
    <x v="1"/>
    <x v="412"/>
    <x v="337"/>
    <x v="337"/>
    <x v="363"/>
    <x v="65"/>
    <x v="140"/>
    <x v="412"/>
  </r>
  <r>
    <x v="35"/>
    <x v="413"/>
    <x v="338"/>
    <x v="338"/>
    <x v="13"/>
    <x v="66"/>
    <x v="0"/>
    <x v="413"/>
  </r>
  <r>
    <x v="15"/>
    <x v="414"/>
    <x v="339"/>
    <x v="339"/>
    <x v="364"/>
    <x v="66"/>
    <x v="141"/>
    <x v="414"/>
  </r>
  <r>
    <x v="10"/>
    <x v="415"/>
    <x v="340"/>
    <x v="340"/>
    <x v="365"/>
    <x v="81"/>
    <x v="1"/>
    <x v="415"/>
  </r>
  <r>
    <x v="8"/>
    <x v="416"/>
    <x v="341"/>
    <x v="341"/>
    <x v="366"/>
    <x v="67"/>
    <x v="7"/>
    <x v="416"/>
  </r>
  <r>
    <x v="23"/>
    <x v="417"/>
    <x v="342"/>
    <x v="342"/>
    <x v="367"/>
    <x v="23"/>
    <x v="142"/>
    <x v="417"/>
  </r>
  <r>
    <x v="18"/>
    <x v="418"/>
    <x v="343"/>
    <x v="343"/>
    <x v="368"/>
    <x v="2"/>
    <x v="143"/>
    <x v="418"/>
  </r>
  <r>
    <x v="12"/>
    <x v="419"/>
    <x v="344"/>
    <x v="344"/>
    <x v="369"/>
    <x v="28"/>
    <x v="59"/>
    <x v="419"/>
  </r>
  <r>
    <x v="0"/>
    <x v="420"/>
    <x v="345"/>
    <x v="345"/>
    <x v="134"/>
    <x v="49"/>
    <x v="3"/>
    <x v="420"/>
  </r>
  <r>
    <x v="1"/>
    <x v="421"/>
    <x v="346"/>
    <x v="346"/>
    <x v="370"/>
    <x v="28"/>
    <x v="5"/>
    <x v="421"/>
  </r>
  <r>
    <x v="1"/>
    <x v="422"/>
    <x v="347"/>
    <x v="347"/>
    <x v="194"/>
    <x v="49"/>
    <x v="2"/>
    <x v="422"/>
  </r>
  <r>
    <x v="12"/>
    <x v="423"/>
    <x v="348"/>
    <x v="348"/>
    <x v="371"/>
    <x v="55"/>
    <x v="13"/>
    <x v="423"/>
  </r>
  <r>
    <x v="15"/>
    <x v="424"/>
    <x v="349"/>
    <x v="349"/>
    <x v="372"/>
    <x v="38"/>
    <x v="7"/>
    <x v="424"/>
  </r>
  <r>
    <x v="1"/>
    <x v="425"/>
    <x v="350"/>
    <x v="350"/>
    <x v="373"/>
    <x v="1"/>
    <x v="1"/>
    <x v="425"/>
  </r>
  <r>
    <x v="28"/>
    <x v="426"/>
    <x v="351"/>
    <x v="351"/>
    <x v="374"/>
    <x v="69"/>
    <x v="144"/>
    <x v="426"/>
  </r>
  <r>
    <x v="14"/>
    <x v="427"/>
    <x v="352"/>
    <x v="352"/>
    <x v="375"/>
    <x v="11"/>
    <x v="20"/>
    <x v="427"/>
  </r>
  <r>
    <x v="36"/>
    <x v="428"/>
    <x v="353"/>
    <x v="353"/>
    <x v="376"/>
    <x v="23"/>
    <x v="89"/>
    <x v="428"/>
  </r>
  <r>
    <x v="6"/>
    <x v="429"/>
    <x v="354"/>
    <x v="354"/>
    <x v="377"/>
    <x v="0"/>
    <x v="0"/>
    <x v="429"/>
  </r>
  <r>
    <x v="3"/>
    <x v="430"/>
    <x v="355"/>
    <x v="355"/>
    <x v="378"/>
    <x v="59"/>
    <x v="8"/>
    <x v="430"/>
  </r>
  <r>
    <x v="1"/>
    <x v="431"/>
    <x v="356"/>
    <x v="356"/>
    <x v="379"/>
    <x v="49"/>
    <x v="2"/>
    <x v="431"/>
  </r>
  <r>
    <x v="37"/>
    <x v="432"/>
    <x v="357"/>
    <x v="357"/>
    <x v="196"/>
    <x v="64"/>
    <x v="17"/>
    <x v="432"/>
  </r>
  <r>
    <x v="1"/>
    <x v="433"/>
    <x v="358"/>
    <x v="358"/>
    <x v="195"/>
    <x v="27"/>
    <x v="29"/>
    <x v="433"/>
  </r>
  <r>
    <x v="3"/>
    <x v="434"/>
    <x v="359"/>
    <x v="359"/>
    <x v="380"/>
    <x v="47"/>
    <x v="6"/>
    <x v="434"/>
  </r>
  <r>
    <x v="2"/>
    <x v="435"/>
    <x v="360"/>
    <x v="360"/>
    <x v="381"/>
    <x v="14"/>
    <x v="28"/>
    <x v="435"/>
  </r>
  <r>
    <x v="1"/>
    <x v="436"/>
    <x v="361"/>
    <x v="361"/>
    <x v="362"/>
    <x v="45"/>
    <x v="100"/>
    <x v="436"/>
  </r>
  <r>
    <x v="20"/>
    <x v="437"/>
    <x v="362"/>
    <x v="362"/>
    <x v="106"/>
    <x v="25"/>
    <x v="6"/>
    <x v="437"/>
  </r>
  <r>
    <x v="1"/>
    <x v="438"/>
    <x v="363"/>
    <x v="363"/>
    <x v="382"/>
    <x v="27"/>
    <x v="25"/>
    <x v="438"/>
  </r>
  <r>
    <x v="18"/>
    <x v="439"/>
    <x v="364"/>
    <x v="364"/>
    <x v="383"/>
    <x v="6"/>
    <x v="0"/>
    <x v="439"/>
  </r>
  <r>
    <x v="15"/>
    <x v="440"/>
    <x v="365"/>
    <x v="365"/>
    <x v="300"/>
    <x v="28"/>
    <x v="54"/>
    <x v="440"/>
  </r>
  <r>
    <x v="10"/>
    <x v="441"/>
    <x v="366"/>
    <x v="366"/>
    <x v="384"/>
    <x v="70"/>
    <x v="3"/>
    <x v="441"/>
  </r>
  <r>
    <x v="1"/>
    <x v="442"/>
    <x v="367"/>
    <x v="367"/>
    <x v="385"/>
    <x v="5"/>
    <x v="8"/>
    <x v="442"/>
  </r>
  <r>
    <x v="3"/>
    <x v="443"/>
    <x v="368"/>
    <x v="368"/>
    <x v="310"/>
    <x v="62"/>
    <x v="4"/>
    <x v="443"/>
  </r>
  <r>
    <x v="1"/>
    <x v="444"/>
    <x v="369"/>
    <x v="369"/>
    <x v="386"/>
    <x v="24"/>
    <x v="145"/>
    <x v="444"/>
  </r>
  <r>
    <x v="1"/>
    <x v="445"/>
    <x v="370"/>
    <x v="370"/>
    <x v="387"/>
    <x v="29"/>
    <x v="146"/>
    <x v="445"/>
  </r>
  <r>
    <x v="27"/>
    <x v="446"/>
    <x v="371"/>
    <x v="371"/>
    <x v="388"/>
    <x v="55"/>
    <x v="7"/>
    <x v="446"/>
  </r>
  <r>
    <x v="34"/>
    <x v="447"/>
    <x v="372"/>
    <x v="372"/>
    <x v="389"/>
    <x v="0"/>
    <x v="35"/>
    <x v="447"/>
  </r>
  <r>
    <x v="2"/>
    <x v="448"/>
    <x v="373"/>
    <x v="373"/>
    <x v="36"/>
    <x v="14"/>
    <x v="22"/>
    <x v="448"/>
  </r>
  <r>
    <x v="12"/>
    <x v="449"/>
    <x v="374"/>
    <x v="374"/>
    <x v="64"/>
    <x v="55"/>
    <x v="8"/>
    <x v="449"/>
  </r>
  <r>
    <x v="1"/>
    <x v="450"/>
    <x v="375"/>
    <x v="375"/>
    <x v="390"/>
    <x v="5"/>
    <x v="23"/>
    <x v="450"/>
  </r>
  <r>
    <x v="38"/>
    <x v="451"/>
    <x v="376"/>
    <x v="376"/>
    <x v="391"/>
    <x v="65"/>
    <x v="0"/>
    <x v="451"/>
  </r>
  <r>
    <x v="0"/>
    <x v="452"/>
    <x v="377"/>
    <x v="377"/>
    <x v="392"/>
    <x v="17"/>
    <x v="108"/>
    <x v="452"/>
  </r>
  <r>
    <x v="1"/>
    <x v="453"/>
    <x v="378"/>
    <x v="378"/>
    <x v="393"/>
    <x v="24"/>
    <x v="147"/>
    <x v="453"/>
  </r>
  <r>
    <x v="1"/>
    <x v="454"/>
    <x v="379"/>
    <x v="379"/>
    <x v="394"/>
    <x v="2"/>
    <x v="7"/>
    <x v="454"/>
  </r>
  <r>
    <x v="3"/>
    <x v="455"/>
    <x v="380"/>
    <x v="380"/>
    <x v="85"/>
    <x v="7"/>
    <x v="0"/>
    <x v="455"/>
  </r>
  <r>
    <x v="0"/>
    <x v="456"/>
    <x v="381"/>
    <x v="381"/>
    <x v="395"/>
    <x v="21"/>
    <x v="75"/>
    <x v="456"/>
  </r>
  <r>
    <x v="1"/>
    <x v="457"/>
    <x v="382"/>
    <x v="382"/>
    <x v="286"/>
    <x v="49"/>
    <x v="60"/>
    <x v="457"/>
  </r>
  <r>
    <x v="14"/>
    <x v="458"/>
    <x v="383"/>
    <x v="383"/>
    <x v="396"/>
    <x v="11"/>
    <x v="32"/>
    <x v="458"/>
  </r>
  <r>
    <x v="18"/>
    <x v="459"/>
    <x v="384"/>
    <x v="384"/>
    <x v="397"/>
    <x v="14"/>
    <x v="148"/>
    <x v="459"/>
  </r>
  <r>
    <x v="3"/>
    <x v="460"/>
    <x v="385"/>
    <x v="385"/>
    <x v="398"/>
    <x v="26"/>
    <x v="37"/>
    <x v="460"/>
  </r>
  <r>
    <x v="17"/>
    <x v="461"/>
    <x v="386"/>
    <x v="386"/>
    <x v="399"/>
    <x v="82"/>
    <x v="149"/>
    <x v="461"/>
  </r>
  <r>
    <x v="8"/>
    <x v="462"/>
    <x v="387"/>
    <x v="387"/>
    <x v="400"/>
    <x v="16"/>
    <x v="81"/>
    <x v="462"/>
  </r>
  <r>
    <x v="21"/>
    <x v="463"/>
    <x v="388"/>
    <x v="388"/>
    <x v="401"/>
    <x v="63"/>
    <x v="0"/>
    <x v="463"/>
  </r>
  <r>
    <x v="34"/>
    <x v="464"/>
    <x v="389"/>
    <x v="389"/>
    <x v="402"/>
    <x v="52"/>
    <x v="1"/>
    <x v="464"/>
  </r>
  <r>
    <x v="23"/>
    <x v="465"/>
    <x v="390"/>
    <x v="390"/>
    <x v="388"/>
    <x v="39"/>
    <x v="132"/>
    <x v="465"/>
  </r>
  <r>
    <x v="0"/>
    <x v="466"/>
    <x v="391"/>
    <x v="391"/>
    <x v="403"/>
    <x v="33"/>
    <x v="66"/>
    <x v="466"/>
  </r>
  <r>
    <x v="24"/>
    <x v="467"/>
    <x v="392"/>
    <x v="392"/>
    <x v="198"/>
    <x v="53"/>
    <x v="0"/>
    <x v="467"/>
  </r>
  <r>
    <x v="1"/>
    <x v="468"/>
    <x v="393"/>
    <x v="393"/>
    <x v="404"/>
    <x v="29"/>
    <x v="35"/>
    <x v="468"/>
  </r>
  <r>
    <x v="17"/>
    <x v="469"/>
    <x v="394"/>
    <x v="394"/>
    <x v="332"/>
    <x v="83"/>
    <x v="144"/>
    <x v="469"/>
  </r>
  <r>
    <x v="3"/>
    <x v="470"/>
    <x v="395"/>
    <x v="395"/>
    <x v="405"/>
    <x v="38"/>
    <x v="40"/>
    <x v="470"/>
  </r>
  <r>
    <x v="8"/>
    <x v="471"/>
    <x v="396"/>
    <x v="396"/>
    <x v="406"/>
    <x v="16"/>
    <x v="9"/>
    <x v="471"/>
  </r>
  <r>
    <x v="3"/>
    <x v="472"/>
    <x v="397"/>
    <x v="397"/>
    <x v="407"/>
    <x v="18"/>
    <x v="13"/>
    <x v="472"/>
  </r>
  <r>
    <x v="0"/>
    <x v="473"/>
    <x v="398"/>
    <x v="398"/>
    <x v="408"/>
    <x v="2"/>
    <x v="0"/>
    <x v="473"/>
  </r>
  <r>
    <x v="3"/>
    <x v="474"/>
    <x v="399"/>
    <x v="399"/>
    <x v="409"/>
    <x v="26"/>
    <x v="6"/>
    <x v="474"/>
  </r>
  <r>
    <x v="3"/>
    <x v="475"/>
    <x v="400"/>
    <x v="400"/>
    <x v="410"/>
    <x v="18"/>
    <x v="7"/>
    <x v="475"/>
  </r>
  <r>
    <x v="16"/>
    <x v="476"/>
    <x v="401"/>
    <x v="401"/>
    <x v="411"/>
    <x v="57"/>
    <x v="96"/>
    <x v="476"/>
  </r>
  <r>
    <x v="17"/>
    <x v="477"/>
    <x v="402"/>
    <x v="402"/>
    <x v="412"/>
    <x v="83"/>
    <x v="150"/>
    <x v="477"/>
  </r>
  <r>
    <x v="21"/>
    <x v="478"/>
    <x v="403"/>
    <x v="403"/>
    <x v="384"/>
    <x v="45"/>
    <x v="5"/>
    <x v="478"/>
  </r>
  <r>
    <x v="1"/>
    <x v="479"/>
    <x v="404"/>
    <x v="404"/>
    <x v="139"/>
    <x v="27"/>
    <x v="41"/>
    <x v="479"/>
  </r>
  <r>
    <x v="11"/>
    <x v="480"/>
    <x v="405"/>
    <x v="405"/>
    <x v="413"/>
    <x v="38"/>
    <x v="49"/>
    <x v="480"/>
  </r>
  <r>
    <x v="12"/>
    <x v="481"/>
    <x v="406"/>
    <x v="406"/>
    <x v="414"/>
    <x v="11"/>
    <x v="0"/>
    <x v="481"/>
  </r>
  <r>
    <x v="15"/>
    <x v="482"/>
    <x v="407"/>
    <x v="407"/>
    <x v="415"/>
    <x v="28"/>
    <x v="13"/>
    <x v="482"/>
  </r>
  <r>
    <x v="3"/>
    <x v="483"/>
    <x v="408"/>
    <x v="408"/>
    <x v="362"/>
    <x v="25"/>
    <x v="2"/>
    <x v="483"/>
  </r>
  <r>
    <x v="23"/>
    <x v="484"/>
    <x v="409"/>
    <x v="409"/>
    <x v="416"/>
    <x v="23"/>
    <x v="151"/>
    <x v="484"/>
  </r>
  <r>
    <x v="3"/>
    <x v="485"/>
    <x v="410"/>
    <x v="410"/>
    <x v="417"/>
    <x v="46"/>
    <x v="1"/>
    <x v="485"/>
  </r>
  <r>
    <x v="1"/>
    <x v="486"/>
    <x v="411"/>
    <x v="411"/>
    <x v="418"/>
    <x v="41"/>
    <x v="152"/>
    <x v="486"/>
  </r>
  <r>
    <x v="26"/>
    <x v="487"/>
    <x v="412"/>
    <x v="412"/>
    <x v="419"/>
    <x v="64"/>
    <x v="124"/>
    <x v="487"/>
  </r>
  <r>
    <x v="0"/>
    <x v="488"/>
    <x v="413"/>
    <x v="413"/>
    <x v="269"/>
    <x v="53"/>
    <x v="90"/>
    <x v="488"/>
  </r>
  <r>
    <x v="1"/>
    <x v="489"/>
    <x v="414"/>
    <x v="414"/>
    <x v="420"/>
    <x v="24"/>
    <x v="153"/>
    <x v="489"/>
  </r>
  <r>
    <x v="10"/>
    <x v="490"/>
    <x v="415"/>
    <x v="415"/>
    <x v="229"/>
    <x v="13"/>
    <x v="0"/>
    <x v="490"/>
  </r>
  <r>
    <x v="15"/>
    <x v="491"/>
    <x v="416"/>
    <x v="416"/>
    <x v="421"/>
    <x v="27"/>
    <x v="1"/>
    <x v="491"/>
  </r>
  <r>
    <x v="3"/>
    <x v="492"/>
    <x v="417"/>
    <x v="417"/>
    <x v="177"/>
    <x v="2"/>
    <x v="0"/>
    <x v="492"/>
  </r>
  <r>
    <x v="3"/>
    <x v="493"/>
    <x v="418"/>
    <x v="418"/>
    <x v="422"/>
    <x v="71"/>
    <x v="91"/>
    <x v="493"/>
  </r>
  <r>
    <x v="3"/>
    <x v="494"/>
    <x v="419"/>
    <x v="419"/>
    <x v="423"/>
    <x v="26"/>
    <x v="9"/>
    <x v="494"/>
  </r>
  <r>
    <x v="5"/>
    <x v="495"/>
    <x v="420"/>
    <x v="420"/>
    <x v="424"/>
    <x v="17"/>
    <x v="5"/>
    <x v="495"/>
  </r>
  <r>
    <x v="30"/>
    <x v="496"/>
    <x v="421"/>
    <x v="421"/>
    <x v="425"/>
    <x v="17"/>
    <x v="0"/>
    <x v="496"/>
  </r>
  <r>
    <x v="12"/>
    <x v="497"/>
    <x v="422"/>
    <x v="422"/>
    <x v="426"/>
    <x v="55"/>
    <x v="7"/>
    <x v="497"/>
  </r>
  <r>
    <x v="24"/>
    <x v="498"/>
    <x v="423"/>
    <x v="423"/>
    <x v="293"/>
    <x v="33"/>
    <x v="7"/>
    <x v="498"/>
  </r>
  <r>
    <x v="13"/>
    <x v="499"/>
    <x v="424"/>
    <x v="424"/>
    <x v="427"/>
    <x v="18"/>
    <x v="2"/>
    <x v="499"/>
  </r>
  <r>
    <x v="0"/>
    <x v="500"/>
    <x v="425"/>
    <x v="425"/>
    <x v="428"/>
    <x v="12"/>
    <x v="0"/>
    <x v="500"/>
  </r>
  <r>
    <x v="0"/>
    <x v="501"/>
    <x v="426"/>
    <x v="426"/>
    <x v="429"/>
    <x v="28"/>
    <x v="80"/>
    <x v="501"/>
  </r>
  <r>
    <x v="1"/>
    <x v="502"/>
    <x v="427"/>
    <x v="427"/>
    <x v="430"/>
    <x v="27"/>
    <x v="154"/>
    <x v="502"/>
  </r>
  <r>
    <x v="12"/>
    <x v="503"/>
    <x v="428"/>
    <x v="428"/>
    <x v="431"/>
    <x v="65"/>
    <x v="3"/>
    <x v="503"/>
  </r>
  <r>
    <x v="13"/>
    <x v="504"/>
    <x v="429"/>
    <x v="429"/>
    <x v="432"/>
    <x v="34"/>
    <x v="9"/>
    <x v="504"/>
  </r>
  <r>
    <x v="34"/>
    <x v="505"/>
    <x v="430"/>
    <x v="430"/>
    <x v="430"/>
    <x v="0"/>
    <x v="82"/>
    <x v="505"/>
  </r>
  <r>
    <x v="0"/>
    <x v="506"/>
    <x v="431"/>
    <x v="431"/>
    <x v="433"/>
    <x v="17"/>
    <x v="10"/>
    <x v="506"/>
  </r>
  <r>
    <x v="1"/>
    <x v="507"/>
    <x v="432"/>
    <x v="432"/>
    <x v="434"/>
    <x v="34"/>
    <x v="57"/>
    <x v="507"/>
  </r>
  <r>
    <x v="1"/>
    <x v="508"/>
    <x v="433"/>
    <x v="433"/>
    <x v="435"/>
    <x v="24"/>
    <x v="155"/>
    <x v="508"/>
  </r>
  <r>
    <x v="8"/>
    <x v="509"/>
    <x v="434"/>
    <x v="434"/>
    <x v="436"/>
    <x v="84"/>
    <x v="0"/>
    <x v="509"/>
  </r>
  <r>
    <x v="2"/>
    <x v="510"/>
    <x v="435"/>
    <x v="435"/>
    <x v="437"/>
    <x v="14"/>
    <x v="27"/>
    <x v="510"/>
  </r>
  <r>
    <x v="15"/>
    <x v="511"/>
    <x v="436"/>
    <x v="436"/>
    <x v="438"/>
    <x v="63"/>
    <x v="0"/>
    <x v="511"/>
  </r>
  <r>
    <x v="39"/>
    <x v="512"/>
    <x v="437"/>
    <x v="437"/>
    <x v="439"/>
    <x v="18"/>
    <x v="0"/>
    <x v="512"/>
  </r>
  <r>
    <x v="0"/>
    <x v="513"/>
    <x v="438"/>
    <x v="438"/>
    <x v="440"/>
    <x v="2"/>
    <x v="0"/>
    <x v="513"/>
  </r>
  <r>
    <x v="18"/>
    <x v="514"/>
    <x v="439"/>
    <x v="439"/>
    <x v="441"/>
    <x v="36"/>
    <x v="18"/>
    <x v="514"/>
  </r>
  <r>
    <x v="17"/>
    <x v="515"/>
    <x v="440"/>
    <x v="440"/>
    <x v="442"/>
    <x v="85"/>
    <x v="156"/>
    <x v="515"/>
  </r>
  <r>
    <x v="14"/>
    <x v="516"/>
    <x v="441"/>
    <x v="441"/>
    <x v="443"/>
    <x v="63"/>
    <x v="99"/>
    <x v="516"/>
  </r>
  <r>
    <x v="18"/>
    <x v="517"/>
    <x v="442"/>
    <x v="442"/>
    <x v="111"/>
    <x v="6"/>
    <x v="66"/>
    <x v="517"/>
  </r>
  <r>
    <x v="1"/>
    <x v="518"/>
    <x v="443"/>
    <x v="443"/>
    <x v="444"/>
    <x v="46"/>
    <x v="18"/>
    <x v="518"/>
  </r>
  <r>
    <x v="40"/>
    <x v="519"/>
    <x v="444"/>
    <x v="444"/>
    <x v="174"/>
    <x v="64"/>
    <x v="157"/>
    <x v="519"/>
  </r>
  <r>
    <x v="1"/>
    <x v="520"/>
    <x v="445"/>
    <x v="445"/>
    <x v="445"/>
    <x v="2"/>
    <x v="158"/>
    <x v="520"/>
  </r>
  <r>
    <x v="8"/>
    <x v="521"/>
    <x v="446"/>
    <x v="446"/>
    <x v="446"/>
    <x v="53"/>
    <x v="0"/>
    <x v="521"/>
  </r>
  <r>
    <x v="3"/>
    <x v="522"/>
    <x v="447"/>
    <x v="447"/>
    <x v="447"/>
    <x v="18"/>
    <x v="16"/>
    <x v="522"/>
  </r>
  <r>
    <x v="1"/>
    <x v="523"/>
    <x v="448"/>
    <x v="448"/>
    <x v="41"/>
    <x v="24"/>
    <x v="159"/>
    <x v="523"/>
  </r>
  <r>
    <x v="8"/>
    <x v="524"/>
    <x v="449"/>
    <x v="449"/>
    <x v="448"/>
    <x v="38"/>
    <x v="24"/>
    <x v="524"/>
  </r>
  <r>
    <x v="1"/>
    <x v="525"/>
    <x v="450"/>
    <x v="450"/>
    <x v="449"/>
    <x v="24"/>
    <x v="160"/>
    <x v="525"/>
  </r>
  <r>
    <x v="0"/>
    <x v="526"/>
    <x v="451"/>
    <x v="451"/>
    <x v="450"/>
    <x v="45"/>
    <x v="146"/>
    <x v="526"/>
  </r>
  <r>
    <x v="7"/>
    <x v="527"/>
    <x v="452"/>
    <x v="452"/>
    <x v="147"/>
    <x v="86"/>
    <x v="161"/>
    <x v="527"/>
  </r>
  <r>
    <x v="0"/>
    <x v="528"/>
    <x v="453"/>
    <x v="453"/>
    <x v="451"/>
    <x v="0"/>
    <x v="17"/>
    <x v="528"/>
  </r>
  <r>
    <x v="8"/>
    <x v="529"/>
    <x v="454"/>
    <x v="454"/>
    <x v="452"/>
    <x v="87"/>
    <x v="18"/>
    <x v="529"/>
  </r>
  <r>
    <x v="0"/>
    <x v="530"/>
    <x v="455"/>
    <x v="455"/>
    <x v="453"/>
    <x v="17"/>
    <x v="162"/>
    <x v="530"/>
  </r>
  <r>
    <x v="8"/>
    <x v="531"/>
    <x v="456"/>
    <x v="456"/>
    <x v="454"/>
    <x v="33"/>
    <x v="131"/>
    <x v="531"/>
  </r>
  <r>
    <x v="7"/>
    <x v="532"/>
    <x v="457"/>
    <x v="457"/>
    <x v="455"/>
    <x v="88"/>
    <x v="163"/>
    <x v="532"/>
  </r>
  <r>
    <x v="1"/>
    <x v="533"/>
    <x v="458"/>
    <x v="458"/>
    <x v="456"/>
    <x v="6"/>
    <x v="1"/>
    <x v="533"/>
  </r>
  <r>
    <x v="2"/>
    <x v="534"/>
    <x v="459"/>
    <x v="459"/>
    <x v="457"/>
    <x v="15"/>
    <x v="27"/>
    <x v="534"/>
  </r>
  <r>
    <x v="21"/>
    <x v="535"/>
    <x v="460"/>
    <x v="460"/>
    <x v="458"/>
    <x v="18"/>
    <x v="3"/>
    <x v="535"/>
  </r>
  <r>
    <x v="7"/>
    <x v="536"/>
    <x v="461"/>
    <x v="461"/>
    <x v="459"/>
    <x v="57"/>
    <x v="164"/>
    <x v="536"/>
  </r>
  <r>
    <x v="0"/>
    <x v="537"/>
    <x v="462"/>
    <x v="462"/>
    <x v="460"/>
    <x v="17"/>
    <x v="165"/>
    <x v="537"/>
  </r>
  <r>
    <x v="1"/>
    <x v="538"/>
    <x v="463"/>
    <x v="463"/>
    <x v="461"/>
    <x v="34"/>
    <x v="61"/>
    <x v="538"/>
  </r>
  <r>
    <x v="12"/>
    <x v="539"/>
    <x v="464"/>
    <x v="464"/>
    <x v="462"/>
    <x v="55"/>
    <x v="23"/>
    <x v="539"/>
  </r>
  <r>
    <x v="1"/>
    <x v="540"/>
    <x v="465"/>
    <x v="465"/>
    <x v="463"/>
    <x v="45"/>
    <x v="17"/>
    <x v="540"/>
  </r>
  <r>
    <x v="12"/>
    <x v="541"/>
    <x v="466"/>
    <x v="466"/>
    <x v="455"/>
    <x v="62"/>
    <x v="9"/>
    <x v="541"/>
  </r>
  <r>
    <x v="1"/>
    <x v="542"/>
    <x v="467"/>
    <x v="467"/>
    <x v="412"/>
    <x v="44"/>
    <x v="166"/>
    <x v="542"/>
  </r>
  <r>
    <x v="14"/>
    <x v="543"/>
    <x v="468"/>
    <x v="468"/>
    <x v="464"/>
    <x v="11"/>
    <x v="41"/>
    <x v="543"/>
  </r>
  <r>
    <x v="3"/>
    <x v="544"/>
    <x v="469"/>
    <x v="469"/>
    <x v="465"/>
    <x v="21"/>
    <x v="12"/>
    <x v="544"/>
  </r>
  <r>
    <x v="40"/>
    <x v="545"/>
    <x v="470"/>
    <x v="470"/>
    <x v="466"/>
    <x v="29"/>
    <x v="1"/>
    <x v="545"/>
  </r>
  <r>
    <x v="1"/>
    <x v="546"/>
    <x v="471"/>
    <x v="471"/>
    <x v="467"/>
    <x v="18"/>
    <x v="30"/>
    <x v="546"/>
  </r>
  <r>
    <x v="1"/>
    <x v="547"/>
    <x v="472"/>
    <x v="472"/>
    <x v="468"/>
    <x v="27"/>
    <x v="165"/>
    <x v="547"/>
  </r>
  <r>
    <x v="17"/>
    <x v="548"/>
    <x v="473"/>
    <x v="473"/>
    <x v="469"/>
    <x v="89"/>
    <x v="167"/>
    <x v="548"/>
  </r>
  <r>
    <x v="1"/>
    <x v="549"/>
    <x v="474"/>
    <x v="474"/>
    <x v="470"/>
    <x v="90"/>
    <x v="168"/>
    <x v="549"/>
  </r>
  <r>
    <x v="1"/>
    <x v="550"/>
    <x v="475"/>
    <x v="475"/>
    <x v="109"/>
    <x v="14"/>
    <x v="1"/>
    <x v="550"/>
  </r>
  <r>
    <x v="8"/>
    <x v="551"/>
    <x v="476"/>
    <x v="476"/>
    <x v="471"/>
    <x v="68"/>
    <x v="15"/>
    <x v="551"/>
  </r>
  <r>
    <x v="41"/>
    <x v="552"/>
    <x v="477"/>
    <x v="477"/>
    <x v="472"/>
    <x v="90"/>
    <x v="0"/>
    <x v="552"/>
  </r>
  <r>
    <x v="3"/>
    <x v="553"/>
    <x v="478"/>
    <x v="478"/>
    <x v="473"/>
    <x v="21"/>
    <x v="25"/>
    <x v="553"/>
  </r>
  <r>
    <x v="1"/>
    <x v="554"/>
    <x v="479"/>
    <x v="479"/>
    <x v="474"/>
    <x v="33"/>
    <x v="119"/>
    <x v="554"/>
  </r>
  <r>
    <x v="8"/>
    <x v="555"/>
    <x v="480"/>
    <x v="480"/>
    <x v="475"/>
    <x v="75"/>
    <x v="41"/>
    <x v="555"/>
  </r>
  <r>
    <x v="2"/>
    <x v="556"/>
    <x v="481"/>
    <x v="481"/>
    <x v="476"/>
    <x v="50"/>
    <x v="23"/>
    <x v="556"/>
  </r>
  <r>
    <x v="1"/>
    <x v="557"/>
    <x v="482"/>
    <x v="482"/>
    <x v="477"/>
    <x v="33"/>
    <x v="169"/>
    <x v="557"/>
  </r>
  <r>
    <x v="10"/>
    <x v="558"/>
    <x v="483"/>
    <x v="483"/>
    <x v="478"/>
    <x v="12"/>
    <x v="4"/>
    <x v="558"/>
  </r>
  <r>
    <x v="3"/>
    <x v="559"/>
    <x v="484"/>
    <x v="484"/>
    <x v="412"/>
    <x v="91"/>
    <x v="12"/>
    <x v="559"/>
  </r>
  <r>
    <x v="8"/>
    <x v="560"/>
    <x v="485"/>
    <x v="485"/>
    <x v="479"/>
    <x v="38"/>
    <x v="71"/>
    <x v="560"/>
  </r>
  <r>
    <x v="3"/>
    <x v="561"/>
    <x v="486"/>
    <x v="486"/>
    <x v="176"/>
    <x v="21"/>
    <x v="20"/>
    <x v="561"/>
  </r>
  <r>
    <x v="1"/>
    <x v="562"/>
    <x v="487"/>
    <x v="487"/>
    <x v="480"/>
    <x v="0"/>
    <x v="1"/>
    <x v="562"/>
  </r>
  <r>
    <x v="3"/>
    <x v="563"/>
    <x v="488"/>
    <x v="488"/>
    <x v="481"/>
    <x v="45"/>
    <x v="170"/>
    <x v="563"/>
  </r>
  <r>
    <x v="33"/>
    <x v="564"/>
    <x v="489"/>
    <x v="489"/>
    <x v="482"/>
    <x v="53"/>
    <x v="171"/>
    <x v="564"/>
  </r>
  <r>
    <x v="42"/>
    <x v="565"/>
    <x v="490"/>
    <x v="490"/>
    <x v="483"/>
    <x v="63"/>
    <x v="0"/>
    <x v="565"/>
  </r>
  <r>
    <x v="15"/>
    <x v="566"/>
    <x v="491"/>
    <x v="491"/>
    <x v="484"/>
    <x v="66"/>
    <x v="172"/>
    <x v="566"/>
  </r>
  <r>
    <x v="1"/>
    <x v="567"/>
    <x v="492"/>
    <x v="492"/>
    <x v="122"/>
    <x v="8"/>
    <x v="22"/>
    <x v="567"/>
  </r>
  <r>
    <x v="3"/>
    <x v="568"/>
    <x v="493"/>
    <x v="493"/>
    <x v="485"/>
    <x v="63"/>
    <x v="10"/>
    <x v="568"/>
  </r>
  <r>
    <x v="43"/>
    <x v="569"/>
    <x v="494"/>
    <x v="494"/>
    <x v="26"/>
    <x v="28"/>
    <x v="0"/>
    <x v="569"/>
  </r>
  <r>
    <x v="7"/>
    <x v="570"/>
    <x v="495"/>
    <x v="495"/>
    <x v="486"/>
    <x v="17"/>
    <x v="173"/>
    <x v="570"/>
  </r>
  <r>
    <x v="44"/>
    <x v="571"/>
    <x v="496"/>
    <x v="496"/>
    <x v="487"/>
    <x v="0"/>
    <x v="1"/>
    <x v="571"/>
  </r>
  <r>
    <x v="0"/>
    <x v="572"/>
    <x v="497"/>
    <x v="497"/>
    <x v="488"/>
    <x v="21"/>
    <x v="81"/>
    <x v="572"/>
  </r>
  <r>
    <x v="45"/>
    <x v="573"/>
    <x v="498"/>
    <x v="498"/>
    <x v="489"/>
    <x v="21"/>
    <x v="54"/>
    <x v="573"/>
  </r>
  <r>
    <x v="14"/>
    <x v="574"/>
    <x v="499"/>
    <x v="499"/>
    <x v="5"/>
    <x v="63"/>
    <x v="0"/>
    <x v="574"/>
  </r>
  <r>
    <x v="14"/>
    <x v="575"/>
    <x v="500"/>
    <x v="500"/>
    <x v="490"/>
    <x v="63"/>
    <x v="4"/>
    <x v="575"/>
  </r>
  <r>
    <x v="3"/>
    <x v="576"/>
    <x v="501"/>
    <x v="501"/>
    <x v="491"/>
    <x v="21"/>
    <x v="41"/>
    <x v="576"/>
  </r>
  <r>
    <x v="0"/>
    <x v="577"/>
    <x v="502"/>
    <x v="502"/>
    <x v="492"/>
    <x v="17"/>
    <x v="174"/>
    <x v="577"/>
  </r>
  <r>
    <x v="13"/>
    <x v="578"/>
    <x v="503"/>
    <x v="503"/>
    <x v="493"/>
    <x v="28"/>
    <x v="107"/>
    <x v="578"/>
  </r>
  <r>
    <x v="46"/>
    <x v="579"/>
    <x v="504"/>
    <x v="504"/>
    <x v="447"/>
    <x v="65"/>
    <x v="1"/>
    <x v="579"/>
  </r>
  <r>
    <x v="46"/>
    <x v="580"/>
    <x v="505"/>
    <x v="505"/>
    <x v="494"/>
    <x v="33"/>
    <x v="9"/>
    <x v="580"/>
  </r>
  <r>
    <x v="8"/>
    <x v="581"/>
    <x v="506"/>
    <x v="506"/>
    <x v="495"/>
    <x v="87"/>
    <x v="5"/>
    <x v="581"/>
  </r>
  <r>
    <x v="6"/>
    <x v="582"/>
    <x v="507"/>
    <x v="507"/>
    <x v="496"/>
    <x v="2"/>
    <x v="7"/>
    <x v="582"/>
  </r>
  <r>
    <x v="47"/>
    <x v="583"/>
    <x v="508"/>
    <x v="508"/>
    <x v="255"/>
    <x v="92"/>
    <x v="0"/>
    <x v="583"/>
  </r>
  <r>
    <x v="17"/>
    <x v="584"/>
    <x v="509"/>
    <x v="509"/>
    <x v="497"/>
    <x v="72"/>
    <x v="150"/>
    <x v="584"/>
  </r>
  <r>
    <x v="6"/>
    <x v="585"/>
    <x v="510"/>
    <x v="510"/>
    <x v="221"/>
    <x v="4"/>
    <x v="1"/>
    <x v="585"/>
  </r>
  <r>
    <x v="6"/>
    <x v="586"/>
    <x v="511"/>
    <x v="511"/>
    <x v="498"/>
    <x v="29"/>
    <x v="33"/>
    <x v="586"/>
  </r>
  <r>
    <x v="24"/>
    <x v="587"/>
    <x v="512"/>
    <x v="512"/>
    <x v="499"/>
    <x v="38"/>
    <x v="175"/>
    <x v="587"/>
  </r>
  <r>
    <x v="0"/>
    <x v="588"/>
    <x v="513"/>
    <x v="513"/>
    <x v="375"/>
    <x v="17"/>
    <x v="176"/>
    <x v="588"/>
  </r>
  <r>
    <x v="13"/>
    <x v="589"/>
    <x v="514"/>
    <x v="514"/>
    <x v="490"/>
    <x v="70"/>
    <x v="1"/>
    <x v="589"/>
  </r>
  <r>
    <x v="8"/>
    <x v="590"/>
    <x v="515"/>
    <x v="515"/>
    <x v="487"/>
    <x v="87"/>
    <x v="2"/>
    <x v="590"/>
  </r>
  <r>
    <x v="24"/>
    <x v="591"/>
    <x v="516"/>
    <x v="516"/>
    <x v="154"/>
    <x v="38"/>
    <x v="8"/>
    <x v="591"/>
  </r>
  <r>
    <x v="3"/>
    <x v="592"/>
    <x v="517"/>
    <x v="517"/>
    <x v="500"/>
    <x v="21"/>
    <x v="19"/>
    <x v="592"/>
  </r>
  <r>
    <x v="0"/>
    <x v="593"/>
    <x v="518"/>
    <x v="518"/>
    <x v="501"/>
    <x v="6"/>
    <x v="0"/>
    <x v="593"/>
  </r>
  <r>
    <x v="24"/>
    <x v="594"/>
    <x v="519"/>
    <x v="519"/>
    <x v="502"/>
    <x v="38"/>
    <x v="0"/>
    <x v="594"/>
  </r>
  <r>
    <x v="4"/>
    <x v="595"/>
    <x v="520"/>
    <x v="520"/>
    <x v="503"/>
    <x v="25"/>
    <x v="1"/>
    <x v="595"/>
  </r>
  <r>
    <x v="1"/>
    <x v="596"/>
    <x v="521"/>
    <x v="521"/>
    <x v="3"/>
    <x v="27"/>
    <x v="177"/>
    <x v="596"/>
  </r>
  <r>
    <x v="3"/>
    <x v="597"/>
    <x v="522"/>
    <x v="522"/>
    <x v="504"/>
    <x v="57"/>
    <x v="178"/>
    <x v="597"/>
  </r>
  <r>
    <x v="14"/>
    <x v="598"/>
    <x v="523"/>
    <x v="523"/>
    <x v="505"/>
    <x v="33"/>
    <x v="179"/>
    <x v="598"/>
  </r>
  <r>
    <x v="1"/>
    <x v="599"/>
    <x v="524"/>
    <x v="524"/>
    <x v="506"/>
    <x v="44"/>
    <x v="180"/>
    <x v="599"/>
  </r>
  <r>
    <x v="15"/>
    <x v="600"/>
    <x v="525"/>
    <x v="525"/>
    <x v="507"/>
    <x v="53"/>
    <x v="181"/>
    <x v="600"/>
  </r>
  <r>
    <x v="8"/>
    <x v="601"/>
    <x v="526"/>
    <x v="526"/>
    <x v="508"/>
    <x v="23"/>
    <x v="0"/>
    <x v="601"/>
  </r>
  <r>
    <x v="1"/>
    <x v="602"/>
    <x v="527"/>
    <x v="527"/>
    <x v="273"/>
    <x v="24"/>
    <x v="182"/>
    <x v="602"/>
  </r>
  <r>
    <x v="1"/>
    <x v="603"/>
    <x v="528"/>
    <x v="528"/>
    <x v="509"/>
    <x v="93"/>
    <x v="183"/>
    <x v="603"/>
  </r>
  <r>
    <x v="17"/>
    <x v="604"/>
    <x v="529"/>
    <x v="529"/>
    <x v="510"/>
    <x v="94"/>
    <x v="184"/>
    <x v="604"/>
  </r>
  <r>
    <x v="3"/>
    <x v="605"/>
    <x v="530"/>
    <x v="530"/>
    <x v="511"/>
    <x v="63"/>
    <x v="14"/>
    <x v="605"/>
  </r>
  <r>
    <x v="1"/>
    <x v="606"/>
    <x v="531"/>
    <x v="531"/>
    <x v="512"/>
    <x v="27"/>
    <x v="185"/>
    <x v="606"/>
  </r>
  <r>
    <x v="15"/>
    <x v="607"/>
    <x v="532"/>
    <x v="532"/>
    <x v="513"/>
    <x v="62"/>
    <x v="76"/>
    <x v="607"/>
  </r>
  <r>
    <x v="1"/>
    <x v="608"/>
    <x v="533"/>
    <x v="533"/>
    <x v="133"/>
    <x v="33"/>
    <x v="186"/>
    <x v="608"/>
  </r>
  <r>
    <x v="1"/>
    <x v="609"/>
    <x v="534"/>
    <x v="534"/>
    <x v="514"/>
    <x v="8"/>
    <x v="16"/>
    <x v="609"/>
  </r>
  <r>
    <x v="17"/>
    <x v="610"/>
    <x v="535"/>
    <x v="535"/>
    <x v="515"/>
    <x v="54"/>
    <x v="187"/>
    <x v="610"/>
  </r>
  <r>
    <x v="21"/>
    <x v="611"/>
    <x v="536"/>
    <x v="536"/>
    <x v="516"/>
    <x v="44"/>
    <x v="7"/>
    <x v="611"/>
  </r>
  <r>
    <x v="10"/>
    <x v="612"/>
    <x v="537"/>
    <x v="537"/>
    <x v="108"/>
    <x v="12"/>
    <x v="0"/>
    <x v="612"/>
  </r>
  <r>
    <x v="0"/>
    <x v="613"/>
    <x v="538"/>
    <x v="538"/>
    <x v="517"/>
    <x v="0"/>
    <x v="18"/>
    <x v="613"/>
  </r>
  <r>
    <x v="17"/>
    <x v="614"/>
    <x v="539"/>
    <x v="539"/>
    <x v="518"/>
    <x v="94"/>
    <x v="188"/>
    <x v="614"/>
  </r>
  <r>
    <x v="1"/>
    <x v="615"/>
    <x v="540"/>
    <x v="540"/>
    <x v="85"/>
    <x v="80"/>
    <x v="90"/>
    <x v="615"/>
  </r>
  <r>
    <x v="9"/>
    <x v="616"/>
    <x v="541"/>
    <x v="541"/>
    <x v="519"/>
    <x v="23"/>
    <x v="189"/>
    <x v="616"/>
  </r>
  <r>
    <x v="1"/>
    <x v="617"/>
    <x v="542"/>
    <x v="542"/>
    <x v="163"/>
    <x v="11"/>
    <x v="0"/>
    <x v="617"/>
  </r>
  <r>
    <x v="6"/>
    <x v="618"/>
    <x v="543"/>
    <x v="543"/>
    <x v="281"/>
    <x v="2"/>
    <x v="3"/>
    <x v="618"/>
  </r>
  <r>
    <x v="7"/>
    <x v="619"/>
    <x v="544"/>
    <x v="544"/>
    <x v="520"/>
    <x v="17"/>
    <x v="190"/>
    <x v="619"/>
  </r>
  <r>
    <x v="3"/>
    <x v="620"/>
    <x v="545"/>
    <x v="545"/>
    <x v="521"/>
    <x v="38"/>
    <x v="7"/>
    <x v="620"/>
  </r>
  <r>
    <x v="1"/>
    <x v="621"/>
    <x v="546"/>
    <x v="546"/>
    <x v="522"/>
    <x v="44"/>
    <x v="191"/>
    <x v="621"/>
  </r>
  <r>
    <x v="10"/>
    <x v="622"/>
    <x v="547"/>
    <x v="547"/>
    <x v="523"/>
    <x v="0"/>
    <x v="7"/>
    <x v="622"/>
  </r>
  <r>
    <x v="17"/>
    <x v="623"/>
    <x v="548"/>
    <x v="548"/>
    <x v="524"/>
    <x v="17"/>
    <x v="0"/>
    <x v="623"/>
  </r>
  <r>
    <x v="12"/>
    <x v="624"/>
    <x v="549"/>
    <x v="549"/>
    <x v="525"/>
    <x v="65"/>
    <x v="44"/>
    <x v="624"/>
  </r>
  <r>
    <x v="3"/>
    <x v="625"/>
    <x v="550"/>
    <x v="550"/>
    <x v="526"/>
    <x v="18"/>
    <x v="8"/>
    <x v="625"/>
  </r>
  <r>
    <x v="48"/>
    <x v="626"/>
    <x v="551"/>
    <x v="551"/>
    <x v="527"/>
    <x v="93"/>
    <x v="0"/>
    <x v="626"/>
  </r>
  <r>
    <x v="1"/>
    <x v="627"/>
    <x v="552"/>
    <x v="552"/>
    <x v="528"/>
    <x v="33"/>
    <x v="192"/>
    <x v="627"/>
  </r>
  <r>
    <x v="18"/>
    <x v="628"/>
    <x v="553"/>
    <x v="553"/>
    <x v="400"/>
    <x v="0"/>
    <x v="193"/>
    <x v="628"/>
  </r>
  <r>
    <x v="1"/>
    <x v="629"/>
    <x v="554"/>
    <x v="554"/>
    <x v="529"/>
    <x v="21"/>
    <x v="194"/>
    <x v="629"/>
  </r>
  <r>
    <x v="1"/>
    <x v="630"/>
    <x v="555"/>
    <x v="555"/>
    <x v="530"/>
    <x v="34"/>
    <x v="105"/>
    <x v="630"/>
  </r>
  <r>
    <x v="49"/>
    <x v="631"/>
    <x v="556"/>
    <x v="556"/>
    <x v="389"/>
    <x v="33"/>
    <x v="1"/>
    <x v="631"/>
  </r>
  <r>
    <x v="38"/>
    <x v="632"/>
    <x v="557"/>
    <x v="557"/>
    <x v="531"/>
    <x v="65"/>
    <x v="89"/>
    <x v="632"/>
  </r>
  <r>
    <x v="3"/>
    <x v="633"/>
    <x v="558"/>
    <x v="558"/>
    <x v="532"/>
    <x v="49"/>
    <x v="5"/>
    <x v="633"/>
  </r>
  <r>
    <x v="8"/>
    <x v="634"/>
    <x v="559"/>
    <x v="559"/>
    <x v="533"/>
    <x v="16"/>
    <x v="28"/>
    <x v="634"/>
  </r>
  <r>
    <x v="50"/>
    <x v="635"/>
    <x v="560"/>
    <x v="560"/>
    <x v="526"/>
    <x v="73"/>
    <x v="0"/>
    <x v="635"/>
  </r>
  <r>
    <x v="51"/>
    <x v="636"/>
    <x v="561"/>
    <x v="561"/>
    <x v="410"/>
    <x v="92"/>
    <x v="6"/>
    <x v="636"/>
  </r>
  <r>
    <x v="15"/>
    <x v="637"/>
    <x v="562"/>
    <x v="562"/>
    <x v="534"/>
    <x v="29"/>
    <x v="164"/>
    <x v="637"/>
  </r>
  <r>
    <x v="1"/>
    <x v="638"/>
    <x v="563"/>
    <x v="563"/>
    <x v="535"/>
    <x v="14"/>
    <x v="24"/>
    <x v="638"/>
  </r>
  <r>
    <x v="1"/>
    <x v="639"/>
    <x v="564"/>
    <x v="564"/>
    <x v="343"/>
    <x v="8"/>
    <x v="27"/>
    <x v="639"/>
  </r>
  <r>
    <x v="12"/>
    <x v="640"/>
    <x v="565"/>
    <x v="565"/>
    <x v="163"/>
    <x v="44"/>
    <x v="3"/>
    <x v="640"/>
  </r>
  <r>
    <x v="52"/>
    <x v="641"/>
    <x v="566"/>
    <x v="566"/>
    <x v="536"/>
    <x v="90"/>
    <x v="0"/>
    <x v="641"/>
  </r>
  <r>
    <x v="25"/>
    <x v="642"/>
    <x v="567"/>
    <x v="567"/>
    <x v="537"/>
    <x v="9"/>
    <x v="0"/>
    <x v="642"/>
  </r>
  <r>
    <x v="53"/>
    <x v="643"/>
    <x v="568"/>
    <x v="568"/>
    <x v="97"/>
    <x v="95"/>
    <x v="10"/>
    <x v="643"/>
  </r>
  <r>
    <x v="3"/>
    <x v="644"/>
    <x v="569"/>
    <x v="569"/>
    <x v="538"/>
    <x v="21"/>
    <x v="15"/>
    <x v="644"/>
  </r>
  <r>
    <x v="30"/>
    <x v="645"/>
    <x v="570"/>
    <x v="570"/>
    <x v="539"/>
    <x v="17"/>
    <x v="2"/>
    <x v="645"/>
  </r>
  <r>
    <x v="0"/>
    <x v="646"/>
    <x v="571"/>
    <x v="571"/>
    <x v="540"/>
    <x v="17"/>
    <x v="139"/>
    <x v="646"/>
  </r>
  <r>
    <x v="10"/>
    <x v="647"/>
    <x v="572"/>
    <x v="572"/>
    <x v="40"/>
    <x v="18"/>
    <x v="5"/>
    <x v="647"/>
  </r>
  <r>
    <x v="54"/>
    <x v="648"/>
    <x v="573"/>
    <x v="573"/>
    <x v="541"/>
    <x v="96"/>
    <x v="0"/>
    <x v="648"/>
  </r>
  <r>
    <x v="17"/>
    <x v="649"/>
    <x v="574"/>
    <x v="574"/>
    <x v="542"/>
    <x v="97"/>
    <x v="195"/>
    <x v="649"/>
  </r>
  <r>
    <x v="50"/>
    <x v="650"/>
    <x v="575"/>
    <x v="575"/>
    <x v="543"/>
    <x v="67"/>
    <x v="17"/>
    <x v="650"/>
  </r>
  <r>
    <x v="20"/>
    <x v="651"/>
    <x v="576"/>
    <x v="576"/>
    <x v="486"/>
    <x v="49"/>
    <x v="28"/>
    <x v="651"/>
  </r>
  <r>
    <x v="53"/>
    <x v="652"/>
    <x v="577"/>
    <x v="577"/>
    <x v="375"/>
    <x v="96"/>
    <x v="0"/>
    <x v="652"/>
  </r>
  <r>
    <x v="8"/>
    <x v="653"/>
    <x v="578"/>
    <x v="578"/>
    <x v="186"/>
    <x v="84"/>
    <x v="0"/>
    <x v="653"/>
  </r>
  <r>
    <x v="3"/>
    <x v="654"/>
    <x v="579"/>
    <x v="579"/>
    <x v="31"/>
    <x v="62"/>
    <x v="191"/>
    <x v="654"/>
  </r>
  <r>
    <x v="3"/>
    <x v="655"/>
    <x v="580"/>
    <x v="580"/>
    <x v="544"/>
    <x v="17"/>
    <x v="28"/>
    <x v="655"/>
  </r>
  <r>
    <x v="11"/>
    <x v="656"/>
    <x v="581"/>
    <x v="581"/>
    <x v="545"/>
    <x v="16"/>
    <x v="57"/>
    <x v="656"/>
  </r>
  <r>
    <x v="52"/>
    <x v="657"/>
    <x v="582"/>
    <x v="582"/>
    <x v="458"/>
    <x v="90"/>
    <x v="0"/>
    <x v="657"/>
  </r>
  <r>
    <x v="30"/>
    <x v="658"/>
    <x v="583"/>
    <x v="583"/>
    <x v="546"/>
    <x v="17"/>
    <x v="0"/>
    <x v="658"/>
  </r>
  <r>
    <x v="3"/>
    <x v="659"/>
    <x v="584"/>
    <x v="584"/>
    <x v="547"/>
    <x v="21"/>
    <x v="0"/>
    <x v="659"/>
  </r>
  <r>
    <x v="1"/>
    <x v="660"/>
    <x v="585"/>
    <x v="585"/>
    <x v="548"/>
    <x v="33"/>
    <x v="196"/>
    <x v="660"/>
  </r>
  <r>
    <x v="1"/>
    <x v="661"/>
    <x v="586"/>
    <x v="586"/>
    <x v="549"/>
    <x v="21"/>
    <x v="197"/>
    <x v="661"/>
  </r>
  <r>
    <x v="30"/>
    <x v="662"/>
    <x v="587"/>
    <x v="587"/>
    <x v="314"/>
    <x v="2"/>
    <x v="1"/>
    <x v="662"/>
  </r>
  <r>
    <x v="13"/>
    <x v="663"/>
    <x v="588"/>
    <x v="588"/>
    <x v="550"/>
    <x v="33"/>
    <x v="5"/>
    <x v="663"/>
  </r>
  <r>
    <x v="1"/>
    <x v="664"/>
    <x v="589"/>
    <x v="589"/>
    <x v="362"/>
    <x v="14"/>
    <x v="9"/>
    <x v="664"/>
  </r>
  <r>
    <x v="3"/>
    <x v="665"/>
    <x v="590"/>
    <x v="590"/>
    <x v="551"/>
    <x v="38"/>
    <x v="14"/>
    <x v="665"/>
  </r>
  <r>
    <x v="3"/>
    <x v="666"/>
    <x v="591"/>
    <x v="591"/>
    <x v="552"/>
    <x v="23"/>
    <x v="125"/>
    <x v="666"/>
  </r>
  <r>
    <x v="3"/>
    <x v="667"/>
    <x v="592"/>
    <x v="592"/>
    <x v="408"/>
    <x v="19"/>
    <x v="44"/>
    <x v="667"/>
  </r>
  <r>
    <x v="9"/>
    <x v="668"/>
    <x v="593"/>
    <x v="593"/>
    <x v="553"/>
    <x v="86"/>
    <x v="105"/>
    <x v="668"/>
  </r>
  <r>
    <x v="44"/>
    <x v="669"/>
    <x v="594"/>
    <x v="594"/>
    <x v="375"/>
    <x v="25"/>
    <x v="0"/>
    <x v="669"/>
  </r>
  <r>
    <x v="8"/>
    <x v="670"/>
    <x v="594"/>
    <x v="594"/>
    <x v="554"/>
    <x v="38"/>
    <x v="83"/>
    <x v="670"/>
  </r>
  <r>
    <x v="8"/>
    <x v="671"/>
    <x v="595"/>
    <x v="595"/>
    <x v="555"/>
    <x v="67"/>
    <x v="25"/>
    <x v="671"/>
  </r>
  <r>
    <x v="0"/>
    <x v="672"/>
    <x v="596"/>
    <x v="596"/>
    <x v="556"/>
    <x v="17"/>
    <x v="59"/>
    <x v="672"/>
  </r>
  <r>
    <x v="8"/>
    <x v="673"/>
    <x v="597"/>
    <x v="597"/>
    <x v="557"/>
    <x v="73"/>
    <x v="65"/>
    <x v="673"/>
  </r>
  <r>
    <x v="44"/>
    <x v="674"/>
    <x v="598"/>
    <x v="598"/>
    <x v="440"/>
    <x v="2"/>
    <x v="3"/>
    <x v="674"/>
  </r>
  <r>
    <x v="3"/>
    <x v="675"/>
    <x v="599"/>
    <x v="599"/>
    <x v="558"/>
    <x v="17"/>
    <x v="47"/>
    <x v="675"/>
  </r>
  <r>
    <x v="1"/>
    <x v="676"/>
    <x v="600"/>
    <x v="600"/>
    <x v="169"/>
    <x v="12"/>
    <x v="3"/>
    <x v="676"/>
  </r>
  <r>
    <x v="12"/>
    <x v="677"/>
    <x v="601"/>
    <x v="601"/>
    <x v="559"/>
    <x v="62"/>
    <x v="197"/>
    <x v="677"/>
  </r>
  <r>
    <x v="8"/>
    <x v="678"/>
    <x v="602"/>
    <x v="602"/>
    <x v="560"/>
    <x v="80"/>
    <x v="27"/>
    <x v="678"/>
  </r>
  <r>
    <x v="3"/>
    <x v="679"/>
    <x v="603"/>
    <x v="603"/>
    <x v="561"/>
    <x v="25"/>
    <x v="8"/>
    <x v="679"/>
  </r>
  <r>
    <x v="0"/>
    <x v="680"/>
    <x v="604"/>
    <x v="604"/>
    <x v="213"/>
    <x v="2"/>
    <x v="0"/>
    <x v="680"/>
  </r>
  <r>
    <x v="0"/>
    <x v="681"/>
    <x v="605"/>
    <x v="605"/>
    <x v="562"/>
    <x v="45"/>
    <x v="100"/>
    <x v="681"/>
  </r>
  <r>
    <x v="1"/>
    <x v="682"/>
    <x v="606"/>
    <x v="606"/>
    <x v="563"/>
    <x v="27"/>
    <x v="198"/>
    <x v="682"/>
  </r>
  <r>
    <x v="1"/>
    <x v="683"/>
    <x v="607"/>
    <x v="607"/>
    <x v="351"/>
    <x v="33"/>
    <x v="199"/>
    <x v="683"/>
  </r>
  <r>
    <x v="0"/>
    <x v="684"/>
    <x v="608"/>
    <x v="608"/>
    <x v="564"/>
    <x v="28"/>
    <x v="96"/>
    <x v="684"/>
  </r>
  <r>
    <x v="15"/>
    <x v="685"/>
    <x v="609"/>
    <x v="609"/>
    <x v="565"/>
    <x v="53"/>
    <x v="200"/>
    <x v="685"/>
  </r>
  <r>
    <x v="55"/>
    <x v="686"/>
    <x v="610"/>
    <x v="610"/>
    <x v="566"/>
    <x v="17"/>
    <x v="0"/>
    <x v="686"/>
  </r>
  <r>
    <x v="3"/>
    <x v="687"/>
    <x v="611"/>
    <x v="611"/>
    <x v="567"/>
    <x v="46"/>
    <x v="0"/>
    <x v="687"/>
  </r>
  <r>
    <x v="34"/>
    <x v="688"/>
    <x v="612"/>
    <x v="612"/>
    <x v="568"/>
    <x v="9"/>
    <x v="62"/>
    <x v="688"/>
  </r>
  <r>
    <x v="0"/>
    <x v="689"/>
    <x v="613"/>
    <x v="613"/>
    <x v="569"/>
    <x v="21"/>
    <x v="138"/>
    <x v="689"/>
  </r>
  <r>
    <x v="7"/>
    <x v="690"/>
    <x v="614"/>
    <x v="614"/>
    <x v="570"/>
    <x v="21"/>
    <x v="121"/>
    <x v="690"/>
  </r>
  <r>
    <x v="8"/>
    <x v="691"/>
    <x v="615"/>
    <x v="615"/>
    <x v="571"/>
    <x v="62"/>
    <x v="201"/>
    <x v="691"/>
  </r>
  <r>
    <x v="3"/>
    <x v="692"/>
    <x v="616"/>
    <x v="616"/>
    <x v="572"/>
    <x v="38"/>
    <x v="10"/>
    <x v="692"/>
  </r>
  <r>
    <x v="56"/>
    <x v="693"/>
    <x v="617"/>
    <x v="617"/>
    <x v="573"/>
    <x v="38"/>
    <x v="1"/>
    <x v="693"/>
  </r>
  <r>
    <x v="1"/>
    <x v="694"/>
    <x v="618"/>
    <x v="618"/>
    <x v="574"/>
    <x v="33"/>
    <x v="202"/>
    <x v="694"/>
  </r>
  <r>
    <x v="3"/>
    <x v="695"/>
    <x v="619"/>
    <x v="619"/>
    <x v="575"/>
    <x v="26"/>
    <x v="203"/>
    <x v="695"/>
  </r>
  <r>
    <x v="8"/>
    <x v="696"/>
    <x v="620"/>
    <x v="620"/>
    <x v="60"/>
    <x v="64"/>
    <x v="0"/>
    <x v="696"/>
  </r>
  <r>
    <x v="20"/>
    <x v="697"/>
    <x v="621"/>
    <x v="621"/>
    <x v="1"/>
    <x v="49"/>
    <x v="22"/>
    <x v="697"/>
  </r>
  <r>
    <x v="28"/>
    <x v="698"/>
    <x v="622"/>
    <x v="622"/>
    <x v="576"/>
    <x v="69"/>
    <x v="117"/>
    <x v="698"/>
  </r>
  <r>
    <x v="57"/>
    <x v="699"/>
    <x v="623"/>
    <x v="623"/>
    <x v="577"/>
    <x v="3"/>
    <x v="0"/>
    <x v="699"/>
  </r>
  <r>
    <x v="6"/>
    <x v="700"/>
    <x v="624"/>
    <x v="624"/>
    <x v="172"/>
    <x v="2"/>
    <x v="0"/>
    <x v="700"/>
  </r>
  <r>
    <x v="3"/>
    <x v="701"/>
    <x v="625"/>
    <x v="625"/>
    <x v="578"/>
    <x v="17"/>
    <x v="16"/>
    <x v="701"/>
  </r>
  <r>
    <x v="8"/>
    <x v="702"/>
    <x v="625"/>
    <x v="625"/>
    <x v="579"/>
    <x v="53"/>
    <x v="105"/>
    <x v="702"/>
  </r>
  <r>
    <x v="30"/>
    <x v="703"/>
    <x v="626"/>
    <x v="626"/>
    <x v="516"/>
    <x v="25"/>
    <x v="7"/>
    <x v="703"/>
  </r>
  <r>
    <x v="0"/>
    <x v="704"/>
    <x v="627"/>
    <x v="627"/>
    <x v="580"/>
    <x v="2"/>
    <x v="3"/>
    <x v="704"/>
  </r>
  <r>
    <x v="7"/>
    <x v="705"/>
    <x v="628"/>
    <x v="628"/>
    <x v="581"/>
    <x v="73"/>
    <x v="118"/>
    <x v="705"/>
  </r>
  <r>
    <x v="3"/>
    <x v="706"/>
    <x v="629"/>
    <x v="629"/>
    <x v="582"/>
    <x v="23"/>
    <x v="65"/>
    <x v="706"/>
  </r>
  <r>
    <x v="3"/>
    <x v="707"/>
    <x v="630"/>
    <x v="630"/>
    <x v="583"/>
    <x v="98"/>
    <x v="204"/>
    <x v="707"/>
  </r>
  <r>
    <x v="40"/>
    <x v="708"/>
    <x v="631"/>
    <x v="631"/>
    <x v="174"/>
    <x v="64"/>
    <x v="28"/>
    <x v="708"/>
  </r>
  <r>
    <x v="41"/>
    <x v="709"/>
    <x v="632"/>
    <x v="632"/>
    <x v="584"/>
    <x v="90"/>
    <x v="0"/>
    <x v="709"/>
  </r>
  <r>
    <x v="51"/>
    <x v="710"/>
    <x v="633"/>
    <x v="633"/>
    <x v="475"/>
    <x v="29"/>
    <x v="0"/>
    <x v="710"/>
  </r>
  <r>
    <x v="14"/>
    <x v="711"/>
    <x v="634"/>
    <x v="634"/>
    <x v="585"/>
    <x v="63"/>
    <x v="0"/>
    <x v="711"/>
  </r>
  <r>
    <x v="0"/>
    <x v="712"/>
    <x v="635"/>
    <x v="635"/>
    <x v="586"/>
    <x v="12"/>
    <x v="23"/>
    <x v="712"/>
  </r>
  <r>
    <x v="0"/>
    <x v="713"/>
    <x v="636"/>
    <x v="636"/>
    <x v="587"/>
    <x v="2"/>
    <x v="0"/>
    <x v="713"/>
  </r>
  <r>
    <x v="26"/>
    <x v="714"/>
    <x v="637"/>
    <x v="637"/>
    <x v="588"/>
    <x v="58"/>
    <x v="0"/>
    <x v="714"/>
  </r>
  <r>
    <x v="1"/>
    <x v="715"/>
    <x v="638"/>
    <x v="638"/>
    <x v="589"/>
    <x v="34"/>
    <x v="73"/>
    <x v="715"/>
  </r>
  <r>
    <x v="17"/>
    <x v="716"/>
    <x v="639"/>
    <x v="639"/>
    <x v="590"/>
    <x v="54"/>
    <x v="205"/>
    <x v="716"/>
  </r>
  <r>
    <x v="8"/>
    <x v="717"/>
    <x v="640"/>
    <x v="640"/>
    <x v="591"/>
    <x v="64"/>
    <x v="0"/>
    <x v="717"/>
  </r>
  <r>
    <x v="3"/>
    <x v="718"/>
    <x v="641"/>
    <x v="641"/>
    <x v="224"/>
    <x v="38"/>
    <x v="206"/>
    <x v="718"/>
  </r>
  <r>
    <x v="58"/>
    <x v="719"/>
    <x v="642"/>
    <x v="642"/>
    <x v="174"/>
    <x v="23"/>
    <x v="33"/>
    <x v="719"/>
  </r>
  <r>
    <x v="30"/>
    <x v="720"/>
    <x v="643"/>
    <x v="643"/>
    <x v="136"/>
    <x v="17"/>
    <x v="0"/>
    <x v="720"/>
  </r>
  <r>
    <x v="1"/>
    <x v="721"/>
    <x v="644"/>
    <x v="644"/>
    <x v="592"/>
    <x v="27"/>
    <x v="207"/>
    <x v="721"/>
  </r>
  <r>
    <x v="30"/>
    <x v="722"/>
    <x v="645"/>
    <x v="645"/>
    <x v="593"/>
    <x v="17"/>
    <x v="7"/>
    <x v="722"/>
  </r>
  <r>
    <x v="23"/>
    <x v="723"/>
    <x v="646"/>
    <x v="646"/>
    <x v="594"/>
    <x v="23"/>
    <x v="171"/>
    <x v="723"/>
  </r>
  <r>
    <x v="59"/>
    <x v="724"/>
    <x v="647"/>
    <x v="647"/>
    <x v="150"/>
    <x v="87"/>
    <x v="0"/>
    <x v="724"/>
  </r>
  <r>
    <x v="1"/>
    <x v="725"/>
    <x v="648"/>
    <x v="648"/>
    <x v="595"/>
    <x v="24"/>
    <x v="208"/>
    <x v="725"/>
  </r>
  <r>
    <x v="60"/>
    <x v="726"/>
    <x v="649"/>
    <x v="649"/>
    <x v="596"/>
    <x v="51"/>
    <x v="157"/>
    <x v="726"/>
  </r>
  <r>
    <x v="36"/>
    <x v="727"/>
    <x v="650"/>
    <x v="650"/>
    <x v="597"/>
    <x v="23"/>
    <x v="209"/>
    <x v="727"/>
  </r>
  <r>
    <x v="30"/>
    <x v="728"/>
    <x v="651"/>
    <x v="651"/>
    <x v="598"/>
    <x v="28"/>
    <x v="5"/>
    <x v="728"/>
  </r>
  <r>
    <x v="17"/>
    <x v="729"/>
    <x v="652"/>
    <x v="652"/>
    <x v="599"/>
    <x v="85"/>
    <x v="210"/>
    <x v="729"/>
  </r>
  <r>
    <x v="8"/>
    <x v="730"/>
    <x v="653"/>
    <x v="653"/>
    <x v="600"/>
    <x v="64"/>
    <x v="0"/>
    <x v="730"/>
  </r>
  <r>
    <x v="10"/>
    <x v="731"/>
    <x v="654"/>
    <x v="654"/>
    <x v="601"/>
    <x v="12"/>
    <x v="0"/>
    <x v="731"/>
  </r>
  <r>
    <x v="1"/>
    <x v="732"/>
    <x v="655"/>
    <x v="655"/>
    <x v="602"/>
    <x v="18"/>
    <x v="132"/>
    <x v="732"/>
  </r>
  <r>
    <x v="8"/>
    <x v="733"/>
    <x v="656"/>
    <x v="656"/>
    <x v="323"/>
    <x v="16"/>
    <x v="20"/>
    <x v="733"/>
  </r>
  <r>
    <x v="33"/>
    <x v="734"/>
    <x v="657"/>
    <x v="657"/>
    <x v="603"/>
    <x v="33"/>
    <x v="57"/>
    <x v="734"/>
  </r>
  <r>
    <x v="1"/>
    <x v="735"/>
    <x v="658"/>
    <x v="658"/>
    <x v="604"/>
    <x v="65"/>
    <x v="211"/>
    <x v="735"/>
  </r>
  <r>
    <x v="6"/>
    <x v="736"/>
    <x v="659"/>
    <x v="659"/>
    <x v="605"/>
    <x v="23"/>
    <x v="212"/>
    <x v="736"/>
  </r>
  <r>
    <x v="15"/>
    <x v="737"/>
    <x v="660"/>
    <x v="660"/>
    <x v="606"/>
    <x v="66"/>
    <x v="213"/>
    <x v="737"/>
  </r>
  <r>
    <x v="22"/>
    <x v="738"/>
    <x v="661"/>
    <x v="661"/>
    <x v="607"/>
    <x v="44"/>
    <x v="4"/>
    <x v="738"/>
  </r>
  <r>
    <x v="61"/>
    <x v="739"/>
    <x v="662"/>
    <x v="662"/>
    <x v="608"/>
    <x v="29"/>
    <x v="30"/>
    <x v="739"/>
  </r>
  <r>
    <x v="8"/>
    <x v="740"/>
    <x v="663"/>
    <x v="663"/>
    <x v="609"/>
    <x v="29"/>
    <x v="47"/>
    <x v="740"/>
  </r>
  <r>
    <x v="3"/>
    <x v="741"/>
    <x v="664"/>
    <x v="664"/>
    <x v="610"/>
    <x v="33"/>
    <x v="38"/>
    <x v="741"/>
  </r>
  <r>
    <x v="3"/>
    <x v="742"/>
    <x v="665"/>
    <x v="665"/>
    <x v="611"/>
    <x v="38"/>
    <x v="20"/>
    <x v="742"/>
  </r>
  <r>
    <x v="44"/>
    <x v="743"/>
    <x v="666"/>
    <x v="666"/>
    <x v="612"/>
    <x v="25"/>
    <x v="2"/>
    <x v="743"/>
  </r>
  <r>
    <x v="8"/>
    <x v="744"/>
    <x v="667"/>
    <x v="667"/>
    <x v="613"/>
    <x v="99"/>
    <x v="16"/>
    <x v="744"/>
  </r>
  <r>
    <x v="8"/>
    <x v="745"/>
    <x v="668"/>
    <x v="668"/>
    <x v="614"/>
    <x v="67"/>
    <x v="34"/>
    <x v="745"/>
  </r>
  <r>
    <x v="3"/>
    <x v="746"/>
    <x v="669"/>
    <x v="669"/>
    <x v="615"/>
    <x v="21"/>
    <x v="29"/>
    <x v="746"/>
  </r>
  <r>
    <x v="17"/>
    <x v="747"/>
    <x v="670"/>
    <x v="670"/>
    <x v="397"/>
    <x v="60"/>
    <x v="214"/>
    <x v="747"/>
  </r>
  <r>
    <x v="22"/>
    <x v="748"/>
    <x v="671"/>
    <x v="671"/>
    <x v="616"/>
    <x v="18"/>
    <x v="9"/>
    <x v="748"/>
  </r>
  <r>
    <x v="7"/>
    <x v="749"/>
    <x v="672"/>
    <x v="672"/>
    <x v="617"/>
    <x v="17"/>
    <x v="215"/>
    <x v="749"/>
  </r>
  <r>
    <x v="10"/>
    <x v="750"/>
    <x v="673"/>
    <x v="673"/>
    <x v="96"/>
    <x v="20"/>
    <x v="8"/>
    <x v="750"/>
  </r>
  <r>
    <x v="62"/>
    <x v="751"/>
    <x v="674"/>
    <x v="674"/>
    <x v="618"/>
    <x v="66"/>
    <x v="137"/>
    <x v="751"/>
  </r>
  <r>
    <x v="3"/>
    <x v="752"/>
    <x v="675"/>
    <x v="675"/>
    <x v="619"/>
    <x v="87"/>
    <x v="2"/>
    <x v="752"/>
  </r>
  <r>
    <x v="22"/>
    <x v="753"/>
    <x v="676"/>
    <x v="676"/>
    <x v="620"/>
    <x v="63"/>
    <x v="1"/>
    <x v="753"/>
  </r>
  <r>
    <x v="8"/>
    <x v="754"/>
    <x v="677"/>
    <x v="677"/>
    <x v="84"/>
    <x v="100"/>
    <x v="9"/>
    <x v="754"/>
  </r>
  <r>
    <x v="63"/>
    <x v="755"/>
    <x v="678"/>
    <x v="678"/>
    <x v="621"/>
    <x v="45"/>
    <x v="23"/>
    <x v="755"/>
  </r>
  <r>
    <x v="12"/>
    <x v="756"/>
    <x v="679"/>
    <x v="679"/>
    <x v="622"/>
    <x v="62"/>
    <x v="216"/>
    <x v="756"/>
  </r>
  <r>
    <x v="1"/>
    <x v="757"/>
    <x v="680"/>
    <x v="680"/>
    <x v="623"/>
    <x v="33"/>
    <x v="217"/>
    <x v="757"/>
  </r>
  <r>
    <x v="41"/>
    <x v="758"/>
    <x v="681"/>
    <x v="681"/>
    <x v="624"/>
    <x v="90"/>
    <x v="0"/>
    <x v="758"/>
  </r>
  <r>
    <x v="1"/>
    <x v="759"/>
    <x v="682"/>
    <x v="682"/>
    <x v="291"/>
    <x v="5"/>
    <x v="7"/>
    <x v="759"/>
  </r>
  <r>
    <x v="3"/>
    <x v="760"/>
    <x v="683"/>
    <x v="683"/>
    <x v="425"/>
    <x v="39"/>
    <x v="8"/>
    <x v="760"/>
  </r>
  <r>
    <x v="34"/>
    <x v="761"/>
    <x v="684"/>
    <x v="684"/>
    <x v="625"/>
    <x v="33"/>
    <x v="179"/>
    <x v="761"/>
  </r>
  <r>
    <x v="41"/>
    <x v="762"/>
    <x v="685"/>
    <x v="685"/>
    <x v="626"/>
    <x v="90"/>
    <x v="0"/>
    <x v="762"/>
  </r>
  <r>
    <x v="1"/>
    <x v="763"/>
    <x v="686"/>
    <x v="686"/>
    <x v="627"/>
    <x v="25"/>
    <x v="1"/>
    <x v="763"/>
  </r>
  <r>
    <x v="8"/>
    <x v="764"/>
    <x v="687"/>
    <x v="687"/>
    <x v="628"/>
    <x v="80"/>
    <x v="17"/>
    <x v="764"/>
  </r>
  <r>
    <x v="16"/>
    <x v="765"/>
    <x v="688"/>
    <x v="688"/>
    <x v="629"/>
    <x v="35"/>
    <x v="0"/>
    <x v="765"/>
  </r>
  <r>
    <x v="8"/>
    <x v="766"/>
    <x v="689"/>
    <x v="689"/>
    <x v="630"/>
    <x v="16"/>
    <x v="22"/>
    <x v="766"/>
  </r>
  <r>
    <x v="3"/>
    <x v="767"/>
    <x v="690"/>
    <x v="690"/>
    <x v="631"/>
    <x v="18"/>
    <x v="22"/>
    <x v="767"/>
  </r>
  <r>
    <x v="44"/>
    <x v="768"/>
    <x v="691"/>
    <x v="691"/>
    <x v="632"/>
    <x v="14"/>
    <x v="99"/>
    <x v="768"/>
  </r>
  <r>
    <x v="3"/>
    <x v="769"/>
    <x v="692"/>
    <x v="692"/>
    <x v="633"/>
    <x v="41"/>
    <x v="5"/>
    <x v="769"/>
  </r>
  <r>
    <x v="12"/>
    <x v="770"/>
    <x v="693"/>
    <x v="693"/>
    <x v="634"/>
    <x v="55"/>
    <x v="7"/>
    <x v="770"/>
  </r>
  <r>
    <x v="0"/>
    <x v="771"/>
    <x v="694"/>
    <x v="694"/>
    <x v="635"/>
    <x v="28"/>
    <x v="10"/>
    <x v="771"/>
  </r>
  <r>
    <x v="3"/>
    <x v="772"/>
    <x v="695"/>
    <x v="695"/>
    <x v="636"/>
    <x v="39"/>
    <x v="49"/>
    <x v="772"/>
  </r>
  <r>
    <x v="0"/>
    <x v="773"/>
    <x v="696"/>
    <x v="696"/>
    <x v="432"/>
    <x v="12"/>
    <x v="7"/>
    <x v="773"/>
  </r>
  <r>
    <x v="17"/>
    <x v="774"/>
    <x v="697"/>
    <x v="697"/>
    <x v="637"/>
    <x v="101"/>
    <x v="218"/>
    <x v="774"/>
  </r>
  <r>
    <x v="24"/>
    <x v="775"/>
    <x v="698"/>
    <x v="698"/>
    <x v="129"/>
    <x v="38"/>
    <x v="0"/>
    <x v="775"/>
  </r>
  <r>
    <x v="4"/>
    <x v="776"/>
    <x v="699"/>
    <x v="699"/>
    <x v="638"/>
    <x v="50"/>
    <x v="80"/>
    <x v="776"/>
  </r>
  <r>
    <x v="34"/>
    <x v="777"/>
    <x v="700"/>
    <x v="700"/>
    <x v="639"/>
    <x v="0"/>
    <x v="18"/>
    <x v="777"/>
  </r>
  <r>
    <x v="16"/>
    <x v="778"/>
    <x v="701"/>
    <x v="701"/>
    <x v="640"/>
    <x v="29"/>
    <x v="212"/>
    <x v="778"/>
  </r>
  <r>
    <x v="0"/>
    <x v="779"/>
    <x v="702"/>
    <x v="702"/>
    <x v="641"/>
    <x v="17"/>
    <x v="191"/>
    <x v="779"/>
  </r>
  <r>
    <x v="41"/>
    <x v="780"/>
    <x v="703"/>
    <x v="703"/>
    <x v="151"/>
    <x v="90"/>
    <x v="0"/>
    <x v="780"/>
  </r>
  <r>
    <x v="1"/>
    <x v="781"/>
    <x v="704"/>
    <x v="704"/>
    <x v="642"/>
    <x v="33"/>
    <x v="219"/>
    <x v="781"/>
  </r>
  <r>
    <x v="1"/>
    <x v="782"/>
    <x v="705"/>
    <x v="705"/>
    <x v="426"/>
    <x v="21"/>
    <x v="75"/>
    <x v="782"/>
  </r>
  <r>
    <x v="64"/>
    <x v="783"/>
    <x v="706"/>
    <x v="706"/>
    <x v="539"/>
    <x v="64"/>
    <x v="54"/>
    <x v="783"/>
  </r>
  <r>
    <x v="44"/>
    <x v="784"/>
    <x v="707"/>
    <x v="707"/>
    <x v="643"/>
    <x v="17"/>
    <x v="7"/>
    <x v="784"/>
  </r>
  <r>
    <x v="22"/>
    <x v="785"/>
    <x v="708"/>
    <x v="708"/>
    <x v="417"/>
    <x v="63"/>
    <x v="1"/>
    <x v="785"/>
  </r>
  <r>
    <x v="8"/>
    <x v="786"/>
    <x v="709"/>
    <x v="709"/>
    <x v="383"/>
    <x v="64"/>
    <x v="0"/>
    <x v="786"/>
  </r>
  <r>
    <x v="41"/>
    <x v="787"/>
    <x v="710"/>
    <x v="710"/>
    <x v="644"/>
    <x v="90"/>
    <x v="0"/>
    <x v="787"/>
  </r>
  <r>
    <x v="50"/>
    <x v="788"/>
    <x v="711"/>
    <x v="711"/>
    <x v="89"/>
    <x v="68"/>
    <x v="86"/>
    <x v="788"/>
  </r>
  <r>
    <x v="3"/>
    <x v="789"/>
    <x v="712"/>
    <x v="712"/>
    <x v="578"/>
    <x v="14"/>
    <x v="8"/>
    <x v="789"/>
  </r>
  <r>
    <x v="15"/>
    <x v="790"/>
    <x v="713"/>
    <x v="713"/>
    <x v="645"/>
    <x v="29"/>
    <x v="73"/>
    <x v="790"/>
  </r>
  <r>
    <x v="3"/>
    <x v="791"/>
    <x v="714"/>
    <x v="714"/>
    <x v="443"/>
    <x v="9"/>
    <x v="0"/>
    <x v="791"/>
  </r>
  <r>
    <x v="41"/>
    <x v="792"/>
    <x v="715"/>
    <x v="715"/>
    <x v="465"/>
    <x v="90"/>
    <x v="0"/>
    <x v="792"/>
  </r>
  <r>
    <x v="65"/>
    <x v="793"/>
    <x v="716"/>
    <x v="716"/>
    <x v="646"/>
    <x v="33"/>
    <x v="1"/>
    <x v="793"/>
  </r>
  <r>
    <x v="18"/>
    <x v="794"/>
    <x v="717"/>
    <x v="717"/>
    <x v="647"/>
    <x v="36"/>
    <x v="35"/>
    <x v="794"/>
  </r>
  <r>
    <x v="41"/>
    <x v="795"/>
    <x v="718"/>
    <x v="718"/>
    <x v="455"/>
    <x v="90"/>
    <x v="0"/>
    <x v="795"/>
  </r>
  <r>
    <x v="26"/>
    <x v="796"/>
    <x v="719"/>
    <x v="719"/>
    <x v="648"/>
    <x v="66"/>
    <x v="220"/>
    <x v="796"/>
  </r>
  <r>
    <x v="6"/>
    <x v="797"/>
    <x v="720"/>
    <x v="720"/>
    <x v="649"/>
    <x v="28"/>
    <x v="1"/>
    <x v="797"/>
  </r>
  <r>
    <x v="41"/>
    <x v="798"/>
    <x v="721"/>
    <x v="721"/>
    <x v="650"/>
    <x v="87"/>
    <x v="1"/>
    <x v="798"/>
  </r>
  <r>
    <x v="8"/>
    <x v="799"/>
    <x v="722"/>
    <x v="722"/>
    <x v="651"/>
    <x v="73"/>
    <x v="29"/>
    <x v="799"/>
  </r>
  <r>
    <x v="13"/>
    <x v="800"/>
    <x v="723"/>
    <x v="723"/>
    <x v="226"/>
    <x v="10"/>
    <x v="1"/>
    <x v="800"/>
  </r>
  <r>
    <x v="34"/>
    <x v="801"/>
    <x v="724"/>
    <x v="724"/>
    <x v="652"/>
    <x v="46"/>
    <x v="157"/>
    <x v="801"/>
  </r>
  <r>
    <x v="3"/>
    <x v="802"/>
    <x v="725"/>
    <x v="725"/>
    <x v="653"/>
    <x v="18"/>
    <x v="7"/>
    <x v="802"/>
  </r>
  <r>
    <x v="1"/>
    <x v="803"/>
    <x v="726"/>
    <x v="726"/>
    <x v="654"/>
    <x v="102"/>
    <x v="5"/>
    <x v="803"/>
  </r>
  <r>
    <x v="28"/>
    <x v="804"/>
    <x v="727"/>
    <x v="727"/>
    <x v="655"/>
    <x v="69"/>
    <x v="117"/>
    <x v="804"/>
  </r>
  <r>
    <x v="41"/>
    <x v="805"/>
    <x v="728"/>
    <x v="728"/>
    <x v="656"/>
    <x v="90"/>
    <x v="0"/>
    <x v="805"/>
  </r>
  <r>
    <x v="1"/>
    <x v="806"/>
    <x v="729"/>
    <x v="729"/>
    <x v="657"/>
    <x v="25"/>
    <x v="193"/>
    <x v="806"/>
  </r>
  <r>
    <x v="52"/>
    <x v="807"/>
    <x v="730"/>
    <x v="730"/>
    <x v="658"/>
    <x v="90"/>
    <x v="16"/>
    <x v="807"/>
  </r>
  <r>
    <x v="0"/>
    <x v="808"/>
    <x v="731"/>
    <x v="731"/>
    <x v="458"/>
    <x v="16"/>
    <x v="1"/>
    <x v="808"/>
  </r>
  <r>
    <x v="66"/>
    <x v="809"/>
    <x v="732"/>
    <x v="732"/>
    <x v="295"/>
    <x v="23"/>
    <x v="99"/>
    <x v="809"/>
  </r>
  <r>
    <x v="43"/>
    <x v="810"/>
    <x v="733"/>
    <x v="733"/>
    <x v="305"/>
    <x v="69"/>
    <x v="54"/>
    <x v="810"/>
  </r>
  <r>
    <x v="23"/>
    <x v="811"/>
    <x v="734"/>
    <x v="734"/>
    <x v="659"/>
    <x v="65"/>
    <x v="1"/>
    <x v="811"/>
  </r>
  <r>
    <x v="12"/>
    <x v="812"/>
    <x v="735"/>
    <x v="735"/>
    <x v="660"/>
    <x v="62"/>
    <x v="143"/>
    <x v="812"/>
  </r>
  <r>
    <x v="15"/>
    <x v="813"/>
    <x v="736"/>
    <x v="736"/>
    <x v="661"/>
    <x v="29"/>
    <x v="221"/>
    <x v="813"/>
  </r>
  <r>
    <x v="22"/>
    <x v="814"/>
    <x v="737"/>
    <x v="737"/>
    <x v="662"/>
    <x v="28"/>
    <x v="34"/>
    <x v="814"/>
  </r>
  <r>
    <x v="13"/>
    <x v="815"/>
    <x v="738"/>
    <x v="738"/>
    <x v="663"/>
    <x v="44"/>
    <x v="99"/>
    <x v="815"/>
  </r>
  <r>
    <x v="2"/>
    <x v="816"/>
    <x v="739"/>
    <x v="739"/>
    <x v="61"/>
    <x v="103"/>
    <x v="1"/>
    <x v="816"/>
  </r>
  <r>
    <x v="10"/>
    <x v="817"/>
    <x v="740"/>
    <x v="740"/>
    <x v="664"/>
    <x v="104"/>
    <x v="5"/>
    <x v="817"/>
  </r>
  <r>
    <x v="50"/>
    <x v="818"/>
    <x v="741"/>
    <x v="741"/>
    <x v="29"/>
    <x v="53"/>
    <x v="9"/>
    <x v="818"/>
  </r>
  <r>
    <x v="17"/>
    <x v="819"/>
    <x v="742"/>
    <x v="742"/>
    <x v="310"/>
    <x v="29"/>
    <x v="188"/>
    <x v="819"/>
  </r>
  <r>
    <x v="3"/>
    <x v="820"/>
    <x v="743"/>
    <x v="743"/>
    <x v="665"/>
    <x v="4"/>
    <x v="0"/>
    <x v="820"/>
  </r>
  <r>
    <x v="2"/>
    <x v="821"/>
    <x v="744"/>
    <x v="744"/>
    <x v="498"/>
    <x v="103"/>
    <x v="1"/>
    <x v="821"/>
  </r>
  <r>
    <x v="15"/>
    <x v="822"/>
    <x v="745"/>
    <x v="745"/>
    <x v="666"/>
    <x v="52"/>
    <x v="1"/>
    <x v="822"/>
  </r>
  <r>
    <x v="9"/>
    <x v="823"/>
    <x v="746"/>
    <x v="746"/>
    <x v="667"/>
    <x v="45"/>
    <x v="222"/>
    <x v="823"/>
  </r>
  <r>
    <x v="11"/>
    <x v="824"/>
    <x v="747"/>
    <x v="747"/>
    <x v="668"/>
    <x v="90"/>
    <x v="49"/>
    <x v="824"/>
  </r>
  <r>
    <x v="10"/>
    <x v="825"/>
    <x v="748"/>
    <x v="748"/>
    <x v="669"/>
    <x v="63"/>
    <x v="7"/>
    <x v="825"/>
  </r>
  <r>
    <x v="3"/>
    <x v="826"/>
    <x v="749"/>
    <x v="749"/>
    <x v="388"/>
    <x v="49"/>
    <x v="58"/>
    <x v="826"/>
  </r>
  <r>
    <x v="41"/>
    <x v="827"/>
    <x v="750"/>
    <x v="750"/>
    <x v="370"/>
    <x v="90"/>
    <x v="0"/>
    <x v="827"/>
  </r>
  <r>
    <x v="17"/>
    <x v="828"/>
    <x v="751"/>
    <x v="751"/>
    <x v="670"/>
    <x v="105"/>
    <x v="223"/>
    <x v="828"/>
  </r>
  <r>
    <x v="67"/>
    <x v="829"/>
    <x v="752"/>
    <x v="752"/>
    <x v="671"/>
    <x v="49"/>
    <x v="224"/>
    <x v="829"/>
  </r>
  <r>
    <x v="8"/>
    <x v="830"/>
    <x v="753"/>
    <x v="753"/>
    <x v="672"/>
    <x v="64"/>
    <x v="0"/>
    <x v="830"/>
  </r>
  <r>
    <x v="20"/>
    <x v="831"/>
    <x v="754"/>
    <x v="754"/>
    <x v="673"/>
    <x v="49"/>
    <x v="3"/>
    <x v="831"/>
  </r>
  <r>
    <x v="8"/>
    <x v="832"/>
    <x v="755"/>
    <x v="755"/>
    <x v="674"/>
    <x v="38"/>
    <x v="129"/>
    <x v="832"/>
  </r>
  <r>
    <x v="12"/>
    <x v="833"/>
    <x v="756"/>
    <x v="756"/>
    <x v="675"/>
    <x v="21"/>
    <x v="3"/>
    <x v="833"/>
  </r>
  <r>
    <x v="8"/>
    <x v="834"/>
    <x v="757"/>
    <x v="757"/>
    <x v="676"/>
    <x v="61"/>
    <x v="2"/>
    <x v="834"/>
  </r>
  <r>
    <x v="3"/>
    <x v="835"/>
    <x v="758"/>
    <x v="758"/>
    <x v="187"/>
    <x v="45"/>
    <x v="0"/>
    <x v="835"/>
  </r>
  <r>
    <x v="1"/>
    <x v="836"/>
    <x v="759"/>
    <x v="759"/>
    <x v="677"/>
    <x v="27"/>
    <x v="225"/>
    <x v="836"/>
  </r>
  <r>
    <x v="15"/>
    <x v="837"/>
    <x v="760"/>
    <x v="760"/>
    <x v="678"/>
    <x v="66"/>
    <x v="98"/>
    <x v="837"/>
  </r>
  <r>
    <x v="18"/>
    <x v="838"/>
    <x v="761"/>
    <x v="761"/>
    <x v="679"/>
    <x v="32"/>
    <x v="0"/>
    <x v="838"/>
  </r>
  <r>
    <x v="16"/>
    <x v="839"/>
    <x v="762"/>
    <x v="762"/>
    <x v="680"/>
    <x v="29"/>
    <x v="44"/>
    <x v="839"/>
  </r>
  <r>
    <x v="29"/>
    <x v="840"/>
    <x v="763"/>
    <x v="763"/>
    <x v="170"/>
    <x v="21"/>
    <x v="56"/>
    <x v="840"/>
  </r>
  <r>
    <x v="26"/>
    <x v="841"/>
    <x v="764"/>
    <x v="764"/>
    <x v="569"/>
    <x v="79"/>
    <x v="0"/>
    <x v="841"/>
  </r>
  <r>
    <x v="3"/>
    <x v="842"/>
    <x v="765"/>
    <x v="765"/>
    <x v="681"/>
    <x v="67"/>
    <x v="71"/>
    <x v="842"/>
  </r>
  <r>
    <x v="3"/>
    <x v="843"/>
    <x v="766"/>
    <x v="766"/>
    <x v="682"/>
    <x v="17"/>
    <x v="22"/>
    <x v="843"/>
  </r>
  <r>
    <x v="68"/>
    <x v="844"/>
    <x v="767"/>
    <x v="767"/>
    <x v="683"/>
    <x v="29"/>
    <x v="1"/>
    <x v="844"/>
  </r>
  <r>
    <x v="69"/>
    <x v="845"/>
    <x v="768"/>
    <x v="768"/>
    <x v="684"/>
    <x v="58"/>
    <x v="0"/>
    <x v="845"/>
  </r>
  <r>
    <x v="24"/>
    <x v="846"/>
    <x v="769"/>
    <x v="769"/>
    <x v="685"/>
    <x v="38"/>
    <x v="226"/>
    <x v="846"/>
  </r>
  <r>
    <x v="64"/>
    <x v="847"/>
    <x v="770"/>
    <x v="770"/>
    <x v="686"/>
    <x v="101"/>
    <x v="227"/>
    <x v="847"/>
  </r>
  <r>
    <x v="1"/>
    <x v="848"/>
    <x v="771"/>
    <x v="771"/>
    <x v="687"/>
    <x v="46"/>
    <x v="228"/>
    <x v="848"/>
  </r>
  <r>
    <x v="13"/>
    <x v="849"/>
    <x v="772"/>
    <x v="772"/>
    <x v="688"/>
    <x v="106"/>
    <x v="1"/>
    <x v="849"/>
  </r>
  <r>
    <x v="3"/>
    <x v="850"/>
    <x v="773"/>
    <x v="773"/>
    <x v="689"/>
    <x v="103"/>
    <x v="4"/>
    <x v="850"/>
  </r>
  <r>
    <x v="8"/>
    <x v="851"/>
    <x v="774"/>
    <x v="774"/>
    <x v="690"/>
    <x v="64"/>
    <x v="0"/>
    <x v="851"/>
  </r>
  <r>
    <x v="8"/>
    <x v="852"/>
    <x v="775"/>
    <x v="775"/>
    <x v="629"/>
    <x v="16"/>
    <x v="23"/>
    <x v="852"/>
  </r>
  <r>
    <x v="3"/>
    <x v="853"/>
    <x v="776"/>
    <x v="776"/>
    <x v="691"/>
    <x v="21"/>
    <x v="11"/>
    <x v="853"/>
  </r>
  <r>
    <x v="70"/>
    <x v="854"/>
    <x v="777"/>
    <x v="777"/>
    <x v="438"/>
    <x v="22"/>
    <x v="0"/>
    <x v="854"/>
  </r>
  <r>
    <x v="30"/>
    <x v="855"/>
    <x v="778"/>
    <x v="778"/>
    <x v="591"/>
    <x v="17"/>
    <x v="1"/>
    <x v="855"/>
  </r>
  <r>
    <x v="14"/>
    <x v="856"/>
    <x v="779"/>
    <x v="779"/>
    <x v="301"/>
    <x v="63"/>
    <x v="1"/>
    <x v="856"/>
  </r>
  <r>
    <x v="12"/>
    <x v="857"/>
    <x v="780"/>
    <x v="780"/>
    <x v="692"/>
    <x v="35"/>
    <x v="1"/>
    <x v="857"/>
  </r>
  <r>
    <x v="22"/>
    <x v="858"/>
    <x v="781"/>
    <x v="781"/>
    <x v="401"/>
    <x v="18"/>
    <x v="0"/>
    <x v="858"/>
  </r>
  <r>
    <x v="38"/>
    <x v="859"/>
    <x v="782"/>
    <x v="782"/>
    <x v="287"/>
    <x v="65"/>
    <x v="7"/>
    <x v="859"/>
  </r>
  <r>
    <x v="8"/>
    <x v="860"/>
    <x v="783"/>
    <x v="783"/>
    <x v="281"/>
    <x v="53"/>
    <x v="137"/>
    <x v="860"/>
  </r>
  <r>
    <x v="46"/>
    <x v="861"/>
    <x v="784"/>
    <x v="784"/>
    <x v="693"/>
    <x v="45"/>
    <x v="11"/>
    <x v="861"/>
  </r>
  <r>
    <x v="3"/>
    <x v="862"/>
    <x v="785"/>
    <x v="785"/>
    <x v="694"/>
    <x v="18"/>
    <x v="7"/>
    <x v="862"/>
  </r>
  <r>
    <x v="20"/>
    <x v="863"/>
    <x v="786"/>
    <x v="786"/>
    <x v="695"/>
    <x v="17"/>
    <x v="5"/>
    <x v="863"/>
  </r>
  <r>
    <x v="1"/>
    <x v="864"/>
    <x v="787"/>
    <x v="787"/>
    <x v="151"/>
    <x v="2"/>
    <x v="16"/>
    <x v="864"/>
  </r>
  <r>
    <x v="3"/>
    <x v="865"/>
    <x v="788"/>
    <x v="788"/>
    <x v="696"/>
    <x v="38"/>
    <x v="15"/>
    <x v="865"/>
  </r>
  <r>
    <x v="41"/>
    <x v="866"/>
    <x v="789"/>
    <x v="789"/>
    <x v="697"/>
    <x v="90"/>
    <x v="0"/>
    <x v="866"/>
  </r>
  <r>
    <x v="23"/>
    <x v="867"/>
    <x v="790"/>
    <x v="790"/>
    <x v="698"/>
    <x v="23"/>
    <x v="222"/>
    <x v="867"/>
  </r>
  <r>
    <x v="32"/>
    <x v="868"/>
    <x v="791"/>
    <x v="791"/>
    <x v="699"/>
    <x v="31"/>
    <x v="151"/>
    <x v="868"/>
  </r>
  <r>
    <x v="15"/>
    <x v="869"/>
    <x v="792"/>
    <x v="792"/>
    <x v="700"/>
    <x v="29"/>
    <x v="200"/>
    <x v="869"/>
  </r>
  <r>
    <x v="17"/>
    <x v="870"/>
    <x v="793"/>
    <x v="793"/>
    <x v="701"/>
    <x v="107"/>
    <x v="229"/>
    <x v="870"/>
  </r>
  <r>
    <x v="8"/>
    <x v="871"/>
    <x v="794"/>
    <x v="794"/>
    <x v="702"/>
    <x v="64"/>
    <x v="0"/>
    <x v="871"/>
  </r>
  <r>
    <x v="8"/>
    <x v="872"/>
    <x v="795"/>
    <x v="795"/>
    <x v="210"/>
    <x v="29"/>
    <x v="0"/>
    <x v="872"/>
  </r>
  <r>
    <x v="1"/>
    <x v="873"/>
    <x v="796"/>
    <x v="796"/>
    <x v="351"/>
    <x v="17"/>
    <x v="17"/>
    <x v="873"/>
  </r>
  <r>
    <x v="16"/>
    <x v="874"/>
    <x v="797"/>
    <x v="797"/>
    <x v="703"/>
    <x v="29"/>
    <x v="38"/>
    <x v="874"/>
  </r>
  <r>
    <x v="8"/>
    <x v="875"/>
    <x v="798"/>
    <x v="798"/>
    <x v="302"/>
    <x v="64"/>
    <x v="0"/>
    <x v="875"/>
  </r>
  <r>
    <x v="55"/>
    <x v="876"/>
    <x v="799"/>
    <x v="799"/>
    <x v="704"/>
    <x v="22"/>
    <x v="74"/>
    <x v="876"/>
  </r>
  <r>
    <x v="24"/>
    <x v="877"/>
    <x v="800"/>
    <x v="800"/>
    <x v="705"/>
    <x v="86"/>
    <x v="44"/>
    <x v="877"/>
  </r>
  <r>
    <x v="23"/>
    <x v="878"/>
    <x v="801"/>
    <x v="801"/>
    <x v="706"/>
    <x v="87"/>
    <x v="1"/>
    <x v="878"/>
  </r>
  <r>
    <x v="8"/>
    <x v="879"/>
    <x v="802"/>
    <x v="802"/>
    <x v="20"/>
    <x v="87"/>
    <x v="90"/>
    <x v="879"/>
  </r>
  <r>
    <x v="41"/>
    <x v="880"/>
    <x v="803"/>
    <x v="803"/>
    <x v="586"/>
    <x v="90"/>
    <x v="0"/>
    <x v="880"/>
  </r>
  <r>
    <x v="8"/>
    <x v="881"/>
    <x v="804"/>
    <x v="804"/>
    <x v="707"/>
    <x v="64"/>
    <x v="0"/>
    <x v="881"/>
  </r>
  <r>
    <x v="16"/>
    <x v="882"/>
    <x v="805"/>
    <x v="805"/>
    <x v="708"/>
    <x v="16"/>
    <x v="1"/>
    <x v="882"/>
  </r>
  <r>
    <x v="0"/>
    <x v="883"/>
    <x v="806"/>
    <x v="806"/>
    <x v="709"/>
    <x v="17"/>
    <x v="92"/>
    <x v="883"/>
  </r>
  <r>
    <x v="0"/>
    <x v="884"/>
    <x v="807"/>
    <x v="807"/>
    <x v="710"/>
    <x v="49"/>
    <x v="5"/>
    <x v="884"/>
  </r>
  <r>
    <x v="8"/>
    <x v="885"/>
    <x v="808"/>
    <x v="808"/>
    <x v="464"/>
    <x v="64"/>
    <x v="0"/>
    <x v="885"/>
  </r>
  <r>
    <x v="18"/>
    <x v="886"/>
    <x v="809"/>
    <x v="809"/>
    <x v="711"/>
    <x v="30"/>
    <x v="9"/>
    <x v="886"/>
  </r>
  <r>
    <x v="12"/>
    <x v="887"/>
    <x v="810"/>
    <x v="810"/>
    <x v="712"/>
    <x v="62"/>
    <x v="230"/>
    <x v="887"/>
  </r>
  <r>
    <x v="8"/>
    <x v="888"/>
    <x v="811"/>
    <x v="811"/>
    <x v="713"/>
    <x v="64"/>
    <x v="0"/>
    <x v="888"/>
  </r>
  <r>
    <x v="1"/>
    <x v="889"/>
    <x v="812"/>
    <x v="812"/>
    <x v="714"/>
    <x v="13"/>
    <x v="10"/>
    <x v="889"/>
  </r>
  <r>
    <x v="26"/>
    <x v="890"/>
    <x v="813"/>
    <x v="813"/>
    <x v="715"/>
    <x v="108"/>
    <x v="1"/>
    <x v="890"/>
  </r>
  <r>
    <x v="0"/>
    <x v="891"/>
    <x v="813"/>
    <x v="813"/>
    <x v="716"/>
    <x v="28"/>
    <x v="231"/>
    <x v="891"/>
  </r>
  <r>
    <x v="13"/>
    <x v="892"/>
    <x v="814"/>
    <x v="814"/>
    <x v="717"/>
    <x v="10"/>
    <x v="0"/>
    <x v="892"/>
  </r>
  <r>
    <x v="12"/>
    <x v="893"/>
    <x v="815"/>
    <x v="815"/>
    <x v="718"/>
    <x v="62"/>
    <x v="44"/>
    <x v="893"/>
  </r>
  <r>
    <x v="28"/>
    <x v="894"/>
    <x v="816"/>
    <x v="816"/>
    <x v="719"/>
    <x v="69"/>
    <x v="84"/>
    <x v="894"/>
  </r>
  <r>
    <x v="11"/>
    <x v="895"/>
    <x v="817"/>
    <x v="817"/>
    <x v="376"/>
    <x v="53"/>
    <x v="232"/>
    <x v="895"/>
  </r>
  <r>
    <x v="63"/>
    <x v="896"/>
    <x v="818"/>
    <x v="818"/>
    <x v="503"/>
    <x v="33"/>
    <x v="72"/>
    <x v="896"/>
  </r>
  <r>
    <x v="3"/>
    <x v="897"/>
    <x v="819"/>
    <x v="819"/>
    <x v="95"/>
    <x v="38"/>
    <x v="41"/>
    <x v="897"/>
  </r>
  <r>
    <x v="34"/>
    <x v="898"/>
    <x v="820"/>
    <x v="820"/>
    <x v="720"/>
    <x v="63"/>
    <x v="1"/>
    <x v="898"/>
  </r>
  <r>
    <x v="71"/>
    <x v="899"/>
    <x v="821"/>
    <x v="821"/>
    <x v="448"/>
    <x v="54"/>
    <x v="1"/>
    <x v="899"/>
  </r>
  <r>
    <x v="8"/>
    <x v="900"/>
    <x v="822"/>
    <x v="822"/>
    <x v="721"/>
    <x v="64"/>
    <x v="0"/>
    <x v="900"/>
  </r>
  <r>
    <x v="27"/>
    <x v="901"/>
    <x v="823"/>
    <x v="823"/>
    <x v="287"/>
    <x v="14"/>
    <x v="0"/>
    <x v="901"/>
  </r>
  <r>
    <x v="2"/>
    <x v="902"/>
    <x v="824"/>
    <x v="824"/>
    <x v="129"/>
    <x v="9"/>
    <x v="1"/>
    <x v="902"/>
  </r>
  <r>
    <x v="27"/>
    <x v="903"/>
    <x v="825"/>
    <x v="825"/>
    <x v="528"/>
    <x v="20"/>
    <x v="2"/>
    <x v="903"/>
  </r>
  <r>
    <x v="1"/>
    <x v="904"/>
    <x v="826"/>
    <x v="826"/>
    <x v="722"/>
    <x v="27"/>
    <x v="233"/>
    <x v="904"/>
  </r>
  <r>
    <x v="72"/>
    <x v="905"/>
    <x v="826"/>
    <x v="826"/>
    <x v="723"/>
    <x v="45"/>
    <x v="234"/>
    <x v="905"/>
  </r>
  <r>
    <x v="1"/>
    <x v="906"/>
    <x v="827"/>
    <x v="827"/>
    <x v="724"/>
    <x v="33"/>
    <x v="235"/>
    <x v="906"/>
  </r>
  <r>
    <x v="3"/>
    <x v="907"/>
    <x v="828"/>
    <x v="828"/>
    <x v="5"/>
    <x v="63"/>
    <x v="2"/>
    <x v="907"/>
  </r>
  <r>
    <x v="70"/>
    <x v="908"/>
    <x v="829"/>
    <x v="829"/>
    <x v="725"/>
    <x v="22"/>
    <x v="13"/>
    <x v="908"/>
  </r>
  <r>
    <x v="3"/>
    <x v="909"/>
    <x v="830"/>
    <x v="830"/>
    <x v="455"/>
    <x v="17"/>
    <x v="11"/>
    <x v="909"/>
  </r>
  <r>
    <x v="17"/>
    <x v="910"/>
    <x v="831"/>
    <x v="831"/>
    <x v="520"/>
    <x v="64"/>
    <x v="236"/>
    <x v="910"/>
  </r>
  <r>
    <x v="15"/>
    <x v="911"/>
    <x v="832"/>
    <x v="832"/>
    <x v="443"/>
    <x v="62"/>
    <x v="237"/>
    <x v="911"/>
  </r>
  <r>
    <x v="40"/>
    <x v="912"/>
    <x v="833"/>
    <x v="833"/>
    <x v="726"/>
    <x v="64"/>
    <x v="27"/>
    <x v="912"/>
  </r>
  <r>
    <x v="3"/>
    <x v="913"/>
    <x v="834"/>
    <x v="834"/>
    <x v="727"/>
    <x v="67"/>
    <x v="25"/>
    <x v="913"/>
  </r>
  <r>
    <x v="30"/>
    <x v="914"/>
    <x v="835"/>
    <x v="835"/>
    <x v="728"/>
    <x v="13"/>
    <x v="0"/>
    <x v="914"/>
  </r>
  <r>
    <x v="32"/>
    <x v="915"/>
    <x v="836"/>
    <x v="836"/>
    <x v="729"/>
    <x v="91"/>
    <x v="17"/>
    <x v="915"/>
  </r>
  <r>
    <x v="51"/>
    <x v="916"/>
    <x v="837"/>
    <x v="837"/>
    <x v="730"/>
    <x v="45"/>
    <x v="0"/>
    <x v="916"/>
  </r>
  <r>
    <x v="1"/>
    <x v="917"/>
    <x v="838"/>
    <x v="838"/>
    <x v="20"/>
    <x v="17"/>
    <x v="9"/>
    <x v="917"/>
  </r>
  <r>
    <x v="17"/>
    <x v="918"/>
    <x v="839"/>
    <x v="839"/>
    <x v="731"/>
    <x v="60"/>
    <x v="238"/>
    <x v="918"/>
  </r>
  <r>
    <x v="22"/>
    <x v="919"/>
    <x v="840"/>
    <x v="840"/>
    <x v="94"/>
    <x v="14"/>
    <x v="4"/>
    <x v="919"/>
  </r>
  <r>
    <x v="1"/>
    <x v="920"/>
    <x v="841"/>
    <x v="841"/>
    <x v="732"/>
    <x v="24"/>
    <x v="239"/>
    <x v="920"/>
  </r>
  <r>
    <x v="8"/>
    <x v="921"/>
    <x v="842"/>
    <x v="842"/>
    <x v="733"/>
    <x v="16"/>
    <x v="0"/>
    <x v="921"/>
  </r>
  <r>
    <x v="73"/>
    <x v="922"/>
    <x v="843"/>
    <x v="843"/>
    <x v="669"/>
    <x v="38"/>
    <x v="0"/>
    <x v="922"/>
  </r>
  <r>
    <x v="1"/>
    <x v="923"/>
    <x v="844"/>
    <x v="844"/>
    <x v="496"/>
    <x v="16"/>
    <x v="5"/>
    <x v="923"/>
  </r>
  <r>
    <x v="3"/>
    <x v="924"/>
    <x v="845"/>
    <x v="845"/>
    <x v="349"/>
    <x v="23"/>
    <x v="1"/>
    <x v="924"/>
  </r>
  <r>
    <x v="26"/>
    <x v="925"/>
    <x v="846"/>
    <x v="846"/>
    <x v="734"/>
    <x v="38"/>
    <x v="11"/>
    <x v="925"/>
  </r>
  <r>
    <x v="3"/>
    <x v="926"/>
    <x v="847"/>
    <x v="847"/>
    <x v="735"/>
    <x v="21"/>
    <x v="8"/>
    <x v="926"/>
  </r>
  <r>
    <x v="71"/>
    <x v="927"/>
    <x v="848"/>
    <x v="848"/>
    <x v="448"/>
    <x v="23"/>
    <x v="0"/>
    <x v="927"/>
  </r>
  <r>
    <x v="41"/>
    <x v="928"/>
    <x v="849"/>
    <x v="849"/>
    <x v="547"/>
    <x v="90"/>
    <x v="0"/>
    <x v="928"/>
  </r>
  <r>
    <x v="1"/>
    <x v="929"/>
    <x v="850"/>
    <x v="850"/>
    <x v="736"/>
    <x v="49"/>
    <x v="1"/>
    <x v="929"/>
  </r>
  <r>
    <x v="8"/>
    <x v="930"/>
    <x v="851"/>
    <x v="851"/>
    <x v="737"/>
    <x v="38"/>
    <x v="0"/>
    <x v="930"/>
  </r>
  <r>
    <x v="52"/>
    <x v="931"/>
    <x v="852"/>
    <x v="852"/>
    <x v="738"/>
    <x v="53"/>
    <x v="9"/>
    <x v="931"/>
  </r>
  <r>
    <x v="35"/>
    <x v="932"/>
    <x v="853"/>
    <x v="853"/>
    <x v="452"/>
    <x v="44"/>
    <x v="240"/>
    <x v="932"/>
  </r>
  <r>
    <x v="61"/>
    <x v="933"/>
    <x v="854"/>
    <x v="854"/>
    <x v="739"/>
    <x v="29"/>
    <x v="30"/>
    <x v="933"/>
  </r>
  <r>
    <x v="3"/>
    <x v="934"/>
    <x v="855"/>
    <x v="855"/>
    <x v="740"/>
    <x v="37"/>
    <x v="2"/>
    <x v="934"/>
  </r>
  <r>
    <x v="3"/>
    <x v="935"/>
    <x v="856"/>
    <x v="856"/>
    <x v="326"/>
    <x v="76"/>
    <x v="152"/>
    <x v="935"/>
  </r>
  <r>
    <x v="8"/>
    <x v="936"/>
    <x v="857"/>
    <x v="857"/>
    <x v="741"/>
    <x v="38"/>
    <x v="55"/>
    <x v="936"/>
  </r>
  <r>
    <x v="74"/>
    <x v="937"/>
    <x v="858"/>
    <x v="858"/>
    <x v="445"/>
    <x v="64"/>
    <x v="95"/>
    <x v="937"/>
  </r>
  <r>
    <x v="49"/>
    <x v="938"/>
    <x v="859"/>
    <x v="859"/>
    <x v="688"/>
    <x v="80"/>
    <x v="241"/>
    <x v="938"/>
  </r>
  <r>
    <x v="3"/>
    <x v="939"/>
    <x v="860"/>
    <x v="860"/>
    <x v="742"/>
    <x v="38"/>
    <x v="19"/>
    <x v="939"/>
  </r>
  <r>
    <x v="16"/>
    <x v="940"/>
    <x v="861"/>
    <x v="861"/>
    <x v="743"/>
    <x v="22"/>
    <x v="1"/>
    <x v="940"/>
  </r>
  <r>
    <x v="20"/>
    <x v="941"/>
    <x v="862"/>
    <x v="862"/>
    <x v="744"/>
    <x v="17"/>
    <x v="47"/>
    <x v="941"/>
  </r>
  <r>
    <x v="8"/>
    <x v="942"/>
    <x v="863"/>
    <x v="863"/>
    <x v="400"/>
    <x v="38"/>
    <x v="1"/>
    <x v="942"/>
  </r>
  <r>
    <x v="41"/>
    <x v="943"/>
    <x v="864"/>
    <x v="864"/>
    <x v="745"/>
    <x v="90"/>
    <x v="0"/>
    <x v="943"/>
  </r>
  <r>
    <x v="34"/>
    <x v="944"/>
    <x v="864"/>
    <x v="864"/>
    <x v="746"/>
    <x v="9"/>
    <x v="49"/>
    <x v="944"/>
  </r>
  <r>
    <x v="17"/>
    <x v="945"/>
    <x v="865"/>
    <x v="865"/>
    <x v="747"/>
    <x v="94"/>
    <x v="242"/>
    <x v="945"/>
  </r>
  <r>
    <x v="35"/>
    <x v="946"/>
    <x v="866"/>
    <x v="866"/>
    <x v="748"/>
    <x v="49"/>
    <x v="0"/>
    <x v="946"/>
  </r>
  <r>
    <x v="15"/>
    <x v="947"/>
    <x v="867"/>
    <x v="867"/>
    <x v="749"/>
    <x v="53"/>
    <x v="65"/>
    <x v="947"/>
  </r>
  <r>
    <x v="8"/>
    <x v="948"/>
    <x v="868"/>
    <x v="868"/>
    <x v="750"/>
    <x v="64"/>
    <x v="6"/>
    <x v="948"/>
  </r>
  <r>
    <x v="3"/>
    <x v="949"/>
    <x v="869"/>
    <x v="869"/>
    <x v="751"/>
    <x v="17"/>
    <x v="27"/>
    <x v="949"/>
  </r>
  <r>
    <x v="1"/>
    <x v="950"/>
    <x v="870"/>
    <x v="870"/>
    <x v="752"/>
    <x v="30"/>
    <x v="243"/>
    <x v="950"/>
  </r>
  <r>
    <x v="60"/>
    <x v="951"/>
    <x v="871"/>
    <x v="871"/>
    <x v="428"/>
    <x v="29"/>
    <x v="17"/>
    <x v="951"/>
  </r>
  <r>
    <x v="8"/>
    <x v="952"/>
    <x v="872"/>
    <x v="872"/>
    <x v="753"/>
    <x v="64"/>
    <x v="0"/>
    <x v="952"/>
  </r>
  <r>
    <x v="75"/>
    <x v="953"/>
    <x v="873"/>
    <x v="873"/>
    <x v="754"/>
    <x v="45"/>
    <x v="0"/>
    <x v="953"/>
  </r>
  <r>
    <x v="3"/>
    <x v="954"/>
    <x v="874"/>
    <x v="874"/>
    <x v="755"/>
    <x v="25"/>
    <x v="0"/>
    <x v="954"/>
  </r>
  <r>
    <x v="55"/>
    <x v="955"/>
    <x v="875"/>
    <x v="875"/>
    <x v="756"/>
    <x v="87"/>
    <x v="244"/>
    <x v="955"/>
  </r>
  <r>
    <x v="3"/>
    <x v="956"/>
    <x v="876"/>
    <x v="876"/>
    <x v="757"/>
    <x v="63"/>
    <x v="15"/>
    <x v="956"/>
  </r>
  <r>
    <x v="55"/>
    <x v="957"/>
    <x v="877"/>
    <x v="877"/>
    <x v="579"/>
    <x v="51"/>
    <x v="24"/>
    <x v="957"/>
  </r>
  <r>
    <x v="3"/>
    <x v="958"/>
    <x v="878"/>
    <x v="878"/>
    <x v="758"/>
    <x v="57"/>
    <x v="9"/>
    <x v="958"/>
  </r>
  <r>
    <x v="7"/>
    <x v="959"/>
    <x v="879"/>
    <x v="879"/>
    <x v="759"/>
    <x v="23"/>
    <x v="1"/>
    <x v="959"/>
  </r>
  <r>
    <x v="14"/>
    <x v="960"/>
    <x v="880"/>
    <x v="880"/>
    <x v="760"/>
    <x v="63"/>
    <x v="0"/>
    <x v="960"/>
  </r>
  <r>
    <x v="17"/>
    <x v="961"/>
    <x v="881"/>
    <x v="881"/>
    <x v="761"/>
    <x v="54"/>
    <x v="245"/>
    <x v="961"/>
  </r>
  <r>
    <x v="67"/>
    <x v="962"/>
    <x v="882"/>
    <x v="882"/>
    <x v="762"/>
    <x v="49"/>
    <x v="27"/>
    <x v="962"/>
  </r>
  <r>
    <x v="3"/>
    <x v="963"/>
    <x v="883"/>
    <x v="883"/>
    <x v="763"/>
    <x v="38"/>
    <x v="1"/>
    <x v="963"/>
  </r>
  <r>
    <x v="15"/>
    <x v="964"/>
    <x v="883"/>
    <x v="883"/>
    <x v="196"/>
    <x v="18"/>
    <x v="246"/>
    <x v="964"/>
  </r>
  <r>
    <x v="41"/>
    <x v="965"/>
    <x v="884"/>
    <x v="884"/>
    <x v="764"/>
    <x v="90"/>
    <x v="0"/>
    <x v="965"/>
  </r>
  <r>
    <x v="18"/>
    <x v="966"/>
    <x v="885"/>
    <x v="885"/>
    <x v="765"/>
    <x v="86"/>
    <x v="5"/>
    <x v="966"/>
  </r>
  <r>
    <x v="76"/>
    <x v="967"/>
    <x v="886"/>
    <x v="886"/>
    <x v="766"/>
    <x v="102"/>
    <x v="0"/>
    <x v="967"/>
  </r>
  <r>
    <x v="0"/>
    <x v="968"/>
    <x v="887"/>
    <x v="887"/>
    <x v="228"/>
    <x v="2"/>
    <x v="118"/>
    <x v="968"/>
  </r>
  <r>
    <x v="41"/>
    <x v="969"/>
    <x v="888"/>
    <x v="888"/>
    <x v="60"/>
    <x v="90"/>
    <x v="7"/>
    <x v="969"/>
  </r>
  <r>
    <x v="30"/>
    <x v="970"/>
    <x v="889"/>
    <x v="889"/>
    <x v="128"/>
    <x v="28"/>
    <x v="44"/>
    <x v="970"/>
  </r>
  <r>
    <x v="8"/>
    <x v="971"/>
    <x v="890"/>
    <x v="890"/>
    <x v="308"/>
    <x v="64"/>
    <x v="0"/>
    <x v="971"/>
  </r>
  <r>
    <x v="63"/>
    <x v="972"/>
    <x v="891"/>
    <x v="891"/>
    <x v="767"/>
    <x v="45"/>
    <x v="5"/>
    <x v="972"/>
  </r>
  <r>
    <x v="41"/>
    <x v="973"/>
    <x v="892"/>
    <x v="892"/>
    <x v="128"/>
    <x v="90"/>
    <x v="0"/>
    <x v="973"/>
  </r>
  <r>
    <x v="77"/>
    <x v="974"/>
    <x v="893"/>
    <x v="893"/>
    <x v="768"/>
    <x v="29"/>
    <x v="0"/>
    <x v="974"/>
  </r>
  <r>
    <x v="0"/>
    <x v="975"/>
    <x v="894"/>
    <x v="894"/>
    <x v="769"/>
    <x v="17"/>
    <x v="122"/>
    <x v="975"/>
  </r>
  <r>
    <x v="3"/>
    <x v="976"/>
    <x v="895"/>
    <x v="895"/>
    <x v="156"/>
    <x v="63"/>
    <x v="20"/>
    <x v="976"/>
  </r>
  <r>
    <x v="47"/>
    <x v="977"/>
    <x v="896"/>
    <x v="896"/>
    <x v="539"/>
    <x v="5"/>
    <x v="44"/>
    <x v="977"/>
  </r>
  <r>
    <x v="1"/>
    <x v="978"/>
    <x v="897"/>
    <x v="897"/>
    <x v="422"/>
    <x v="27"/>
    <x v="26"/>
    <x v="978"/>
  </r>
  <r>
    <x v="47"/>
    <x v="979"/>
    <x v="898"/>
    <x v="898"/>
    <x v="770"/>
    <x v="5"/>
    <x v="8"/>
    <x v="979"/>
  </r>
  <r>
    <x v="71"/>
    <x v="980"/>
    <x v="899"/>
    <x v="899"/>
    <x v="771"/>
    <x v="23"/>
    <x v="17"/>
    <x v="980"/>
  </r>
  <r>
    <x v="42"/>
    <x v="981"/>
    <x v="900"/>
    <x v="900"/>
    <x v="772"/>
    <x v="63"/>
    <x v="0"/>
    <x v="981"/>
  </r>
  <r>
    <x v="78"/>
    <x v="982"/>
    <x v="901"/>
    <x v="901"/>
    <x v="362"/>
    <x v="7"/>
    <x v="1"/>
    <x v="982"/>
  </r>
  <r>
    <x v="8"/>
    <x v="983"/>
    <x v="902"/>
    <x v="902"/>
    <x v="773"/>
    <x v="64"/>
    <x v="0"/>
    <x v="983"/>
  </r>
  <r>
    <x v="41"/>
    <x v="984"/>
    <x v="903"/>
    <x v="903"/>
    <x v="479"/>
    <x v="90"/>
    <x v="0"/>
    <x v="984"/>
  </r>
  <r>
    <x v="14"/>
    <x v="985"/>
    <x v="904"/>
    <x v="904"/>
    <x v="774"/>
    <x v="33"/>
    <x v="247"/>
    <x v="985"/>
  </r>
  <r>
    <x v="3"/>
    <x v="986"/>
    <x v="905"/>
    <x v="905"/>
    <x v="447"/>
    <x v="4"/>
    <x v="3"/>
    <x v="986"/>
  </r>
  <r>
    <x v="7"/>
    <x v="987"/>
    <x v="906"/>
    <x v="906"/>
    <x v="393"/>
    <x v="26"/>
    <x v="248"/>
    <x v="987"/>
  </r>
  <r>
    <x v="1"/>
    <x v="988"/>
    <x v="907"/>
    <x v="907"/>
    <x v="775"/>
    <x v="33"/>
    <x v="249"/>
    <x v="988"/>
  </r>
  <r>
    <x v="79"/>
    <x v="989"/>
    <x v="908"/>
    <x v="908"/>
    <x v="432"/>
    <x v="45"/>
    <x v="5"/>
    <x v="989"/>
  </r>
  <r>
    <x v="8"/>
    <x v="990"/>
    <x v="909"/>
    <x v="909"/>
    <x v="776"/>
    <x v="38"/>
    <x v="37"/>
    <x v="990"/>
  </r>
  <r>
    <x v="80"/>
    <x v="991"/>
    <x v="910"/>
    <x v="910"/>
    <x v="730"/>
    <x v="49"/>
    <x v="0"/>
    <x v="991"/>
  </r>
  <r>
    <x v="27"/>
    <x v="992"/>
    <x v="911"/>
    <x v="911"/>
    <x v="777"/>
    <x v="28"/>
    <x v="250"/>
    <x v="992"/>
  </r>
  <r>
    <x v="41"/>
    <x v="993"/>
    <x v="912"/>
    <x v="912"/>
    <x v="778"/>
    <x v="90"/>
    <x v="0"/>
    <x v="993"/>
  </r>
  <r>
    <x v="6"/>
    <x v="994"/>
    <x v="913"/>
    <x v="913"/>
    <x v="779"/>
    <x v="23"/>
    <x v="178"/>
    <x v="994"/>
  </r>
  <r>
    <x v="15"/>
    <x v="995"/>
    <x v="914"/>
    <x v="914"/>
    <x v="780"/>
    <x v="29"/>
    <x v="178"/>
    <x v="995"/>
  </r>
  <r>
    <x v="8"/>
    <x v="996"/>
    <x v="915"/>
    <x v="915"/>
    <x v="781"/>
    <x v="38"/>
    <x v="146"/>
    <x v="996"/>
  </r>
  <r>
    <x v="27"/>
    <x v="997"/>
    <x v="916"/>
    <x v="916"/>
    <x v="782"/>
    <x v="14"/>
    <x v="0"/>
    <x v="997"/>
  </r>
  <r>
    <x v="35"/>
    <x v="998"/>
    <x v="917"/>
    <x v="917"/>
    <x v="783"/>
    <x v="37"/>
    <x v="1"/>
    <x v="998"/>
  </r>
  <r>
    <x v="41"/>
    <x v="999"/>
    <x v="918"/>
    <x v="918"/>
    <x v="216"/>
    <x v="109"/>
    <x v="5"/>
    <x v="999"/>
  </r>
  <r>
    <x v="3"/>
    <x v="1000"/>
    <x v="919"/>
    <x v="919"/>
    <x v="395"/>
    <x v="38"/>
    <x v="25"/>
    <x v="1000"/>
  </r>
  <r>
    <x v="0"/>
    <x v="1001"/>
    <x v="920"/>
    <x v="920"/>
    <x v="784"/>
    <x v="29"/>
    <x v="74"/>
    <x v="1001"/>
  </r>
  <r>
    <x v="8"/>
    <x v="1002"/>
    <x v="921"/>
    <x v="921"/>
    <x v="785"/>
    <x v="64"/>
    <x v="0"/>
    <x v="1002"/>
  </r>
  <r>
    <x v="12"/>
    <x v="1003"/>
    <x v="922"/>
    <x v="922"/>
    <x v="425"/>
    <x v="35"/>
    <x v="1"/>
    <x v="1003"/>
  </r>
  <r>
    <x v="3"/>
    <x v="1004"/>
    <x v="923"/>
    <x v="923"/>
    <x v="786"/>
    <x v="38"/>
    <x v="12"/>
    <x v="1004"/>
  </r>
  <r>
    <x v="72"/>
    <x v="1005"/>
    <x v="924"/>
    <x v="924"/>
    <x v="483"/>
    <x v="23"/>
    <x v="251"/>
    <x v="1005"/>
  </r>
  <r>
    <x v="12"/>
    <x v="1006"/>
    <x v="925"/>
    <x v="925"/>
    <x v="787"/>
    <x v="12"/>
    <x v="1"/>
    <x v="1006"/>
  </r>
  <r>
    <x v="81"/>
    <x v="1007"/>
    <x v="926"/>
    <x v="926"/>
    <x v="174"/>
    <x v="53"/>
    <x v="1"/>
    <x v="1007"/>
  </r>
  <r>
    <x v="1"/>
    <x v="1008"/>
    <x v="927"/>
    <x v="927"/>
    <x v="788"/>
    <x v="33"/>
    <x v="252"/>
    <x v="1008"/>
  </r>
  <r>
    <x v="1"/>
    <x v="1009"/>
    <x v="928"/>
    <x v="928"/>
    <x v="627"/>
    <x v="44"/>
    <x v="176"/>
    <x v="1009"/>
  </r>
  <r>
    <x v="15"/>
    <x v="1010"/>
    <x v="929"/>
    <x v="929"/>
    <x v="789"/>
    <x v="53"/>
    <x v="253"/>
    <x v="1010"/>
  </r>
  <r>
    <x v="26"/>
    <x v="1011"/>
    <x v="930"/>
    <x v="930"/>
    <x v="790"/>
    <x v="64"/>
    <x v="200"/>
    <x v="1011"/>
  </r>
  <r>
    <x v="49"/>
    <x v="1012"/>
    <x v="931"/>
    <x v="931"/>
    <x v="791"/>
    <x v="53"/>
    <x v="5"/>
    <x v="1012"/>
  </r>
  <r>
    <x v="79"/>
    <x v="1013"/>
    <x v="932"/>
    <x v="932"/>
    <x v="792"/>
    <x v="40"/>
    <x v="0"/>
    <x v="1013"/>
  </r>
  <r>
    <x v="41"/>
    <x v="1014"/>
    <x v="933"/>
    <x v="933"/>
    <x v="112"/>
    <x v="90"/>
    <x v="0"/>
    <x v="1014"/>
  </r>
  <r>
    <x v="8"/>
    <x v="1015"/>
    <x v="934"/>
    <x v="934"/>
    <x v="793"/>
    <x v="64"/>
    <x v="0"/>
    <x v="1015"/>
  </r>
  <r>
    <x v="23"/>
    <x v="1016"/>
    <x v="935"/>
    <x v="935"/>
    <x v="794"/>
    <x v="23"/>
    <x v="164"/>
    <x v="1016"/>
  </r>
  <r>
    <x v="8"/>
    <x v="1017"/>
    <x v="936"/>
    <x v="936"/>
    <x v="795"/>
    <x v="87"/>
    <x v="106"/>
    <x v="1017"/>
  </r>
  <r>
    <x v="19"/>
    <x v="1018"/>
    <x v="936"/>
    <x v="936"/>
    <x v="796"/>
    <x v="38"/>
    <x v="30"/>
    <x v="1018"/>
  </r>
  <r>
    <x v="32"/>
    <x v="1019"/>
    <x v="937"/>
    <x v="937"/>
    <x v="156"/>
    <x v="110"/>
    <x v="0"/>
    <x v="1019"/>
  </r>
  <r>
    <x v="7"/>
    <x v="1020"/>
    <x v="938"/>
    <x v="938"/>
    <x v="797"/>
    <x v="45"/>
    <x v="46"/>
    <x v="1020"/>
  </r>
  <r>
    <x v="8"/>
    <x v="1021"/>
    <x v="939"/>
    <x v="939"/>
    <x v="174"/>
    <x v="84"/>
    <x v="0"/>
    <x v="1021"/>
  </r>
  <r>
    <x v="1"/>
    <x v="1022"/>
    <x v="940"/>
    <x v="940"/>
    <x v="798"/>
    <x v="33"/>
    <x v="254"/>
    <x v="1022"/>
  </r>
  <r>
    <x v="79"/>
    <x v="1023"/>
    <x v="941"/>
    <x v="941"/>
    <x v="370"/>
    <x v="18"/>
    <x v="2"/>
    <x v="1023"/>
  </r>
  <r>
    <x v="82"/>
    <x v="1024"/>
    <x v="942"/>
    <x v="942"/>
    <x v="799"/>
    <x v="23"/>
    <x v="189"/>
    <x v="1024"/>
  </r>
  <r>
    <x v="15"/>
    <x v="1025"/>
    <x v="943"/>
    <x v="943"/>
    <x v="800"/>
    <x v="29"/>
    <x v="137"/>
    <x v="1025"/>
  </r>
  <r>
    <x v="12"/>
    <x v="1026"/>
    <x v="944"/>
    <x v="944"/>
    <x v="720"/>
    <x v="10"/>
    <x v="5"/>
    <x v="1026"/>
  </r>
  <r>
    <x v="17"/>
    <x v="1027"/>
    <x v="944"/>
    <x v="944"/>
    <x v="478"/>
    <x v="111"/>
    <x v="255"/>
    <x v="1027"/>
  </r>
  <r>
    <x v="51"/>
    <x v="1028"/>
    <x v="945"/>
    <x v="945"/>
    <x v="787"/>
    <x v="61"/>
    <x v="0"/>
    <x v="1028"/>
  </r>
  <r>
    <x v="51"/>
    <x v="1029"/>
    <x v="946"/>
    <x v="946"/>
    <x v="801"/>
    <x v="109"/>
    <x v="17"/>
    <x v="1029"/>
  </r>
  <r>
    <x v="14"/>
    <x v="1030"/>
    <x v="947"/>
    <x v="947"/>
    <x v="802"/>
    <x v="18"/>
    <x v="68"/>
    <x v="1030"/>
  </r>
  <r>
    <x v="27"/>
    <x v="1031"/>
    <x v="948"/>
    <x v="948"/>
    <x v="328"/>
    <x v="14"/>
    <x v="23"/>
    <x v="1031"/>
  </r>
  <r>
    <x v="8"/>
    <x v="1032"/>
    <x v="949"/>
    <x v="949"/>
    <x v="803"/>
    <x v="64"/>
    <x v="0"/>
    <x v="1032"/>
  </r>
  <r>
    <x v="17"/>
    <x v="1033"/>
    <x v="950"/>
    <x v="950"/>
    <x v="804"/>
    <x v="85"/>
    <x v="256"/>
    <x v="1033"/>
  </r>
  <r>
    <x v="1"/>
    <x v="1034"/>
    <x v="951"/>
    <x v="951"/>
    <x v="805"/>
    <x v="18"/>
    <x v="257"/>
    <x v="1034"/>
  </r>
  <r>
    <x v="15"/>
    <x v="1035"/>
    <x v="952"/>
    <x v="952"/>
    <x v="703"/>
    <x v="29"/>
    <x v="33"/>
    <x v="1035"/>
  </r>
  <r>
    <x v="7"/>
    <x v="1036"/>
    <x v="953"/>
    <x v="953"/>
    <x v="806"/>
    <x v="53"/>
    <x v="209"/>
    <x v="1036"/>
  </r>
  <r>
    <x v="3"/>
    <x v="1037"/>
    <x v="954"/>
    <x v="954"/>
    <x v="807"/>
    <x v="21"/>
    <x v="7"/>
    <x v="1037"/>
  </r>
  <r>
    <x v="3"/>
    <x v="1038"/>
    <x v="955"/>
    <x v="955"/>
    <x v="808"/>
    <x v="71"/>
    <x v="198"/>
    <x v="1038"/>
  </r>
  <r>
    <x v="3"/>
    <x v="1039"/>
    <x v="956"/>
    <x v="956"/>
    <x v="809"/>
    <x v="103"/>
    <x v="0"/>
    <x v="1039"/>
  </r>
  <r>
    <x v="8"/>
    <x v="1040"/>
    <x v="957"/>
    <x v="957"/>
    <x v="810"/>
    <x v="87"/>
    <x v="82"/>
    <x v="1040"/>
  </r>
  <r>
    <x v="8"/>
    <x v="1041"/>
    <x v="957"/>
    <x v="957"/>
    <x v="554"/>
    <x v="41"/>
    <x v="0"/>
    <x v="1041"/>
  </r>
  <r>
    <x v="0"/>
    <x v="1042"/>
    <x v="958"/>
    <x v="958"/>
    <x v="60"/>
    <x v="12"/>
    <x v="1"/>
    <x v="1042"/>
  </r>
  <r>
    <x v="28"/>
    <x v="1043"/>
    <x v="959"/>
    <x v="959"/>
    <x v="811"/>
    <x v="69"/>
    <x v="258"/>
    <x v="1043"/>
  </r>
  <r>
    <x v="24"/>
    <x v="1044"/>
    <x v="960"/>
    <x v="960"/>
    <x v="360"/>
    <x v="38"/>
    <x v="0"/>
    <x v="1044"/>
  </r>
  <r>
    <x v="17"/>
    <x v="1045"/>
    <x v="961"/>
    <x v="961"/>
    <x v="812"/>
    <x v="100"/>
    <x v="259"/>
    <x v="1045"/>
  </r>
  <r>
    <x v="17"/>
    <x v="1046"/>
    <x v="962"/>
    <x v="962"/>
    <x v="813"/>
    <x v="28"/>
    <x v="260"/>
    <x v="1046"/>
  </r>
  <r>
    <x v="8"/>
    <x v="1047"/>
    <x v="963"/>
    <x v="963"/>
    <x v="814"/>
    <x v="87"/>
    <x v="93"/>
    <x v="1047"/>
  </r>
  <r>
    <x v="11"/>
    <x v="1048"/>
    <x v="964"/>
    <x v="964"/>
    <x v="297"/>
    <x v="108"/>
    <x v="49"/>
    <x v="1048"/>
  </r>
  <r>
    <x v="17"/>
    <x v="1049"/>
    <x v="965"/>
    <x v="965"/>
    <x v="722"/>
    <x v="60"/>
    <x v="261"/>
    <x v="1049"/>
  </r>
  <r>
    <x v="41"/>
    <x v="1050"/>
    <x v="966"/>
    <x v="966"/>
    <x v="815"/>
    <x v="54"/>
    <x v="0"/>
    <x v="1050"/>
  </r>
  <r>
    <x v="17"/>
    <x v="1051"/>
    <x v="967"/>
    <x v="967"/>
    <x v="816"/>
    <x v="107"/>
    <x v="85"/>
    <x v="1051"/>
  </r>
  <r>
    <x v="41"/>
    <x v="1052"/>
    <x v="968"/>
    <x v="968"/>
    <x v="817"/>
    <x v="90"/>
    <x v="7"/>
    <x v="1052"/>
  </r>
  <r>
    <x v="8"/>
    <x v="1053"/>
    <x v="969"/>
    <x v="969"/>
    <x v="99"/>
    <x v="64"/>
    <x v="0"/>
    <x v="1053"/>
  </r>
  <r>
    <x v="70"/>
    <x v="1054"/>
    <x v="970"/>
    <x v="970"/>
    <x v="550"/>
    <x v="73"/>
    <x v="44"/>
    <x v="1054"/>
  </r>
  <r>
    <x v="34"/>
    <x v="1055"/>
    <x v="971"/>
    <x v="971"/>
    <x v="818"/>
    <x v="21"/>
    <x v="2"/>
    <x v="1055"/>
  </r>
  <r>
    <x v="17"/>
    <x v="1056"/>
    <x v="972"/>
    <x v="972"/>
    <x v="819"/>
    <x v="105"/>
    <x v="262"/>
    <x v="1056"/>
  </r>
  <r>
    <x v="1"/>
    <x v="1057"/>
    <x v="973"/>
    <x v="973"/>
    <x v="236"/>
    <x v="24"/>
    <x v="263"/>
    <x v="1057"/>
  </r>
  <r>
    <x v="79"/>
    <x v="1058"/>
    <x v="974"/>
    <x v="974"/>
    <x v="20"/>
    <x v="49"/>
    <x v="1"/>
    <x v="1058"/>
  </r>
  <r>
    <x v="1"/>
    <x v="1059"/>
    <x v="975"/>
    <x v="975"/>
    <x v="820"/>
    <x v="24"/>
    <x v="264"/>
    <x v="1059"/>
  </r>
  <r>
    <x v="3"/>
    <x v="1060"/>
    <x v="976"/>
    <x v="976"/>
    <x v="192"/>
    <x v="17"/>
    <x v="55"/>
    <x v="1060"/>
  </r>
  <r>
    <x v="41"/>
    <x v="1061"/>
    <x v="977"/>
    <x v="977"/>
    <x v="748"/>
    <x v="90"/>
    <x v="0"/>
    <x v="1061"/>
  </r>
  <r>
    <x v="47"/>
    <x v="1062"/>
    <x v="978"/>
    <x v="978"/>
    <x v="821"/>
    <x v="5"/>
    <x v="7"/>
    <x v="1062"/>
  </r>
  <r>
    <x v="1"/>
    <x v="1063"/>
    <x v="979"/>
    <x v="979"/>
    <x v="822"/>
    <x v="14"/>
    <x v="265"/>
    <x v="1063"/>
  </r>
  <r>
    <x v="1"/>
    <x v="1064"/>
    <x v="980"/>
    <x v="980"/>
    <x v="165"/>
    <x v="65"/>
    <x v="35"/>
    <x v="1064"/>
  </r>
  <r>
    <x v="8"/>
    <x v="1065"/>
    <x v="981"/>
    <x v="981"/>
    <x v="752"/>
    <x v="64"/>
    <x v="0"/>
    <x v="1065"/>
  </r>
  <r>
    <x v="13"/>
    <x v="1066"/>
    <x v="982"/>
    <x v="982"/>
    <x v="141"/>
    <x v="34"/>
    <x v="9"/>
    <x v="1066"/>
  </r>
  <r>
    <x v="1"/>
    <x v="1067"/>
    <x v="983"/>
    <x v="983"/>
    <x v="823"/>
    <x v="18"/>
    <x v="126"/>
    <x v="1067"/>
  </r>
  <r>
    <x v="64"/>
    <x v="1068"/>
    <x v="984"/>
    <x v="984"/>
    <x v="705"/>
    <x v="87"/>
    <x v="54"/>
    <x v="1068"/>
  </r>
  <r>
    <x v="0"/>
    <x v="1069"/>
    <x v="985"/>
    <x v="985"/>
    <x v="824"/>
    <x v="49"/>
    <x v="5"/>
    <x v="1069"/>
  </r>
  <r>
    <x v="11"/>
    <x v="1070"/>
    <x v="986"/>
    <x v="986"/>
    <x v="825"/>
    <x v="38"/>
    <x v="266"/>
    <x v="1070"/>
  </r>
  <r>
    <x v="15"/>
    <x v="1071"/>
    <x v="987"/>
    <x v="987"/>
    <x v="567"/>
    <x v="75"/>
    <x v="100"/>
    <x v="1071"/>
  </r>
  <r>
    <x v="63"/>
    <x v="1072"/>
    <x v="988"/>
    <x v="988"/>
    <x v="826"/>
    <x v="45"/>
    <x v="1"/>
    <x v="1072"/>
  </r>
  <r>
    <x v="65"/>
    <x v="1073"/>
    <x v="989"/>
    <x v="989"/>
    <x v="426"/>
    <x v="71"/>
    <x v="2"/>
    <x v="1073"/>
  </r>
  <r>
    <x v="65"/>
    <x v="1074"/>
    <x v="990"/>
    <x v="990"/>
    <x v="827"/>
    <x v="39"/>
    <x v="1"/>
    <x v="1074"/>
  </r>
  <r>
    <x v="12"/>
    <x v="1075"/>
    <x v="991"/>
    <x v="991"/>
    <x v="612"/>
    <x v="104"/>
    <x v="0"/>
    <x v="1075"/>
  </r>
  <r>
    <x v="32"/>
    <x v="1076"/>
    <x v="992"/>
    <x v="992"/>
    <x v="828"/>
    <x v="112"/>
    <x v="267"/>
    <x v="1076"/>
  </r>
  <r>
    <x v="15"/>
    <x v="1077"/>
    <x v="993"/>
    <x v="993"/>
    <x v="829"/>
    <x v="29"/>
    <x v="268"/>
    <x v="1077"/>
  </r>
  <r>
    <x v="15"/>
    <x v="1078"/>
    <x v="994"/>
    <x v="994"/>
    <x v="830"/>
    <x v="24"/>
    <x v="269"/>
    <x v="1078"/>
  </r>
  <r>
    <x v="41"/>
    <x v="1079"/>
    <x v="995"/>
    <x v="995"/>
    <x v="831"/>
    <x v="90"/>
    <x v="0"/>
    <x v="1079"/>
  </r>
  <r>
    <x v="24"/>
    <x v="1080"/>
    <x v="995"/>
    <x v="995"/>
    <x v="832"/>
    <x v="53"/>
    <x v="2"/>
    <x v="1080"/>
  </r>
  <r>
    <x v="41"/>
    <x v="1081"/>
    <x v="996"/>
    <x v="996"/>
    <x v="501"/>
    <x v="90"/>
    <x v="0"/>
    <x v="1081"/>
  </r>
  <r>
    <x v="30"/>
    <x v="1082"/>
    <x v="997"/>
    <x v="997"/>
    <x v="89"/>
    <x v="17"/>
    <x v="7"/>
    <x v="1082"/>
  </r>
  <r>
    <x v="8"/>
    <x v="1083"/>
    <x v="998"/>
    <x v="998"/>
    <x v="631"/>
    <x v="16"/>
    <x v="270"/>
    <x v="1083"/>
  </r>
  <r>
    <x v="3"/>
    <x v="1084"/>
    <x v="999"/>
    <x v="999"/>
    <x v="833"/>
    <x v="17"/>
    <x v="271"/>
    <x v="1084"/>
  </r>
  <r>
    <x v="83"/>
    <x v="1085"/>
    <x v="1000"/>
    <x v="1000"/>
    <x v="834"/>
    <x v="86"/>
    <x v="0"/>
    <x v="1085"/>
  </r>
  <r>
    <x v="84"/>
    <x v="1086"/>
    <x v="1001"/>
    <x v="1001"/>
    <x v="267"/>
    <x v="49"/>
    <x v="88"/>
    <x v="1086"/>
  </r>
  <r>
    <x v="26"/>
    <x v="1087"/>
    <x v="1002"/>
    <x v="1002"/>
    <x v="835"/>
    <x v="23"/>
    <x v="0"/>
    <x v="1087"/>
  </r>
  <r>
    <x v="13"/>
    <x v="1088"/>
    <x v="1003"/>
    <x v="1003"/>
    <x v="836"/>
    <x v="10"/>
    <x v="2"/>
    <x v="1088"/>
  </r>
  <r>
    <x v="1"/>
    <x v="1089"/>
    <x v="1004"/>
    <x v="1004"/>
    <x v="837"/>
    <x v="15"/>
    <x v="5"/>
    <x v="1089"/>
  </r>
  <r>
    <x v="8"/>
    <x v="1090"/>
    <x v="1005"/>
    <x v="1005"/>
    <x v="838"/>
    <x v="87"/>
    <x v="18"/>
    <x v="1090"/>
  </r>
  <r>
    <x v="71"/>
    <x v="1091"/>
    <x v="1006"/>
    <x v="1006"/>
    <x v="620"/>
    <x v="23"/>
    <x v="17"/>
    <x v="1091"/>
  </r>
  <r>
    <x v="17"/>
    <x v="1092"/>
    <x v="1007"/>
    <x v="1007"/>
    <x v="839"/>
    <x v="53"/>
    <x v="272"/>
    <x v="1092"/>
  </r>
  <r>
    <x v="41"/>
    <x v="1093"/>
    <x v="1008"/>
    <x v="1008"/>
    <x v="490"/>
    <x v="39"/>
    <x v="0"/>
    <x v="1093"/>
  </r>
  <r>
    <x v="8"/>
    <x v="1094"/>
    <x v="1009"/>
    <x v="1009"/>
    <x v="229"/>
    <x v="87"/>
    <x v="99"/>
    <x v="1094"/>
  </r>
  <r>
    <x v="72"/>
    <x v="1095"/>
    <x v="1010"/>
    <x v="1010"/>
    <x v="752"/>
    <x v="15"/>
    <x v="5"/>
    <x v="1095"/>
  </r>
  <r>
    <x v="7"/>
    <x v="1096"/>
    <x v="1011"/>
    <x v="1011"/>
    <x v="336"/>
    <x v="113"/>
    <x v="273"/>
    <x v="1096"/>
  </r>
  <r>
    <x v="7"/>
    <x v="1097"/>
    <x v="1012"/>
    <x v="1012"/>
    <x v="840"/>
    <x v="73"/>
    <x v="219"/>
    <x v="1097"/>
  </r>
  <r>
    <x v="7"/>
    <x v="1098"/>
    <x v="1013"/>
    <x v="1013"/>
    <x v="841"/>
    <x v="51"/>
    <x v="192"/>
    <x v="1098"/>
  </r>
  <r>
    <x v="17"/>
    <x v="1099"/>
    <x v="1014"/>
    <x v="1014"/>
    <x v="842"/>
    <x v="114"/>
    <x v="274"/>
    <x v="1099"/>
  </r>
  <r>
    <x v="24"/>
    <x v="1100"/>
    <x v="1015"/>
    <x v="1015"/>
    <x v="843"/>
    <x v="115"/>
    <x v="0"/>
    <x v="1100"/>
  </r>
  <r>
    <x v="16"/>
    <x v="1101"/>
    <x v="1015"/>
    <x v="1015"/>
    <x v="154"/>
    <x v="17"/>
    <x v="54"/>
    <x v="1101"/>
  </r>
  <r>
    <x v="85"/>
    <x v="1102"/>
    <x v="1016"/>
    <x v="1016"/>
    <x v="844"/>
    <x v="41"/>
    <x v="1"/>
    <x v="1102"/>
  </r>
  <r>
    <x v="7"/>
    <x v="1103"/>
    <x v="1017"/>
    <x v="1017"/>
    <x v="845"/>
    <x v="57"/>
    <x v="178"/>
    <x v="1103"/>
  </r>
  <r>
    <x v="15"/>
    <x v="1104"/>
    <x v="1018"/>
    <x v="1018"/>
    <x v="846"/>
    <x v="24"/>
    <x v="275"/>
    <x v="1104"/>
  </r>
  <r>
    <x v="27"/>
    <x v="1105"/>
    <x v="1019"/>
    <x v="1019"/>
    <x v="847"/>
    <x v="44"/>
    <x v="14"/>
    <x v="1105"/>
  </r>
  <r>
    <x v="1"/>
    <x v="1106"/>
    <x v="1020"/>
    <x v="1020"/>
    <x v="848"/>
    <x v="24"/>
    <x v="216"/>
    <x v="1106"/>
  </r>
  <r>
    <x v="21"/>
    <x v="1107"/>
    <x v="1021"/>
    <x v="1021"/>
    <x v="349"/>
    <x v="21"/>
    <x v="10"/>
    <x v="1107"/>
  </r>
  <r>
    <x v="25"/>
    <x v="1108"/>
    <x v="1022"/>
    <x v="1022"/>
    <x v="174"/>
    <x v="33"/>
    <x v="6"/>
    <x v="1108"/>
  </r>
  <r>
    <x v="0"/>
    <x v="1109"/>
    <x v="1023"/>
    <x v="1023"/>
    <x v="611"/>
    <x v="17"/>
    <x v="166"/>
    <x v="1109"/>
  </r>
  <r>
    <x v="12"/>
    <x v="1110"/>
    <x v="1024"/>
    <x v="1024"/>
    <x v="479"/>
    <x v="62"/>
    <x v="18"/>
    <x v="1110"/>
  </r>
  <r>
    <x v="13"/>
    <x v="1111"/>
    <x v="1025"/>
    <x v="1025"/>
    <x v="764"/>
    <x v="34"/>
    <x v="9"/>
    <x v="1111"/>
  </r>
  <r>
    <x v="1"/>
    <x v="1112"/>
    <x v="1026"/>
    <x v="1026"/>
    <x v="849"/>
    <x v="33"/>
    <x v="276"/>
    <x v="1112"/>
  </r>
  <r>
    <x v="8"/>
    <x v="1113"/>
    <x v="1027"/>
    <x v="1027"/>
    <x v="850"/>
    <x v="64"/>
    <x v="0"/>
    <x v="1113"/>
  </r>
  <r>
    <x v="41"/>
    <x v="1114"/>
    <x v="1028"/>
    <x v="1028"/>
    <x v="851"/>
    <x v="64"/>
    <x v="3"/>
    <x v="1114"/>
  </r>
  <r>
    <x v="86"/>
    <x v="1115"/>
    <x v="1029"/>
    <x v="1029"/>
    <x v="852"/>
    <x v="38"/>
    <x v="277"/>
    <x v="1115"/>
  </r>
  <r>
    <x v="14"/>
    <x v="1116"/>
    <x v="1030"/>
    <x v="1030"/>
    <x v="853"/>
    <x v="63"/>
    <x v="24"/>
    <x v="1116"/>
  </r>
  <r>
    <x v="63"/>
    <x v="1117"/>
    <x v="1031"/>
    <x v="1031"/>
    <x v="854"/>
    <x v="33"/>
    <x v="3"/>
    <x v="1117"/>
  </r>
  <r>
    <x v="28"/>
    <x v="1118"/>
    <x v="1032"/>
    <x v="1032"/>
    <x v="649"/>
    <x v="62"/>
    <x v="278"/>
    <x v="1118"/>
  </r>
  <r>
    <x v="41"/>
    <x v="1119"/>
    <x v="1033"/>
    <x v="1033"/>
    <x v="370"/>
    <x v="90"/>
    <x v="0"/>
    <x v="1119"/>
  </r>
  <r>
    <x v="33"/>
    <x v="1120"/>
    <x v="1034"/>
    <x v="1034"/>
    <x v="855"/>
    <x v="23"/>
    <x v="151"/>
    <x v="1120"/>
  </r>
  <r>
    <x v="22"/>
    <x v="1121"/>
    <x v="1035"/>
    <x v="1035"/>
    <x v="856"/>
    <x v="47"/>
    <x v="279"/>
    <x v="1121"/>
  </r>
  <r>
    <x v="3"/>
    <x v="1122"/>
    <x v="1036"/>
    <x v="1036"/>
    <x v="857"/>
    <x v="53"/>
    <x v="1"/>
    <x v="1122"/>
  </r>
  <r>
    <x v="17"/>
    <x v="1123"/>
    <x v="1037"/>
    <x v="1037"/>
    <x v="858"/>
    <x v="110"/>
    <x v="280"/>
    <x v="1123"/>
  </r>
  <r>
    <x v="64"/>
    <x v="1124"/>
    <x v="1038"/>
    <x v="1038"/>
    <x v="0"/>
    <x v="23"/>
    <x v="54"/>
    <x v="1124"/>
  </r>
  <r>
    <x v="7"/>
    <x v="1125"/>
    <x v="1039"/>
    <x v="1039"/>
    <x v="808"/>
    <x v="62"/>
    <x v="9"/>
    <x v="1125"/>
  </r>
  <r>
    <x v="8"/>
    <x v="1126"/>
    <x v="1040"/>
    <x v="1040"/>
    <x v="859"/>
    <x v="64"/>
    <x v="0"/>
    <x v="1126"/>
  </r>
  <r>
    <x v="24"/>
    <x v="1127"/>
    <x v="1041"/>
    <x v="1041"/>
    <x v="860"/>
    <x v="116"/>
    <x v="99"/>
    <x v="1127"/>
  </r>
  <r>
    <x v="41"/>
    <x v="1128"/>
    <x v="1042"/>
    <x v="1042"/>
    <x v="440"/>
    <x v="90"/>
    <x v="0"/>
    <x v="1128"/>
  </r>
  <r>
    <x v="32"/>
    <x v="1129"/>
    <x v="1043"/>
    <x v="1043"/>
    <x v="861"/>
    <x v="110"/>
    <x v="9"/>
    <x v="1129"/>
  </r>
  <r>
    <x v="87"/>
    <x v="1130"/>
    <x v="1044"/>
    <x v="1044"/>
    <x v="329"/>
    <x v="16"/>
    <x v="13"/>
    <x v="1130"/>
  </r>
  <r>
    <x v="41"/>
    <x v="1131"/>
    <x v="1045"/>
    <x v="1045"/>
    <x v="862"/>
    <x v="16"/>
    <x v="56"/>
    <x v="1131"/>
  </r>
  <r>
    <x v="32"/>
    <x v="1132"/>
    <x v="1046"/>
    <x v="1046"/>
    <x v="863"/>
    <x v="60"/>
    <x v="1"/>
    <x v="1132"/>
  </r>
  <r>
    <x v="12"/>
    <x v="1133"/>
    <x v="1047"/>
    <x v="1047"/>
    <x v="864"/>
    <x v="62"/>
    <x v="138"/>
    <x v="1133"/>
  </r>
  <r>
    <x v="70"/>
    <x v="1134"/>
    <x v="1048"/>
    <x v="1048"/>
    <x v="865"/>
    <x v="22"/>
    <x v="0"/>
    <x v="1134"/>
  </r>
  <r>
    <x v="8"/>
    <x v="1135"/>
    <x v="1048"/>
    <x v="1048"/>
    <x v="547"/>
    <x v="64"/>
    <x v="0"/>
    <x v="1135"/>
  </r>
  <r>
    <x v="1"/>
    <x v="1136"/>
    <x v="1049"/>
    <x v="1049"/>
    <x v="866"/>
    <x v="65"/>
    <x v="211"/>
    <x v="1136"/>
  </r>
  <r>
    <x v="31"/>
    <x v="1137"/>
    <x v="1050"/>
    <x v="1050"/>
    <x v="867"/>
    <x v="117"/>
    <x v="33"/>
    <x v="1137"/>
  </r>
  <r>
    <x v="1"/>
    <x v="1138"/>
    <x v="1051"/>
    <x v="1051"/>
    <x v="868"/>
    <x v="12"/>
    <x v="8"/>
    <x v="1138"/>
  </r>
  <r>
    <x v="41"/>
    <x v="1139"/>
    <x v="1052"/>
    <x v="1052"/>
    <x v="512"/>
    <x v="90"/>
    <x v="7"/>
    <x v="1139"/>
  </r>
  <r>
    <x v="8"/>
    <x v="1140"/>
    <x v="1053"/>
    <x v="1053"/>
    <x v="869"/>
    <x v="64"/>
    <x v="0"/>
    <x v="1140"/>
  </r>
  <r>
    <x v="41"/>
    <x v="1141"/>
    <x v="1054"/>
    <x v="1054"/>
    <x v="322"/>
    <x v="90"/>
    <x v="0"/>
    <x v="1141"/>
  </r>
  <r>
    <x v="15"/>
    <x v="1142"/>
    <x v="1055"/>
    <x v="1055"/>
    <x v="870"/>
    <x v="23"/>
    <x v="1"/>
    <x v="1142"/>
  </r>
  <r>
    <x v="26"/>
    <x v="1143"/>
    <x v="1056"/>
    <x v="1056"/>
    <x v="355"/>
    <x v="85"/>
    <x v="7"/>
    <x v="1143"/>
  </r>
  <r>
    <x v="41"/>
    <x v="1144"/>
    <x v="1057"/>
    <x v="1057"/>
    <x v="527"/>
    <x v="90"/>
    <x v="0"/>
    <x v="1144"/>
  </r>
  <r>
    <x v="41"/>
    <x v="1145"/>
    <x v="1058"/>
    <x v="1058"/>
    <x v="478"/>
    <x v="90"/>
    <x v="0"/>
    <x v="1145"/>
  </r>
  <r>
    <x v="88"/>
    <x v="1146"/>
    <x v="1059"/>
    <x v="1059"/>
    <x v="174"/>
    <x v="118"/>
    <x v="1"/>
    <x v="1146"/>
  </r>
  <r>
    <x v="65"/>
    <x v="1147"/>
    <x v="1060"/>
    <x v="1060"/>
    <x v="174"/>
    <x v="39"/>
    <x v="1"/>
    <x v="1147"/>
  </r>
  <r>
    <x v="34"/>
    <x v="1148"/>
    <x v="1061"/>
    <x v="1061"/>
    <x v="871"/>
    <x v="0"/>
    <x v="69"/>
    <x v="1148"/>
  </r>
  <r>
    <x v="89"/>
    <x v="1149"/>
    <x v="1062"/>
    <x v="1062"/>
    <x v="872"/>
    <x v="45"/>
    <x v="272"/>
    <x v="1149"/>
  </r>
  <r>
    <x v="8"/>
    <x v="1150"/>
    <x v="1063"/>
    <x v="1063"/>
    <x v="873"/>
    <x v="53"/>
    <x v="281"/>
    <x v="1150"/>
  </r>
  <r>
    <x v="7"/>
    <x v="1151"/>
    <x v="1064"/>
    <x v="1064"/>
    <x v="874"/>
    <x v="90"/>
    <x v="282"/>
    <x v="1151"/>
  </r>
  <r>
    <x v="60"/>
    <x v="1152"/>
    <x v="1065"/>
    <x v="1065"/>
    <x v="598"/>
    <x v="74"/>
    <x v="74"/>
    <x v="1152"/>
  </r>
  <r>
    <x v="41"/>
    <x v="1153"/>
    <x v="1066"/>
    <x v="1066"/>
    <x v="875"/>
    <x v="93"/>
    <x v="0"/>
    <x v="1153"/>
  </r>
  <r>
    <x v="14"/>
    <x v="1154"/>
    <x v="1067"/>
    <x v="1067"/>
    <x v="876"/>
    <x v="33"/>
    <x v="33"/>
    <x v="1154"/>
  </r>
  <r>
    <x v="8"/>
    <x v="1155"/>
    <x v="1068"/>
    <x v="1068"/>
    <x v="174"/>
    <x v="84"/>
    <x v="0"/>
    <x v="1155"/>
  </r>
  <r>
    <x v="8"/>
    <x v="1156"/>
    <x v="1069"/>
    <x v="1069"/>
    <x v="877"/>
    <x v="87"/>
    <x v="152"/>
    <x v="1156"/>
  </r>
  <r>
    <x v="81"/>
    <x v="1157"/>
    <x v="1070"/>
    <x v="1070"/>
    <x v="878"/>
    <x v="33"/>
    <x v="6"/>
    <x v="1157"/>
  </r>
  <r>
    <x v="45"/>
    <x v="1158"/>
    <x v="1071"/>
    <x v="1071"/>
    <x v="631"/>
    <x v="21"/>
    <x v="283"/>
    <x v="1158"/>
  </r>
  <r>
    <x v="15"/>
    <x v="1159"/>
    <x v="1072"/>
    <x v="1072"/>
    <x v="879"/>
    <x v="29"/>
    <x v="284"/>
    <x v="1159"/>
  </r>
  <r>
    <x v="12"/>
    <x v="1160"/>
    <x v="1073"/>
    <x v="1073"/>
    <x v="880"/>
    <x v="62"/>
    <x v="197"/>
    <x v="1160"/>
  </r>
  <r>
    <x v="17"/>
    <x v="1161"/>
    <x v="1074"/>
    <x v="1074"/>
    <x v="881"/>
    <x v="100"/>
    <x v="285"/>
    <x v="1161"/>
  </r>
  <r>
    <x v="17"/>
    <x v="1162"/>
    <x v="1075"/>
    <x v="1075"/>
    <x v="882"/>
    <x v="56"/>
    <x v="286"/>
    <x v="1162"/>
  </r>
  <r>
    <x v="1"/>
    <x v="1163"/>
    <x v="1076"/>
    <x v="1076"/>
    <x v="546"/>
    <x v="46"/>
    <x v="93"/>
    <x v="1163"/>
  </r>
  <r>
    <x v="41"/>
    <x v="1164"/>
    <x v="1077"/>
    <x v="1077"/>
    <x v="883"/>
    <x v="90"/>
    <x v="0"/>
    <x v="1164"/>
  </r>
  <r>
    <x v="18"/>
    <x v="1165"/>
    <x v="1078"/>
    <x v="1078"/>
    <x v="884"/>
    <x v="20"/>
    <x v="2"/>
    <x v="1165"/>
  </r>
  <r>
    <x v="36"/>
    <x v="1166"/>
    <x v="1079"/>
    <x v="1079"/>
    <x v="885"/>
    <x v="25"/>
    <x v="164"/>
    <x v="1166"/>
  </r>
  <r>
    <x v="12"/>
    <x v="1167"/>
    <x v="1080"/>
    <x v="1080"/>
    <x v="886"/>
    <x v="62"/>
    <x v="66"/>
    <x v="1167"/>
  </r>
  <r>
    <x v="3"/>
    <x v="1168"/>
    <x v="1081"/>
    <x v="1081"/>
    <x v="808"/>
    <x v="25"/>
    <x v="0"/>
    <x v="1168"/>
  </r>
  <r>
    <x v="10"/>
    <x v="1169"/>
    <x v="1082"/>
    <x v="1082"/>
    <x v="887"/>
    <x v="57"/>
    <x v="287"/>
    <x v="1169"/>
  </r>
  <r>
    <x v="62"/>
    <x v="1170"/>
    <x v="1083"/>
    <x v="1083"/>
    <x v="888"/>
    <x v="27"/>
    <x v="0"/>
    <x v="1170"/>
  </r>
  <r>
    <x v="64"/>
    <x v="1171"/>
    <x v="1084"/>
    <x v="1084"/>
    <x v="889"/>
    <x v="64"/>
    <x v="163"/>
    <x v="1171"/>
  </r>
  <r>
    <x v="11"/>
    <x v="1172"/>
    <x v="1085"/>
    <x v="1085"/>
    <x v="210"/>
    <x v="39"/>
    <x v="288"/>
    <x v="1172"/>
  </r>
  <r>
    <x v="17"/>
    <x v="1173"/>
    <x v="1086"/>
    <x v="1086"/>
    <x v="890"/>
    <x v="94"/>
    <x v="289"/>
    <x v="1173"/>
  </r>
  <r>
    <x v="32"/>
    <x v="1174"/>
    <x v="1087"/>
    <x v="1087"/>
    <x v="891"/>
    <x v="43"/>
    <x v="0"/>
    <x v="1174"/>
  </r>
  <r>
    <x v="58"/>
    <x v="1175"/>
    <x v="1088"/>
    <x v="1088"/>
    <x v="892"/>
    <x v="69"/>
    <x v="17"/>
    <x v="1175"/>
  </r>
  <r>
    <x v="90"/>
    <x v="1176"/>
    <x v="1089"/>
    <x v="1089"/>
    <x v="893"/>
    <x v="64"/>
    <x v="23"/>
    <x v="1176"/>
  </r>
  <r>
    <x v="91"/>
    <x v="1177"/>
    <x v="1090"/>
    <x v="1090"/>
    <x v="174"/>
    <x v="31"/>
    <x v="0"/>
    <x v="1177"/>
  </r>
  <r>
    <x v="17"/>
    <x v="1178"/>
    <x v="1091"/>
    <x v="1091"/>
    <x v="541"/>
    <x v="94"/>
    <x v="280"/>
    <x v="1178"/>
  </r>
  <r>
    <x v="3"/>
    <x v="1179"/>
    <x v="1092"/>
    <x v="1092"/>
    <x v="894"/>
    <x v="67"/>
    <x v="290"/>
    <x v="1179"/>
  </r>
  <r>
    <x v="41"/>
    <x v="1180"/>
    <x v="1093"/>
    <x v="1093"/>
    <x v="527"/>
    <x v="79"/>
    <x v="3"/>
    <x v="1180"/>
  </r>
  <r>
    <x v="10"/>
    <x v="1181"/>
    <x v="1094"/>
    <x v="1094"/>
    <x v="823"/>
    <x v="12"/>
    <x v="0"/>
    <x v="1181"/>
  </r>
  <r>
    <x v="29"/>
    <x v="1182"/>
    <x v="1095"/>
    <x v="1095"/>
    <x v="416"/>
    <x v="49"/>
    <x v="57"/>
    <x v="1182"/>
  </r>
  <r>
    <x v="17"/>
    <x v="1183"/>
    <x v="1096"/>
    <x v="1096"/>
    <x v="895"/>
    <x v="68"/>
    <x v="85"/>
    <x v="1183"/>
  </r>
  <r>
    <x v="34"/>
    <x v="1184"/>
    <x v="1097"/>
    <x v="1097"/>
    <x v="577"/>
    <x v="49"/>
    <x v="8"/>
    <x v="1184"/>
  </r>
  <r>
    <x v="70"/>
    <x v="1185"/>
    <x v="1098"/>
    <x v="1098"/>
    <x v="355"/>
    <x v="22"/>
    <x v="7"/>
    <x v="1185"/>
  </r>
  <r>
    <x v="26"/>
    <x v="1186"/>
    <x v="1099"/>
    <x v="1099"/>
    <x v="13"/>
    <x v="87"/>
    <x v="48"/>
    <x v="1186"/>
  </r>
  <r>
    <x v="7"/>
    <x v="1187"/>
    <x v="1099"/>
    <x v="1099"/>
    <x v="303"/>
    <x v="63"/>
    <x v="1"/>
    <x v="1187"/>
  </r>
  <r>
    <x v="92"/>
    <x v="1188"/>
    <x v="1100"/>
    <x v="1100"/>
    <x v="51"/>
    <x v="63"/>
    <x v="4"/>
    <x v="1188"/>
  </r>
  <r>
    <x v="0"/>
    <x v="1189"/>
    <x v="1101"/>
    <x v="1101"/>
    <x v="432"/>
    <x v="49"/>
    <x v="99"/>
    <x v="1189"/>
  </r>
  <r>
    <x v="14"/>
    <x v="1190"/>
    <x v="1102"/>
    <x v="1102"/>
    <x v="896"/>
    <x v="33"/>
    <x v="157"/>
    <x v="1190"/>
  </r>
  <r>
    <x v="1"/>
    <x v="1191"/>
    <x v="1103"/>
    <x v="1103"/>
    <x v="897"/>
    <x v="46"/>
    <x v="275"/>
    <x v="1191"/>
  </r>
  <r>
    <x v="15"/>
    <x v="1192"/>
    <x v="1104"/>
    <x v="1104"/>
    <x v="898"/>
    <x v="38"/>
    <x v="0"/>
    <x v="1192"/>
  </r>
  <r>
    <x v="49"/>
    <x v="1193"/>
    <x v="1105"/>
    <x v="1105"/>
    <x v="899"/>
    <x v="33"/>
    <x v="2"/>
    <x v="1193"/>
  </r>
  <r>
    <x v="17"/>
    <x v="1194"/>
    <x v="1106"/>
    <x v="1106"/>
    <x v="900"/>
    <x v="119"/>
    <x v="291"/>
    <x v="1194"/>
  </r>
  <r>
    <x v="3"/>
    <x v="1195"/>
    <x v="1107"/>
    <x v="1107"/>
    <x v="901"/>
    <x v="92"/>
    <x v="37"/>
    <x v="1195"/>
  </r>
  <r>
    <x v="34"/>
    <x v="1196"/>
    <x v="1108"/>
    <x v="1108"/>
    <x v="902"/>
    <x v="9"/>
    <x v="45"/>
    <x v="1196"/>
  </r>
  <r>
    <x v="93"/>
    <x v="1197"/>
    <x v="1109"/>
    <x v="1109"/>
    <x v="903"/>
    <x v="87"/>
    <x v="49"/>
    <x v="1197"/>
  </r>
  <r>
    <x v="79"/>
    <x v="1198"/>
    <x v="1110"/>
    <x v="1110"/>
    <x v="470"/>
    <x v="40"/>
    <x v="0"/>
    <x v="1198"/>
  </r>
  <r>
    <x v="38"/>
    <x v="1199"/>
    <x v="1111"/>
    <x v="1111"/>
    <x v="892"/>
    <x v="65"/>
    <x v="94"/>
    <x v="1199"/>
  </r>
  <r>
    <x v="64"/>
    <x v="1200"/>
    <x v="1112"/>
    <x v="1112"/>
    <x v="108"/>
    <x v="23"/>
    <x v="54"/>
    <x v="1200"/>
  </r>
  <r>
    <x v="3"/>
    <x v="1201"/>
    <x v="1113"/>
    <x v="1113"/>
    <x v="904"/>
    <x v="63"/>
    <x v="25"/>
    <x v="1201"/>
  </r>
  <r>
    <x v="8"/>
    <x v="1202"/>
    <x v="1114"/>
    <x v="1114"/>
    <x v="103"/>
    <x v="38"/>
    <x v="1"/>
    <x v="1202"/>
  </r>
  <r>
    <x v="24"/>
    <x v="1203"/>
    <x v="1115"/>
    <x v="1115"/>
    <x v="300"/>
    <x v="53"/>
    <x v="18"/>
    <x v="1203"/>
  </r>
  <r>
    <x v="2"/>
    <x v="1204"/>
    <x v="1116"/>
    <x v="1116"/>
    <x v="495"/>
    <x v="103"/>
    <x v="1"/>
    <x v="1204"/>
  </r>
  <r>
    <x v="12"/>
    <x v="1205"/>
    <x v="1117"/>
    <x v="1117"/>
    <x v="905"/>
    <x v="55"/>
    <x v="26"/>
    <x v="1205"/>
  </r>
  <r>
    <x v="14"/>
    <x v="1206"/>
    <x v="1118"/>
    <x v="1118"/>
    <x v="906"/>
    <x v="33"/>
    <x v="17"/>
    <x v="1206"/>
  </r>
  <r>
    <x v="3"/>
    <x v="1207"/>
    <x v="1119"/>
    <x v="1119"/>
    <x v="263"/>
    <x v="14"/>
    <x v="7"/>
    <x v="1207"/>
  </r>
  <r>
    <x v="28"/>
    <x v="1208"/>
    <x v="1120"/>
    <x v="1120"/>
    <x v="907"/>
    <x v="69"/>
    <x v="259"/>
    <x v="1208"/>
  </r>
  <r>
    <x v="34"/>
    <x v="1209"/>
    <x v="1121"/>
    <x v="1121"/>
    <x v="334"/>
    <x v="0"/>
    <x v="106"/>
    <x v="1209"/>
  </r>
  <r>
    <x v="6"/>
    <x v="1210"/>
    <x v="1122"/>
    <x v="1122"/>
    <x v="504"/>
    <x v="102"/>
    <x v="227"/>
    <x v="1210"/>
  </r>
  <r>
    <x v="3"/>
    <x v="1211"/>
    <x v="1123"/>
    <x v="1123"/>
    <x v="908"/>
    <x v="67"/>
    <x v="10"/>
    <x v="1211"/>
  </r>
  <r>
    <x v="2"/>
    <x v="1212"/>
    <x v="1124"/>
    <x v="1124"/>
    <x v="909"/>
    <x v="103"/>
    <x v="1"/>
    <x v="1212"/>
  </r>
  <r>
    <x v="34"/>
    <x v="1213"/>
    <x v="1125"/>
    <x v="1125"/>
    <x v="884"/>
    <x v="9"/>
    <x v="51"/>
    <x v="1213"/>
  </r>
  <r>
    <x v="15"/>
    <x v="1214"/>
    <x v="1126"/>
    <x v="1126"/>
    <x v="321"/>
    <x v="53"/>
    <x v="30"/>
    <x v="1214"/>
  </r>
  <r>
    <x v="70"/>
    <x v="1215"/>
    <x v="1127"/>
    <x v="1127"/>
    <x v="702"/>
    <x v="22"/>
    <x v="13"/>
    <x v="1215"/>
  </r>
  <r>
    <x v="94"/>
    <x v="1216"/>
    <x v="1128"/>
    <x v="1128"/>
    <x v="318"/>
    <x v="110"/>
    <x v="24"/>
    <x v="1216"/>
  </r>
  <r>
    <x v="67"/>
    <x v="1217"/>
    <x v="1129"/>
    <x v="1129"/>
    <x v="612"/>
    <x v="38"/>
    <x v="118"/>
    <x v="1217"/>
  </r>
  <r>
    <x v="3"/>
    <x v="1218"/>
    <x v="1130"/>
    <x v="1130"/>
    <x v="485"/>
    <x v="63"/>
    <x v="12"/>
    <x v="1218"/>
  </r>
  <r>
    <x v="87"/>
    <x v="1219"/>
    <x v="1130"/>
    <x v="1130"/>
    <x v="910"/>
    <x v="120"/>
    <x v="241"/>
    <x v="1219"/>
  </r>
  <r>
    <x v="32"/>
    <x v="1220"/>
    <x v="1131"/>
    <x v="1131"/>
    <x v="768"/>
    <x v="121"/>
    <x v="23"/>
    <x v="1220"/>
  </r>
  <r>
    <x v="8"/>
    <x v="1221"/>
    <x v="1132"/>
    <x v="1132"/>
    <x v="831"/>
    <x v="69"/>
    <x v="5"/>
    <x v="1221"/>
  </r>
  <r>
    <x v="0"/>
    <x v="1222"/>
    <x v="1133"/>
    <x v="1133"/>
    <x v="911"/>
    <x v="28"/>
    <x v="60"/>
    <x v="1222"/>
  </r>
  <r>
    <x v="8"/>
    <x v="1223"/>
    <x v="1134"/>
    <x v="1134"/>
    <x v="89"/>
    <x v="64"/>
    <x v="1"/>
    <x v="1223"/>
  </r>
  <r>
    <x v="95"/>
    <x v="1224"/>
    <x v="1135"/>
    <x v="1135"/>
    <x v="912"/>
    <x v="87"/>
    <x v="17"/>
    <x v="1224"/>
  </r>
  <r>
    <x v="96"/>
    <x v="1225"/>
    <x v="1136"/>
    <x v="1136"/>
    <x v="913"/>
    <x v="53"/>
    <x v="1"/>
    <x v="1225"/>
  </r>
  <r>
    <x v="1"/>
    <x v="1226"/>
    <x v="1137"/>
    <x v="1137"/>
    <x v="665"/>
    <x v="45"/>
    <x v="292"/>
    <x v="1226"/>
  </r>
  <r>
    <x v="41"/>
    <x v="1227"/>
    <x v="1138"/>
    <x v="1138"/>
    <x v="914"/>
    <x v="90"/>
    <x v="0"/>
    <x v="1227"/>
  </r>
  <r>
    <x v="8"/>
    <x v="1228"/>
    <x v="1139"/>
    <x v="1139"/>
    <x v="915"/>
    <x v="38"/>
    <x v="80"/>
    <x v="1228"/>
  </r>
  <r>
    <x v="3"/>
    <x v="1229"/>
    <x v="1140"/>
    <x v="1140"/>
    <x v="916"/>
    <x v="19"/>
    <x v="7"/>
    <x v="1229"/>
  </r>
  <r>
    <x v="41"/>
    <x v="1230"/>
    <x v="1141"/>
    <x v="1141"/>
    <x v="434"/>
    <x v="90"/>
    <x v="0"/>
    <x v="1230"/>
  </r>
  <r>
    <x v="51"/>
    <x v="1231"/>
    <x v="1142"/>
    <x v="1142"/>
    <x v="917"/>
    <x v="92"/>
    <x v="28"/>
    <x v="1231"/>
  </r>
  <r>
    <x v="11"/>
    <x v="1232"/>
    <x v="1143"/>
    <x v="1143"/>
    <x v="38"/>
    <x v="44"/>
    <x v="0"/>
    <x v="1232"/>
  </r>
  <r>
    <x v="3"/>
    <x v="1233"/>
    <x v="1144"/>
    <x v="1144"/>
    <x v="918"/>
    <x v="38"/>
    <x v="29"/>
    <x v="1233"/>
  </r>
  <r>
    <x v="3"/>
    <x v="1234"/>
    <x v="1145"/>
    <x v="1145"/>
    <x v="919"/>
    <x v="63"/>
    <x v="19"/>
    <x v="1234"/>
  </r>
  <r>
    <x v="97"/>
    <x v="1235"/>
    <x v="1146"/>
    <x v="1146"/>
    <x v="624"/>
    <x v="109"/>
    <x v="4"/>
    <x v="1235"/>
  </r>
  <r>
    <x v="80"/>
    <x v="1236"/>
    <x v="1147"/>
    <x v="1147"/>
    <x v="134"/>
    <x v="53"/>
    <x v="1"/>
    <x v="1236"/>
  </r>
  <r>
    <x v="44"/>
    <x v="1237"/>
    <x v="1148"/>
    <x v="1148"/>
    <x v="920"/>
    <x v="16"/>
    <x v="11"/>
    <x v="1237"/>
  </r>
  <r>
    <x v="60"/>
    <x v="1238"/>
    <x v="1149"/>
    <x v="1149"/>
    <x v="921"/>
    <x v="22"/>
    <x v="179"/>
    <x v="1238"/>
  </r>
  <r>
    <x v="17"/>
    <x v="1239"/>
    <x v="1150"/>
    <x v="1150"/>
    <x v="922"/>
    <x v="114"/>
    <x v="188"/>
    <x v="1239"/>
  </r>
  <r>
    <x v="15"/>
    <x v="1240"/>
    <x v="1151"/>
    <x v="1151"/>
    <x v="201"/>
    <x v="109"/>
    <x v="293"/>
    <x v="1240"/>
  </r>
  <r>
    <x v="14"/>
    <x v="1241"/>
    <x v="1152"/>
    <x v="1152"/>
    <x v="923"/>
    <x v="18"/>
    <x v="57"/>
    <x v="1241"/>
  </r>
  <r>
    <x v="87"/>
    <x v="1242"/>
    <x v="1153"/>
    <x v="1153"/>
    <x v="924"/>
    <x v="122"/>
    <x v="17"/>
    <x v="1242"/>
  </r>
  <r>
    <x v="21"/>
    <x v="1243"/>
    <x v="1154"/>
    <x v="1154"/>
    <x v="365"/>
    <x v="21"/>
    <x v="14"/>
    <x v="1243"/>
  </r>
  <r>
    <x v="1"/>
    <x v="1244"/>
    <x v="1155"/>
    <x v="1155"/>
    <x v="925"/>
    <x v="25"/>
    <x v="23"/>
    <x v="1244"/>
  </r>
  <r>
    <x v="17"/>
    <x v="1245"/>
    <x v="1156"/>
    <x v="1156"/>
    <x v="882"/>
    <x v="56"/>
    <x v="294"/>
    <x v="1245"/>
  </r>
  <r>
    <x v="63"/>
    <x v="1246"/>
    <x v="1157"/>
    <x v="1157"/>
    <x v="926"/>
    <x v="123"/>
    <x v="99"/>
    <x v="1246"/>
  </r>
  <r>
    <x v="16"/>
    <x v="1247"/>
    <x v="1158"/>
    <x v="1158"/>
    <x v="550"/>
    <x v="22"/>
    <x v="1"/>
    <x v="1247"/>
  </r>
  <r>
    <x v="28"/>
    <x v="1248"/>
    <x v="1159"/>
    <x v="1159"/>
    <x v="927"/>
    <x v="69"/>
    <x v="150"/>
    <x v="1248"/>
  </r>
  <r>
    <x v="79"/>
    <x v="1249"/>
    <x v="1160"/>
    <x v="1160"/>
    <x v="730"/>
    <x v="40"/>
    <x v="0"/>
    <x v="1249"/>
  </r>
  <r>
    <x v="41"/>
    <x v="1250"/>
    <x v="1161"/>
    <x v="1161"/>
    <x v="229"/>
    <x v="90"/>
    <x v="0"/>
    <x v="1250"/>
  </r>
  <r>
    <x v="87"/>
    <x v="1251"/>
    <x v="1162"/>
    <x v="1162"/>
    <x v="824"/>
    <x v="120"/>
    <x v="17"/>
    <x v="1251"/>
  </r>
  <r>
    <x v="7"/>
    <x v="1252"/>
    <x v="1163"/>
    <x v="1163"/>
    <x v="246"/>
    <x v="62"/>
    <x v="0"/>
    <x v="1252"/>
  </r>
  <r>
    <x v="17"/>
    <x v="1253"/>
    <x v="1164"/>
    <x v="1164"/>
    <x v="153"/>
    <x v="107"/>
    <x v="295"/>
    <x v="1253"/>
  </r>
  <r>
    <x v="41"/>
    <x v="1254"/>
    <x v="1165"/>
    <x v="1165"/>
    <x v="768"/>
    <x v="90"/>
    <x v="0"/>
    <x v="1254"/>
  </r>
  <r>
    <x v="25"/>
    <x v="1255"/>
    <x v="1166"/>
    <x v="1166"/>
    <x v="626"/>
    <x v="104"/>
    <x v="5"/>
    <x v="1255"/>
  </r>
  <r>
    <x v="3"/>
    <x v="1256"/>
    <x v="1167"/>
    <x v="1167"/>
    <x v="928"/>
    <x v="21"/>
    <x v="32"/>
    <x v="1256"/>
  </r>
  <r>
    <x v="41"/>
    <x v="1257"/>
    <x v="1168"/>
    <x v="1168"/>
    <x v="929"/>
    <x v="90"/>
    <x v="0"/>
    <x v="1257"/>
  </r>
  <r>
    <x v="41"/>
    <x v="1258"/>
    <x v="1169"/>
    <x v="1169"/>
    <x v="930"/>
    <x v="90"/>
    <x v="7"/>
    <x v="1258"/>
  </r>
  <r>
    <x v="64"/>
    <x v="1259"/>
    <x v="1169"/>
    <x v="1169"/>
    <x v="931"/>
    <x v="64"/>
    <x v="111"/>
    <x v="1259"/>
  </r>
  <r>
    <x v="67"/>
    <x v="1260"/>
    <x v="1170"/>
    <x v="1170"/>
    <x v="932"/>
    <x v="57"/>
    <x v="272"/>
    <x v="1260"/>
  </r>
  <r>
    <x v="15"/>
    <x v="1261"/>
    <x v="1171"/>
    <x v="1171"/>
    <x v="933"/>
    <x v="73"/>
    <x v="296"/>
    <x v="1261"/>
  </r>
  <r>
    <x v="17"/>
    <x v="1262"/>
    <x v="1172"/>
    <x v="1172"/>
    <x v="934"/>
    <x v="94"/>
    <x v="297"/>
    <x v="1262"/>
  </r>
  <r>
    <x v="8"/>
    <x v="1263"/>
    <x v="1173"/>
    <x v="1173"/>
    <x v="935"/>
    <x v="16"/>
    <x v="46"/>
    <x v="1263"/>
  </r>
  <r>
    <x v="42"/>
    <x v="1264"/>
    <x v="1174"/>
    <x v="1174"/>
    <x v="676"/>
    <x v="29"/>
    <x v="14"/>
    <x v="1264"/>
  </r>
  <r>
    <x v="30"/>
    <x v="1265"/>
    <x v="1175"/>
    <x v="1175"/>
    <x v="21"/>
    <x v="28"/>
    <x v="44"/>
    <x v="1265"/>
  </r>
  <r>
    <x v="13"/>
    <x v="1266"/>
    <x v="1176"/>
    <x v="1176"/>
    <x v="417"/>
    <x v="51"/>
    <x v="17"/>
    <x v="1266"/>
  </r>
  <r>
    <x v="0"/>
    <x v="1267"/>
    <x v="1177"/>
    <x v="1177"/>
    <x v="936"/>
    <x v="17"/>
    <x v="40"/>
    <x v="1267"/>
  </r>
  <r>
    <x v="3"/>
    <x v="1268"/>
    <x v="1178"/>
    <x v="1178"/>
    <x v="133"/>
    <x v="18"/>
    <x v="4"/>
    <x v="1268"/>
  </r>
  <r>
    <x v="14"/>
    <x v="1269"/>
    <x v="1179"/>
    <x v="1179"/>
    <x v="91"/>
    <x v="18"/>
    <x v="72"/>
    <x v="1269"/>
  </r>
  <r>
    <x v="1"/>
    <x v="1270"/>
    <x v="1180"/>
    <x v="1180"/>
    <x v="937"/>
    <x v="13"/>
    <x v="298"/>
    <x v="1270"/>
  </r>
  <r>
    <x v="98"/>
    <x v="1271"/>
    <x v="1181"/>
    <x v="1181"/>
    <x v="938"/>
    <x v="63"/>
    <x v="2"/>
    <x v="1271"/>
  </r>
  <r>
    <x v="64"/>
    <x v="1272"/>
    <x v="1182"/>
    <x v="1182"/>
    <x v="939"/>
    <x v="69"/>
    <x v="299"/>
    <x v="1272"/>
  </r>
  <r>
    <x v="15"/>
    <x v="1273"/>
    <x v="1183"/>
    <x v="1183"/>
    <x v="226"/>
    <x v="2"/>
    <x v="300"/>
    <x v="1273"/>
  </r>
  <r>
    <x v="23"/>
    <x v="1274"/>
    <x v="1184"/>
    <x v="1184"/>
    <x v="940"/>
    <x v="66"/>
    <x v="301"/>
    <x v="1274"/>
  </r>
  <r>
    <x v="99"/>
    <x v="1275"/>
    <x v="1185"/>
    <x v="1185"/>
    <x v="151"/>
    <x v="45"/>
    <x v="1"/>
    <x v="1275"/>
  </r>
  <r>
    <x v="1"/>
    <x v="1276"/>
    <x v="1186"/>
    <x v="1186"/>
    <x v="941"/>
    <x v="13"/>
    <x v="14"/>
    <x v="1276"/>
  </r>
  <r>
    <x v="8"/>
    <x v="1277"/>
    <x v="1187"/>
    <x v="1187"/>
    <x v="942"/>
    <x v="64"/>
    <x v="200"/>
    <x v="1277"/>
  </r>
  <r>
    <x v="100"/>
    <x v="1278"/>
    <x v="1188"/>
    <x v="1188"/>
    <x v="40"/>
    <x v="39"/>
    <x v="157"/>
    <x v="1278"/>
  </r>
  <r>
    <x v="64"/>
    <x v="1279"/>
    <x v="1189"/>
    <x v="1189"/>
    <x v="139"/>
    <x v="69"/>
    <x v="302"/>
    <x v="1279"/>
  </r>
  <r>
    <x v="101"/>
    <x v="1280"/>
    <x v="1190"/>
    <x v="1190"/>
    <x v="545"/>
    <x v="24"/>
    <x v="17"/>
    <x v="1280"/>
  </r>
  <r>
    <x v="47"/>
    <x v="1281"/>
    <x v="1191"/>
    <x v="1191"/>
    <x v="674"/>
    <x v="7"/>
    <x v="58"/>
    <x v="1281"/>
  </r>
  <r>
    <x v="7"/>
    <x v="1282"/>
    <x v="1192"/>
    <x v="1192"/>
    <x v="943"/>
    <x v="29"/>
    <x v="200"/>
    <x v="1282"/>
  </r>
  <r>
    <x v="102"/>
    <x v="1283"/>
    <x v="1193"/>
    <x v="1193"/>
    <x v="116"/>
    <x v="64"/>
    <x v="0"/>
    <x v="1283"/>
  </r>
  <r>
    <x v="15"/>
    <x v="1284"/>
    <x v="1194"/>
    <x v="1194"/>
    <x v="892"/>
    <x v="38"/>
    <x v="0"/>
    <x v="1284"/>
  </r>
  <r>
    <x v="1"/>
    <x v="1285"/>
    <x v="1195"/>
    <x v="1195"/>
    <x v="78"/>
    <x v="71"/>
    <x v="296"/>
    <x v="1285"/>
  </r>
  <r>
    <x v="1"/>
    <x v="1286"/>
    <x v="1196"/>
    <x v="1196"/>
    <x v="761"/>
    <x v="33"/>
    <x v="303"/>
    <x v="1286"/>
  </r>
  <r>
    <x v="18"/>
    <x v="1287"/>
    <x v="1197"/>
    <x v="1197"/>
    <x v="803"/>
    <x v="53"/>
    <x v="276"/>
    <x v="1287"/>
  </r>
  <r>
    <x v="23"/>
    <x v="1288"/>
    <x v="1198"/>
    <x v="1198"/>
    <x v="944"/>
    <x v="66"/>
    <x v="304"/>
    <x v="1288"/>
  </r>
  <r>
    <x v="17"/>
    <x v="1289"/>
    <x v="1199"/>
    <x v="1199"/>
    <x v="945"/>
    <x v="101"/>
    <x v="305"/>
    <x v="1289"/>
  </r>
  <r>
    <x v="41"/>
    <x v="1290"/>
    <x v="1200"/>
    <x v="1200"/>
    <x v="946"/>
    <x v="90"/>
    <x v="0"/>
    <x v="1290"/>
  </r>
  <r>
    <x v="79"/>
    <x v="1291"/>
    <x v="1200"/>
    <x v="1200"/>
    <x v="889"/>
    <x v="40"/>
    <x v="0"/>
    <x v="1291"/>
  </r>
  <r>
    <x v="41"/>
    <x v="1292"/>
    <x v="1201"/>
    <x v="1201"/>
    <x v="947"/>
    <x v="41"/>
    <x v="5"/>
    <x v="1292"/>
  </r>
  <r>
    <x v="41"/>
    <x v="1293"/>
    <x v="1202"/>
    <x v="1202"/>
    <x v="948"/>
    <x v="90"/>
    <x v="0"/>
    <x v="1293"/>
  </r>
  <r>
    <x v="67"/>
    <x v="1294"/>
    <x v="1203"/>
    <x v="1203"/>
    <x v="783"/>
    <x v="38"/>
    <x v="306"/>
    <x v="1294"/>
  </r>
  <r>
    <x v="99"/>
    <x v="1295"/>
    <x v="1204"/>
    <x v="1204"/>
    <x v="585"/>
    <x v="23"/>
    <x v="1"/>
    <x v="1295"/>
  </r>
  <r>
    <x v="15"/>
    <x v="1296"/>
    <x v="1205"/>
    <x v="1205"/>
    <x v="949"/>
    <x v="29"/>
    <x v="284"/>
    <x v="1296"/>
  </r>
  <r>
    <x v="62"/>
    <x v="1297"/>
    <x v="1206"/>
    <x v="1206"/>
    <x v="100"/>
    <x v="124"/>
    <x v="0"/>
    <x v="1297"/>
  </r>
  <r>
    <x v="24"/>
    <x v="1298"/>
    <x v="1207"/>
    <x v="1207"/>
    <x v="165"/>
    <x v="38"/>
    <x v="34"/>
    <x v="1298"/>
  </r>
  <r>
    <x v="79"/>
    <x v="1299"/>
    <x v="1208"/>
    <x v="1208"/>
    <x v="642"/>
    <x v="40"/>
    <x v="0"/>
    <x v="1299"/>
  </r>
  <r>
    <x v="103"/>
    <x v="1300"/>
    <x v="1209"/>
    <x v="1209"/>
    <x v="950"/>
    <x v="23"/>
    <x v="120"/>
    <x v="1300"/>
  </r>
  <r>
    <x v="11"/>
    <x v="1301"/>
    <x v="1210"/>
    <x v="1210"/>
    <x v="229"/>
    <x v="24"/>
    <x v="7"/>
    <x v="1301"/>
  </r>
  <r>
    <x v="12"/>
    <x v="1302"/>
    <x v="1211"/>
    <x v="1211"/>
    <x v="951"/>
    <x v="55"/>
    <x v="3"/>
    <x v="1302"/>
  </r>
  <r>
    <x v="26"/>
    <x v="1303"/>
    <x v="1212"/>
    <x v="1212"/>
    <x v="952"/>
    <x v="66"/>
    <x v="105"/>
    <x v="1303"/>
  </r>
  <r>
    <x v="64"/>
    <x v="1304"/>
    <x v="1213"/>
    <x v="1213"/>
    <x v="953"/>
    <x v="69"/>
    <x v="307"/>
    <x v="1304"/>
  </r>
  <r>
    <x v="7"/>
    <x v="1305"/>
    <x v="1214"/>
    <x v="1214"/>
    <x v="514"/>
    <x v="71"/>
    <x v="124"/>
    <x v="1305"/>
  </r>
  <r>
    <x v="24"/>
    <x v="1306"/>
    <x v="1215"/>
    <x v="1215"/>
    <x v="954"/>
    <x v="38"/>
    <x v="8"/>
    <x v="1306"/>
  </r>
  <r>
    <x v="64"/>
    <x v="1307"/>
    <x v="1216"/>
    <x v="1216"/>
    <x v="955"/>
    <x v="23"/>
    <x v="54"/>
    <x v="1307"/>
  </r>
  <r>
    <x v="7"/>
    <x v="1308"/>
    <x v="1217"/>
    <x v="1217"/>
    <x v="956"/>
    <x v="53"/>
    <x v="53"/>
    <x v="1308"/>
  </r>
  <r>
    <x v="63"/>
    <x v="1309"/>
    <x v="1218"/>
    <x v="1218"/>
    <x v="957"/>
    <x v="18"/>
    <x v="1"/>
    <x v="1309"/>
  </r>
  <r>
    <x v="8"/>
    <x v="1310"/>
    <x v="1219"/>
    <x v="1219"/>
    <x v="958"/>
    <x v="38"/>
    <x v="308"/>
    <x v="1310"/>
  </r>
  <r>
    <x v="15"/>
    <x v="1311"/>
    <x v="1220"/>
    <x v="1220"/>
    <x v="959"/>
    <x v="53"/>
    <x v="309"/>
    <x v="1311"/>
  </r>
  <r>
    <x v="41"/>
    <x v="1312"/>
    <x v="1221"/>
    <x v="1221"/>
    <x v="475"/>
    <x v="109"/>
    <x v="5"/>
    <x v="1312"/>
  </r>
  <r>
    <x v="55"/>
    <x v="1313"/>
    <x v="1222"/>
    <x v="1222"/>
    <x v="960"/>
    <x v="64"/>
    <x v="0"/>
    <x v="1313"/>
  </r>
  <r>
    <x v="17"/>
    <x v="1314"/>
    <x v="1223"/>
    <x v="1223"/>
    <x v="429"/>
    <x v="68"/>
    <x v="4"/>
    <x v="1314"/>
  </r>
  <r>
    <x v="8"/>
    <x v="1315"/>
    <x v="1224"/>
    <x v="1224"/>
    <x v="281"/>
    <x v="87"/>
    <x v="35"/>
    <x v="1315"/>
  </r>
  <r>
    <x v="64"/>
    <x v="1316"/>
    <x v="1225"/>
    <x v="1225"/>
    <x v="541"/>
    <x v="69"/>
    <x v="310"/>
    <x v="1316"/>
  </r>
  <r>
    <x v="76"/>
    <x v="1317"/>
    <x v="1226"/>
    <x v="1226"/>
    <x v="961"/>
    <x v="75"/>
    <x v="99"/>
    <x v="1317"/>
  </r>
  <r>
    <x v="1"/>
    <x v="1318"/>
    <x v="1227"/>
    <x v="1227"/>
    <x v="962"/>
    <x v="33"/>
    <x v="311"/>
    <x v="1318"/>
  </r>
  <r>
    <x v="104"/>
    <x v="1319"/>
    <x v="1228"/>
    <x v="1228"/>
    <x v="963"/>
    <x v="38"/>
    <x v="28"/>
    <x v="1319"/>
  </r>
  <r>
    <x v="12"/>
    <x v="1320"/>
    <x v="1229"/>
    <x v="1229"/>
    <x v="964"/>
    <x v="28"/>
    <x v="312"/>
    <x v="1320"/>
  </r>
  <r>
    <x v="92"/>
    <x v="1321"/>
    <x v="1230"/>
    <x v="1230"/>
    <x v="360"/>
    <x v="38"/>
    <x v="24"/>
    <x v="1321"/>
  </r>
  <r>
    <x v="12"/>
    <x v="1322"/>
    <x v="1231"/>
    <x v="1231"/>
    <x v="296"/>
    <x v="62"/>
    <x v="216"/>
    <x v="1322"/>
  </r>
  <r>
    <x v="63"/>
    <x v="1323"/>
    <x v="1232"/>
    <x v="1232"/>
    <x v="174"/>
    <x v="53"/>
    <x v="1"/>
    <x v="1323"/>
  </r>
  <r>
    <x v="3"/>
    <x v="1324"/>
    <x v="1233"/>
    <x v="1233"/>
    <x v="746"/>
    <x v="8"/>
    <x v="7"/>
    <x v="1324"/>
  </r>
  <r>
    <x v="105"/>
    <x v="1325"/>
    <x v="1234"/>
    <x v="1234"/>
    <x v="965"/>
    <x v="38"/>
    <x v="0"/>
    <x v="1325"/>
  </r>
  <r>
    <x v="6"/>
    <x v="1326"/>
    <x v="1235"/>
    <x v="1235"/>
    <x v="401"/>
    <x v="47"/>
    <x v="5"/>
    <x v="1326"/>
  </r>
  <r>
    <x v="64"/>
    <x v="1327"/>
    <x v="1236"/>
    <x v="1236"/>
    <x v="966"/>
    <x v="69"/>
    <x v="4"/>
    <x v="1327"/>
  </r>
  <r>
    <x v="32"/>
    <x v="1328"/>
    <x v="1237"/>
    <x v="1237"/>
    <x v="967"/>
    <x v="125"/>
    <x v="188"/>
    <x v="1328"/>
  </r>
  <r>
    <x v="93"/>
    <x v="1329"/>
    <x v="1238"/>
    <x v="1238"/>
    <x v="174"/>
    <x v="87"/>
    <x v="5"/>
    <x v="1329"/>
  </r>
  <r>
    <x v="93"/>
    <x v="1330"/>
    <x v="1239"/>
    <x v="1239"/>
    <x v="174"/>
    <x v="87"/>
    <x v="99"/>
    <x v="1330"/>
  </r>
  <r>
    <x v="34"/>
    <x v="1331"/>
    <x v="1240"/>
    <x v="1240"/>
    <x v="968"/>
    <x v="0"/>
    <x v="50"/>
    <x v="1331"/>
  </r>
  <r>
    <x v="41"/>
    <x v="1332"/>
    <x v="1241"/>
    <x v="1241"/>
    <x v="869"/>
    <x v="90"/>
    <x v="0"/>
    <x v="1332"/>
  </r>
  <r>
    <x v="106"/>
    <x v="1333"/>
    <x v="1242"/>
    <x v="1242"/>
    <x v="748"/>
    <x v="23"/>
    <x v="0"/>
    <x v="1333"/>
  </r>
  <r>
    <x v="96"/>
    <x v="1334"/>
    <x v="1243"/>
    <x v="1243"/>
    <x v="655"/>
    <x v="66"/>
    <x v="313"/>
    <x v="1334"/>
  </r>
  <r>
    <x v="1"/>
    <x v="1335"/>
    <x v="1244"/>
    <x v="1244"/>
    <x v="155"/>
    <x v="46"/>
    <x v="314"/>
    <x v="1335"/>
  </r>
  <r>
    <x v="32"/>
    <x v="1336"/>
    <x v="1245"/>
    <x v="1245"/>
    <x v="969"/>
    <x v="86"/>
    <x v="1"/>
    <x v="1336"/>
  </r>
  <r>
    <x v="1"/>
    <x v="1337"/>
    <x v="1246"/>
    <x v="1246"/>
    <x v="824"/>
    <x v="24"/>
    <x v="315"/>
    <x v="1337"/>
  </r>
  <r>
    <x v="44"/>
    <x v="1338"/>
    <x v="1246"/>
    <x v="1246"/>
    <x v="970"/>
    <x v="49"/>
    <x v="316"/>
    <x v="1338"/>
  </r>
  <r>
    <x v="58"/>
    <x v="1339"/>
    <x v="1247"/>
    <x v="1247"/>
    <x v="971"/>
    <x v="69"/>
    <x v="267"/>
    <x v="1339"/>
  </r>
  <r>
    <x v="7"/>
    <x v="1340"/>
    <x v="1248"/>
    <x v="1248"/>
    <x v="206"/>
    <x v="67"/>
    <x v="249"/>
    <x v="1340"/>
  </r>
  <r>
    <x v="34"/>
    <x v="1341"/>
    <x v="1249"/>
    <x v="1249"/>
    <x v="972"/>
    <x v="9"/>
    <x v="67"/>
    <x v="1341"/>
  </r>
  <r>
    <x v="64"/>
    <x v="1342"/>
    <x v="1250"/>
    <x v="1250"/>
    <x v="973"/>
    <x v="126"/>
    <x v="317"/>
    <x v="1342"/>
  </r>
  <r>
    <x v="107"/>
    <x v="1343"/>
    <x v="1251"/>
    <x v="1251"/>
    <x v="866"/>
    <x v="53"/>
    <x v="1"/>
    <x v="1343"/>
  </r>
  <r>
    <x v="15"/>
    <x v="1344"/>
    <x v="1252"/>
    <x v="1252"/>
    <x v="974"/>
    <x v="53"/>
    <x v="113"/>
    <x v="1344"/>
  </r>
  <r>
    <x v="64"/>
    <x v="1345"/>
    <x v="1253"/>
    <x v="1253"/>
    <x v="166"/>
    <x v="69"/>
    <x v="318"/>
    <x v="1345"/>
  </r>
  <r>
    <x v="64"/>
    <x v="1346"/>
    <x v="1254"/>
    <x v="1254"/>
    <x v="975"/>
    <x v="69"/>
    <x v="318"/>
    <x v="1346"/>
  </r>
  <r>
    <x v="15"/>
    <x v="1347"/>
    <x v="1255"/>
    <x v="1255"/>
    <x v="976"/>
    <x v="86"/>
    <x v="319"/>
    <x v="1347"/>
  </r>
  <r>
    <x v="12"/>
    <x v="1348"/>
    <x v="1256"/>
    <x v="1256"/>
    <x v="977"/>
    <x v="65"/>
    <x v="93"/>
    <x v="1348"/>
  </r>
  <r>
    <x v="17"/>
    <x v="1349"/>
    <x v="1257"/>
    <x v="1257"/>
    <x v="978"/>
    <x v="28"/>
    <x v="57"/>
    <x v="1349"/>
  </r>
  <r>
    <x v="3"/>
    <x v="1350"/>
    <x v="1258"/>
    <x v="1258"/>
    <x v="398"/>
    <x v="17"/>
    <x v="58"/>
    <x v="1350"/>
  </r>
  <r>
    <x v="1"/>
    <x v="1351"/>
    <x v="1259"/>
    <x v="1259"/>
    <x v="413"/>
    <x v="15"/>
    <x v="5"/>
    <x v="1351"/>
  </r>
  <r>
    <x v="0"/>
    <x v="1352"/>
    <x v="1260"/>
    <x v="1260"/>
    <x v="174"/>
    <x v="15"/>
    <x v="5"/>
    <x v="1352"/>
  </r>
  <r>
    <x v="11"/>
    <x v="1353"/>
    <x v="1261"/>
    <x v="1261"/>
    <x v="979"/>
    <x v="26"/>
    <x v="4"/>
    <x v="1353"/>
  </r>
  <r>
    <x v="108"/>
    <x v="1354"/>
    <x v="1262"/>
    <x v="1262"/>
    <x v="980"/>
    <x v="120"/>
    <x v="0"/>
    <x v="1354"/>
  </r>
  <r>
    <x v="17"/>
    <x v="1355"/>
    <x v="1263"/>
    <x v="1263"/>
    <x v="981"/>
    <x v="85"/>
    <x v="320"/>
    <x v="1355"/>
  </r>
  <r>
    <x v="10"/>
    <x v="1356"/>
    <x v="1264"/>
    <x v="1264"/>
    <x v="833"/>
    <x v="104"/>
    <x v="4"/>
    <x v="1356"/>
  </r>
  <r>
    <x v="8"/>
    <x v="1357"/>
    <x v="1265"/>
    <x v="1265"/>
    <x v="630"/>
    <x v="53"/>
    <x v="2"/>
    <x v="1357"/>
  </r>
  <r>
    <x v="8"/>
    <x v="1358"/>
    <x v="1266"/>
    <x v="1266"/>
    <x v="128"/>
    <x v="38"/>
    <x v="0"/>
    <x v="1358"/>
  </r>
  <r>
    <x v="41"/>
    <x v="1359"/>
    <x v="1267"/>
    <x v="1267"/>
    <x v="284"/>
    <x v="90"/>
    <x v="318"/>
    <x v="1359"/>
  </r>
  <r>
    <x v="18"/>
    <x v="1360"/>
    <x v="1268"/>
    <x v="1268"/>
    <x v="138"/>
    <x v="50"/>
    <x v="3"/>
    <x v="1360"/>
  </r>
  <r>
    <x v="21"/>
    <x v="1361"/>
    <x v="1268"/>
    <x v="1268"/>
    <x v="982"/>
    <x v="21"/>
    <x v="12"/>
    <x v="1361"/>
  </r>
  <r>
    <x v="17"/>
    <x v="1362"/>
    <x v="1269"/>
    <x v="1269"/>
    <x v="983"/>
    <x v="60"/>
    <x v="321"/>
    <x v="1362"/>
  </r>
  <r>
    <x v="10"/>
    <x v="1363"/>
    <x v="1270"/>
    <x v="1270"/>
    <x v="690"/>
    <x v="25"/>
    <x v="9"/>
    <x v="1363"/>
  </r>
  <r>
    <x v="0"/>
    <x v="1364"/>
    <x v="1271"/>
    <x v="1271"/>
    <x v="174"/>
    <x v="12"/>
    <x v="2"/>
    <x v="1364"/>
  </r>
  <r>
    <x v="14"/>
    <x v="1365"/>
    <x v="1271"/>
    <x v="1271"/>
    <x v="984"/>
    <x v="68"/>
    <x v="322"/>
    <x v="1365"/>
  </r>
  <r>
    <x v="12"/>
    <x v="1366"/>
    <x v="1272"/>
    <x v="1272"/>
    <x v="128"/>
    <x v="10"/>
    <x v="5"/>
    <x v="1366"/>
  </r>
  <r>
    <x v="11"/>
    <x v="1367"/>
    <x v="1273"/>
    <x v="1273"/>
    <x v="815"/>
    <x v="53"/>
    <x v="113"/>
    <x v="1367"/>
  </r>
  <r>
    <x v="15"/>
    <x v="1368"/>
    <x v="1274"/>
    <x v="1274"/>
    <x v="985"/>
    <x v="38"/>
    <x v="323"/>
    <x v="1368"/>
  </r>
  <r>
    <x v="89"/>
    <x v="1369"/>
    <x v="1274"/>
    <x v="1274"/>
    <x v="986"/>
    <x v="23"/>
    <x v="306"/>
    <x v="1369"/>
  </r>
  <r>
    <x v="20"/>
    <x v="1370"/>
    <x v="1275"/>
    <x v="1275"/>
    <x v="930"/>
    <x v="2"/>
    <x v="0"/>
    <x v="1370"/>
  </r>
  <r>
    <x v="3"/>
    <x v="1371"/>
    <x v="1276"/>
    <x v="1276"/>
    <x v="400"/>
    <x v="63"/>
    <x v="32"/>
    <x v="1371"/>
  </r>
  <r>
    <x v="64"/>
    <x v="1372"/>
    <x v="1277"/>
    <x v="1277"/>
    <x v="987"/>
    <x v="69"/>
    <x v="227"/>
    <x v="1372"/>
  </r>
  <r>
    <x v="11"/>
    <x v="1373"/>
    <x v="1278"/>
    <x v="1278"/>
    <x v="107"/>
    <x v="25"/>
    <x v="5"/>
    <x v="1373"/>
  </r>
  <r>
    <x v="8"/>
    <x v="1374"/>
    <x v="1279"/>
    <x v="1279"/>
    <x v="988"/>
    <x v="38"/>
    <x v="174"/>
    <x v="1374"/>
  </r>
  <r>
    <x v="8"/>
    <x v="1375"/>
    <x v="1280"/>
    <x v="1280"/>
    <x v="738"/>
    <x v="41"/>
    <x v="0"/>
    <x v="1375"/>
  </r>
  <r>
    <x v="41"/>
    <x v="1376"/>
    <x v="1281"/>
    <x v="1281"/>
    <x v="491"/>
    <x v="90"/>
    <x v="0"/>
    <x v="1376"/>
  </r>
  <r>
    <x v="34"/>
    <x v="1377"/>
    <x v="1282"/>
    <x v="1282"/>
    <x v="989"/>
    <x v="28"/>
    <x v="17"/>
    <x v="1377"/>
  </r>
  <r>
    <x v="10"/>
    <x v="1378"/>
    <x v="1282"/>
    <x v="1282"/>
    <x v="197"/>
    <x v="32"/>
    <x v="0"/>
    <x v="1378"/>
  </r>
  <r>
    <x v="26"/>
    <x v="1379"/>
    <x v="1283"/>
    <x v="1283"/>
    <x v="990"/>
    <x v="23"/>
    <x v="110"/>
    <x v="1379"/>
  </r>
  <r>
    <x v="16"/>
    <x v="1380"/>
    <x v="1284"/>
    <x v="1284"/>
    <x v="537"/>
    <x v="17"/>
    <x v="47"/>
    <x v="1380"/>
  </r>
  <r>
    <x v="17"/>
    <x v="1381"/>
    <x v="1285"/>
    <x v="1285"/>
    <x v="991"/>
    <x v="101"/>
    <x v="324"/>
    <x v="1381"/>
  </r>
  <r>
    <x v="24"/>
    <x v="1382"/>
    <x v="1286"/>
    <x v="1286"/>
    <x v="992"/>
    <x v="23"/>
    <x v="15"/>
    <x v="1382"/>
  </r>
  <r>
    <x v="3"/>
    <x v="1383"/>
    <x v="1287"/>
    <x v="1287"/>
    <x v="354"/>
    <x v="6"/>
    <x v="0"/>
    <x v="1383"/>
  </r>
  <r>
    <x v="29"/>
    <x v="1384"/>
    <x v="1288"/>
    <x v="1288"/>
    <x v="993"/>
    <x v="28"/>
    <x v="325"/>
    <x v="1384"/>
  </r>
  <r>
    <x v="51"/>
    <x v="1385"/>
    <x v="1289"/>
    <x v="1289"/>
    <x v="994"/>
    <x v="39"/>
    <x v="76"/>
    <x v="1385"/>
  </r>
  <r>
    <x v="26"/>
    <x v="1386"/>
    <x v="1290"/>
    <x v="1290"/>
    <x v="995"/>
    <x v="53"/>
    <x v="1"/>
    <x v="1386"/>
  </r>
  <r>
    <x v="72"/>
    <x v="1387"/>
    <x v="1291"/>
    <x v="1291"/>
    <x v="996"/>
    <x v="17"/>
    <x v="1"/>
    <x v="1387"/>
  </r>
  <r>
    <x v="26"/>
    <x v="1388"/>
    <x v="1292"/>
    <x v="1292"/>
    <x v="497"/>
    <x v="85"/>
    <x v="1"/>
    <x v="1388"/>
  </r>
  <r>
    <x v="35"/>
    <x v="1389"/>
    <x v="1293"/>
    <x v="1293"/>
    <x v="174"/>
    <x v="66"/>
    <x v="0"/>
    <x v="1389"/>
  </r>
  <r>
    <x v="16"/>
    <x v="1390"/>
    <x v="1294"/>
    <x v="1294"/>
    <x v="888"/>
    <x v="38"/>
    <x v="58"/>
    <x v="1390"/>
  </r>
  <r>
    <x v="79"/>
    <x v="1391"/>
    <x v="1295"/>
    <x v="1295"/>
    <x v="997"/>
    <x v="49"/>
    <x v="1"/>
    <x v="1391"/>
  </r>
  <r>
    <x v="15"/>
    <x v="1392"/>
    <x v="1296"/>
    <x v="1296"/>
    <x v="998"/>
    <x v="2"/>
    <x v="0"/>
    <x v="1392"/>
  </r>
  <r>
    <x v="25"/>
    <x v="1393"/>
    <x v="1296"/>
    <x v="1296"/>
    <x v="514"/>
    <x v="37"/>
    <x v="7"/>
    <x v="1393"/>
  </r>
  <r>
    <x v="18"/>
    <x v="1394"/>
    <x v="1297"/>
    <x v="1297"/>
    <x v="999"/>
    <x v="2"/>
    <x v="80"/>
    <x v="1394"/>
  </r>
  <r>
    <x v="26"/>
    <x v="1395"/>
    <x v="1298"/>
    <x v="1298"/>
    <x v="1000"/>
    <x v="90"/>
    <x v="326"/>
    <x v="1395"/>
  </r>
  <r>
    <x v="24"/>
    <x v="1396"/>
    <x v="1299"/>
    <x v="1299"/>
    <x v="184"/>
    <x v="23"/>
    <x v="0"/>
    <x v="1396"/>
  </r>
  <r>
    <x v="1"/>
    <x v="1397"/>
    <x v="1300"/>
    <x v="1300"/>
    <x v="1001"/>
    <x v="13"/>
    <x v="19"/>
    <x v="1397"/>
  </r>
  <r>
    <x v="30"/>
    <x v="1398"/>
    <x v="1301"/>
    <x v="1301"/>
    <x v="877"/>
    <x v="17"/>
    <x v="7"/>
    <x v="1398"/>
  </r>
  <r>
    <x v="55"/>
    <x v="1399"/>
    <x v="1302"/>
    <x v="1302"/>
    <x v="1002"/>
    <x v="64"/>
    <x v="8"/>
    <x v="1399"/>
  </r>
  <r>
    <x v="34"/>
    <x v="1400"/>
    <x v="1303"/>
    <x v="1303"/>
    <x v="58"/>
    <x v="0"/>
    <x v="115"/>
    <x v="1400"/>
  </r>
  <r>
    <x v="0"/>
    <x v="1401"/>
    <x v="1304"/>
    <x v="1304"/>
    <x v="1003"/>
    <x v="28"/>
    <x v="272"/>
    <x v="1401"/>
  </r>
  <r>
    <x v="8"/>
    <x v="1402"/>
    <x v="1305"/>
    <x v="1305"/>
    <x v="174"/>
    <x v="64"/>
    <x v="0"/>
    <x v="1402"/>
  </r>
  <r>
    <x v="18"/>
    <x v="1403"/>
    <x v="1306"/>
    <x v="1306"/>
    <x v="817"/>
    <x v="2"/>
    <x v="5"/>
    <x v="1403"/>
  </r>
  <r>
    <x v="109"/>
    <x v="1404"/>
    <x v="1307"/>
    <x v="1307"/>
    <x v="158"/>
    <x v="23"/>
    <x v="1"/>
    <x v="1404"/>
  </r>
  <r>
    <x v="15"/>
    <x v="1405"/>
    <x v="1307"/>
    <x v="1307"/>
    <x v="1004"/>
    <x v="29"/>
    <x v="57"/>
    <x v="1405"/>
  </r>
  <r>
    <x v="39"/>
    <x v="1406"/>
    <x v="1308"/>
    <x v="1308"/>
    <x v="89"/>
    <x v="57"/>
    <x v="9"/>
    <x v="1406"/>
  </r>
  <r>
    <x v="7"/>
    <x v="1407"/>
    <x v="1309"/>
    <x v="1309"/>
    <x v="1001"/>
    <x v="38"/>
    <x v="327"/>
    <x v="1407"/>
  </r>
  <r>
    <x v="41"/>
    <x v="1408"/>
    <x v="1310"/>
    <x v="1310"/>
    <x v="959"/>
    <x v="90"/>
    <x v="0"/>
    <x v="1408"/>
  </r>
  <r>
    <x v="17"/>
    <x v="1409"/>
    <x v="1311"/>
    <x v="1311"/>
    <x v="1005"/>
    <x v="94"/>
    <x v="328"/>
    <x v="1409"/>
  </r>
  <r>
    <x v="25"/>
    <x v="1410"/>
    <x v="1312"/>
    <x v="1312"/>
    <x v="658"/>
    <x v="104"/>
    <x v="329"/>
    <x v="1410"/>
  </r>
  <r>
    <x v="3"/>
    <x v="1411"/>
    <x v="1313"/>
    <x v="1313"/>
    <x v="646"/>
    <x v="63"/>
    <x v="7"/>
    <x v="1411"/>
  </r>
  <r>
    <x v="7"/>
    <x v="1412"/>
    <x v="1314"/>
    <x v="1314"/>
    <x v="445"/>
    <x v="28"/>
    <x v="330"/>
    <x v="1412"/>
  </r>
  <r>
    <x v="21"/>
    <x v="1413"/>
    <x v="1315"/>
    <x v="1315"/>
    <x v="1006"/>
    <x v="21"/>
    <x v="25"/>
    <x v="1413"/>
  </r>
  <r>
    <x v="79"/>
    <x v="1414"/>
    <x v="1316"/>
    <x v="1316"/>
    <x v="174"/>
    <x v="40"/>
    <x v="0"/>
    <x v="1414"/>
  </r>
  <r>
    <x v="110"/>
    <x v="1415"/>
    <x v="1317"/>
    <x v="1317"/>
    <x v="1007"/>
    <x v="69"/>
    <x v="54"/>
    <x v="1415"/>
  </r>
  <r>
    <x v="96"/>
    <x v="1416"/>
    <x v="1318"/>
    <x v="1318"/>
    <x v="1008"/>
    <x v="90"/>
    <x v="0"/>
    <x v="1416"/>
  </r>
  <r>
    <x v="111"/>
    <x v="1417"/>
    <x v="1319"/>
    <x v="1319"/>
    <x v="580"/>
    <x v="63"/>
    <x v="0"/>
    <x v="1417"/>
  </r>
  <r>
    <x v="8"/>
    <x v="1418"/>
    <x v="1320"/>
    <x v="1320"/>
    <x v="230"/>
    <x v="38"/>
    <x v="1"/>
    <x v="1418"/>
  </r>
  <r>
    <x v="1"/>
    <x v="1419"/>
    <x v="1321"/>
    <x v="1321"/>
    <x v="1009"/>
    <x v="12"/>
    <x v="7"/>
    <x v="1419"/>
  </r>
  <r>
    <x v="3"/>
    <x v="1420"/>
    <x v="1322"/>
    <x v="1322"/>
    <x v="603"/>
    <x v="67"/>
    <x v="92"/>
    <x v="1420"/>
  </r>
  <r>
    <x v="10"/>
    <x v="1421"/>
    <x v="1323"/>
    <x v="1323"/>
    <x v="187"/>
    <x v="14"/>
    <x v="112"/>
    <x v="1421"/>
  </r>
  <r>
    <x v="112"/>
    <x v="1422"/>
    <x v="1324"/>
    <x v="1324"/>
    <x v="1010"/>
    <x v="127"/>
    <x v="331"/>
    <x v="1422"/>
  </r>
  <r>
    <x v="10"/>
    <x v="1423"/>
    <x v="1325"/>
    <x v="1325"/>
    <x v="174"/>
    <x v="45"/>
    <x v="118"/>
    <x v="1423"/>
  </r>
  <r>
    <x v="3"/>
    <x v="1424"/>
    <x v="1326"/>
    <x v="1326"/>
    <x v="1011"/>
    <x v="92"/>
    <x v="326"/>
    <x v="1424"/>
  </r>
  <r>
    <x v="8"/>
    <x v="1425"/>
    <x v="1327"/>
    <x v="1327"/>
    <x v="1012"/>
    <x v="16"/>
    <x v="2"/>
    <x v="1425"/>
  </r>
  <r>
    <x v="16"/>
    <x v="1426"/>
    <x v="1328"/>
    <x v="1328"/>
    <x v="116"/>
    <x v="66"/>
    <x v="11"/>
    <x v="1426"/>
  </r>
  <r>
    <x v="113"/>
    <x v="1427"/>
    <x v="1329"/>
    <x v="1329"/>
    <x v="1013"/>
    <x v="53"/>
    <x v="17"/>
    <x v="1427"/>
  </r>
  <r>
    <x v="32"/>
    <x v="1428"/>
    <x v="1329"/>
    <x v="1329"/>
    <x v="1014"/>
    <x v="93"/>
    <x v="272"/>
    <x v="1428"/>
  </r>
  <r>
    <x v="114"/>
    <x v="1429"/>
    <x v="1330"/>
    <x v="1330"/>
    <x v="217"/>
    <x v="23"/>
    <x v="17"/>
    <x v="1429"/>
  </r>
  <r>
    <x v="29"/>
    <x v="1430"/>
    <x v="1331"/>
    <x v="1331"/>
    <x v="1015"/>
    <x v="28"/>
    <x v="1"/>
    <x v="1430"/>
  </r>
  <r>
    <x v="8"/>
    <x v="1431"/>
    <x v="1332"/>
    <x v="1332"/>
    <x v="77"/>
    <x v="16"/>
    <x v="1"/>
    <x v="1431"/>
  </r>
  <r>
    <x v="8"/>
    <x v="1432"/>
    <x v="1333"/>
    <x v="1333"/>
    <x v="783"/>
    <x v="68"/>
    <x v="5"/>
    <x v="1432"/>
  </r>
  <r>
    <x v="115"/>
    <x v="1433"/>
    <x v="1334"/>
    <x v="1334"/>
    <x v="174"/>
    <x v="43"/>
    <x v="17"/>
    <x v="1433"/>
  </r>
  <r>
    <x v="22"/>
    <x v="1434"/>
    <x v="1335"/>
    <x v="1335"/>
    <x v="1016"/>
    <x v="25"/>
    <x v="332"/>
    <x v="1434"/>
  </r>
  <r>
    <x v="17"/>
    <x v="1435"/>
    <x v="1336"/>
    <x v="1336"/>
    <x v="1017"/>
    <x v="85"/>
    <x v="333"/>
    <x v="1435"/>
  </r>
  <r>
    <x v="72"/>
    <x v="1436"/>
    <x v="1337"/>
    <x v="1337"/>
    <x v="1018"/>
    <x v="9"/>
    <x v="4"/>
    <x v="1436"/>
  </r>
  <r>
    <x v="49"/>
    <x v="1437"/>
    <x v="1337"/>
    <x v="1337"/>
    <x v="1019"/>
    <x v="68"/>
    <x v="1"/>
    <x v="1437"/>
  </r>
  <r>
    <x v="17"/>
    <x v="1438"/>
    <x v="1338"/>
    <x v="1338"/>
    <x v="1020"/>
    <x v="60"/>
    <x v="334"/>
    <x v="1438"/>
  </r>
  <r>
    <x v="49"/>
    <x v="1439"/>
    <x v="1339"/>
    <x v="1339"/>
    <x v="1021"/>
    <x v="44"/>
    <x v="151"/>
    <x v="1439"/>
  </r>
  <r>
    <x v="17"/>
    <x v="1440"/>
    <x v="1340"/>
    <x v="1340"/>
    <x v="1022"/>
    <x v="107"/>
    <x v="335"/>
    <x v="1440"/>
  </r>
  <r>
    <x v="26"/>
    <x v="1441"/>
    <x v="1341"/>
    <x v="1341"/>
    <x v="1023"/>
    <x v="23"/>
    <x v="0"/>
    <x v="1441"/>
  </r>
  <r>
    <x v="22"/>
    <x v="1442"/>
    <x v="1342"/>
    <x v="1342"/>
    <x v="69"/>
    <x v="32"/>
    <x v="107"/>
    <x v="1442"/>
  </r>
  <r>
    <x v="8"/>
    <x v="1443"/>
    <x v="1343"/>
    <x v="1343"/>
    <x v="1024"/>
    <x v="41"/>
    <x v="0"/>
    <x v="1443"/>
  </r>
  <r>
    <x v="34"/>
    <x v="1444"/>
    <x v="1344"/>
    <x v="1344"/>
    <x v="1025"/>
    <x v="0"/>
    <x v="18"/>
    <x v="1444"/>
  </r>
  <r>
    <x v="51"/>
    <x v="1445"/>
    <x v="1345"/>
    <x v="1345"/>
    <x v="572"/>
    <x v="63"/>
    <x v="1"/>
    <x v="1445"/>
  </r>
  <r>
    <x v="14"/>
    <x v="1446"/>
    <x v="1346"/>
    <x v="1346"/>
    <x v="1026"/>
    <x v="33"/>
    <x v="107"/>
    <x v="1446"/>
  </r>
  <r>
    <x v="116"/>
    <x v="1447"/>
    <x v="1347"/>
    <x v="1347"/>
    <x v="174"/>
    <x v="58"/>
    <x v="23"/>
    <x v="1447"/>
  </r>
  <r>
    <x v="117"/>
    <x v="1448"/>
    <x v="1348"/>
    <x v="1348"/>
    <x v="682"/>
    <x v="57"/>
    <x v="4"/>
    <x v="1448"/>
  </r>
  <r>
    <x v="72"/>
    <x v="1449"/>
    <x v="1348"/>
    <x v="1348"/>
    <x v="600"/>
    <x v="14"/>
    <x v="0"/>
    <x v="1449"/>
  </r>
  <r>
    <x v="3"/>
    <x v="1450"/>
    <x v="1349"/>
    <x v="1349"/>
    <x v="793"/>
    <x v="63"/>
    <x v="41"/>
    <x v="1450"/>
  </r>
  <r>
    <x v="8"/>
    <x v="1451"/>
    <x v="1350"/>
    <x v="1350"/>
    <x v="123"/>
    <x v="61"/>
    <x v="18"/>
    <x v="1451"/>
  </r>
  <r>
    <x v="68"/>
    <x v="1452"/>
    <x v="1351"/>
    <x v="1351"/>
    <x v="174"/>
    <x v="53"/>
    <x v="244"/>
    <x v="1452"/>
  </r>
  <r>
    <x v="60"/>
    <x v="1453"/>
    <x v="1352"/>
    <x v="1352"/>
    <x v="903"/>
    <x v="37"/>
    <x v="1"/>
    <x v="1453"/>
  </r>
  <r>
    <x v="7"/>
    <x v="1454"/>
    <x v="1353"/>
    <x v="1353"/>
    <x v="1027"/>
    <x v="116"/>
    <x v="336"/>
    <x v="1454"/>
  </r>
  <r>
    <x v="15"/>
    <x v="1455"/>
    <x v="1354"/>
    <x v="1354"/>
    <x v="1028"/>
    <x v="16"/>
    <x v="5"/>
    <x v="1455"/>
  </r>
  <r>
    <x v="13"/>
    <x v="1456"/>
    <x v="1355"/>
    <x v="1355"/>
    <x v="1028"/>
    <x v="70"/>
    <x v="1"/>
    <x v="1456"/>
  </r>
  <r>
    <x v="34"/>
    <x v="1457"/>
    <x v="1356"/>
    <x v="1356"/>
    <x v="286"/>
    <x v="28"/>
    <x v="5"/>
    <x v="1457"/>
  </r>
  <r>
    <x v="14"/>
    <x v="1458"/>
    <x v="1357"/>
    <x v="1357"/>
    <x v="1029"/>
    <x v="18"/>
    <x v="65"/>
    <x v="1458"/>
  </r>
  <r>
    <x v="34"/>
    <x v="1459"/>
    <x v="1358"/>
    <x v="1358"/>
    <x v="1030"/>
    <x v="9"/>
    <x v="119"/>
    <x v="1459"/>
  </r>
  <r>
    <x v="8"/>
    <x v="1460"/>
    <x v="1359"/>
    <x v="1359"/>
    <x v="130"/>
    <x v="38"/>
    <x v="8"/>
    <x v="1460"/>
  </r>
  <r>
    <x v="49"/>
    <x v="1461"/>
    <x v="1360"/>
    <x v="1360"/>
    <x v="286"/>
    <x v="33"/>
    <x v="107"/>
    <x v="1461"/>
  </r>
  <r>
    <x v="21"/>
    <x v="1462"/>
    <x v="1361"/>
    <x v="1361"/>
    <x v="1031"/>
    <x v="21"/>
    <x v="15"/>
    <x v="1462"/>
  </r>
  <r>
    <x v="7"/>
    <x v="1463"/>
    <x v="1362"/>
    <x v="1362"/>
    <x v="1032"/>
    <x v="43"/>
    <x v="337"/>
    <x v="1463"/>
  </r>
  <r>
    <x v="1"/>
    <x v="1464"/>
    <x v="1363"/>
    <x v="1363"/>
    <x v="1033"/>
    <x v="40"/>
    <x v="338"/>
    <x v="1464"/>
  </r>
  <r>
    <x v="6"/>
    <x v="1465"/>
    <x v="1364"/>
    <x v="1364"/>
    <x v="174"/>
    <x v="23"/>
    <x v="220"/>
    <x v="1465"/>
  </r>
  <r>
    <x v="84"/>
    <x v="1466"/>
    <x v="1365"/>
    <x v="1365"/>
    <x v="679"/>
    <x v="25"/>
    <x v="11"/>
    <x v="1466"/>
  </r>
  <r>
    <x v="14"/>
    <x v="1467"/>
    <x v="1366"/>
    <x v="1366"/>
    <x v="752"/>
    <x v="28"/>
    <x v="5"/>
    <x v="1467"/>
  </r>
  <r>
    <x v="64"/>
    <x v="1468"/>
    <x v="1367"/>
    <x v="1367"/>
    <x v="1034"/>
    <x v="69"/>
    <x v="318"/>
    <x v="1468"/>
  </r>
  <r>
    <x v="21"/>
    <x v="1469"/>
    <x v="1368"/>
    <x v="1368"/>
    <x v="1035"/>
    <x v="21"/>
    <x v="19"/>
    <x v="1469"/>
  </r>
  <r>
    <x v="34"/>
    <x v="1470"/>
    <x v="1369"/>
    <x v="1369"/>
    <x v="1036"/>
    <x v="29"/>
    <x v="200"/>
    <x v="1470"/>
  </r>
  <r>
    <x v="34"/>
    <x v="1471"/>
    <x v="1370"/>
    <x v="1370"/>
    <x v="308"/>
    <x v="38"/>
    <x v="17"/>
    <x v="1471"/>
  </r>
  <r>
    <x v="15"/>
    <x v="1472"/>
    <x v="1371"/>
    <x v="1371"/>
    <x v="554"/>
    <x v="41"/>
    <x v="339"/>
    <x v="1472"/>
  </r>
  <r>
    <x v="41"/>
    <x v="1473"/>
    <x v="1372"/>
    <x v="1372"/>
    <x v="424"/>
    <x v="90"/>
    <x v="85"/>
    <x v="1473"/>
  </r>
  <r>
    <x v="18"/>
    <x v="1474"/>
    <x v="1372"/>
    <x v="1372"/>
    <x v="795"/>
    <x v="9"/>
    <x v="0"/>
    <x v="1474"/>
  </r>
  <r>
    <x v="11"/>
    <x v="1475"/>
    <x v="1373"/>
    <x v="1373"/>
    <x v="561"/>
    <x v="45"/>
    <x v="49"/>
    <x v="1475"/>
  </r>
  <r>
    <x v="59"/>
    <x v="1476"/>
    <x v="1374"/>
    <x v="1374"/>
    <x v="0"/>
    <x v="61"/>
    <x v="0"/>
    <x v="1476"/>
  </r>
  <r>
    <x v="41"/>
    <x v="1477"/>
    <x v="1375"/>
    <x v="1375"/>
    <x v="664"/>
    <x v="90"/>
    <x v="0"/>
    <x v="1477"/>
  </r>
  <r>
    <x v="10"/>
    <x v="1478"/>
    <x v="1376"/>
    <x v="1376"/>
    <x v="904"/>
    <x v="12"/>
    <x v="0"/>
    <x v="1478"/>
  </r>
  <r>
    <x v="8"/>
    <x v="1479"/>
    <x v="1377"/>
    <x v="1377"/>
    <x v="128"/>
    <x v="118"/>
    <x v="340"/>
    <x v="1479"/>
  </r>
  <r>
    <x v="0"/>
    <x v="1480"/>
    <x v="1378"/>
    <x v="1378"/>
    <x v="984"/>
    <x v="28"/>
    <x v="341"/>
    <x v="1480"/>
  </r>
  <r>
    <x v="64"/>
    <x v="1481"/>
    <x v="1379"/>
    <x v="1379"/>
    <x v="1037"/>
    <x v="69"/>
    <x v="111"/>
    <x v="1481"/>
  </r>
  <r>
    <x v="79"/>
    <x v="1482"/>
    <x v="1380"/>
    <x v="1380"/>
    <x v="1038"/>
    <x v="40"/>
    <x v="0"/>
    <x v="1482"/>
  </r>
  <r>
    <x v="6"/>
    <x v="1483"/>
    <x v="1381"/>
    <x v="1381"/>
    <x v="100"/>
    <x v="25"/>
    <x v="18"/>
    <x v="1483"/>
  </r>
  <r>
    <x v="8"/>
    <x v="1484"/>
    <x v="1382"/>
    <x v="1382"/>
    <x v="361"/>
    <x v="38"/>
    <x v="7"/>
    <x v="1484"/>
  </r>
  <r>
    <x v="41"/>
    <x v="1485"/>
    <x v="1383"/>
    <x v="1383"/>
    <x v="721"/>
    <x v="64"/>
    <x v="3"/>
    <x v="1485"/>
  </r>
  <r>
    <x v="80"/>
    <x v="1486"/>
    <x v="1384"/>
    <x v="1384"/>
    <x v="1039"/>
    <x v="21"/>
    <x v="7"/>
    <x v="1486"/>
  </r>
  <r>
    <x v="34"/>
    <x v="1487"/>
    <x v="1385"/>
    <x v="1385"/>
    <x v="1040"/>
    <x v="0"/>
    <x v="134"/>
    <x v="1487"/>
  </r>
  <r>
    <x v="35"/>
    <x v="1488"/>
    <x v="1386"/>
    <x v="1386"/>
    <x v="174"/>
    <x v="66"/>
    <x v="0"/>
    <x v="1488"/>
  </r>
  <r>
    <x v="64"/>
    <x v="1489"/>
    <x v="1387"/>
    <x v="1387"/>
    <x v="672"/>
    <x v="64"/>
    <x v="54"/>
    <x v="1489"/>
  </r>
  <r>
    <x v="42"/>
    <x v="1490"/>
    <x v="1388"/>
    <x v="1388"/>
    <x v="244"/>
    <x v="63"/>
    <x v="0"/>
    <x v="1490"/>
  </r>
  <r>
    <x v="51"/>
    <x v="1491"/>
    <x v="1389"/>
    <x v="1389"/>
    <x v="1041"/>
    <x v="29"/>
    <x v="7"/>
    <x v="1491"/>
  </r>
  <r>
    <x v="34"/>
    <x v="1492"/>
    <x v="1390"/>
    <x v="1390"/>
    <x v="421"/>
    <x v="0"/>
    <x v="93"/>
    <x v="1492"/>
  </r>
  <r>
    <x v="18"/>
    <x v="1493"/>
    <x v="1391"/>
    <x v="1391"/>
    <x v="84"/>
    <x v="0"/>
    <x v="35"/>
    <x v="1493"/>
  </r>
  <r>
    <x v="41"/>
    <x v="1494"/>
    <x v="1392"/>
    <x v="1392"/>
    <x v="193"/>
    <x v="90"/>
    <x v="0"/>
    <x v="1494"/>
  </r>
  <r>
    <x v="3"/>
    <x v="1495"/>
    <x v="1393"/>
    <x v="1393"/>
    <x v="1042"/>
    <x v="49"/>
    <x v="2"/>
    <x v="1495"/>
  </r>
  <r>
    <x v="34"/>
    <x v="1496"/>
    <x v="1394"/>
    <x v="1394"/>
    <x v="1043"/>
    <x v="71"/>
    <x v="16"/>
    <x v="1496"/>
  </r>
  <r>
    <x v="41"/>
    <x v="1497"/>
    <x v="1395"/>
    <x v="1395"/>
    <x v="220"/>
    <x v="90"/>
    <x v="0"/>
    <x v="1497"/>
  </r>
  <r>
    <x v="26"/>
    <x v="1498"/>
    <x v="1396"/>
    <x v="1396"/>
    <x v="1044"/>
    <x v="23"/>
    <x v="0"/>
    <x v="1498"/>
  </r>
  <r>
    <x v="118"/>
    <x v="1499"/>
    <x v="1397"/>
    <x v="1397"/>
    <x v="194"/>
    <x v="109"/>
    <x v="17"/>
    <x v="1499"/>
  </r>
  <r>
    <x v="30"/>
    <x v="1500"/>
    <x v="1397"/>
    <x v="1397"/>
    <x v="970"/>
    <x v="28"/>
    <x v="44"/>
    <x v="1500"/>
  </r>
  <r>
    <x v="40"/>
    <x v="1501"/>
    <x v="1398"/>
    <x v="1398"/>
    <x v="174"/>
    <x v="29"/>
    <x v="24"/>
    <x v="1501"/>
  </r>
  <r>
    <x v="12"/>
    <x v="1502"/>
    <x v="1399"/>
    <x v="1399"/>
    <x v="161"/>
    <x v="54"/>
    <x v="17"/>
    <x v="1502"/>
  </r>
  <r>
    <x v="14"/>
    <x v="1503"/>
    <x v="1400"/>
    <x v="1400"/>
    <x v="1045"/>
    <x v="18"/>
    <x v="342"/>
    <x v="1503"/>
  </r>
  <r>
    <x v="7"/>
    <x v="1504"/>
    <x v="1401"/>
    <x v="1401"/>
    <x v="7"/>
    <x v="22"/>
    <x v="17"/>
    <x v="1504"/>
  </r>
  <r>
    <x v="1"/>
    <x v="1505"/>
    <x v="1402"/>
    <x v="1402"/>
    <x v="831"/>
    <x v="46"/>
    <x v="50"/>
    <x v="1505"/>
  </r>
  <r>
    <x v="3"/>
    <x v="1506"/>
    <x v="1403"/>
    <x v="1403"/>
    <x v="294"/>
    <x v="49"/>
    <x v="7"/>
    <x v="1506"/>
  </r>
  <r>
    <x v="42"/>
    <x v="1507"/>
    <x v="1404"/>
    <x v="1404"/>
    <x v="102"/>
    <x v="28"/>
    <x v="0"/>
    <x v="1507"/>
  </r>
  <r>
    <x v="8"/>
    <x v="1508"/>
    <x v="1405"/>
    <x v="1405"/>
    <x v="1046"/>
    <x v="29"/>
    <x v="0"/>
    <x v="1508"/>
  </r>
  <r>
    <x v="7"/>
    <x v="1509"/>
    <x v="1406"/>
    <x v="1406"/>
    <x v="1047"/>
    <x v="38"/>
    <x v="343"/>
    <x v="1509"/>
  </r>
  <r>
    <x v="9"/>
    <x v="1510"/>
    <x v="1406"/>
    <x v="1406"/>
    <x v="174"/>
    <x v="57"/>
    <x v="17"/>
    <x v="1510"/>
  </r>
  <r>
    <x v="21"/>
    <x v="1511"/>
    <x v="1406"/>
    <x v="1406"/>
    <x v="1048"/>
    <x v="21"/>
    <x v="29"/>
    <x v="1511"/>
  </r>
  <r>
    <x v="1"/>
    <x v="1512"/>
    <x v="1407"/>
    <x v="1407"/>
    <x v="100"/>
    <x v="38"/>
    <x v="344"/>
    <x v="1512"/>
  </r>
  <r>
    <x v="21"/>
    <x v="1513"/>
    <x v="1408"/>
    <x v="1408"/>
    <x v="1049"/>
    <x v="21"/>
    <x v="32"/>
    <x v="1513"/>
  </r>
  <r>
    <x v="79"/>
    <x v="1514"/>
    <x v="1408"/>
    <x v="1408"/>
    <x v="328"/>
    <x v="40"/>
    <x v="0"/>
    <x v="1514"/>
  </r>
  <r>
    <x v="24"/>
    <x v="1515"/>
    <x v="1409"/>
    <x v="1409"/>
    <x v="1050"/>
    <x v="23"/>
    <x v="0"/>
    <x v="1515"/>
  </r>
  <r>
    <x v="21"/>
    <x v="1516"/>
    <x v="1410"/>
    <x v="1410"/>
    <x v="1051"/>
    <x v="21"/>
    <x v="20"/>
    <x v="1516"/>
  </r>
  <r>
    <x v="28"/>
    <x v="1517"/>
    <x v="1411"/>
    <x v="1411"/>
    <x v="1052"/>
    <x v="69"/>
    <x v="280"/>
    <x v="1517"/>
  </r>
  <r>
    <x v="96"/>
    <x v="1518"/>
    <x v="1412"/>
    <x v="1412"/>
    <x v="712"/>
    <x v="90"/>
    <x v="0"/>
    <x v="1518"/>
  </r>
  <r>
    <x v="6"/>
    <x v="1519"/>
    <x v="1413"/>
    <x v="1413"/>
    <x v="174"/>
    <x v="23"/>
    <x v="345"/>
    <x v="1519"/>
  </r>
  <r>
    <x v="6"/>
    <x v="1520"/>
    <x v="1413"/>
    <x v="1413"/>
    <x v="174"/>
    <x v="23"/>
    <x v="107"/>
    <x v="1520"/>
  </r>
  <r>
    <x v="7"/>
    <x v="1521"/>
    <x v="1414"/>
    <x v="1414"/>
    <x v="174"/>
    <x v="33"/>
    <x v="127"/>
    <x v="1521"/>
  </r>
  <r>
    <x v="1"/>
    <x v="1522"/>
    <x v="1415"/>
    <x v="1415"/>
    <x v="1053"/>
    <x v="13"/>
    <x v="25"/>
    <x v="1522"/>
  </r>
  <r>
    <x v="15"/>
    <x v="1523"/>
    <x v="1416"/>
    <x v="1416"/>
    <x v="748"/>
    <x v="38"/>
    <x v="0"/>
    <x v="1523"/>
  </r>
  <r>
    <x v="17"/>
    <x v="1524"/>
    <x v="1417"/>
    <x v="1417"/>
    <x v="1054"/>
    <x v="94"/>
    <x v="346"/>
    <x v="1524"/>
  </r>
  <r>
    <x v="14"/>
    <x v="1525"/>
    <x v="1417"/>
    <x v="1417"/>
    <x v="36"/>
    <x v="18"/>
    <x v="2"/>
    <x v="1525"/>
  </r>
  <r>
    <x v="34"/>
    <x v="1526"/>
    <x v="1418"/>
    <x v="1418"/>
    <x v="1055"/>
    <x v="29"/>
    <x v="73"/>
    <x v="1526"/>
  </r>
  <r>
    <x v="1"/>
    <x v="1527"/>
    <x v="1418"/>
    <x v="1418"/>
    <x v="1056"/>
    <x v="49"/>
    <x v="2"/>
    <x v="1527"/>
  </r>
  <r>
    <x v="21"/>
    <x v="1528"/>
    <x v="1419"/>
    <x v="1419"/>
    <x v="53"/>
    <x v="21"/>
    <x v="41"/>
    <x v="1528"/>
  </r>
  <r>
    <x v="109"/>
    <x v="1529"/>
    <x v="1420"/>
    <x v="1420"/>
    <x v="127"/>
    <x v="23"/>
    <x v="1"/>
    <x v="1529"/>
  </r>
  <r>
    <x v="8"/>
    <x v="1530"/>
    <x v="1421"/>
    <x v="1421"/>
    <x v="1057"/>
    <x v="53"/>
    <x v="194"/>
    <x v="1530"/>
  </r>
  <r>
    <x v="34"/>
    <x v="1531"/>
    <x v="1422"/>
    <x v="1422"/>
    <x v="1058"/>
    <x v="21"/>
    <x v="3"/>
    <x v="1531"/>
  </r>
  <r>
    <x v="30"/>
    <x v="1532"/>
    <x v="1423"/>
    <x v="1423"/>
    <x v="795"/>
    <x v="29"/>
    <x v="58"/>
    <x v="1532"/>
  </r>
  <r>
    <x v="3"/>
    <x v="1533"/>
    <x v="1424"/>
    <x v="1424"/>
    <x v="355"/>
    <x v="15"/>
    <x v="5"/>
    <x v="1533"/>
  </r>
  <r>
    <x v="35"/>
    <x v="1534"/>
    <x v="1425"/>
    <x v="1425"/>
    <x v="174"/>
    <x v="66"/>
    <x v="7"/>
    <x v="1534"/>
  </r>
  <r>
    <x v="17"/>
    <x v="1535"/>
    <x v="1426"/>
    <x v="1426"/>
    <x v="1059"/>
    <x v="67"/>
    <x v="6"/>
    <x v="1535"/>
  </r>
  <r>
    <x v="14"/>
    <x v="1536"/>
    <x v="1427"/>
    <x v="1427"/>
    <x v="836"/>
    <x v="63"/>
    <x v="0"/>
    <x v="1536"/>
  </r>
  <r>
    <x v="64"/>
    <x v="1537"/>
    <x v="1428"/>
    <x v="1428"/>
    <x v="345"/>
    <x v="128"/>
    <x v="347"/>
    <x v="1537"/>
  </r>
  <r>
    <x v="8"/>
    <x v="1538"/>
    <x v="1429"/>
    <x v="1429"/>
    <x v="253"/>
    <x v="38"/>
    <x v="191"/>
    <x v="1538"/>
  </r>
  <r>
    <x v="64"/>
    <x v="1539"/>
    <x v="1430"/>
    <x v="1430"/>
    <x v="1060"/>
    <x v="126"/>
    <x v="85"/>
    <x v="1539"/>
  </r>
  <r>
    <x v="8"/>
    <x v="1540"/>
    <x v="1431"/>
    <x v="1431"/>
    <x v="831"/>
    <x v="41"/>
    <x v="0"/>
    <x v="1540"/>
  </r>
  <r>
    <x v="17"/>
    <x v="1541"/>
    <x v="1432"/>
    <x v="1432"/>
    <x v="362"/>
    <x v="111"/>
    <x v="348"/>
    <x v="1541"/>
  </r>
  <r>
    <x v="80"/>
    <x v="1542"/>
    <x v="1433"/>
    <x v="1433"/>
    <x v="1061"/>
    <x v="17"/>
    <x v="1"/>
    <x v="1542"/>
  </r>
  <r>
    <x v="34"/>
    <x v="1543"/>
    <x v="1434"/>
    <x v="1434"/>
    <x v="1062"/>
    <x v="17"/>
    <x v="17"/>
    <x v="1543"/>
  </r>
  <r>
    <x v="34"/>
    <x v="1544"/>
    <x v="1435"/>
    <x v="1435"/>
    <x v="496"/>
    <x v="17"/>
    <x v="7"/>
    <x v="1544"/>
  </r>
  <r>
    <x v="41"/>
    <x v="1545"/>
    <x v="1436"/>
    <x v="1436"/>
    <x v="554"/>
    <x v="90"/>
    <x v="318"/>
    <x v="1545"/>
  </r>
  <r>
    <x v="13"/>
    <x v="1546"/>
    <x v="1436"/>
    <x v="1436"/>
    <x v="664"/>
    <x v="21"/>
    <x v="5"/>
    <x v="1546"/>
  </r>
  <r>
    <x v="119"/>
    <x v="1547"/>
    <x v="1437"/>
    <x v="1437"/>
    <x v="174"/>
    <x v="87"/>
    <x v="241"/>
    <x v="1547"/>
  </r>
  <r>
    <x v="15"/>
    <x v="1548"/>
    <x v="1438"/>
    <x v="1438"/>
    <x v="886"/>
    <x v="38"/>
    <x v="0"/>
    <x v="1548"/>
  </r>
  <r>
    <x v="1"/>
    <x v="1549"/>
    <x v="1439"/>
    <x v="1439"/>
    <x v="1063"/>
    <x v="13"/>
    <x v="290"/>
    <x v="1549"/>
  </r>
  <r>
    <x v="12"/>
    <x v="1550"/>
    <x v="1440"/>
    <x v="1440"/>
    <x v="1064"/>
    <x v="2"/>
    <x v="157"/>
    <x v="1550"/>
  </r>
  <r>
    <x v="18"/>
    <x v="1551"/>
    <x v="1441"/>
    <x v="1441"/>
    <x v="1065"/>
    <x v="34"/>
    <x v="18"/>
    <x v="1551"/>
  </r>
  <r>
    <x v="51"/>
    <x v="1552"/>
    <x v="1441"/>
    <x v="1441"/>
    <x v="1066"/>
    <x v="33"/>
    <x v="200"/>
    <x v="1552"/>
  </r>
  <r>
    <x v="56"/>
    <x v="1553"/>
    <x v="1442"/>
    <x v="1442"/>
    <x v="1067"/>
    <x v="87"/>
    <x v="9"/>
    <x v="1553"/>
  </r>
  <r>
    <x v="111"/>
    <x v="1554"/>
    <x v="1443"/>
    <x v="1443"/>
    <x v="1068"/>
    <x v="129"/>
    <x v="9"/>
    <x v="1554"/>
  </r>
  <r>
    <x v="113"/>
    <x v="1555"/>
    <x v="1444"/>
    <x v="1444"/>
    <x v="1069"/>
    <x v="66"/>
    <x v="57"/>
    <x v="1555"/>
  </r>
  <r>
    <x v="41"/>
    <x v="1556"/>
    <x v="1445"/>
    <x v="1445"/>
    <x v="373"/>
    <x v="77"/>
    <x v="1"/>
    <x v="1556"/>
  </r>
  <r>
    <x v="41"/>
    <x v="1557"/>
    <x v="1446"/>
    <x v="1446"/>
    <x v="526"/>
    <x v="90"/>
    <x v="85"/>
    <x v="1557"/>
  </r>
  <r>
    <x v="8"/>
    <x v="1558"/>
    <x v="1447"/>
    <x v="1447"/>
    <x v="176"/>
    <x v="87"/>
    <x v="70"/>
    <x v="1558"/>
  </r>
  <r>
    <x v="120"/>
    <x v="1559"/>
    <x v="1448"/>
    <x v="1448"/>
    <x v="1070"/>
    <x v="28"/>
    <x v="0"/>
    <x v="1559"/>
  </r>
  <r>
    <x v="1"/>
    <x v="1560"/>
    <x v="1449"/>
    <x v="1449"/>
    <x v="1071"/>
    <x v="108"/>
    <x v="212"/>
    <x v="1560"/>
  </r>
  <r>
    <x v="24"/>
    <x v="1561"/>
    <x v="1450"/>
    <x v="1450"/>
    <x v="308"/>
    <x v="23"/>
    <x v="0"/>
    <x v="1561"/>
  </r>
  <r>
    <x v="36"/>
    <x v="1562"/>
    <x v="1451"/>
    <x v="1451"/>
    <x v="1072"/>
    <x v="23"/>
    <x v="349"/>
    <x v="1562"/>
  </r>
  <r>
    <x v="51"/>
    <x v="1563"/>
    <x v="1452"/>
    <x v="1452"/>
    <x v="1073"/>
    <x v="28"/>
    <x v="13"/>
    <x v="1563"/>
  </r>
  <r>
    <x v="8"/>
    <x v="1564"/>
    <x v="1453"/>
    <x v="1453"/>
    <x v="787"/>
    <x v="87"/>
    <x v="24"/>
    <x v="1564"/>
  </r>
  <r>
    <x v="6"/>
    <x v="1565"/>
    <x v="1454"/>
    <x v="1454"/>
    <x v="172"/>
    <x v="25"/>
    <x v="35"/>
    <x v="1565"/>
  </r>
  <r>
    <x v="41"/>
    <x v="1566"/>
    <x v="1455"/>
    <x v="1455"/>
    <x v="69"/>
    <x v="64"/>
    <x v="3"/>
    <x v="1566"/>
  </r>
  <r>
    <x v="96"/>
    <x v="1567"/>
    <x v="1456"/>
    <x v="1456"/>
    <x v="194"/>
    <x v="90"/>
    <x v="0"/>
    <x v="1567"/>
  </r>
  <r>
    <x v="1"/>
    <x v="1568"/>
    <x v="1457"/>
    <x v="1457"/>
    <x v="622"/>
    <x v="49"/>
    <x v="116"/>
    <x v="1568"/>
  </r>
  <r>
    <x v="42"/>
    <x v="1569"/>
    <x v="1458"/>
    <x v="1458"/>
    <x v="1074"/>
    <x v="28"/>
    <x v="0"/>
    <x v="1569"/>
  </r>
  <r>
    <x v="26"/>
    <x v="1570"/>
    <x v="1459"/>
    <x v="1459"/>
    <x v="174"/>
    <x v="29"/>
    <x v="350"/>
    <x v="1570"/>
  </r>
  <r>
    <x v="8"/>
    <x v="1571"/>
    <x v="1460"/>
    <x v="1460"/>
    <x v="1075"/>
    <x v="41"/>
    <x v="3"/>
    <x v="1571"/>
  </r>
  <r>
    <x v="1"/>
    <x v="1572"/>
    <x v="1461"/>
    <x v="1461"/>
    <x v="1076"/>
    <x v="29"/>
    <x v="82"/>
    <x v="1572"/>
  </r>
  <r>
    <x v="41"/>
    <x v="1573"/>
    <x v="1462"/>
    <x v="1462"/>
    <x v="1077"/>
    <x v="90"/>
    <x v="0"/>
    <x v="1573"/>
  </r>
  <r>
    <x v="18"/>
    <x v="1574"/>
    <x v="1463"/>
    <x v="1463"/>
    <x v="288"/>
    <x v="29"/>
    <x v="49"/>
    <x v="1574"/>
  </r>
  <r>
    <x v="15"/>
    <x v="1575"/>
    <x v="1464"/>
    <x v="1464"/>
    <x v="1078"/>
    <x v="28"/>
    <x v="1"/>
    <x v="1575"/>
  </r>
  <r>
    <x v="15"/>
    <x v="1576"/>
    <x v="1465"/>
    <x v="1465"/>
    <x v="1079"/>
    <x v="53"/>
    <x v="232"/>
    <x v="1576"/>
  </r>
  <r>
    <x v="96"/>
    <x v="1577"/>
    <x v="1466"/>
    <x v="1466"/>
    <x v="841"/>
    <x v="90"/>
    <x v="0"/>
    <x v="1577"/>
  </r>
  <r>
    <x v="42"/>
    <x v="1578"/>
    <x v="1467"/>
    <x v="1467"/>
    <x v="174"/>
    <x v="46"/>
    <x v="0"/>
    <x v="1578"/>
  </r>
  <r>
    <x v="121"/>
    <x v="1579"/>
    <x v="1468"/>
    <x v="1468"/>
    <x v="883"/>
    <x v="99"/>
    <x v="0"/>
    <x v="1579"/>
  </r>
  <r>
    <x v="8"/>
    <x v="1580"/>
    <x v="1469"/>
    <x v="1469"/>
    <x v="613"/>
    <x v="41"/>
    <x v="3"/>
    <x v="1580"/>
  </r>
  <r>
    <x v="8"/>
    <x v="1581"/>
    <x v="1470"/>
    <x v="1470"/>
    <x v="1080"/>
    <x v="87"/>
    <x v="75"/>
    <x v="1581"/>
  </r>
  <r>
    <x v="122"/>
    <x v="1582"/>
    <x v="1471"/>
    <x v="1471"/>
    <x v="1081"/>
    <x v="56"/>
    <x v="272"/>
    <x v="1582"/>
  </r>
  <r>
    <x v="26"/>
    <x v="1583"/>
    <x v="1472"/>
    <x v="1472"/>
    <x v="174"/>
    <x v="16"/>
    <x v="89"/>
    <x v="1583"/>
  </r>
  <r>
    <x v="26"/>
    <x v="1584"/>
    <x v="1473"/>
    <x v="1473"/>
    <x v="375"/>
    <x v="54"/>
    <x v="351"/>
    <x v="1584"/>
  </r>
  <r>
    <x v="51"/>
    <x v="1585"/>
    <x v="1474"/>
    <x v="1474"/>
    <x v="1082"/>
    <x v="39"/>
    <x v="352"/>
    <x v="1585"/>
  </r>
  <r>
    <x v="34"/>
    <x v="1586"/>
    <x v="1475"/>
    <x v="1475"/>
    <x v="571"/>
    <x v="21"/>
    <x v="81"/>
    <x v="1586"/>
  </r>
  <r>
    <x v="18"/>
    <x v="1587"/>
    <x v="1476"/>
    <x v="1476"/>
    <x v="693"/>
    <x v="28"/>
    <x v="93"/>
    <x v="1587"/>
  </r>
  <r>
    <x v="15"/>
    <x v="1588"/>
    <x v="1477"/>
    <x v="1477"/>
    <x v="1083"/>
    <x v="53"/>
    <x v="353"/>
    <x v="1588"/>
  </r>
  <r>
    <x v="79"/>
    <x v="1589"/>
    <x v="1478"/>
    <x v="1478"/>
    <x v="666"/>
    <x v="40"/>
    <x v="0"/>
    <x v="1589"/>
  </r>
  <r>
    <x v="17"/>
    <x v="1590"/>
    <x v="1479"/>
    <x v="1479"/>
    <x v="1084"/>
    <x v="94"/>
    <x v="354"/>
    <x v="1590"/>
  </r>
  <r>
    <x v="79"/>
    <x v="1591"/>
    <x v="1480"/>
    <x v="1480"/>
    <x v="495"/>
    <x v="40"/>
    <x v="0"/>
    <x v="1591"/>
  </r>
  <r>
    <x v="1"/>
    <x v="1592"/>
    <x v="1481"/>
    <x v="1481"/>
    <x v="1085"/>
    <x v="87"/>
    <x v="224"/>
    <x v="1592"/>
  </r>
  <r>
    <x v="17"/>
    <x v="1593"/>
    <x v="1482"/>
    <x v="1482"/>
    <x v="1086"/>
    <x v="94"/>
    <x v="355"/>
    <x v="1593"/>
  </r>
  <r>
    <x v="42"/>
    <x v="1594"/>
    <x v="1483"/>
    <x v="1483"/>
    <x v="1087"/>
    <x v="69"/>
    <x v="61"/>
    <x v="1594"/>
  </r>
  <r>
    <x v="33"/>
    <x v="1595"/>
    <x v="1484"/>
    <x v="1484"/>
    <x v="1088"/>
    <x v="45"/>
    <x v="33"/>
    <x v="1595"/>
  </r>
  <r>
    <x v="34"/>
    <x v="1596"/>
    <x v="1485"/>
    <x v="1485"/>
    <x v="657"/>
    <x v="0"/>
    <x v="35"/>
    <x v="1596"/>
  </r>
  <r>
    <x v="15"/>
    <x v="1597"/>
    <x v="1486"/>
    <x v="1486"/>
    <x v="1089"/>
    <x v="86"/>
    <x v="356"/>
    <x v="1597"/>
  </r>
  <r>
    <x v="8"/>
    <x v="1598"/>
    <x v="1487"/>
    <x v="1487"/>
    <x v="393"/>
    <x v="87"/>
    <x v="62"/>
    <x v="1598"/>
  </r>
  <r>
    <x v="8"/>
    <x v="1599"/>
    <x v="1488"/>
    <x v="1488"/>
    <x v="768"/>
    <x v="64"/>
    <x v="0"/>
    <x v="1599"/>
  </r>
  <r>
    <x v="15"/>
    <x v="1600"/>
    <x v="1488"/>
    <x v="1488"/>
    <x v="1090"/>
    <x v="26"/>
    <x v="68"/>
    <x v="1600"/>
  </r>
  <r>
    <x v="41"/>
    <x v="1601"/>
    <x v="1489"/>
    <x v="1489"/>
    <x v="853"/>
    <x v="90"/>
    <x v="1"/>
    <x v="1601"/>
  </r>
  <r>
    <x v="67"/>
    <x v="1602"/>
    <x v="1490"/>
    <x v="1490"/>
    <x v="1091"/>
    <x v="53"/>
    <x v="11"/>
    <x v="1602"/>
  </r>
  <r>
    <x v="15"/>
    <x v="1603"/>
    <x v="1491"/>
    <x v="1491"/>
    <x v="188"/>
    <x v="53"/>
    <x v="357"/>
    <x v="1603"/>
  </r>
  <r>
    <x v="15"/>
    <x v="1604"/>
    <x v="1492"/>
    <x v="1492"/>
    <x v="608"/>
    <x v="86"/>
    <x v="358"/>
    <x v="1604"/>
  </r>
  <r>
    <x v="43"/>
    <x v="1605"/>
    <x v="1493"/>
    <x v="1493"/>
    <x v="1083"/>
    <x v="87"/>
    <x v="54"/>
    <x v="1605"/>
  </r>
  <r>
    <x v="104"/>
    <x v="1606"/>
    <x v="1494"/>
    <x v="1494"/>
    <x v="1092"/>
    <x v="57"/>
    <x v="157"/>
    <x v="1606"/>
  </r>
  <r>
    <x v="24"/>
    <x v="1607"/>
    <x v="1495"/>
    <x v="1495"/>
    <x v="455"/>
    <x v="23"/>
    <x v="0"/>
    <x v="1607"/>
  </r>
  <r>
    <x v="34"/>
    <x v="1608"/>
    <x v="1495"/>
    <x v="1495"/>
    <x v="1093"/>
    <x v="29"/>
    <x v="105"/>
    <x v="1608"/>
  </r>
  <r>
    <x v="8"/>
    <x v="1609"/>
    <x v="1496"/>
    <x v="1496"/>
    <x v="421"/>
    <x v="38"/>
    <x v="0"/>
    <x v="1609"/>
  </r>
  <r>
    <x v="123"/>
    <x v="1610"/>
    <x v="1497"/>
    <x v="1497"/>
    <x v="537"/>
    <x v="57"/>
    <x v="1"/>
    <x v="1610"/>
  </r>
  <r>
    <x v="41"/>
    <x v="1611"/>
    <x v="1498"/>
    <x v="1498"/>
    <x v="1094"/>
    <x v="90"/>
    <x v="0"/>
    <x v="1611"/>
  </r>
  <r>
    <x v="26"/>
    <x v="1612"/>
    <x v="1499"/>
    <x v="1499"/>
    <x v="772"/>
    <x v="53"/>
    <x v="57"/>
    <x v="1612"/>
  </r>
  <r>
    <x v="124"/>
    <x v="1613"/>
    <x v="1500"/>
    <x v="1500"/>
    <x v="1095"/>
    <x v="41"/>
    <x v="1"/>
    <x v="1613"/>
  </r>
  <r>
    <x v="34"/>
    <x v="1614"/>
    <x v="1501"/>
    <x v="1501"/>
    <x v="83"/>
    <x v="9"/>
    <x v="147"/>
    <x v="1614"/>
  </r>
  <r>
    <x v="34"/>
    <x v="1615"/>
    <x v="1502"/>
    <x v="1502"/>
    <x v="1096"/>
    <x v="0"/>
    <x v="145"/>
    <x v="1615"/>
  </r>
  <r>
    <x v="8"/>
    <x v="1616"/>
    <x v="1503"/>
    <x v="1503"/>
    <x v="1097"/>
    <x v="16"/>
    <x v="18"/>
    <x v="1616"/>
  </r>
  <r>
    <x v="32"/>
    <x v="1617"/>
    <x v="1504"/>
    <x v="1504"/>
    <x v="1003"/>
    <x v="54"/>
    <x v="329"/>
    <x v="1617"/>
  </r>
  <r>
    <x v="63"/>
    <x v="1618"/>
    <x v="1505"/>
    <x v="1505"/>
    <x v="1098"/>
    <x v="41"/>
    <x v="359"/>
    <x v="1618"/>
  </r>
  <r>
    <x v="8"/>
    <x v="1619"/>
    <x v="1506"/>
    <x v="1506"/>
    <x v="1099"/>
    <x v="16"/>
    <x v="360"/>
    <x v="1619"/>
  </r>
  <r>
    <x v="51"/>
    <x v="1620"/>
    <x v="1507"/>
    <x v="1507"/>
    <x v="1100"/>
    <x v="23"/>
    <x v="325"/>
    <x v="1620"/>
  </r>
  <r>
    <x v="41"/>
    <x v="1621"/>
    <x v="1508"/>
    <x v="1508"/>
    <x v="174"/>
    <x v="90"/>
    <x v="0"/>
    <x v="1621"/>
  </r>
  <r>
    <x v="125"/>
    <x v="1622"/>
    <x v="1509"/>
    <x v="1509"/>
    <x v="1101"/>
    <x v="45"/>
    <x v="74"/>
    <x v="1622"/>
  </r>
  <r>
    <x v="11"/>
    <x v="1623"/>
    <x v="1510"/>
    <x v="1510"/>
    <x v="1102"/>
    <x v="16"/>
    <x v="49"/>
    <x v="1623"/>
  </r>
  <r>
    <x v="8"/>
    <x v="1624"/>
    <x v="1511"/>
    <x v="1511"/>
    <x v="22"/>
    <x v="41"/>
    <x v="3"/>
    <x v="1624"/>
  </r>
  <r>
    <x v="18"/>
    <x v="1625"/>
    <x v="1512"/>
    <x v="1512"/>
    <x v="1103"/>
    <x v="14"/>
    <x v="8"/>
    <x v="1625"/>
  </r>
  <r>
    <x v="63"/>
    <x v="1626"/>
    <x v="1513"/>
    <x v="1513"/>
    <x v="1104"/>
    <x v="38"/>
    <x v="17"/>
    <x v="1626"/>
  </r>
  <r>
    <x v="29"/>
    <x v="1627"/>
    <x v="1513"/>
    <x v="1513"/>
    <x v="174"/>
    <x v="28"/>
    <x v="200"/>
    <x v="1627"/>
  </r>
  <r>
    <x v="45"/>
    <x v="1628"/>
    <x v="1514"/>
    <x v="1514"/>
    <x v="1105"/>
    <x v="21"/>
    <x v="361"/>
    <x v="1628"/>
  </r>
  <r>
    <x v="18"/>
    <x v="1629"/>
    <x v="1515"/>
    <x v="1515"/>
    <x v="543"/>
    <x v="14"/>
    <x v="7"/>
    <x v="1629"/>
  </r>
  <r>
    <x v="3"/>
    <x v="1630"/>
    <x v="1516"/>
    <x v="1516"/>
    <x v="1106"/>
    <x v="17"/>
    <x v="0"/>
    <x v="1630"/>
  </r>
  <r>
    <x v="126"/>
    <x v="1631"/>
    <x v="1516"/>
    <x v="1516"/>
    <x v="208"/>
    <x v="41"/>
    <x v="1"/>
    <x v="1631"/>
  </r>
  <r>
    <x v="26"/>
    <x v="1632"/>
    <x v="1517"/>
    <x v="1517"/>
    <x v="1107"/>
    <x v="79"/>
    <x v="89"/>
    <x v="1632"/>
  </r>
  <r>
    <x v="14"/>
    <x v="1633"/>
    <x v="1518"/>
    <x v="1518"/>
    <x v="1108"/>
    <x v="18"/>
    <x v="213"/>
    <x v="1633"/>
  </r>
  <r>
    <x v="8"/>
    <x v="1634"/>
    <x v="1519"/>
    <x v="1519"/>
    <x v="150"/>
    <x v="87"/>
    <x v="49"/>
    <x v="1634"/>
  </r>
  <r>
    <x v="24"/>
    <x v="1635"/>
    <x v="1520"/>
    <x v="1520"/>
    <x v="994"/>
    <x v="16"/>
    <x v="5"/>
    <x v="1635"/>
  </r>
  <r>
    <x v="47"/>
    <x v="1636"/>
    <x v="1521"/>
    <x v="1521"/>
    <x v="174"/>
    <x v="16"/>
    <x v="3"/>
    <x v="1636"/>
  </r>
  <r>
    <x v="1"/>
    <x v="1637"/>
    <x v="1522"/>
    <x v="1522"/>
    <x v="79"/>
    <x v="13"/>
    <x v="12"/>
    <x v="1637"/>
  </r>
  <r>
    <x v="47"/>
    <x v="1638"/>
    <x v="1523"/>
    <x v="1523"/>
    <x v="174"/>
    <x v="87"/>
    <x v="2"/>
    <x v="1638"/>
  </r>
  <r>
    <x v="25"/>
    <x v="1639"/>
    <x v="1524"/>
    <x v="1524"/>
    <x v="1099"/>
    <x v="18"/>
    <x v="1"/>
    <x v="1639"/>
  </r>
  <r>
    <x v="117"/>
    <x v="1640"/>
    <x v="1525"/>
    <x v="1525"/>
    <x v="1109"/>
    <x v="57"/>
    <x v="6"/>
    <x v="1640"/>
  </r>
  <r>
    <x v="127"/>
    <x v="1641"/>
    <x v="1526"/>
    <x v="1526"/>
    <x v="1110"/>
    <x v="85"/>
    <x v="1"/>
    <x v="1641"/>
  </r>
  <r>
    <x v="11"/>
    <x v="1642"/>
    <x v="1527"/>
    <x v="1527"/>
    <x v="1111"/>
    <x v="33"/>
    <x v="49"/>
    <x v="1642"/>
  </r>
  <r>
    <x v="47"/>
    <x v="1643"/>
    <x v="1528"/>
    <x v="1528"/>
    <x v="174"/>
    <x v="7"/>
    <x v="5"/>
    <x v="1643"/>
  </r>
  <r>
    <x v="15"/>
    <x v="1644"/>
    <x v="1529"/>
    <x v="1529"/>
    <x v="1112"/>
    <x v="62"/>
    <x v="362"/>
    <x v="1644"/>
  </r>
  <r>
    <x v="3"/>
    <x v="1645"/>
    <x v="1530"/>
    <x v="1530"/>
    <x v="174"/>
    <x v="2"/>
    <x v="0"/>
    <x v="1645"/>
  </r>
  <r>
    <x v="80"/>
    <x v="1646"/>
    <x v="1531"/>
    <x v="1531"/>
    <x v="250"/>
    <x v="17"/>
    <x v="8"/>
    <x v="1646"/>
  </r>
  <r>
    <x v="96"/>
    <x v="1647"/>
    <x v="1532"/>
    <x v="1532"/>
    <x v="965"/>
    <x v="62"/>
    <x v="0"/>
    <x v="1647"/>
  </r>
  <r>
    <x v="11"/>
    <x v="1648"/>
    <x v="1532"/>
    <x v="1532"/>
    <x v="1113"/>
    <x v="90"/>
    <x v="81"/>
    <x v="1648"/>
  </r>
  <r>
    <x v="41"/>
    <x v="1649"/>
    <x v="1533"/>
    <x v="1533"/>
    <x v="711"/>
    <x v="90"/>
    <x v="0"/>
    <x v="1649"/>
  </r>
  <r>
    <x v="47"/>
    <x v="1650"/>
    <x v="1534"/>
    <x v="1534"/>
    <x v="174"/>
    <x v="38"/>
    <x v="1"/>
    <x v="1650"/>
  </r>
  <r>
    <x v="32"/>
    <x v="1651"/>
    <x v="1535"/>
    <x v="1535"/>
    <x v="1114"/>
    <x v="54"/>
    <x v="363"/>
    <x v="1651"/>
  </r>
  <r>
    <x v="3"/>
    <x v="1652"/>
    <x v="1536"/>
    <x v="1536"/>
    <x v="194"/>
    <x v="25"/>
    <x v="2"/>
    <x v="1652"/>
  </r>
  <r>
    <x v="51"/>
    <x v="1653"/>
    <x v="1537"/>
    <x v="1537"/>
    <x v="1115"/>
    <x v="45"/>
    <x v="131"/>
    <x v="1653"/>
  </r>
  <r>
    <x v="26"/>
    <x v="1654"/>
    <x v="1538"/>
    <x v="1538"/>
    <x v="224"/>
    <x v="23"/>
    <x v="364"/>
    <x v="1654"/>
  </r>
  <r>
    <x v="18"/>
    <x v="1655"/>
    <x v="1539"/>
    <x v="1539"/>
    <x v="143"/>
    <x v="38"/>
    <x v="49"/>
    <x v="1655"/>
  </r>
  <r>
    <x v="26"/>
    <x v="1656"/>
    <x v="1539"/>
    <x v="1539"/>
    <x v="1116"/>
    <x v="90"/>
    <x v="365"/>
    <x v="1656"/>
  </r>
  <r>
    <x v="128"/>
    <x v="1657"/>
    <x v="1540"/>
    <x v="1540"/>
    <x v="174"/>
    <x v="45"/>
    <x v="241"/>
    <x v="1657"/>
  </r>
  <r>
    <x v="126"/>
    <x v="1658"/>
    <x v="1541"/>
    <x v="1541"/>
    <x v="1117"/>
    <x v="64"/>
    <x v="8"/>
    <x v="1658"/>
  </r>
  <r>
    <x v="41"/>
    <x v="1659"/>
    <x v="1542"/>
    <x v="1542"/>
    <x v="663"/>
    <x v="87"/>
    <x v="85"/>
    <x v="1659"/>
  </r>
  <r>
    <x v="29"/>
    <x v="1660"/>
    <x v="1542"/>
    <x v="1542"/>
    <x v="1118"/>
    <x v="23"/>
    <x v="366"/>
    <x v="1660"/>
  </r>
  <r>
    <x v="1"/>
    <x v="1661"/>
    <x v="1543"/>
    <x v="1543"/>
    <x v="81"/>
    <x v="34"/>
    <x v="301"/>
    <x v="1661"/>
  </r>
  <r>
    <x v="8"/>
    <x v="1662"/>
    <x v="1544"/>
    <x v="1544"/>
    <x v="253"/>
    <x v="64"/>
    <x v="0"/>
    <x v="1662"/>
  </r>
  <r>
    <x v="24"/>
    <x v="1663"/>
    <x v="1545"/>
    <x v="1545"/>
    <x v="517"/>
    <x v="16"/>
    <x v="53"/>
    <x v="1663"/>
  </r>
  <r>
    <x v="129"/>
    <x v="1664"/>
    <x v="1546"/>
    <x v="1546"/>
    <x v="1119"/>
    <x v="38"/>
    <x v="345"/>
    <x v="1664"/>
  </r>
  <r>
    <x v="41"/>
    <x v="1665"/>
    <x v="1547"/>
    <x v="1547"/>
    <x v="403"/>
    <x v="90"/>
    <x v="0"/>
    <x v="1665"/>
  </r>
  <r>
    <x v="42"/>
    <x v="1666"/>
    <x v="1547"/>
    <x v="1547"/>
    <x v="1120"/>
    <x v="69"/>
    <x v="57"/>
    <x v="1666"/>
  </r>
  <r>
    <x v="59"/>
    <x v="1667"/>
    <x v="1548"/>
    <x v="1548"/>
    <x v="865"/>
    <x v="107"/>
    <x v="244"/>
    <x v="1667"/>
  </r>
  <r>
    <x v="4"/>
    <x v="1668"/>
    <x v="1549"/>
    <x v="1549"/>
    <x v="174"/>
    <x v="33"/>
    <x v="24"/>
    <x v="1668"/>
  </r>
  <r>
    <x v="130"/>
    <x v="1669"/>
    <x v="1550"/>
    <x v="1550"/>
    <x v="241"/>
    <x v="64"/>
    <x v="1"/>
    <x v="1669"/>
  </r>
  <r>
    <x v="15"/>
    <x v="1670"/>
    <x v="1551"/>
    <x v="1551"/>
    <x v="182"/>
    <x v="29"/>
    <x v="125"/>
    <x v="1670"/>
  </r>
  <r>
    <x v="23"/>
    <x v="1671"/>
    <x v="1552"/>
    <x v="1552"/>
    <x v="174"/>
    <x v="23"/>
    <x v="329"/>
    <x v="1671"/>
  </r>
  <r>
    <x v="8"/>
    <x v="1672"/>
    <x v="1553"/>
    <x v="1553"/>
    <x v="1121"/>
    <x v="87"/>
    <x v="367"/>
    <x v="1672"/>
  </r>
  <r>
    <x v="1"/>
    <x v="1673"/>
    <x v="1553"/>
    <x v="1553"/>
    <x v="1122"/>
    <x v="64"/>
    <x v="77"/>
    <x v="1673"/>
  </r>
  <r>
    <x v="8"/>
    <x v="1674"/>
    <x v="1554"/>
    <x v="1554"/>
    <x v="1123"/>
    <x v="38"/>
    <x v="368"/>
    <x v="1674"/>
  </r>
  <r>
    <x v="24"/>
    <x v="1675"/>
    <x v="1555"/>
    <x v="1555"/>
    <x v="464"/>
    <x v="23"/>
    <x v="0"/>
    <x v="1675"/>
  </r>
  <r>
    <x v="8"/>
    <x v="1676"/>
    <x v="1556"/>
    <x v="1556"/>
    <x v="230"/>
    <x v="41"/>
    <x v="3"/>
    <x v="1676"/>
  </r>
  <r>
    <x v="26"/>
    <x v="1677"/>
    <x v="1557"/>
    <x v="1557"/>
    <x v="1124"/>
    <x v="58"/>
    <x v="33"/>
    <x v="1677"/>
  </r>
  <r>
    <x v="24"/>
    <x v="1678"/>
    <x v="1557"/>
    <x v="1557"/>
    <x v="1125"/>
    <x v="16"/>
    <x v="1"/>
    <x v="1678"/>
  </r>
  <r>
    <x v="92"/>
    <x v="1679"/>
    <x v="1558"/>
    <x v="1558"/>
    <x v="290"/>
    <x v="29"/>
    <x v="279"/>
    <x v="1679"/>
  </r>
  <r>
    <x v="96"/>
    <x v="1680"/>
    <x v="1559"/>
    <x v="1559"/>
    <x v="1126"/>
    <x v="90"/>
    <x v="0"/>
    <x v="1680"/>
  </r>
  <r>
    <x v="41"/>
    <x v="1681"/>
    <x v="1560"/>
    <x v="1560"/>
    <x v="850"/>
    <x v="90"/>
    <x v="0"/>
    <x v="1681"/>
  </r>
  <r>
    <x v="15"/>
    <x v="1682"/>
    <x v="1560"/>
    <x v="1560"/>
    <x v="1127"/>
    <x v="29"/>
    <x v="65"/>
    <x v="1682"/>
  </r>
  <r>
    <x v="131"/>
    <x v="1683"/>
    <x v="1560"/>
    <x v="1560"/>
    <x v="1128"/>
    <x v="23"/>
    <x v="34"/>
    <x v="1683"/>
  </r>
  <r>
    <x v="132"/>
    <x v="1684"/>
    <x v="1561"/>
    <x v="1561"/>
    <x v="1129"/>
    <x v="90"/>
    <x v="2"/>
    <x v="1684"/>
  </r>
  <r>
    <x v="41"/>
    <x v="1685"/>
    <x v="1561"/>
    <x v="1561"/>
    <x v="490"/>
    <x v="90"/>
    <x v="0"/>
    <x v="1685"/>
  </r>
  <r>
    <x v="12"/>
    <x v="1686"/>
    <x v="1562"/>
    <x v="1562"/>
    <x v="1130"/>
    <x v="49"/>
    <x v="3"/>
    <x v="1686"/>
  </r>
  <r>
    <x v="1"/>
    <x v="1687"/>
    <x v="1563"/>
    <x v="1563"/>
    <x v="1024"/>
    <x v="25"/>
    <x v="8"/>
    <x v="1687"/>
  </r>
  <r>
    <x v="26"/>
    <x v="1688"/>
    <x v="1564"/>
    <x v="1564"/>
    <x v="174"/>
    <x v="16"/>
    <x v="345"/>
    <x v="1688"/>
  </r>
  <r>
    <x v="41"/>
    <x v="1689"/>
    <x v="1565"/>
    <x v="1565"/>
    <x v="705"/>
    <x v="109"/>
    <x v="5"/>
    <x v="1689"/>
  </r>
  <r>
    <x v="117"/>
    <x v="1690"/>
    <x v="1566"/>
    <x v="1566"/>
    <x v="1131"/>
    <x v="68"/>
    <x v="1"/>
    <x v="1690"/>
  </r>
  <r>
    <x v="133"/>
    <x v="1691"/>
    <x v="1567"/>
    <x v="1567"/>
    <x v="1132"/>
    <x v="53"/>
    <x v="0"/>
    <x v="1691"/>
  </r>
  <r>
    <x v="6"/>
    <x v="1692"/>
    <x v="1567"/>
    <x v="1567"/>
    <x v="174"/>
    <x v="2"/>
    <x v="0"/>
    <x v="1692"/>
  </r>
  <r>
    <x v="8"/>
    <x v="1693"/>
    <x v="1568"/>
    <x v="1568"/>
    <x v="522"/>
    <x v="23"/>
    <x v="5"/>
    <x v="1693"/>
  </r>
  <r>
    <x v="58"/>
    <x v="1694"/>
    <x v="1569"/>
    <x v="1569"/>
    <x v="438"/>
    <x v="84"/>
    <x v="0"/>
    <x v="1694"/>
  </r>
  <r>
    <x v="1"/>
    <x v="1695"/>
    <x v="1570"/>
    <x v="1570"/>
    <x v="713"/>
    <x v="25"/>
    <x v="4"/>
    <x v="1695"/>
  </r>
  <r>
    <x v="1"/>
    <x v="1696"/>
    <x v="1571"/>
    <x v="1571"/>
    <x v="853"/>
    <x v="14"/>
    <x v="35"/>
    <x v="1696"/>
  </r>
  <r>
    <x v="96"/>
    <x v="1697"/>
    <x v="1572"/>
    <x v="1572"/>
    <x v="1099"/>
    <x v="90"/>
    <x v="0"/>
    <x v="1697"/>
  </r>
  <r>
    <x v="12"/>
    <x v="1698"/>
    <x v="1573"/>
    <x v="1573"/>
    <x v="835"/>
    <x v="62"/>
    <x v="51"/>
    <x v="1698"/>
  </r>
  <r>
    <x v="24"/>
    <x v="1699"/>
    <x v="1574"/>
    <x v="1574"/>
    <x v="730"/>
    <x v="23"/>
    <x v="0"/>
    <x v="1699"/>
  </r>
  <r>
    <x v="3"/>
    <x v="1700"/>
    <x v="1575"/>
    <x v="1575"/>
    <x v="866"/>
    <x v="28"/>
    <x v="2"/>
    <x v="1700"/>
  </r>
  <r>
    <x v="24"/>
    <x v="1701"/>
    <x v="1575"/>
    <x v="1575"/>
    <x v="546"/>
    <x v="23"/>
    <x v="0"/>
    <x v="1701"/>
  </r>
  <r>
    <x v="16"/>
    <x v="1702"/>
    <x v="1576"/>
    <x v="1576"/>
    <x v="1133"/>
    <x v="53"/>
    <x v="325"/>
    <x v="1702"/>
  </r>
  <r>
    <x v="15"/>
    <x v="1703"/>
    <x v="1577"/>
    <x v="1577"/>
    <x v="1134"/>
    <x v="86"/>
    <x v="369"/>
    <x v="1703"/>
  </r>
  <r>
    <x v="117"/>
    <x v="1704"/>
    <x v="1578"/>
    <x v="1578"/>
    <x v="463"/>
    <x v="33"/>
    <x v="1"/>
    <x v="1704"/>
  </r>
  <r>
    <x v="32"/>
    <x v="1705"/>
    <x v="1579"/>
    <x v="1579"/>
    <x v="191"/>
    <x v="130"/>
    <x v="129"/>
    <x v="1705"/>
  </r>
  <r>
    <x v="44"/>
    <x v="1706"/>
    <x v="1580"/>
    <x v="1580"/>
    <x v="1135"/>
    <x v="28"/>
    <x v="345"/>
    <x v="1706"/>
  </r>
  <r>
    <x v="41"/>
    <x v="1707"/>
    <x v="1581"/>
    <x v="1581"/>
    <x v="174"/>
    <x v="90"/>
    <x v="0"/>
    <x v="1707"/>
  </r>
  <r>
    <x v="22"/>
    <x v="1708"/>
    <x v="1582"/>
    <x v="1582"/>
    <x v="400"/>
    <x v="63"/>
    <x v="1"/>
    <x v="1708"/>
  </r>
  <r>
    <x v="134"/>
    <x v="1709"/>
    <x v="1582"/>
    <x v="1582"/>
    <x v="174"/>
    <x v="85"/>
    <x v="1"/>
    <x v="1709"/>
  </r>
  <r>
    <x v="59"/>
    <x v="1710"/>
    <x v="1583"/>
    <x v="1583"/>
    <x v="337"/>
    <x v="61"/>
    <x v="7"/>
    <x v="1710"/>
  </r>
  <r>
    <x v="17"/>
    <x v="1711"/>
    <x v="1584"/>
    <x v="1584"/>
    <x v="1136"/>
    <x v="94"/>
    <x v="117"/>
    <x v="1711"/>
  </r>
  <r>
    <x v="24"/>
    <x v="1712"/>
    <x v="1585"/>
    <x v="1585"/>
    <x v="1073"/>
    <x v="38"/>
    <x v="0"/>
    <x v="1712"/>
  </r>
  <r>
    <x v="3"/>
    <x v="1713"/>
    <x v="1586"/>
    <x v="1586"/>
    <x v="866"/>
    <x v="65"/>
    <x v="0"/>
    <x v="1713"/>
  </r>
  <r>
    <x v="3"/>
    <x v="1714"/>
    <x v="1587"/>
    <x v="1587"/>
    <x v="1137"/>
    <x v="38"/>
    <x v="200"/>
    <x v="1714"/>
  </r>
  <r>
    <x v="22"/>
    <x v="1715"/>
    <x v="1587"/>
    <x v="1587"/>
    <x v="1138"/>
    <x v="18"/>
    <x v="6"/>
    <x v="1715"/>
  </r>
  <r>
    <x v="32"/>
    <x v="1716"/>
    <x v="1588"/>
    <x v="1588"/>
    <x v="1139"/>
    <x v="66"/>
    <x v="370"/>
    <x v="1716"/>
  </r>
  <r>
    <x v="33"/>
    <x v="1717"/>
    <x v="1588"/>
    <x v="1588"/>
    <x v="1140"/>
    <x v="39"/>
    <x v="371"/>
    <x v="1717"/>
  </r>
  <r>
    <x v="17"/>
    <x v="1718"/>
    <x v="1589"/>
    <x v="1589"/>
    <x v="174"/>
    <x v="94"/>
    <x v="372"/>
    <x v="1718"/>
  </r>
  <r>
    <x v="11"/>
    <x v="1719"/>
    <x v="1590"/>
    <x v="1590"/>
    <x v="1141"/>
    <x v="39"/>
    <x v="373"/>
    <x v="1719"/>
  </r>
  <r>
    <x v="41"/>
    <x v="1720"/>
    <x v="1591"/>
    <x v="1591"/>
    <x v="174"/>
    <x v="90"/>
    <x v="0"/>
    <x v="1720"/>
  </r>
  <r>
    <x v="24"/>
    <x v="1721"/>
    <x v="1592"/>
    <x v="1592"/>
    <x v="730"/>
    <x v="23"/>
    <x v="0"/>
    <x v="1721"/>
  </r>
  <r>
    <x v="20"/>
    <x v="1722"/>
    <x v="1593"/>
    <x v="1593"/>
    <x v="270"/>
    <x v="68"/>
    <x v="157"/>
    <x v="1722"/>
  </r>
  <r>
    <x v="41"/>
    <x v="1723"/>
    <x v="1594"/>
    <x v="1594"/>
    <x v="1142"/>
    <x v="90"/>
    <x v="85"/>
    <x v="1723"/>
  </r>
  <r>
    <x v="1"/>
    <x v="1724"/>
    <x v="1595"/>
    <x v="1595"/>
    <x v="1143"/>
    <x v="33"/>
    <x v="323"/>
    <x v="1724"/>
  </r>
  <r>
    <x v="3"/>
    <x v="1725"/>
    <x v="1596"/>
    <x v="1596"/>
    <x v="831"/>
    <x v="42"/>
    <x v="5"/>
    <x v="1725"/>
  </r>
  <r>
    <x v="17"/>
    <x v="1726"/>
    <x v="1597"/>
    <x v="1597"/>
    <x v="1144"/>
    <x v="94"/>
    <x v="374"/>
    <x v="1726"/>
  </r>
  <r>
    <x v="27"/>
    <x v="1727"/>
    <x v="1598"/>
    <x v="1598"/>
    <x v="1145"/>
    <x v="9"/>
    <x v="7"/>
    <x v="1727"/>
  </r>
  <r>
    <x v="20"/>
    <x v="1728"/>
    <x v="1599"/>
    <x v="1599"/>
    <x v="1114"/>
    <x v="64"/>
    <x v="7"/>
    <x v="1728"/>
  </r>
  <r>
    <x v="44"/>
    <x v="1729"/>
    <x v="1599"/>
    <x v="1599"/>
    <x v="17"/>
    <x v="28"/>
    <x v="57"/>
    <x v="1729"/>
  </r>
  <r>
    <x v="96"/>
    <x v="1730"/>
    <x v="1600"/>
    <x v="1600"/>
    <x v="230"/>
    <x v="90"/>
    <x v="0"/>
    <x v="1730"/>
  </r>
  <r>
    <x v="41"/>
    <x v="1731"/>
    <x v="1600"/>
    <x v="1600"/>
    <x v="1146"/>
    <x v="90"/>
    <x v="0"/>
    <x v="1731"/>
  </r>
  <r>
    <x v="1"/>
    <x v="1732"/>
    <x v="1601"/>
    <x v="1601"/>
    <x v="174"/>
    <x v="13"/>
    <x v="1"/>
    <x v="1732"/>
  </r>
  <r>
    <x v="44"/>
    <x v="1733"/>
    <x v="1602"/>
    <x v="1602"/>
    <x v="577"/>
    <x v="28"/>
    <x v="0"/>
    <x v="1733"/>
  </r>
  <r>
    <x v="1"/>
    <x v="1734"/>
    <x v="1603"/>
    <x v="1603"/>
    <x v="1147"/>
    <x v="34"/>
    <x v="375"/>
    <x v="1734"/>
  </r>
  <r>
    <x v="23"/>
    <x v="1735"/>
    <x v="1604"/>
    <x v="1604"/>
    <x v="1148"/>
    <x v="23"/>
    <x v="133"/>
    <x v="1735"/>
  </r>
  <r>
    <x v="8"/>
    <x v="1736"/>
    <x v="1605"/>
    <x v="1605"/>
    <x v="1149"/>
    <x v="16"/>
    <x v="126"/>
    <x v="1736"/>
  </r>
  <r>
    <x v="32"/>
    <x v="1737"/>
    <x v="1606"/>
    <x v="1606"/>
    <x v="174"/>
    <x v="131"/>
    <x v="376"/>
    <x v="1737"/>
  </r>
  <r>
    <x v="99"/>
    <x v="1738"/>
    <x v="1607"/>
    <x v="1607"/>
    <x v="1150"/>
    <x v="23"/>
    <x v="17"/>
    <x v="1738"/>
  </r>
  <r>
    <x v="25"/>
    <x v="1739"/>
    <x v="1608"/>
    <x v="1608"/>
    <x v="1041"/>
    <x v="63"/>
    <x v="9"/>
    <x v="1739"/>
  </r>
  <r>
    <x v="14"/>
    <x v="1740"/>
    <x v="1609"/>
    <x v="1609"/>
    <x v="109"/>
    <x v="33"/>
    <x v="1"/>
    <x v="1740"/>
  </r>
  <r>
    <x v="26"/>
    <x v="1741"/>
    <x v="1610"/>
    <x v="1610"/>
    <x v="1151"/>
    <x v="23"/>
    <x v="23"/>
    <x v="1741"/>
  </r>
  <r>
    <x v="126"/>
    <x v="1742"/>
    <x v="1611"/>
    <x v="1611"/>
    <x v="1152"/>
    <x v="87"/>
    <x v="17"/>
    <x v="1742"/>
  </r>
  <r>
    <x v="16"/>
    <x v="1743"/>
    <x v="1611"/>
    <x v="1611"/>
    <x v="346"/>
    <x v="57"/>
    <x v="4"/>
    <x v="1743"/>
  </r>
  <r>
    <x v="15"/>
    <x v="1744"/>
    <x v="1612"/>
    <x v="1612"/>
    <x v="1153"/>
    <x v="29"/>
    <x v="345"/>
    <x v="1744"/>
  </r>
  <r>
    <x v="41"/>
    <x v="1745"/>
    <x v="1613"/>
    <x v="1613"/>
    <x v="271"/>
    <x v="90"/>
    <x v="0"/>
    <x v="1745"/>
  </r>
  <r>
    <x v="72"/>
    <x v="1746"/>
    <x v="1614"/>
    <x v="1614"/>
    <x v="1154"/>
    <x v="28"/>
    <x v="2"/>
    <x v="1746"/>
  </r>
  <r>
    <x v="17"/>
    <x v="1747"/>
    <x v="1614"/>
    <x v="1614"/>
    <x v="1155"/>
    <x v="94"/>
    <x v="377"/>
    <x v="1747"/>
  </r>
  <r>
    <x v="26"/>
    <x v="1748"/>
    <x v="1615"/>
    <x v="1615"/>
    <x v="1156"/>
    <x v="23"/>
    <x v="13"/>
    <x v="1748"/>
  </r>
  <r>
    <x v="24"/>
    <x v="1749"/>
    <x v="1615"/>
    <x v="1615"/>
    <x v="594"/>
    <x v="38"/>
    <x v="0"/>
    <x v="1749"/>
  </r>
  <r>
    <x v="34"/>
    <x v="1750"/>
    <x v="1616"/>
    <x v="1616"/>
    <x v="1157"/>
    <x v="9"/>
    <x v="196"/>
    <x v="1750"/>
  </r>
  <r>
    <x v="15"/>
    <x v="1751"/>
    <x v="1617"/>
    <x v="1617"/>
    <x v="1158"/>
    <x v="29"/>
    <x v="126"/>
    <x v="1751"/>
  </r>
  <r>
    <x v="96"/>
    <x v="1752"/>
    <x v="1618"/>
    <x v="1618"/>
    <x v="300"/>
    <x v="90"/>
    <x v="0"/>
    <x v="1752"/>
  </r>
  <r>
    <x v="1"/>
    <x v="1753"/>
    <x v="1619"/>
    <x v="1619"/>
    <x v="1159"/>
    <x v="25"/>
    <x v="6"/>
    <x v="1753"/>
  </r>
  <r>
    <x v="113"/>
    <x v="1754"/>
    <x v="1620"/>
    <x v="1620"/>
    <x v="174"/>
    <x v="90"/>
    <x v="65"/>
    <x v="1754"/>
  </r>
  <r>
    <x v="41"/>
    <x v="1755"/>
    <x v="1621"/>
    <x v="1621"/>
    <x v="253"/>
    <x v="90"/>
    <x v="0"/>
    <x v="1755"/>
  </r>
  <r>
    <x v="24"/>
    <x v="1756"/>
    <x v="1622"/>
    <x v="1622"/>
    <x v="116"/>
    <x v="23"/>
    <x v="0"/>
    <x v="1756"/>
  </r>
  <r>
    <x v="20"/>
    <x v="1757"/>
    <x v="1623"/>
    <x v="1623"/>
    <x v="1160"/>
    <x v="68"/>
    <x v="6"/>
    <x v="1757"/>
  </r>
  <r>
    <x v="135"/>
    <x v="1758"/>
    <x v="1624"/>
    <x v="1624"/>
    <x v="174"/>
    <x v="64"/>
    <x v="200"/>
    <x v="1758"/>
  </r>
  <r>
    <x v="20"/>
    <x v="1759"/>
    <x v="1625"/>
    <x v="1625"/>
    <x v="1161"/>
    <x v="25"/>
    <x v="13"/>
    <x v="1759"/>
  </r>
  <r>
    <x v="96"/>
    <x v="1760"/>
    <x v="1626"/>
    <x v="1626"/>
    <x v="713"/>
    <x v="90"/>
    <x v="0"/>
    <x v="1760"/>
  </r>
  <r>
    <x v="13"/>
    <x v="1761"/>
    <x v="1627"/>
    <x v="1627"/>
    <x v="326"/>
    <x v="12"/>
    <x v="44"/>
    <x v="1761"/>
  </r>
  <r>
    <x v="17"/>
    <x v="1762"/>
    <x v="1628"/>
    <x v="1628"/>
    <x v="1162"/>
    <x v="94"/>
    <x v="363"/>
    <x v="1762"/>
  </r>
  <r>
    <x v="41"/>
    <x v="1763"/>
    <x v="1629"/>
    <x v="1629"/>
    <x v="174"/>
    <x v="90"/>
    <x v="0"/>
    <x v="1763"/>
  </r>
  <r>
    <x v="17"/>
    <x v="1764"/>
    <x v="1630"/>
    <x v="1630"/>
    <x v="1163"/>
    <x v="29"/>
    <x v="272"/>
    <x v="1764"/>
  </r>
  <r>
    <x v="44"/>
    <x v="1765"/>
    <x v="1630"/>
    <x v="1630"/>
    <x v="170"/>
    <x v="28"/>
    <x v="178"/>
    <x v="1765"/>
  </r>
  <r>
    <x v="136"/>
    <x v="1766"/>
    <x v="1631"/>
    <x v="1631"/>
    <x v="1164"/>
    <x v="23"/>
    <x v="33"/>
    <x v="1766"/>
  </r>
  <r>
    <x v="3"/>
    <x v="1767"/>
    <x v="1632"/>
    <x v="1632"/>
    <x v="174"/>
    <x v="2"/>
    <x v="0"/>
    <x v="1767"/>
  </r>
  <r>
    <x v="36"/>
    <x v="1768"/>
    <x v="1633"/>
    <x v="1633"/>
    <x v="1165"/>
    <x v="23"/>
    <x v="17"/>
    <x v="1768"/>
  </r>
  <r>
    <x v="137"/>
    <x v="1769"/>
    <x v="1634"/>
    <x v="1634"/>
    <x v="1166"/>
    <x v="23"/>
    <x v="10"/>
    <x v="1769"/>
  </r>
  <r>
    <x v="1"/>
    <x v="1770"/>
    <x v="1634"/>
    <x v="1634"/>
    <x v="1167"/>
    <x v="16"/>
    <x v="118"/>
    <x v="1770"/>
  </r>
  <r>
    <x v="15"/>
    <x v="1771"/>
    <x v="1635"/>
    <x v="1635"/>
    <x v="1168"/>
    <x v="17"/>
    <x v="44"/>
    <x v="1771"/>
  </r>
  <r>
    <x v="1"/>
    <x v="1772"/>
    <x v="1636"/>
    <x v="1636"/>
    <x v="174"/>
    <x v="38"/>
    <x v="1"/>
    <x v="1772"/>
  </r>
  <r>
    <x v="138"/>
    <x v="1773"/>
    <x v="1637"/>
    <x v="1637"/>
    <x v="174"/>
    <x v="87"/>
    <x v="17"/>
    <x v="1773"/>
  </r>
  <r>
    <x v="3"/>
    <x v="1774"/>
    <x v="1638"/>
    <x v="1638"/>
    <x v="982"/>
    <x v="18"/>
    <x v="178"/>
    <x v="1774"/>
  </r>
  <r>
    <x v="12"/>
    <x v="1775"/>
    <x v="1639"/>
    <x v="1639"/>
    <x v="1169"/>
    <x v="57"/>
    <x v="34"/>
    <x v="1775"/>
  </r>
  <r>
    <x v="28"/>
    <x v="1776"/>
    <x v="1640"/>
    <x v="1640"/>
    <x v="174"/>
    <x v="69"/>
    <x v="144"/>
    <x v="1776"/>
  </r>
  <r>
    <x v="28"/>
    <x v="1777"/>
    <x v="1641"/>
    <x v="1641"/>
    <x v="1170"/>
    <x v="69"/>
    <x v="242"/>
    <x v="1777"/>
  </r>
  <r>
    <x v="28"/>
    <x v="1778"/>
    <x v="1642"/>
    <x v="1642"/>
    <x v="1171"/>
    <x v="69"/>
    <x v="258"/>
    <x v="1778"/>
  </r>
  <r>
    <x v="129"/>
    <x v="1779"/>
    <x v="1643"/>
    <x v="1643"/>
    <x v="162"/>
    <x v="45"/>
    <x v="1"/>
    <x v="1779"/>
  </r>
  <r>
    <x v="113"/>
    <x v="1780"/>
    <x v="1644"/>
    <x v="1644"/>
    <x v="1170"/>
    <x v="76"/>
    <x v="67"/>
    <x v="1780"/>
  </r>
  <r>
    <x v="24"/>
    <x v="1781"/>
    <x v="1645"/>
    <x v="1645"/>
    <x v="152"/>
    <x v="38"/>
    <x v="1"/>
    <x v="1781"/>
  </r>
  <r>
    <x v="34"/>
    <x v="1782"/>
    <x v="1645"/>
    <x v="1645"/>
    <x v="1172"/>
    <x v="9"/>
    <x v="367"/>
    <x v="1782"/>
  </r>
  <r>
    <x v="63"/>
    <x v="1783"/>
    <x v="1646"/>
    <x v="1646"/>
    <x v="174"/>
    <x v="38"/>
    <x v="345"/>
    <x v="1783"/>
  </r>
  <r>
    <x v="96"/>
    <x v="1784"/>
    <x v="1647"/>
    <x v="1647"/>
    <x v="1008"/>
    <x v="90"/>
    <x v="0"/>
    <x v="1784"/>
  </r>
  <r>
    <x v="139"/>
    <x v="1785"/>
    <x v="1648"/>
    <x v="1648"/>
    <x v="1173"/>
    <x v="28"/>
    <x v="81"/>
    <x v="1785"/>
  </r>
  <r>
    <x v="34"/>
    <x v="1786"/>
    <x v="1649"/>
    <x v="1649"/>
    <x v="1174"/>
    <x v="0"/>
    <x v="153"/>
    <x v="1786"/>
  </r>
  <r>
    <x v="43"/>
    <x v="1787"/>
    <x v="1650"/>
    <x v="1650"/>
    <x v="1175"/>
    <x v="28"/>
    <x v="1"/>
    <x v="1787"/>
  </r>
  <r>
    <x v="15"/>
    <x v="1788"/>
    <x v="1651"/>
    <x v="1651"/>
    <x v="1176"/>
    <x v="29"/>
    <x v="65"/>
    <x v="1788"/>
  </r>
  <r>
    <x v="96"/>
    <x v="1789"/>
    <x v="1652"/>
    <x v="1652"/>
    <x v="458"/>
    <x v="90"/>
    <x v="0"/>
    <x v="1789"/>
  </r>
  <r>
    <x v="3"/>
    <x v="1790"/>
    <x v="1652"/>
    <x v="1652"/>
    <x v="1177"/>
    <x v="38"/>
    <x v="137"/>
    <x v="1790"/>
  </r>
  <r>
    <x v="8"/>
    <x v="1791"/>
    <x v="1653"/>
    <x v="1653"/>
    <x v="123"/>
    <x v="57"/>
    <x v="0"/>
    <x v="1791"/>
  </r>
  <r>
    <x v="34"/>
    <x v="1792"/>
    <x v="1654"/>
    <x v="1654"/>
    <x v="1178"/>
    <x v="18"/>
    <x v="128"/>
    <x v="1792"/>
  </r>
  <r>
    <x v="17"/>
    <x v="1793"/>
    <x v="1655"/>
    <x v="1655"/>
    <x v="1179"/>
    <x v="29"/>
    <x v="1"/>
    <x v="1793"/>
  </r>
  <r>
    <x v="15"/>
    <x v="1794"/>
    <x v="1656"/>
    <x v="1656"/>
    <x v="1180"/>
    <x v="53"/>
    <x v="135"/>
    <x v="1794"/>
  </r>
  <r>
    <x v="15"/>
    <x v="1795"/>
    <x v="1657"/>
    <x v="1657"/>
    <x v="296"/>
    <x v="38"/>
    <x v="0"/>
    <x v="1795"/>
  </r>
  <r>
    <x v="17"/>
    <x v="1796"/>
    <x v="1658"/>
    <x v="1658"/>
    <x v="1181"/>
    <x v="29"/>
    <x v="1"/>
    <x v="1796"/>
  </r>
  <r>
    <x v="32"/>
    <x v="1797"/>
    <x v="1659"/>
    <x v="1659"/>
    <x v="1182"/>
    <x v="54"/>
    <x v="378"/>
    <x v="1797"/>
  </r>
  <r>
    <x v="8"/>
    <x v="1798"/>
    <x v="1660"/>
    <x v="1660"/>
    <x v="1183"/>
    <x v="23"/>
    <x v="33"/>
    <x v="1798"/>
  </r>
  <r>
    <x v="24"/>
    <x v="1799"/>
    <x v="1661"/>
    <x v="1661"/>
    <x v="925"/>
    <x v="23"/>
    <x v="0"/>
    <x v="1799"/>
  </r>
  <r>
    <x v="12"/>
    <x v="1800"/>
    <x v="1662"/>
    <x v="1662"/>
    <x v="1184"/>
    <x v="28"/>
    <x v="379"/>
    <x v="1800"/>
  </r>
  <r>
    <x v="15"/>
    <x v="1801"/>
    <x v="1663"/>
    <x v="1663"/>
    <x v="174"/>
    <x v="29"/>
    <x v="161"/>
    <x v="1801"/>
  </r>
  <r>
    <x v="15"/>
    <x v="1802"/>
    <x v="1664"/>
    <x v="1664"/>
    <x v="1185"/>
    <x v="75"/>
    <x v="380"/>
    <x v="1802"/>
  </r>
  <r>
    <x v="34"/>
    <x v="1803"/>
    <x v="1665"/>
    <x v="1665"/>
    <x v="264"/>
    <x v="45"/>
    <x v="4"/>
    <x v="1803"/>
  </r>
  <r>
    <x v="96"/>
    <x v="1804"/>
    <x v="1666"/>
    <x v="1666"/>
    <x v="1186"/>
    <x v="90"/>
    <x v="0"/>
    <x v="1804"/>
  </r>
  <r>
    <x v="17"/>
    <x v="1805"/>
    <x v="1666"/>
    <x v="1666"/>
    <x v="174"/>
    <x v="94"/>
    <x v="381"/>
    <x v="1805"/>
  </r>
  <r>
    <x v="15"/>
    <x v="1806"/>
    <x v="1667"/>
    <x v="1667"/>
    <x v="1187"/>
    <x v="23"/>
    <x v="49"/>
    <x v="1806"/>
  </r>
  <r>
    <x v="24"/>
    <x v="1807"/>
    <x v="1668"/>
    <x v="1668"/>
    <x v="774"/>
    <x v="78"/>
    <x v="99"/>
    <x v="1807"/>
  </r>
  <r>
    <x v="140"/>
    <x v="1808"/>
    <x v="1669"/>
    <x v="1669"/>
    <x v="1188"/>
    <x v="90"/>
    <x v="151"/>
    <x v="1808"/>
  </r>
  <r>
    <x v="124"/>
    <x v="1809"/>
    <x v="1670"/>
    <x v="1670"/>
    <x v="1189"/>
    <x v="41"/>
    <x v="34"/>
    <x v="1809"/>
  </r>
  <r>
    <x v="15"/>
    <x v="1810"/>
    <x v="1670"/>
    <x v="1670"/>
    <x v="20"/>
    <x v="38"/>
    <x v="0"/>
    <x v="1810"/>
  </r>
  <r>
    <x v="1"/>
    <x v="1811"/>
    <x v="1671"/>
    <x v="1671"/>
    <x v="1190"/>
    <x v="65"/>
    <x v="35"/>
    <x v="1811"/>
  </r>
  <r>
    <x v="82"/>
    <x v="1812"/>
    <x v="1672"/>
    <x v="1672"/>
    <x v="632"/>
    <x v="23"/>
    <x v="0"/>
    <x v="1812"/>
  </r>
  <r>
    <x v="34"/>
    <x v="1813"/>
    <x v="1673"/>
    <x v="1673"/>
    <x v="1191"/>
    <x v="29"/>
    <x v="56"/>
    <x v="1813"/>
  </r>
  <r>
    <x v="24"/>
    <x v="1814"/>
    <x v="1674"/>
    <x v="1674"/>
    <x v="1192"/>
    <x v="23"/>
    <x v="0"/>
    <x v="1814"/>
  </r>
  <r>
    <x v="141"/>
    <x v="1815"/>
    <x v="1675"/>
    <x v="1675"/>
    <x v="1193"/>
    <x v="45"/>
    <x v="23"/>
    <x v="1815"/>
  </r>
  <r>
    <x v="142"/>
    <x v="1816"/>
    <x v="1676"/>
    <x v="1676"/>
    <x v="955"/>
    <x v="29"/>
    <x v="9"/>
    <x v="1816"/>
  </r>
  <r>
    <x v="63"/>
    <x v="1817"/>
    <x v="1676"/>
    <x v="1676"/>
    <x v="1194"/>
    <x v="29"/>
    <x v="0"/>
    <x v="1817"/>
  </r>
  <r>
    <x v="42"/>
    <x v="1818"/>
    <x v="1677"/>
    <x v="1677"/>
    <x v="174"/>
    <x v="42"/>
    <x v="5"/>
    <x v="1818"/>
  </r>
  <r>
    <x v="15"/>
    <x v="1819"/>
    <x v="1678"/>
    <x v="1678"/>
    <x v="46"/>
    <x v="38"/>
    <x v="0"/>
    <x v="1819"/>
  </r>
  <r>
    <x v="15"/>
    <x v="1820"/>
    <x v="1679"/>
    <x v="1679"/>
    <x v="404"/>
    <x v="38"/>
    <x v="0"/>
    <x v="1820"/>
  </r>
  <r>
    <x v="24"/>
    <x v="1821"/>
    <x v="1680"/>
    <x v="1680"/>
    <x v="28"/>
    <x v="23"/>
    <x v="0"/>
    <x v="1821"/>
  </r>
  <r>
    <x v="105"/>
    <x v="1822"/>
    <x v="1681"/>
    <x v="1681"/>
    <x v="95"/>
    <x v="41"/>
    <x v="0"/>
    <x v="1822"/>
  </r>
  <r>
    <x v="42"/>
    <x v="1823"/>
    <x v="1682"/>
    <x v="1682"/>
    <x v="174"/>
    <x v="10"/>
    <x v="3"/>
    <x v="1823"/>
  </r>
  <r>
    <x v="17"/>
    <x v="1824"/>
    <x v="1682"/>
    <x v="1682"/>
    <x v="174"/>
    <x v="53"/>
    <x v="370"/>
    <x v="1824"/>
  </r>
  <r>
    <x v="28"/>
    <x v="1825"/>
    <x v="1683"/>
    <x v="1683"/>
    <x v="174"/>
    <x v="69"/>
    <x v="259"/>
    <x v="1825"/>
  </r>
  <r>
    <x v="143"/>
    <x v="1826"/>
    <x v="1684"/>
    <x v="1684"/>
    <x v="174"/>
    <x v="23"/>
    <x v="126"/>
    <x v="1826"/>
  </r>
  <r>
    <x v="129"/>
    <x v="1827"/>
    <x v="1685"/>
    <x v="1685"/>
    <x v="1195"/>
    <x v="45"/>
    <x v="329"/>
    <x v="1827"/>
  </r>
  <r>
    <x v="144"/>
    <x v="1828"/>
    <x v="1685"/>
    <x v="1685"/>
    <x v="174"/>
    <x v="16"/>
    <x v="1"/>
    <x v="1828"/>
  </r>
  <r>
    <x v="29"/>
    <x v="1829"/>
    <x v="1686"/>
    <x v="1686"/>
    <x v="1196"/>
    <x v="28"/>
    <x v="342"/>
    <x v="1829"/>
  </r>
  <r>
    <x v="14"/>
    <x v="1830"/>
    <x v="1687"/>
    <x v="1687"/>
    <x v="1197"/>
    <x v="33"/>
    <x v="17"/>
    <x v="1830"/>
  </r>
  <r>
    <x v="145"/>
    <x v="1831"/>
    <x v="1688"/>
    <x v="1688"/>
    <x v="1198"/>
    <x v="63"/>
    <x v="13"/>
    <x v="1831"/>
  </r>
  <r>
    <x v="0"/>
    <x v="1832"/>
    <x v="1689"/>
    <x v="1689"/>
    <x v="174"/>
    <x v="12"/>
    <x v="7"/>
    <x v="1832"/>
  </r>
  <r>
    <x v="3"/>
    <x v="1833"/>
    <x v="1690"/>
    <x v="1690"/>
    <x v="1150"/>
    <x v="33"/>
    <x v="382"/>
    <x v="1833"/>
  </r>
  <r>
    <x v="3"/>
    <x v="1834"/>
    <x v="1691"/>
    <x v="1691"/>
    <x v="445"/>
    <x v="63"/>
    <x v="0"/>
    <x v="1834"/>
  </r>
  <r>
    <x v="76"/>
    <x v="1835"/>
    <x v="1692"/>
    <x v="1692"/>
    <x v="886"/>
    <x v="41"/>
    <x v="77"/>
    <x v="1835"/>
  </r>
  <r>
    <x v="43"/>
    <x v="1836"/>
    <x v="1693"/>
    <x v="1693"/>
    <x v="1065"/>
    <x v="28"/>
    <x v="0"/>
    <x v="1836"/>
  </r>
  <r>
    <x v="18"/>
    <x v="1837"/>
    <x v="1694"/>
    <x v="1694"/>
    <x v="1099"/>
    <x v="0"/>
    <x v="18"/>
    <x v="1837"/>
  </r>
  <r>
    <x v="11"/>
    <x v="1838"/>
    <x v="1695"/>
    <x v="1695"/>
    <x v="1199"/>
    <x v="90"/>
    <x v="383"/>
    <x v="1838"/>
  </r>
  <r>
    <x v="13"/>
    <x v="1839"/>
    <x v="1696"/>
    <x v="1696"/>
    <x v="96"/>
    <x v="0"/>
    <x v="0"/>
    <x v="1839"/>
  </r>
  <r>
    <x v="12"/>
    <x v="1840"/>
    <x v="1696"/>
    <x v="1696"/>
    <x v="1200"/>
    <x v="65"/>
    <x v="5"/>
    <x v="1840"/>
  </r>
  <r>
    <x v="8"/>
    <x v="1841"/>
    <x v="1697"/>
    <x v="1697"/>
    <x v="1201"/>
    <x v="116"/>
    <x v="7"/>
    <x v="1841"/>
  </r>
  <r>
    <x v="8"/>
    <x v="1842"/>
    <x v="1698"/>
    <x v="1698"/>
    <x v="1202"/>
    <x v="53"/>
    <x v="8"/>
    <x v="1842"/>
  </r>
  <r>
    <x v="30"/>
    <x v="1843"/>
    <x v="1698"/>
    <x v="1698"/>
    <x v="1203"/>
    <x v="57"/>
    <x v="8"/>
    <x v="1843"/>
  </r>
  <r>
    <x v="92"/>
    <x v="1844"/>
    <x v="1699"/>
    <x v="1699"/>
    <x v="1204"/>
    <x v="18"/>
    <x v="72"/>
    <x v="1844"/>
  </r>
  <r>
    <x v="42"/>
    <x v="1845"/>
    <x v="1700"/>
    <x v="1700"/>
    <x v="174"/>
    <x v="104"/>
    <x v="7"/>
    <x v="1845"/>
  </r>
  <r>
    <x v="11"/>
    <x v="1846"/>
    <x v="1701"/>
    <x v="1701"/>
    <x v="1205"/>
    <x v="16"/>
    <x v="384"/>
    <x v="1846"/>
  </r>
  <r>
    <x v="7"/>
    <x v="1847"/>
    <x v="1701"/>
    <x v="1701"/>
    <x v="174"/>
    <x v="39"/>
    <x v="126"/>
    <x v="1847"/>
  </r>
  <r>
    <x v="23"/>
    <x v="1848"/>
    <x v="1702"/>
    <x v="1702"/>
    <x v="1162"/>
    <x v="23"/>
    <x v="340"/>
    <x v="1848"/>
  </r>
  <r>
    <x v="113"/>
    <x v="1849"/>
    <x v="1703"/>
    <x v="1703"/>
    <x v="703"/>
    <x v="66"/>
    <x v="349"/>
    <x v="1849"/>
  </r>
  <r>
    <x v="3"/>
    <x v="1850"/>
    <x v="1704"/>
    <x v="1704"/>
    <x v="174"/>
    <x v="2"/>
    <x v="0"/>
    <x v="1850"/>
  </r>
  <r>
    <x v="58"/>
    <x v="1851"/>
    <x v="1705"/>
    <x v="1705"/>
    <x v="1206"/>
    <x v="23"/>
    <x v="1"/>
    <x v="1851"/>
  </r>
  <r>
    <x v="99"/>
    <x v="1852"/>
    <x v="1706"/>
    <x v="1706"/>
    <x v="174"/>
    <x v="49"/>
    <x v="118"/>
    <x v="1852"/>
  </r>
  <r>
    <x v="17"/>
    <x v="1853"/>
    <x v="1707"/>
    <x v="1707"/>
    <x v="174"/>
    <x v="53"/>
    <x v="194"/>
    <x v="1853"/>
  </r>
  <r>
    <x v="23"/>
    <x v="1854"/>
    <x v="1707"/>
    <x v="1707"/>
    <x v="1207"/>
    <x v="23"/>
    <x v="107"/>
    <x v="1854"/>
  </r>
  <r>
    <x v="7"/>
    <x v="1855"/>
    <x v="1708"/>
    <x v="1708"/>
    <x v="1208"/>
    <x v="45"/>
    <x v="1"/>
    <x v="1855"/>
  </r>
  <r>
    <x v="146"/>
    <x v="1856"/>
    <x v="1709"/>
    <x v="1709"/>
    <x v="174"/>
    <x v="85"/>
    <x v="385"/>
    <x v="1856"/>
  </r>
  <r>
    <x v="41"/>
    <x v="1857"/>
    <x v="1710"/>
    <x v="1710"/>
    <x v="1126"/>
    <x v="90"/>
    <x v="0"/>
    <x v="1857"/>
  </r>
  <r>
    <x v="129"/>
    <x v="1858"/>
    <x v="1711"/>
    <x v="1711"/>
    <x v="1209"/>
    <x v="38"/>
    <x v="1"/>
    <x v="1858"/>
  </r>
  <r>
    <x v="40"/>
    <x v="1859"/>
    <x v="1712"/>
    <x v="1712"/>
    <x v="174"/>
    <x v="29"/>
    <x v="1"/>
    <x v="1859"/>
  </r>
  <r>
    <x v="36"/>
    <x v="1860"/>
    <x v="1713"/>
    <x v="1713"/>
    <x v="174"/>
    <x v="23"/>
    <x v="301"/>
    <x v="1860"/>
  </r>
  <r>
    <x v="51"/>
    <x v="1861"/>
    <x v="1713"/>
    <x v="1713"/>
    <x v="1210"/>
    <x v="53"/>
    <x v="65"/>
    <x v="1861"/>
  </r>
  <r>
    <x v="15"/>
    <x v="1862"/>
    <x v="1714"/>
    <x v="1714"/>
    <x v="51"/>
    <x v="86"/>
    <x v="386"/>
    <x v="1862"/>
  </r>
  <r>
    <x v="8"/>
    <x v="1863"/>
    <x v="1714"/>
    <x v="1714"/>
    <x v="1211"/>
    <x v="69"/>
    <x v="27"/>
    <x v="1863"/>
  </r>
  <r>
    <x v="36"/>
    <x v="1864"/>
    <x v="1715"/>
    <x v="1715"/>
    <x v="174"/>
    <x v="39"/>
    <x v="1"/>
    <x v="1864"/>
  </r>
  <r>
    <x v="42"/>
    <x v="1865"/>
    <x v="1716"/>
    <x v="1716"/>
    <x v="1212"/>
    <x v="69"/>
    <x v="110"/>
    <x v="1865"/>
  </r>
  <r>
    <x v="147"/>
    <x v="1866"/>
    <x v="1717"/>
    <x v="1717"/>
    <x v="1213"/>
    <x v="23"/>
    <x v="0"/>
    <x v="1866"/>
  </r>
  <r>
    <x v="148"/>
    <x v="1867"/>
    <x v="1718"/>
    <x v="1718"/>
    <x v="174"/>
    <x v="76"/>
    <x v="387"/>
    <x v="1867"/>
  </r>
  <r>
    <x v="22"/>
    <x v="1868"/>
    <x v="1719"/>
    <x v="1719"/>
    <x v="174"/>
    <x v="25"/>
    <x v="16"/>
    <x v="1868"/>
  </r>
  <r>
    <x v="51"/>
    <x v="1869"/>
    <x v="1720"/>
    <x v="1720"/>
    <x v="1214"/>
    <x v="53"/>
    <x v="118"/>
    <x v="1869"/>
  </r>
  <r>
    <x v="149"/>
    <x v="1870"/>
    <x v="1721"/>
    <x v="1721"/>
    <x v="174"/>
    <x v="76"/>
    <x v="388"/>
    <x v="1870"/>
  </r>
  <r>
    <x v="145"/>
    <x v="1871"/>
    <x v="1722"/>
    <x v="1722"/>
    <x v="1215"/>
    <x v="63"/>
    <x v="0"/>
    <x v="1871"/>
  </r>
  <r>
    <x v="3"/>
    <x v="1872"/>
    <x v="1723"/>
    <x v="1723"/>
    <x v="1216"/>
    <x v="65"/>
    <x v="157"/>
    <x v="1872"/>
  </r>
  <r>
    <x v="23"/>
    <x v="1873"/>
    <x v="1724"/>
    <x v="1724"/>
    <x v="1217"/>
    <x v="69"/>
    <x v="389"/>
    <x v="1873"/>
  </r>
  <r>
    <x v="150"/>
    <x v="1874"/>
    <x v="1724"/>
    <x v="1724"/>
    <x v="174"/>
    <x v="63"/>
    <x v="1"/>
    <x v="1874"/>
  </r>
  <r>
    <x v="41"/>
    <x v="1875"/>
    <x v="1725"/>
    <x v="1725"/>
    <x v="174"/>
    <x v="90"/>
    <x v="0"/>
    <x v="1875"/>
  </r>
  <r>
    <x v="33"/>
    <x v="1876"/>
    <x v="1726"/>
    <x v="1726"/>
    <x v="1218"/>
    <x v="45"/>
    <x v="30"/>
    <x v="1876"/>
  </r>
  <r>
    <x v="151"/>
    <x v="1877"/>
    <x v="1727"/>
    <x v="1727"/>
    <x v="174"/>
    <x v="23"/>
    <x v="0"/>
    <x v="1877"/>
  </r>
  <r>
    <x v="12"/>
    <x v="1878"/>
    <x v="1728"/>
    <x v="1728"/>
    <x v="174"/>
    <x v="28"/>
    <x v="105"/>
    <x v="1878"/>
  </r>
  <r>
    <x v="3"/>
    <x v="1879"/>
    <x v="1729"/>
    <x v="1729"/>
    <x v="667"/>
    <x v="33"/>
    <x v="390"/>
    <x v="1879"/>
  </r>
  <r>
    <x v="145"/>
    <x v="1880"/>
    <x v="1729"/>
    <x v="1729"/>
    <x v="1219"/>
    <x v="63"/>
    <x v="10"/>
    <x v="1880"/>
  </r>
  <r>
    <x v="8"/>
    <x v="1881"/>
    <x v="1730"/>
    <x v="1730"/>
    <x v="1119"/>
    <x v="64"/>
    <x v="1"/>
    <x v="1881"/>
  </r>
  <r>
    <x v="23"/>
    <x v="1882"/>
    <x v="1731"/>
    <x v="1731"/>
    <x v="1220"/>
    <x v="69"/>
    <x v="391"/>
    <x v="1882"/>
  </r>
  <r>
    <x v="42"/>
    <x v="1883"/>
    <x v="1732"/>
    <x v="1732"/>
    <x v="1221"/>
    <x v="69"/>
    <x v="349"/>
    <x v="1883"/>
  </r>
  <r>
    <x v="33"/>
    <x v="1884"/>
    <x v="1733"/>
    <x v="1733"/>
    <x v="1222"/>
    <x v="33"/>
    <x v="33"/>
    <x v="1884"/>
  </r>
  <r>
    <x v="62"/>
    <x v="1885"/>
    <x v="1734"/>
    <x v="1734"/>
    <x v="483"/>
    <x v="2"/>
    <x v="74"/>
    <x v="1885"/>
  </r>
  <r>
    <x v="152"/>
    <x v="1886"/>
    <x v="1735"/>
    <x v="1735"/>
    <x v="174"/>
    <x v="23"/>
    <x v="33"/>
    <x v="1886"/>
  </r>
  <r>
    <x v="153"/>
    <x v="1887"/>
    <x v="1736"/>
    <x v="1736"/>
    <x v="174"/>
    <x v="64"/>
    <x v="6"/>
    <x v="1887"/>
  </r>
  <r>
    <x v="23"/>
    <x v="1888"/>
    <x v="1737"/>
    <x v="1737"/>
    <x v="1223"/>
    <x v="69"/>
    <x v="376"/>
    <x v="1888"/>
  </r>
  <r>
    <x v="154"/>
    <x v="1889"/>
    <x v="1738"/>
    <x v="1738"/>
    <x v="174"/>
    <x v="69"/>
    <x v="118"/>
    <x v="1889"/>
  </r>
  <r>
    <x v="33"/>
    <x v="1890"/>
    <x v="1739"/>
    <x v="1739"/>
    <x v="1224"/>
    <x v="33"/>
    <x v="200"/>
    <x v="1890"/>
  </r>
  <r>
    <x v="23"/>
    <x v="1891"/>
    <x v="1740"/>
    <x v="1740"/>
    <x v="1225"/>
    <x v="69"/>
    <x v="392"/>
    <x v="1891"/>
  </r>
  <r>
    <x v="153"/>
    <x v="1892"/>
    <x v="1741"/>
    <x v="1741"/>
    <x v="174"/>
    <x v="64"/>
    <x v="4"/>
    <x v="1892"/>
  </r>
  <r>
    <x v="155"/>
    <x v="1893"/>
    <x v="1742"/>
    <x v="1742"/>
    <x v="174"/>
    <x v="23"/>
    <x v="393"/>
    <x v="1893"/>
  </r>
  <r>
    <x v="156"/>
    <x v="1894"/>
    <x v="1743"/>
    <x v="1743"/>
    <x v="174"/>
    <x v="90"/>
    <x v="209"/>
    <x v="1894"/>
  </r>
  <r>
    <x v="157"/>
    <x v="1895"/>
    <x v="1744"/>
    <x v="1744"/>
    <x v="174"/>
    <x v="75"/>
    <x v="0"/>
    <x v="1895"/>
  </r>
  <r>
    <x v="23"/>
    <x v="1896"/>
    <x v="1745"/>
    <x v="1745"/>
    <x v="558"/>
    <x v="69"/>
    <x v="394"/>
    <x v="1896"/>
  </r>
  <r>
    <x v="17"/>
    <x v="1897"/>
    <x v="1746"/>
    <x v="1746"/>
    <x v="174"/>
    <x v="119"/>
    <x v="85"/>
    <x v="1897"/>
  </r>
  <r>
    <x v="17"/>
    <x v="1898"/>
    <x v="1746"/>
    <x v="1746"/>
    <x v="174"/>
    <x v="94"/>
    <x v="395"/>
    <x v="1898"/>
  </r>
  <r>
    <x v="148"/>
    <x v="1899"/>
    <x v="1746"/>
    <x v="1746"/>
    <x v="174"/>
    <x v="66"/>
    <x v="396"/>
    <x v="1899"/>
  </r>
  <r>
    <x v="124"/>
    <x v="1900"/>
    <x v="1746"/>
    <x v="1746"/>
    <x v="174"/>
    <x v="41"/>
    <x v="313"/>
    <x v="1900"/>
  </r>
  <r>
    <x v="158"/>
    <x v="1901"/>
    <x v="1746"/>
    <x v="1746"/>
    <x v="174"/>
    <x v="23"/>
    <x v="33"/>
    <x v="1901"/>
  </r>
  <r>
    <x v="159"/>
    <x v="1902"/>
    <x v="1746"/>
    <x v="1746"/>
    <x v="174"/>
    <x v="62"/>
    <x v="345"/>
    <x v="1902"/>
  </r>
  <r>
    <x v="159"/>
    <x v="1903"/>
    <x v="1746"/>
    <x v="1746"/>
    <x v="174"/>
    <x v="62"/>
    <x v="154"/>
    <x v="1903"/>
  </r>
  <r>
    <x v="159"/>
    <x v="1904"/>
    <x v="1746"/>
    <x v="1746"/>
    <x v="174"/>
    <x v="62"/>
    <x v="397"/>
    <x v="1904"/>
  </r>
  <r>
    <x v="159"/>
    <x v="1905"/>
    <x v="1746"/>
    <x v="1746"/>
    <x v="1226"/>
    <x v="62"/>
    <x v="96"/>
    <x v="1905"/>
  </r>
  <r>
    <x v="159"/>
    <x v="1906"/>
    <x v="1746"/>
    <x v="1746"/>
    <x v="1227"/>
    <x v="62"/>
    <x v="56"/>
    <x v="1906"/>
  </r>
  <r>
    <x v="159"/>
    <x v="1907"/>
    <x v="1746"/>
    <x v="1746"/>
    <x v="1228"/>
    <x v="62"/>
    <x v="20"/>
    <x v="1907"/>
  </r>
  <r>
    <x v="64"/>
    <x v="1908"/>
    <x v="1746"/>
    <x v="1746"/>
    <x v="1229"/>
    <x v="69"/>
    <x v="318"/>
    <x v="1908"/>
  </r>
  <r>
    <x v="64"/>
    <x v="1909"/>
    <x v="1746"/>
    <x v="1746"/>
    <x v="1230"/>
    <x v="92"/>
    <x v="85"/>
    <x v="1909"/>
  </r>
  <r>
    <x v="64"/>
    <x v="1910"/>
    <x v="1746"/>
    <x v="1746"/>
    <x v="520"/>
    <x v="28"/>
    <x v="0"/>
    <x v="1910"/>
  </r>
  <r>
    <x v="138"/>
    <x v="1911"/>
    <x v="1746"/>
    <x v="1746"/>
    <x v="1231"/>
    <x v="33"/>
    <x v="65"/>
    <x v="1911"/>
  </r>
  <r>
    <x v="8"/>
    <x v="1912"/>
    <x v="1746"/>
    <x v="1746"/>
    <x v="1232"/>
    <x v="16"/>
    <x v="398"/>
    <x v="1912"/>
  </r>
  <r>
    <x v="159"/>
    <x v="1913"/>
    <x v="1746"/>
    <x v="1746"/>
    <x v="1233"/>
    <x v="62"/>
    <x v="0"/>
    <x v="1913"/>
  </r>
  <r>
    <x v="159"/>
    <x v="1914"/>
    <x v="1746"/>
    <x v="1746"/>
    <x v="1234"/>
    <x v="69"/>
    <x v="355"/>
    <x v="1914"/>
  </r>
  <r>
    <x v="159"/>
    <x v="1915"/>
    <x v="1746"/>
    <x v="1746"/>
    <x v="1235"/>
    <x v="107"/>
    <x v="399"/>
    <x v="1915"/>
  </r>
  <r>
    <x v="138"/>
    <x v="1916"/>
    <x v="1746"/>
    <x v="1746"/>
    <x v="1236"/>
    <x v="63"/>
    <x v="0"/>
    <x v="1916"/>
  </r>
  <r>
    <x v="113"/>
    <x v="1754"/>
    <x v="1746"/>
    <x v="1746"/>
    <x v="815"/>
    <x v="132"/>
    <x v="65"/>
    <x v="1917"/>
  </r>
  <r>
    <x v="30"/>
    <x v="1917"/>
    <x v="1746"/>
    <x v="1746"/>
    <x v="1237"/>
    <x v="38"/>
    <x v="91"/>
    <x v="1918"/>
  </r>
  <r>
    <x v="30"/>
    <x v="1918"/>
    <x v="1746"/>
    <x v="1746"/>
    <x v="1238"/>
    <x v="38"/>
    <x v="1"/>
    <x v="1919"/>
  </r>
  <r>
    <x v="96"/>
    <x v="1577"/>
    <x v="1746"/>
    <x v="1746"/>
    <x v="1239"/>
    <x v="90"/>
    <x v="0"/>
    <x v="1920"/>
  </r>
  <r>
    <x v="159"/>
    <x v="1919"/>
    <x v="1746"/>
    <x v="1746"/>
    <x v="557"/>
    <x v="28"/>
    <x v="33"/>
    <x v="1921"/>
  </r>
  <r>
    <x v="17"/>
    <x v="1920"/>
    <x v="1746"/>
    <x v="1746"/>
    <x v="1240"/>
    <x v="28"/>
    <x v="329"/>
    <x v="1922"/>
  </r>
  <r>
    <x v="22"/>
    <x v="1921"/>
    <x v="1746"/>
    <x v="1746"/>
    <x v="1241"/>
    <x v="28"/>
    <x v="28"/>
    <x v="1923"/>
  </r>
  <r>
    <x v="17"/>
    <x v="1922"/>
    <x v="1746"/>
    <x v="1746"/>
    <x v="1240"/>
    <x v="21"/>
    <x v="6"/>
    <x v="1924"/>
  </r>
  <r>
    <x v="58"/>
    <x v="1923"/>
    <x v="1746"/>
    <x v="1746"/>
    <x v="441"/>
    <x v="133"/>
    <x v="34"/>
    <x v="1925"/>
  </r>
  <r>
    <x v="58"/>
    <x v="1924"/>
    <x v="1746"/>
    <x v="1746"/>
    <x v="1242"/>
    <x v="134"/>
    <x v="1"/>
    <x v="1926"/>
  </r>
  <r>
    <x v="1"/>
    <x v="1925"/>
    <x v="1746"/>
    <x v="1746"/>
    <x v="1240"/>
    <x v="25"/>
    <x v="0"/>
    <x v="1927"/>
  </r>
  <r>
    <x v="1"/>
    <x v="1926"/>
    <x v="1746"/>
    <x v="1746"/>
    <x v="1240"/>
    <x v="49"/>
    <x v="8"/>
    <x v="1928"/>
  </r>
  <r>
    <x v="1"/>
    <x v="1927"/>
    <x v="1746"/>
    <x v="1746"/>
    <x v="1240"/>
    <x v="17"/>
    <x v="7"/>
    <x v="1929"/>
  </r>
  <r>
    <x v="159"/>
    <x v="1928"/>
    <x v="1746"/>
    <x v="1746"/>
    <x v="1243"/>
    <x v="36"/>
    <x v="10"/>
    <x v="1930"/>
  </r>
  <r>
    <x v="159"/>
    <x v="1929"/>
    <x v="1746"/>
    <x v="1746"/>
    <x v="1244"/>
    <x v="47"/>
    <x v="1"/>
    <x v="1931"/>
  </r>
  <r>
    <x v="119"/>
    <x v="1930"/>
    <x v="1746"/>
    <x v="1746"/>
    <x v="1245"/>
    <x v="23"/>
    <x v="400"/>
    <x v="1932"/>
  </r>
  <r>
    <x v="138"/>
    <x v="1931"/>
    <x v="1746"/>
    <x v="1746"/>
    <x v="326"/>
    <x v="57"/>
    <x v="1"/>
    <x v="1933"/>
  </r>
  <r>
    <x v="159"/>
    <x v="1932"/>
    <x v="1746"/>
    <x v="1746"/>
    <x v="1246"/>
    <x v="29"/>
    <x v="345"/>
    <x v="1934"/>
  </r>
  <r>
    <x v="159"/>
    <x v="1933"/>
    <x v="1746"/>
    <x v="1746"/>
    <x v="1247"/>
    <x v="62"/>
    <x v="171"/>
    <x v="1935"/>
  </r>
  <r>
    <x v="159"/>
    <x v="1934"/>
    <x v="1746"/>
    <x v="1746"/>
    <x v="1248"/>
    <x v="53"/>
    <x v="171"/>
    <x v="1936"/>
  </r>
  <r>
    <x v="159"/>
    <x v="1935"/>
    <x v="1746"/>
    <x v="1746"/>
    <x v="1249"/>
    <x v="86"/>
    <x v="401"/>
    <x v="1937"/>
  </r>
  <r>
    <x v="138"/>
    <x v="1936"/>
    <x v="1746"/>
    <x v="1746"/>
    <x v="692"/>
    <x v="45"/>
    <x v="80"/>
    <x v="1938"/>
  </r>
  <r>
    <x v="159"/>
    <x v="1937"/>
    <x v="1746"/>
    <x v="1746"/>
    <x v="413"/>
    <x v="17"/>
    <x v="0"/>
    <x v="1939"/>
  </r>
  <r>
    <x v="159"/>
    <x v="1938"/>
    <x v="1746"/>
    <x v="1746"/>
    <x v="1250"/>
    <x v="71"/>
    <x v="5"/>
    <x v="1940"/>
  </r>
  <r>
    <x v="138"/>
    <x v="1939"/>
    <x v="1746"/>
    <x v="1746"/>
    <x v="1251"/>
    <x v="45"/>
    <x v="29"/>
    <x v="1941"/>
  </r>
  <r>
    <x v="159"/>
    <x v="1940"/>
    <x v="1746"/>
    <x v="1746"/>
    <x v="1135"/>
    <x v="52"/>
    <x v="0"/>
    <x v="1942"/>
  </r>
  <r>
    <x v="159"/>
    <x v="1941"/>
    <x v="1746"/>
    <x v="1746"/>
    <x v="1243"/>
    <x v="52"/>
    <x v="0"/>
    <x v="1943"/>
  </r>
  <r>
    <x v="159"/>
    <x v="1942"/>
    <x v="1746"/>
    <x v="1746"/>
    <x v="1252"/>
    <x v="52"/>
    <x v="0"/>
    <x v="1944"/>
  </r>
  <r>
    <x v="159"/>
    <x v="1943"/>
    <x v="1746"/>
    <x v="1746"/>
    <x v="877"/>
    <x v="52"/>
    <x v="0"/>
    <x v="1945"/>
  </r>
  <r>
    <x v="159"/>
    <x v="1944"/>
    <x v="1746"/>
    <x v="1746"/>
    <x v="1009"/>
    <x v="26"/>
    <x v="18"/>
    <x v="1946"/>
  </r>
  <r>
    <x v="159"/>
    <x v="1945"/>
    <x v="1746"/>
    <x v="1746"/>
    <x v="417"/>
    <x v="30"/>
    <x v="8"/>
    <x v="1947"/>
  </r>
  <r>
    <x v="159"/>
    <x v="1946"/>
    <x v="1746"/>
    <x v="1746"/>
    <x v="444"/>
    <x v="30"/>
    <x v="7"/>
    <x v="1948"/>
  </r>
  <r>
    <x v="138"/>
    <x v="1947"/>
    <x v="1746"/>
    <x v="1746"/>
    <x v="1246"/>
    <x v="90"/>
    <x v="38"/>
    <x v="1949"/>
  </r>
  <r>
    <x v="138"/>
    <x v="1948"/>
    <x v="1746"/>
    <x v="1746"/>
    <x v="1253"/>
    <x v="90"/>
    <x v="304"/>
    <x v="1950"/>
  </r>
  <r>
    <x v="138"/>
    <x v="1949"/>
    <x v="1746"/>
    <x v="1746"/>
    <x v="170"/>
    <x v="135"/>
    <x v="54"/>
    <x v="1951"/>
  </r>
  <r>
    <x v="159"/>
    <x v="1950"/>
    <x v="1746"/>
    <x v="1746"/>
    <x v="295"/>
    <x v="24"/>
    <x v="3"/>
    <x v="1952"/>
  </r>
  <r>
    <x v="159"/>
    <x v="1951"/>
    <x v="1746"/>
    <x v="1746"/>
    <x v="739"/>
    <x v="34"/>
    <x v="81"/>
    <x v="1953"/>
  </r>
  <r>
    <x v="159"/>
    <x v="1952"/>
    <x v="1746"/>
    <x v="1746"/>
    <x v="998"/>
    <x v="17"/>
    <x v="0"/>
    <x v="1954"/>
  </r>
  <r>
    <x v="159"/>
    <x v="1953"/>
    <x v="1746"/>
    <x v="1746"/>
    <x v="392"/>
    <x v="136"/>
    <x v="204"/>
    <x v="1955"/>
  </r>
  <r>
    <x v="159"/>
    <x v="1954"/>
    <x v="1746"/>
    <x v="1746"/>
    <x v="1254"/>
    <x v="69"/>
    <x v="218"/>
    <x v="1956"/>
  </r>
  <r>
    <x v="159"/>
    <x v="1955"/>
    <x v="1746"/>
    <x v="1746"/>
    <x v="1255"/>
    <x v="69"/>
    <x v="297"/>
    <x v="1957"/>
  </r>
  <r>
    <x v="159"/>
    <x v="1956"/>
    <x v="1746"/>
    <x v="1746"/>
    <x v="1256"/>
    <x v="69"/>
    <x v="402"/>
    <x v="1958"/>
  </r>
  <r>
    <x v="159"/>
    <x v="1957"/>
    <x v="1746"/>
    <x v="1746"/>
    <x v="1257"/>
    <x v="69"/>
    <x v="403"/>
    <x v="1959"/>
  </r>
  <r>
    <x v="159"/>
    <x v="1958"/>
    <x v="1746"/>
    <x v="1746"/>
    <x v="1041"/>
    <x v="69"/>
    <x v="334"/>
    <x v="1960"/>
  </r>
  <r>
    <x v="159"/>
    <x v="1959"/>
    <x v="1746"/>
    <x v="1746"/>
    <x v="1094"/>
    <x v="69"/>
    <x v="404"/>
    <x v="1961"/>
  </r>
  <r>
    <x v="159"/>
    <x v="1960"/>
    <x v="1746"/>
    <x v="1746"/>
    <x v="1258"/>
    <x v="69"/>
    <x v="289"/>
    <x v="1962"/>
  </r>
  <r>
    <x v="159"/>
    <x v="1961"/>
    <x v="1746"/>
    <x v="1746"/>
    <x v="1259"/>
    <x v="69"/>
    <x v="188"/>
    <x v="1963"/>
  </r>
  <r>
    <x v="159"/>
    <x v="1962"/>
    <x v="1746"/>
    <x v="1746"/>
    <x v="1260"/>
    <x v="69"/>
    <x v="405"/>
    <x v="1964"/>
  </r>
  <r>
    <x v="159"/>
    <x v="1963"/>
    <x v="1746"/>
    <x v="1746"/>
    <x v="1261"/>
    <x v="69"/>
    <x v="184"/>
    <x v="1965"/>
  </r>
  <r>
    <x v="159"/>
    <x v="1964"/>
    <x v="1746"/>
    <x v="1746"/>
    <x v="1262"/>
    <x v="69"/>
    <x v="85"/>
    <x v="1966"/>
  </r>
  <r>
    <x v="159"/>
    <x v="1965"/>
    <x v="1746"/>
    <x v="1746"/>
    <x v="1263"/>
    <x v="69"/>
    <x v="274"/>
    <x v="1967"/>
  </r>
  <r>
    <x v="159"/>
    <x v="1966"/>
    <x v="1746"/>
    <x v="1746"/>
    <x v="1264"/>
    <x v="69"/>
    <x v="111"/>
    <x v="1968"/>
  </r>
  <r>
    <x v="159"/>
    <x v="1967"/>
    <x v="1746"/>
    <x v="1746"/>
    <x v="1265"/>
    <x v="69"/>
    <x v="188"/>
    <x v="1969"/>
  </r>
  <r>
    <x v="159"/>
    <x v="1968"/>
    <x v="1746"/>
    <x v="1746"/>
    <x v="1266"/>
    <x v="69"/>
    <x v="85"/>
    <x v="1970"/>
  </r>
  <r>
    <x v="159"/>
    <x v="1969"/>
    <x v="1746"/>
    <x v="1746"/>
    <x v="1267"/>
    <x v="36"/>
    <x v="0"/>
    <x v="1971"/>
  </r>
  <r>
    <x v="159"/>
    <x v="1970"/>
    <x v="1746"/>
    <x v="1746"/>
    <x v="1268"/>
    <x v="115"/>
    <x v="188"/>
    <x v="1972"/>
  </r>
  <r>
    <x v="159"/>
    <x v="1971"/>
    <x v="1746"/>
    <x v="1746"/>
    <x v="821"/>
    <x v="115"/>
    <x v="85"/>
    <x v="1973"/>
  </r>
  <r>
    <x v="159"/>
    <x v="1972"/>
    <x v="1746"/>
    <x v="1746"/>
    <x v="1269"/>
    <x v="69"/>
    <x v="406"/>
    <x v="1974"/>
  </r>
  <r>
    <x v="159"/>
    <x v="1973"/>
    <x v="1746"/>
    <x v="1746"/>
    <x v="548"/>
    <x v="69"/>
    <x v="407"/>
    <x v="1975"/>
  </r>
  <r>
    <x v="159"/>
    <x v="1974"/>
    <x v="1746"/>
    <x v="1746"/>
    <x v="1270"/>
    <x v="69"/>
    <x v="223"/>
    <x v="1976"/>
  </r>
  <r>
    <x v="159"/>
    <x v="1975"/>
    <x v="1746"/>
    <x v="1746"/>
    <x v="621"/>
    <x v="69"/>
    <x v="408"/>
    <x v="1977"/>
  </r>
  <r>
    <x v="159"/>
    <x v="1976"/>
    <x v="1746"/>
    <x v="1746"/>
    <x v="1271"/>
    <x v="69"/>
    <x v="409"/>
    <x v="1978"/>
  </r>
  <r>
    <x v="159"/>
    <x v="1977"/>
    <x v="1746"/>
    <x v="1746"/>
    <x v="728"/>
    <x v="69"/>
    <x v="167"/>
    <x v="1979"/>
  </r>
  <r>
    <x v="159"/>
    <x v="1978"/>
    <x v="1746"/>
    <x v="1746"/>
    <x v="1114"/>
    <x v="69"/>
    <x v="259"/>
    <x v="1980"/>
  </r>
  <r>
    <x v="159"/>
    <x v="1979"/>
    <x v="1746"/>
    <x v="1746"/>
    <x v="1272"/>
    <x v="69"/>
    <x v="242"/>
    <x v="1981"/>
  </r>
  <r>
    <x v="159"/>
    <x v="1980"/>
    <x v="1746"/>
    <x v="1746"/>
    <x v="1273"/>
    <x v="69"/>
    <x v="410"/>
    <x v="1982"/>
  </r>
  <r>
    <x v="159"/>
    <x v="1981"/>
    <x v="1746"/>
    <x v="1746"/>
    <x v="1274"/>
    <x v="69"/>
    <x v="289"/>
    <x v="1983"/>
  </r>
  <r>
    <x v="159"/>
    <x v="1982"/>
    <x v="1746"/>
    <x v="1746"/>
    <x v="1275"/>
    <x v="69"/>
    <x v="411"/>
    <x v="1984"/>
  </r>
  <r>
    <x v="159"/>
    <x v="1983"/>
    <x v="1746"/>
    <x v="1746"/>
    <x v="1276"/>
    <x v="69"/>
    <x v="321"/>
    <x v="1985"/>
  </r>
  <r>
    <x v="159"/>
    <x v="1984"/>
    <x v="1746"/>
    <x v="1746"/>
    <x v="1277"/>
    <x v="69"/>
    <x v="321"/>
    <x v="1986"/>
  </r>
  <r>
    <x v="159"/>
    <x v="1985"/>
    <x v="1746"/>
    <x v="1746"/>
    <x v="1278"/>
    <x v="69"/>
    <x v="412"/>
    <x v="1987"/>
  </r>
  <r>
    <x v="159"/>
    <x v="1986"/>
    <x v="1746"/>
    <x v="1746"/>
    <x v="430"/>
    <x v="69"/>
    <x v="412"/>
    <x v="1988"/>
  </r>
  <r>
    <x v="159"/>
    <x v="1987"/>
    <x v="1746"/>
    <x v="1746"/>
    <x v="1279"/>
    <x v="69"/>
    <x v="144"/>
    <x v="1989"/>
  </r>
  <r>
    <x v="159"/>
    <x v="1988"/>
    <x v="1746"/>
    <x v="1746"/>
    <x v="1280"/>
    <x v="69"/>
    <x v="259"/>
    <x v="1990"/>
  </r>
  <r>
    <x v="159"/>
    <x v="1989"/>
    <x v="1746"/>
    <x v="1746"/>
    <x v="1281"/>
    <x v="69"/>
    <x v="261"/>
    <x v="1991"/>
  </r>
  <r>
    <x v="159"/>
    <x v="1990"/>
    <x v="1746"/>
    <x v="1746"/>
    <x v="1282"/>
    <x v="69"/>
    <x v="87"/>
    <x v="1992"/>
  </r>
  <r>
    <x v="159"/>
    <x v="1991"/>
    <x v="1746"/>
    <x v="1746"/>
    <x v="1283"/>
    <x v="69"/>
    <x v="413"/>
    <x v="1993"/>
  </r>
  <r>
    <x v="159"/>
    <x v="1992"/>
    <x v="1746"/>
    <x v="1746"/>
    <x v="1284"/>
    <x v="69"/>
    <x v="214"/>
    <x v="1994"/>
  </r>
  <r>
    <x v="159"/>
    <x v="1993"/>
    <x v="1746"/>
    <x v="1746"/>
    <x v="1285"/>
    <x v="69"/>
    <x v="414"/>
    <x v="1995"/>
  </r>
  <r>
    <x v="159"/>
    <x v="1994"/>
    <x v="1746"/>
    <x v="1746"/>
    <x v="1286"/>
    <x v="69"/>
    <x v="415"/>
    <x v="1996"/>
  </r>
  <r>
    <x v="159"/>
    <x v="1995"/>
    <x v="1746"/>
    <x v="1746"/>
    <x v="1287"/>
    <x v="69"/>
    <x v="416"/>
    <x v="1997"/>
  </r>
  <r>
    <x v="159"/>
    <x v="1996"/>
    <x v="1746"/>
    <x v="1746"/>
    <x v="1288"/>
    <x v="69"/>
    <x v="242"/>
    <x v="1998"/>
  </r>
  <r>
    <x v="159"/>
    <x v="1997"/>
    <x v="1746"/>
    <x v="1746"/>
    <x v="96"/>
    <x v="69"/>
    <x v="404"/>
    <x v="1999"/>
  </r>
  <r>
    <x v="159"/>
    <x v="1998"/>
    <x v="1746"/>
    <x v="1746"/>
    <x v="1289"/>
    <x v="69"/>
    <x v="334"/>
    <x v="2000"/>
  </r>
  <r>
    <x v="159"/>
    <x v="1999"/>
    <x v="1746"/>
    <x v="1746"/>
    <x v="1290"/>
    <x v="69"/>
    <x v="238"/>
    <x v="2001"/>
  </r>
  <r>
    <x v="159"/>
    <x v="2000"/>
    <x v="1746"/>
    <x v="1746"/>
    <x v="909"/>
    <x v="69"/>
    <x v="417"/>
    <x v="2002"/>
  </r>
  <r>
    <x v="159"/>
    <x v="2001"/>
    <x v="1746"/>
    <x v="1746"/>
    <x v="1291"/>
    <x v="69"/>
    <x v="295"/>
    <x v="2003"/>
  </r>
  <r>
    <x v="159"/>
    <x v="2002"/>
    <x v="1746"/>
    <x v="1746"/>
    <x v="1292"/>
    <x v="69"/>
    <x v="418"/>
    <x v="2004"/>
  </r>
  <r>
    <x v="159"/>
    <x v="2003"/>
    <x v="1746"/>
    <x v="1746"/>
    <x v="1293"/>
    <x v="69"/>
    <x v="333"/>
    <x v="2005"/>
  </r>
  <r>
    <x v="159"/>
    <x v="2004"/>
    <x v="1746"/>
    <x v="1746"/>
    <x v="1294"/>
    <x v="69"/>
    <x v="245"/>
    <x v="2006"/>
  </r>
  <r>
    <x v="159"/>
    <x v="2005"/>
    <x v="1746"/>
    <x v="1746"/>
    <x v="1295"/>
    <x v="69"/>
    <x v="64"/>
    <x v="2007"/>
  </r>
  <r>
    <x v="159"/>
    <x v="2006"/>
    <x v="1746"/>
    <x v="1746"/>
    <x v="498"/>
    <x v="69"/>
    <x v="294"/>
    <x v="2008"/>
  </r>
  <r>
    <x v="159"/>
    <x v="2007"/>
    <x v="1746"/>
    <x v="1746"/>
    <x v="1199"/>
    <x v="69"/>
    <x v="84"/>
    <x v="2009"/>
  </r>
  <r>
    <x v="159"/>
    <x v="2008"/>
    <x v="1746"/>
    <x v="1746"/>
    <x v="1296"/>
    <x v="69"/>
    <x v="419"/>
    <x v="2010"/>
  </r>
  <r>
    <x v="159"/>
    <x v="2009"/>
    <x v="1746"/>
    <x v="1746"/>
    <x v="1297"/>
    <x v="69"/>
    <x v="184"/>
    <x v="2011"/>
  </r>
  <r>
    <x v="159"/>
    <x v="2010"/>
    <x v="1746"/>
    <x v="1746"/>
    <x v="1228"/>
    <x v="69"/>
    <x v="111"/>
    <x v="2012"/>
  </r>
  <r>
    <x v="159"/>
    <x v="2011"/>
    <x v="1746"/>
    <x v="1746"/>
    <x v="1298"/>
    <x v="69"/>
    <x v="184"/>
    <x v="2013"/>
  </r>
  <r>
    <x v="159"/>
    <x v="2012"/>
    <x v="1746"/>
    <x v="1746"/>
    <x v="1299"/>
    <x v="69"/>
    <x v="184"/>
    <x v="2014"/>
  </r>
  <r>
    <x v="159"/>
    <x v="2013"/>
    <x v="1746"/>
    <x v="1746"/>
    <x v="1300"/>
    <x v="69"/>
    <x v="184"/>
    <x v="2015"/>
  </r>
  <r>
    <x v="159"/>
    <x v="2014"/>
    <x v="1746"/>
    <x v="1746"/>
    <x v="1301"/>
    <x v="69"/>
    <x v="111"/>
    <x v="2016"/>
  </r>
  <r>
    <x v="159"/>
    <x v="2015"/>
    <x v="1746"/>
    <x v="1746"/>
    <x v="1302"/>
    <x v="69"/>
    <x v="188"/>
    <x v="2017"/>
  </r>
  <r>
    <x v="159"/>
    <x v="2016"/>
    <x v="1746"/>
    <x v="1746"/>
    <x v="1274"/>
    <x v="69"/>
    <x v="405"/>
    <x v="2018"/>
  </r>
  <r>
    <x v="159"/>
    <x v="2017"/>
    <x v="1746"/>
    <x v="1746"/>
    <x v="1303"/>
    <x v="69"/>
    <x v="188"/>
    <x v="2019"/>
  </r>
  <r>
    <x v="159"/>
    <x v="2018"/>
    <x v="1746"/>
    <x v="1746"/>
    <x v="1304"/>
    <x v="121"/>
    <x v="188"/>
    <x v="2020"/>
  </r>
  <r>
    <x v="159"/>
    <x v="2019"/>
    <x v="1746"/>
    <x v="1746"/>
    <x v="1305"/>
    <x v="69"/>
    <x v="85"/>
    <x v="2021"/>
  </r>
  <r>
    <x v="159"/>
    <x v="2020"/>
    <x v="1746"/>
    <x v="1746"/>
    <x v="1306"/>
    <x v="69"/>
    <x v="188"/>
    <x v="2022"/>
  </r>
  <r>
    <x v="159"/>
    <x v="2021"/>
    <x v="1746"/>
    <x v="1746"/>
    <x v="985"/>
    <x v="69"/>
    <x v="274"/>
    <x v="2023"/>
  </r>
  <r>
    <x v="159"/>
    <x v="2022"/>
    <x v="1746"/>
    <x v="1746"/>
    <x v="1307"/>
    <x v="69"/>
    <x v="405"/>
    <x v="2024"/>
  </r>
  <r>
    <x v="159"/>
    <x v="2023"/>
    <x v="1746"/>
    <x v="1746"/>
    <x v="1308"/>
    <x v="69"/>
    <x v="188"/>
    <x v="2025"/>
  </r>
  <r>
    <x v="159"/>
    <x v="2024"/>
    <x v="1746"/>
    <x v="1746"/>
    <x v="1309"/>
    <x v="69"/>
    <x v="85"/>
    <x v="2026"/>
  </r>
  <r>
    <x v="159"/>
    <x v="2025"/>
    <x v="1746"/>
    <x v="1746"/>
    <x v="1310"/>
    <x v="41"/>
    <x v="188"/>
    <x v="2027"/>
  </r>
  <r>
    <x v="159"/>
    <x v="2026"/>
    <x v="1746"/>
    <x v="1746"/>
    <x v="669"/>
    <x v="121"/>
    <x v="85"/>
    <x v="20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8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compact="0" compactData="0" multipleFieldFilters="0">
  <location ref="A3:G2033" firstHeaderRow="1" firstDataRow="1" firstDataCol="7"/>
  <pivotFields count="8">
    <pivotField axis="axisRow" compact="0" outline="0" showAll="0" defaultSubtotal="0">
      <items count="160">
        <item x="109"/>
        <item x="90"/>
        <item x="92"/>
        <item x="32"/>
        <item x="139"/>
        <item x="100"/>
        <item x="104"/>
        <item x="63"/>
        <item x="112"/>
        <item x="157"/>
        <item x="22"/>
        <item x="33"/>
        <item x="125"/>
        <item x="52"/>
        <item x="9"/>
        <item x="111"/>
        <item x="140"/>
        <item x="43"/>
        <item x="86"/>
        <item x="151"/>
        <item x="1"/>
        <item x="28"/>
        <item x="47"/>
        <item x="131"/>
        <item x="49"/>
        <item x="88"/>
        <item x="75"/>
        <item x="130"/>
        <item x="4"/>
        <item x="11"/>
        <item x="95"/>
        <item x="72"/>
        <item x="77"/>
        <item x="110"/>
        <item x="116"/>
        <item x="153"/>
        <item x="50"/>
        <item x="48"/>
        <item x="29"/>
        <item x="142"/>
        <item x="5"/>
        <item x="146"/>
        <item x="17"/>
        <item x="39"/>
        <item x="18"/>
        <item x="129"/>
        <item x="57"/>
        <item x="89"/>
        <item x="132"/>
        <item x="103"/>
        <item x="97"/>
        <item x="23"/>
        <item x="26"/>
        <item x="83"/>
        <item x="14"/>
        <item x="128"/>
        <item x="8"/>
        <item x="118"/>
        <item x="34"/>
        <item x="122"/>
        <item x="124"/>
        <item x="134"/>
        <item x="85"/>
        <item x="145"/>
        <item x="6"/>
        <item x="73"/>
        <item x="152"/>
        <item x="113"/>
        <item x="37"/>
        <item x="53"/>
        <item x="78"/>
        <item x="99"/>
        <item x="101"/>
        <item x="156"/>
        <item x="41"/>
        <item x="55"/>
        <item x="66"/>
        <item x="94"/>
        <item x="3"/>
        <item x="137"/>
        <item x="67"/>
        <item x="21"/>
        <item x="10"/>
        <item x="148"/>
        <item x="108"/>
        <item x="114"/>
        <item x="59"/>
        <item x="54"/>
        <item x="141"/>
        <item x="31"/>
        <item x="127"/>
        <item x="15"/>
        <item x="35"/>
        <item x="126"/>
        <item x="105"/>
        <item x="44"/>
        <item x="13"/>
        <item x="20"/>
        <item x="119"/>
        <item x="91"/>
        <item x="158"/>
        <item x="38"/>
        <item x="24"/>
        <item x="84"/>
        <item x="79"/>
        <item x="121"/>
        <item x="117"/>
        <item x="27"/>
        <item x="82"/>
        <item x="159"/>
        <item x="98"/>
        <item x="93"/>
        <item x="149"/>
        <item x="102"/>
        <item x="71"/>
        <item x="120"/>
        <item x="76"/>
        <item x="56"/>
        <item x="115"/>
        <item x="106"/>
        <item x="36"/>
        <item x="42"/>
        <item x="136"/>
        <item x="61"/>
        <item x="62"/>
        <item x="16"/>
        <item x="0"/>
        <item x="154"/>
        <item x="69"/>
        <item x="147"/>
        <item x="80"/>
        <item x="60"/>
        <item x="25"/>
        <item x="40"/>
        <item x="70"/>
        <item x="51"/>
        <item x="45"/>
        <item x="65"/>
        <item x="144"/>
        <item x="96"/>
        <item x="81"/>
        <item x="58"/>
        <item x="64"/>
        <item x="107"/>
        <item x="19"/>
        <item x="155"/>
        <item x="7"/>
        <item x="2"/>
        <item x="143"/>
        <item x="30"/>
        <item x="46"/>
        <item x="138"/>
        <item x="135"/>
        <item x="150"/>
        <item x="68"/>
        <item x="74"/>
        <item x="87"/>
        <item x="133"/>
        <item x="12"/>
        <item x="123"/>
      </items>
    </pivotField>
    <pivotField axis="axisRow" compact="0" outline="0" showAll="0" defaultSubtotal="0">
      <items count="2027">
        <item x="1529"/>
        <item x="1404"/>
        <item x="668"/>
        <item x="1321"/>
        <item x="1188"/>
        <item x="1844"/>
        <item x="1679"/>
        <item x="1176"/>
        <item x="1028"/>
        <item x="1029"/>
        <item x="1132"/>
        <item x="1129"/>
        <item x="1174"/>
        <item x="915"/>
        <item x="1019"/>
        <item x="1705"/>
        <item x="1328"/>
        <item x="1220"/>
        <item x="1336"/>
        <item x="1428"/>
        <item x="1651"/>
        <item x="1737"/>
        <item x="1716"/>
        <item x="868"/>
        <item x="397"/>
        <item x="1076"/>
        <item x="1797"/>
        <item x="1617"/>
        <item x="1317"/>
        <item x="1785"/>
        <item x="878"/>
        <item x="1684"/>
        <item x="1146"/>
        <item x="1101"/>
        <item x="147"/>
        <item x="1606"/>
        <item x="1319"/>
        <item x="1299"/>
        <item x="1414"/>
        <item x="1589"/>
        <item x="1198"/>
        <item x="1514"/>
        <item x="1249"/>
        <item x="1591"/>
        <item x="1013"/>
        <item x="1482"/>
        <item x="1291"/>
        <item x="1117"/>
        <item x="896"/>
        <item x="1072"/>
        <item x="755"/>
        <item x="1246"/>
        <item x="1102"/>
        <item x="1887"/>
        <item x="1892"/>
        <item x="1386"/>
        <item x="1422"/>
        <item x="1426"/>
        <item x="882"/>
        <item x="476"/>
        <item x="778"/>
        <item x="1390"/>
        <item x="765"/>
        <item x="1702"/>
        <item x="1743"/>
        <item x="839"/>
        <item x="874"/>
        <item x="1380"/>
        <item x="349"/>
        <item x="1895"/>
        <item x="814"/>
        <item x="738"/>
        <item x="1708"/>
        <item x="1921"/>
        <item x="748"/>
        <item x="753"/>
        <item x="785"/>
        <item x="858"/>
        <item x="1715"/>
        <item x="1333"/>
        <item x="1085"/>
        <item x="1884"/>
        <item x="402"/>
        <item x="1890"/>
        <item x="1717"/>
        <item x="734"/>
        <item x="564"/>
        <item x="1876"/>
        <item x="1120"/>
        <item x="1595"/>
        <item x="406"/>
        <item x="967"/>
        <item x="1835"/>
        <item x="1622"/>
        <item x="641"/>
        <item x="657"/>
        <item x="293"/>
        <item x="308"/>
        <item x="195"/>
        <item x="82"/>
        <item x="823"/>
        <item x="237"/>
        <item x="616"/>
        <item x="1510"/>
        <item x="1554"/>
        <item x="1417"/>
        <item x="1584"/>
        <item x="385"/>
        <item x="1121"/>
        <item x="342"/>
        <item x="1434"/>
        <item x="333"/>
        <item x="1442"/>
        <item x="285"/>
        <item x="919"/>
        <item x="1868"/>
        <item x="252"/>
        <item x="1822"/>
        <item x="1325"/>
        <item x="1671"/>
        <item x="1216"/>
        <item x="1836"/>
        <item x="1787"/>
        <item x="1011"/>
        <item x="1770"/>
        <item x="1673"/>
        <item x="1592"/>
        <item x="1560"/>
        <item x="1772"/>
        <item x="312"/>
        <item x="929"/>
        <item x="520"/>
        <item x="1677"/>
        <item x="867"/>
        <item x="1638"/>
        <item x="1281"/>
        <item x="977"/>
        <item x="1643"/>
        <item x="1636"/>
        <item x="1650"/>
        <item x="583"/>
        <item x="979"/>
        <item x="1062"/>
        <item x="1683"/>
        <item x="1439"/>
        <item x="1012"/>
        <item x="1193"/>
        <item x="1461"/>
        <item x="938"/>
        <item x="631"/>
        <item x="1437"/>
        <item x="1808"/>
        <item x="1379"/>
        <item x="1612"/>
        <item x="953"/>
        <item x="1669"/>
        <item x="801"/>
        <item x="1471"/>
        <item x="1803"/>
        <item x="761"/>
        <item x="1095"/>
        <item x="905"/>
        <item x="1005"/>
        <item x="1449"/>
        <item x="1436"/>
        <item x="1746"/>
        <item x="1387"/>
        <item x="80"/>
        <item x="50"/>
        <item x="64"/>
        <item x="974"/>
        <item x="1415"/>
        <item x="1224"/>
        <item x="1447"/>
        <item x="788"/>
        <item x="818"/>
        <item x="635"/>
        <item x="650"/>
        <item x="626"/>
        <item x="1627"/>
        <item x="1384"/>
        <item x="1660"/>
        <item x="1829"/>
        <item x="347"/>
        <item x="1182"/>
        <item x="1430"/>
        <item x="840"/>
        <item x="1816"/>
        <item x="1559"/>
        <item x="495"/>
        <item x="354"/>
        <item x="190"/>
        <item x="67"/>
        <item x="299"/>
        <item x="143"/>
        <item x="183"/>
        <item x="129"/>
        <item x="167"/>
        <item x="1920"/>
        <item x="1409"/>
        <item x="716"/>
        <item x="1524"/>
        <item x="1593"/>
        <item x="1253"/>
        <item x="910"/>
        <item x="1027"/>
        <item x="649"/>
        <item x="1590"/>
        <item x="870"/>
        <item x="1355"/>
        <item x="515"/>
        <item x="945"/>
        <item x="221"/>
        <item x="1898"/>
        <item x="1173"/>
        <item x="548"/>
        <item x="1262"/>
        <item x="1747"/>
        <item x="1178"/>
        <item x="477"/>
        <item x="747"/>
        <item x="729"/>
        <item x="1245"/>
        <item x="1123"/>
        <item x="584"/>
        <item x="1718"/>
        <item x="1099"/>
        <item x="774"/>
        <item x="1362"/>
        <item x="828"/>
        <item x="1056"/>
        <item x="1541"/>
        <item x="1438"/>
        <item x="961"/>
        <item x="1289"/>
        <item x="1440"/>
        <item x="610"/>
        <item x="1033"/>
        <item x="1381"/>
        <item x="1194"/>
        <item x="819"/>
        <item x="614"/>
        <item x="1183"/>
        <item x="223"/>
        <item x="1239"/>
        <item x="1051"/>
        <item x="1161"/>
        <item x="461"/>
        <item x="1045"/>
        <item x="469"/>
        <item x="1711"/>
        <item x="918"/>
        <item x="168"/>
        <item x="604"/>
        <item x="309"/>
        <item x="1805"/>
        <item x="1049"/>
        <item x="234"/>
        <item x="1162"/>
        <item x="1762"/>
        <item x="1726"/>
        <item x="1435"/>
        <item x="1793"/>
        <item x="1922"/>
        <item x="1349"/>
        <item x="1796"/>
        <item x="1092"/>
        <item x="1824"/>
        <item x="1853"/>
        <item x="623"/>
        <item x="1535"/>
        <item x="1314"/>
        <item x="1897"/>
        <item x="1046"/>
        <item x="1764"/>
        <item x="1406"/>
        <item x="512"/>
        <item x="1074"/>
        <item x="1147"/>
        <item x="1628"/>
        <item x="1158"/>
        <item x="1866"/>
        <item x="401"/>
        <item x="1827"/>
        <item x="1858"/>
        <item x="1664"/>
        <item x="1779"/>
        <item x="34"/>
        <item x="699"/>
        <item x="1149"/>
        <item x="1369"/>
        <item x="1300"/>
        <item x="714"/>
        <item x="890"/>
        <item x="841"/>
        <item x="1388"/>
        <item x="1143"/>
        <item x="1570"/>
        <item x="1888"/>
        <item x="1882"/>
        <item x="1891"/>
        <item x="484"/>
        <item x="1848"/>
        <item x="1896"/>
        <item x="1873"/>
        <item x="270"/>
        <item x="465"/>
        <item x="417"/>
        <item x="1854"/>
        <item x="723"/>
        <item x="1288"/>
        <item x="1735"/>
        <item x="811"/>
        <item x="1909"/>
        <item x="1345"/>
        <item x="1468"/>
        <item x="1346"/>
        <item x="1908"/>
        <item x="1304"/>
        <item x="1481"/>
        <item x="1372"/>
        <item x="1327"/>
        <item x="1259"/>
        <item x="1307"/>
        <item x="1124"/>
        <item x="1200"/>
        <item x="1068"/>
        <item x="783"/>
        <item x="1910"/>
        <item x="1171"/>
        <item x="1272"/>
        <item x="1539"/>
        <item x="1489"/>
        <item x="1316"/>
        <item x="1279"/>
        <item x="1073"/>
        <item x="793"/>
        <item x="598"/>
        <item x="985"/>
        <item x="1458"/>
        <item x="1503"/>
        <item x="1633"/>
        <item x="516"/>
        <item x="1241"/>
        <item x="1467"/>
        <item x="1190"/>
        <item x="378"/>
        <item x="1030"/>
        <item x="1525"/>
        <item x="1269"/>
        <item x="574"/>
        <item x="1206"/>
        <item x="960"/>
        <item x="458"/>
        <item x="306"/>
        <item x="405"/>
        <item x="361"/>
        <item x="277"/>
        <item x="229"/>
        <item x="427"/>
        <item x="130"/>
        <item x="543"/>
        <item x="262"/>
        <item x="352"/>
        <item x="178"/>
        <item x="1154"/>
        <item x="711"/>
        <item x="1446"/>
        <item x="1365"/>
        <item x="1116"/>
        <item x="856"/>
        <item x="1740"/>
        <item x="1536"/>
        <item x="575"/>
        <item x="1830"/>
        <item x="23"/>
        <item x="1791"/>
        <item x="1842"/>
        <item x="1841"/>
        <item x="1558"/>
        <item x="1432"/>
        <item x="1598"/>
        <item x="1223"/>
        <item x="98"/>
        <item x="1634"/>
        <item x="996"/>
        <item x="158"/>
        <item x="297"/>
        <item x="671"/>
        <item x="1357"/>
        <item x="590"/>
        <item x="1581"/>
        <item x="764"/>
        <item x="231"/>
        <item x="754"/>
        <item x="1202"/>
        <item x="942"/>
        <item x="1418"/>
        <item x="1609"/>
        <item x="872"/>
        <item x="531"/>
        <item x="1150"/>
        <item x="106"/>
        <item x="832"/>
        <item x="1479"/>
        <item x="581"/>
        <item x="1693"/>
        <item x="879"/>
        <item x="551"/>
        <item x="529"/>
        <item x="1090"/>
        <item x="1530"/>
        <item x="316"/>
        <item x="1310"/>
        <item x="1047"/>
        <item x="1619"/>
        <item x="673"/>
        <item x="321"/>
        <item x="1662"/>
        <item x="1094"/>
        <item x="921"/>
        <item x="1564"/>
        <item x="1156"/>
        <item x="284"/>
        <item x="1736"/>
        <item x="1263"/>
        <item x="860"/>
        <item x="1912"/>
        <item x="389"/>
        <item x="1798"/>
        <item x="1425"/>
        <item x="471"/>
        <item x="1616"/>
        <item x="1315"/>
        <item x="362"/>
        <item x="376"/>
        <item x="1358"/>
        <item x="355"/>
        <item x="1672"/>
        <item x="521"/>
        <item x="555"/>
        <item x="396"/>
        <item x="634"/>
        <item x="1460"/>
        <item x="766"/>
        <item x="282"/>
        <item x="745"/>
        <item x="852"/>
        <item x="948"/>
        <item x="1863"/>
        <item x="936"/>
        <item x="702"/>
        <item x="670"/>
        <item x="255"/>
        <item x="462"/>
        <item x="160"/>
        <item x="1674"/>
        <item x="1083"/>
        <item x="373"/>
        <item x="1538"/>
        <item x="1374"/>
        <item x="990"/>
        <item x="291"/>
        <item x="356"/>
        <item x="345"/>
        <item x="930"/>
        <item x="205"/>
        <item x="560"/>
        <item x="261"/>
        <item x="310"/>
        <item x="733"/>
        <item x="104"/>
        <item x="834"/>
        <item x="1221"/>
        <item x="1451"/>
        <item x="1228"/>
        <item x="740"/>
        <item x="1277"/>
        <item x="416"/>
        <item x="678"/>
        <item x="1484"/>
        <item x="744"/>
        <item x="524"/>
        <item x="691"/>
        <item x="1017"/>
        <item x="1881"/>
        <item x="307"/>
        <item x="1431"/>
        <item x="311"/>
        <item x="1040"/>
        <item x="1508"/>
        <item x="799"/>
        <item x="78"/>
        <item x="324"/>
        <item x="1429"/>
        <item x="1088"/>
        <item x="1546"/>
        <item x="1761"/>
        <item x="1839"/>
        <item x="578"/>
        <item x="1111"/>
        <item x="1066"/>
        <item x="504"/>
        <item x="499"/>
        <item x="663"/>
        <item x="126"/>
        <item x="304"/>
        <item x="589"/>
        <item x="1456"/>
        <item x="301"/>
        <item x="1266"/>
        <item x="240"/>
        <item x="815"/>
        <item x="800"/>
        <item x="892"/>
        <item x="849"/>
        <item x="1632"/>
        <item x="1499"/>
        <item x="1278"/>
        <item x="1583"/>
        <item x="1688"/>
        <item x="1657"/>
        <item x="1470"/>
        <item x="1813"/>
        <item x="1341"/>
        <item x="1400"/>
        <item x="688"/>
        <item x="1331"/>
        <item x="944"/>
        <item x="777"/>
        <item x="1444"/>
        <item x="1615"/>
        <item x="1492"/>
        <item x="1487"/>
        <item x="1213"/>
        <item x="1786"/>
        <item x="447"/>
        <item x="1596"/>
        <item x="1782"/>
        <item x="1614"/>
        <item x="1459"/>
        <item x="1792"/>
        <item x="1750"/>
        <item x="1148"/>
        <item x="1209"/>
        <item x="1196"/>
        <item x="505"/>
        <item x="1526"/>
        <item x="1608"/>
        <item x="898"/>
        <item x="1457"/>
        <item x="1377"/>
        <item x="1543"/>
        <item x="1531"/>
        <item x="411"/>
        <item x="1184"/>
        <item x="1544"/>
        <item x="972"/>
        <item x="1309"/>
        <item x="1155"/>
        <item x="1021"/>
        <item x="509"/>
        <item x="653"/>
        <item x="1540"/>
        <item x="1624"/>
        <item x="1571"/>
        <item x="1580"/>
        <item x="1676"/>
        <item x="1041"/>
        <item x="1443"/>
        <item x="1375"/>
        <item x="601"/>
        <item x="875"/>
        <item x="786"/>
        <item x="830"/>
        <item x="730"/>
        <item x="871"/>
        <item x="881"/>
        <item x="971"/>
        <item x="1053"/>
        <item x="952"/>
        <item x="696"/>
        <item x="851"/>
        <item x="900"/>
        <item x="1032"/>
        <item x="983"/>
        <item x="885"/>
        <item x="717"/>
        <item x="1135"/>
        <item x="1113"/>
        <item x="1126"/>
        <item x="1015"/>
        <item x="1065"/>
        <item x="888"/>
        <item x="1140"/>
        <item x="1002"/>
        <item x="1402"/>
        <item x="1599"/>
        <item x="1900"/>
        <item x="1809"/>
        <item x="1613"/>
        <item x="1709"/>
        <item x="1871"/>
        <item x="1880"/>
        <item x="1831"/>
        <item x="822"/>
        <item x="964"/>
        <item x="1159"/>
        <item x="1751"/>
        <item x="837"/>
        <item x="328"/>
        <item x="1025"/>
        <item x="1078"/>
        <item x="1802"/>
        <item x="1806"/>
        <item x="1670"/>
        <item x="995"/>
        <item x="404"/>
        <item x="491"/>
        <item x="286"/>
        <item x="395"/>
        <item x="1077"/>
        <item x="1273"/>
        <item x="869"/>
        <item x="1744"/>
        <item x="1794"/>
        <item x="414"/>
        <item x="1575"/>
        <item x="1311"/>
        <item x="790"/>
        <item x="1214"/>
        <item x="1142"/>
        <item x="1296"/>
        <item x="1405"/>
        <item x="566"/>
        <item x="156"/>
        <item x="813"/>
        <item x="440"/>
        <item x="387"/>
        <item x="1368"/>
        <item x="1603"/>
        <item x="600"/>
        <item x="1588"/>
        <item x="1604"/>
        <item x="1010"/>
        <item x="1576"/>
        <item x="1347"/>
        <item x="1344"/>
        <item x="1597"/>
        <item x="1703"/>
        <item x="1862"/>
        <item x="1261"/>
        <item x="911"/>
        <item x="1455"/>
        <item x="1240"/>
        <item x="1104"/>
        <item x="1472"/>
        <item x="1644"/>
        <item x="1600"/>
        <item x="1071"/>
        <item x="1801"/>
        <item x="1820"/>
        <item x="1192"/>
        <item x="138"/>
        <item x="1548"/>
        <item x="1795"/>
        <item x="947"/>
        <item x="258"/>
        <item x="424"/>
        <item x="511"/>
        <item x="1810"/>
        <item x="1284"/>
        <item x="398"/>
        <item x="1392"/>
        <item x="1523"/>
        <item x="1819"/>
        <item x="1771"/>
        <item x="381"/>
        <item x="685"/>
        <item x="1682"/>
        <item x="407"/>
        <item x="607"/>
        <item x="482"/>
        <item x="737"/>
        <item x="1035"/>
        <item x="159"/>
        <item x="359"/>
        <item x="637"/>
        <item x="1788"/>
        <item x="334"/>
        <item x="1483"/>
        <item x="216"/>
        <item x="1565"/>
        <item x="1692"/>
        <item x="69"/>
        <item x="582"/>
        <item x="429"/>
        <item x="1519"/>
        <item x="1465"/>
        <item x="994"/>
        <item x="1520"/>
        <item x="736"/>
        <item x="797"/>
        <item x="586"/>
        <item x="700"/>
        <item x="1326"/>
        <item x="618"/>
        <item x="585"/>
        <item x="710"/>
        <item x="922"/>
        <item x="1886"/>
        <item x="1323"/>
        <item x="1901"/>
        <item x="1108"/>
        <item x="1410"/>
        <item x="283"/>
        <item x="1739"/>
        <item x="1255"/>
        <item x="1393"/>
        <item x="642"/>
        <item x="1639"/>
        <item x="643"/>
        <item x="652"/>
        <item x="29"/>
        <item x="432"/>
        <item x="1466"/>
        <item x="1086"/>
        <item x="982"/>
        <item x="1894"/>
        <item x="1861"/>
        <item x="1869"/>
        <item x="1852"/>
        <item x="1275"/>
        <item x="1738"/>
        <item x="1295"/>
        <item x="55"/>
        <item x="1773"/>
        <item x="1949"/>
        <item x="1280"/>
        <item x="1093"/>
        <item x="1557"/>
        <item x="1473"/>
        <item x="1659"/>
        <item x="1723"/>
        <item x="1689"/>
        <item x="1312"/>
        <item x="999"/>
        <item x="1292"/>
        <item x="1573"/>
        <item x="1707"/>
        <item x="1665"/>
        <item x="1731"/>
        <item x="1497"/>
        <item x="1293"/>
        <item x="943"/>
        <item x="1227"/>
        <item x="798"/>
        <item x="1556"/>
        <item x="1485"/>
        <item x="1114"/>
        <item x="1180"/>
        <item x="1566"/>
        <item x="1050"/>
        <item x="1131"/>
        <item x="1153"/>
        <item x="1258"/>
        <item x="1061"/>
        <item x="780"/>
        <item x="1290"/>
        <item x="1359"/>
        <item x="1545"/>
        <item x="1477"/>
        <item x="1621"/>
        <item x="1611"/>
        <item x="1745"/>
        <item x="1857"/>
        <item x="1681"/>
        <item x="1875"/>
        <item x="1755"/>
        <item x="1601"/>
        <item x="1763"/>
        <item x="1685"/>
        <item x="1720"/>
        <item x="1649"/>
        <item x="792"/>
        <item x="965"/>
        <item x="1079"/>
        <item x="1081"/>
        <item x="1141"/>
        <item x="1014"/>
        <item x="1144"/>
        <item x="1164"/>
        <item x="1128"/>
        <item x="973"/>
        <item x="866"/>
        <item x="787"/>
        <item x="827"/>
        <item x="758"/>
        <item x="928"/>
        <item x="552"/>
        <item x="795"/>
        <item x="880"/>
        <item x="984"/>
        <item x="762"/>
        <item x="805"/>
        <item x="709"/>
        <item x="1250"/>
        <item x="1332"/>
        <item x="1257"/>
        <item x="1408"/>
        <item x="993"/>
        <item x="1230"/>
        <item x="1494"/>
        <item x="1376"/>
        <item x="1254"/>
        <item x="1119"/>
        <item x="1145"/>
        <item x="1052"/>
        <item x="969"/>
        <item x="1139"/>
        <item x="686"/>
        <item x="1313"/>
        <item x="1399"/>
        <item x="876"/>
        <item x="955"/>
        <item x="957"/>
        <item x="931"/>
        <item x="909"/>
        <item x="493"/>
        <item x="1790"/>
        <item x="1714"/>
        <item x="826"/>
        <item x="313"/>
        <item x="322"/>
        <item x="687"/>
        <item x="485"/>
        <item x="820"/>
        <item x="897"/>
        <item x="939"/>
        <item x="1000"/>
        <item x="752"/>
        <item x="769"/>
        <item x="865"/>
        <item x="1004"/>
        <item x="665"/>
        <item x="742"/>
        <item x="318"/>
        <item x="620"/>
        <item x="692"/>
        <item x="1233"/>
        <item x="741"/>
        <item x="718"/>
        <item x="842"/>
        <item x="913"/>
        <item x="474"/>
        <item x="443"/>
        <item x="353"/>
        <item x="963"/>
        <item x="1179"/>
        <item x="1211"/>
        <item x="1420"/>
        <item x="654"/>
        <item x="460"/>
        <item x="695"/>
        <item x="1645"/>
        <item x="1850"/>
        <item x="1767"/>
        <item x="1879"/>
        <item x="1700"/>
        <item x="364"/>
        <item x="563"/>
        <item x="323"/>
        <item x="146"/>
        <item x="287"/>
        <item x="706"/>
        <item x="707"/>
        <item x="666"/>
        <item x="772"/>
        <item x="386"/>
        <item x="935"/>
        <item x="958"/>
        <item x="934"/>
        <item x="494"/>
        <item x="219"/>
        <item x="559"/>
        <item x="675"/>
        <item x="1084"/>
        <item x="1060"/>
        <item x="1038"/>
        <item x="1774"/>
        <item x="597"/>
        <item x="198"/>
        <item x="1424"/>
        <item x="470"/>
        <item x="388"/>
        <item x="1195"/>
        <item x="986"/>
        <item x="1533"/>
        <item x="236"/>
        <item x="1324"/>
        <item x="4"/>
        <item x="667"/>
        <item x="1350"/>
        <item x="791"/>
        <item x="1229"/>
        <item x="924"/>
        <item x="1833"/>
        <item x="274"/>
        <item x="1834"/>
        <item x="492"/>
        <item x="1630"/>
        <item x="802"/>
        <item x="954"/>
        <item x="835"/>
        <item x="659"/>
        <item x="850"/>
        <item x="1256"/>
        <item x="592"/>
        <item x="553"/>
        <item x="644"/>
        <item x="32"/>
        <item x="544"/>
        <item x="409"/>
        <item x="561"/>
        <item x="576"/>
        <item x="853"/>
        <item x="239"/>
        <item x="746"/>
        <item x="1168"/>
        <item x="434"/>
        <item x="344"/>
        <item x="218"/>
        <item x="96"/>
        <item x="1383"/>
        <item x="1039"/>
        <item x="225"/>
        <item x="220"/>
        <item x="202"/>
        <item x="455"/>
        <item x="367"/>
        <item x="250"/>
        <item x="1268"/>
        <item x="633"/>
        <item x="1725"/>
        <item x="365"/>
        <item x="1495"/>
        <item x="483"/>
        <item x="1652"/>
        <item x="907"/>
        <item x="926"/>
        <item x="655"/>
        <item x="843"/>
        <item x="789"/>
        <item x="625"/>
        <item x="338"/>
        <item x="430"/>
        <item x="679"/>
        <item x="767"/>
        <item x="1037"/>
        <item x="949"/>
        <item x="701"/>
        <item x="1207"/>
        <item x="475"/>
        <item x="1234"/>
        <item x="1201"/>
        <item x="956"/>
        <item x="1218"/>
        <item x="605"/>
        <item x="1506"/>
        <item x="976"/>
        <item x="568"/>
        <item x="375"/>
        <item x="1450"/>
        <item x="862"/>
        <item x="1411"/>
        <item x="1371"/>
        <item x="522"/>
        <item x="1122"/>
        <item x="472"/>
        <item x="1872"/>
        <item x="267"/>
        <item x="1713"/>
        <item x="278"/>
        <item x="368"/>
        <item x="760"/>
        <item x="1605"/>
        <item x="810"/>
        <item x="569"/>
        <item x="674"/>
        <item x="743"/>
        <item x="768"/>
        <item x="571"/>
        <item x="669"/>
        <item x="784"/>
        <item x="1765"/>
        <item x="1729"/>
        <item x="1733"/>
        <item x="1338"/>
        <item x="1706"/>
        <item x="1237"/>
        <item x="273"/>
        <item x="257"/>
        <item x="1226"/>
        <item x="100"/>
        <item x="145"/>
        <item x="1661"/>
        <item x="232"/>
        <item x="46"/>
        <item x="109"/>
        <item x="6"/>
        <item x="10"/>
        <item x="153"/>
        <item x="123"/>
        <item x="380"/>
        <item x="31"/>
        <item x="1"/>
        <item x="14"/>
        <item x="11"/>
        <item x="25"/>
        <item x="83"/>
        <item x="86"/>
        <item x="244"/>
        <item x="1811"/>
        <item x="917"/>
        <item x="1505"/>
        <item x="210"/>
        <item x="978"/>
        <item x="803"/>
        <item x="518"/>
        <item x="1163"/>
        <item x="468"/>
        <item x="1572"/>
        <item x="538"/>
        <item x="294"/>
        <item x="436"/>
        <item x="1512"/>
        <item x="676"/>
        <item x="1351"/>
        <item x="533"/>
        <item x="111"/>
        <item x="133"/>
        <item x="45"/>
        <item x="336"/>
        <item x="1089"/>
        <item x="199"/>
        <item x="1732"/>
        <item x="617"/>
        <item x="1138"/>
        <item x="1419"/>
        <item x="266"/>
        <item x="1522"/>
        <item x="1397"/>
        <item x="1637"/>
        <item x="1270"/>
        <item x="1276"/>
        <item x="1549"/>
        <item x="889"/>
        <item x="208"/>
        <item x="162"/>
        <item x="194"/>
        <item x="1753"/>
        <item x="1925"/>
        <item x="1926"/>
        <item x="1927"/>
        <item x="1695"/>
        <item x="1244"/>
        <item x="715"/>
        <item x="197"/>
        <item x="169"/>
        <item x="721"/>
        <item x="606"/>
        <item x="377"/>
        <item x="298"/>
        <item x="228"/>
        <item x="206"/>
        <item x="596"/>
        <item x="211"/>
        <item x="502"/>
        <item x="203"/>
        <item x="154"/>
        <item x="682"/>
        <item x="836"/>
        <item x="486"/>
        <item x="1136"/>
        <item x="735"/>
        <item x="1568"/>
        <item x="664"/>
        <item x="173"/>
        <item x="1064"/>
        <item x="412"/>
        <item x="374"/>
        <item x="442"/>
        <item x="357"/>
        <item x="567"/>
        <item x="609"/>
        <item x="759"/>
        <item x="639"/>
        <item x="425"/>
        <item x="450"/>
        <item x="348"/>
        <item x="54"/>
        <item x="165"/>
        <item x="341"/>
        <item x="172"/>
        <item x="1724"/>
        <item x="329"/>
        <item x="1057"/>
        <item x="1337"/>
        <item x="161"/>
        <item x="988"/>
        <item x="923"/>
        <item x="187"/>
        <item x="557"/>
        <item x="410"/>
        <item x="131"/>
        <item x="1112"/>
        <item x="1285"/>
        <item x="848"/>
        <item x="17"/>
        <item x="79"/>
        <item x="108"/>
        <item x="66"/>
        <item x="56"/>
        <item x="445"/>
        <item x="37"/>
        <item x="253"/>
        <item x="196"/>
        <item x="421"/>
        <item x="615"/>
        <item x="279"/>
        <item x="661"/>
        <item x="117"/>
        <item x="1335"/>
        <item x="444"/>
        <item x="549"/>
        <item x="249"/>
        <item x="1286"/>
        <item x="1067"/>
        <item x="1034"/>
        <item x="546"/>
        <item x="540"/>
        <item x="370"/>
        <item x="155"/>
        <item x="873"/>
        <item x="732"/>
        <item x="399"/>
        <item x="141"/>
        <item x="603"/>
        <item x="627"/>
        <item x="431"/>
        <item x="422"/>
        <item x="179"/>
        <item x="1527"/>
        <item x="782"/>
        <item x="340"/>
        <item x="1059"/>
        <item x="781"/>
        <item x="489"/>
        <item x="1696"/>
        <item x="87"/>
        <item x="1106"/>
        <item x="1063"/>
        <item x="192"/>
        <item x="806"/>
        <item x="1464"/>
        <item x="725"/>
        <item x="453"/>
        <item x="602"/>
        <item x="920"/>
        <item x="1191"/>
        <item x="256"/>
        <item x="757"/>
        <item x="906"/>
        <item x="694"/>
        <item x="1022"/>
        <item x="554"/>
        <item x="371"/>
        <item x="525"/>
        <item x="660"/>
        <item x="177"/>
        <item x="523"/>
        <item x="508"/>
        <item x="290"/>
        <item x="119"/>
        <item x="608"/>
        <item x="683"/>
        <item x="562"/>
        <item x="1318"/>
        <item x="217"/>
        <item x="1008"/>
        <item x="185"/>
        <item x="1687"/>
        <item x="40"/>
        <item x="81"/>
        <item x="363"/>
        <item x="47"/>
        <item x="550"/>
        <item x="454"/>
        <item x="382"/>
        <item x="59"/>
        <item x="269"/>
        <item x="547"/>
        <item x="904"/>
        <item x="366"/>
        <item x="630"/>
        <item x="35"/>
        <item x="12"/>
        <item x="16"/>
        <item x="15"/>
        <item x="90"/>
        <item x="63"/>
        <item x="638"/>
        <item x="84"/>
        <item x="39"/>
        <item x="70"/>
        <item x="65"/>
        <item x="400"/>
        <item x="174"/>
        <item x="351"/>
        <item x="97"/>
        <item x="28"/>
        <item x="44"/>
        <item x="114"/>
        <item x="102"/>
        <item x="148"/>
        <item x="103"/>
        <item x="52"/>
        <item x="507"/>
        <item x="99"/>
        <item x="296"/>
        <item x="247"/>
        <item x="479"/>
        <item x="408"/>
        <item x="326"/>
        <item x="438"/>
        <item x="763"/>
        <item x="227"/>
        <item x="242"/>
        <item x="241"/>
        <item x="224"/>
        <item x="350"/>
        <item x="235"/>
        <item x="300"/>
        <item x="457"/>
        <item x="1009"/>
        <item x="105"/>
        <item x="599"/>
        <item x="950"/>
        <item x="621"/>
        <item x="120"/>
        <item x="320"/>
        <item x="864"/>
        <item x="629"/>
        <item x="101"/>
        <item x="542"/>
        <item x="433"/>
        <item x="1734"/>
        <item x="1769"/>
        <item x="1294"/>
        <item x="1217"/>
        <item x="962"/>
        <item x="829"/>
        <item x="1602"/>
        <item x="1260"/>
        <item x="1469"/>
        <item x="1413"/>
        <item x="535"/>
        <item x="478"/>
        <item x="1462"/>
        <item x="1361"/>
        <item x="1243"/>
        <item x="1516"/>
        <item x="463"/>
        <item x="1528"/>
        <item x="1513"/>
        <item x="245"/>
        <item x="611"/>
        <item x="1107"/>
        <item x="1511"/>
        <item x="1356"/>
        <item x="647"/>
        <item x="1363"/>
        <item x="1378"/>
        <item x="254"/>
        <item x="136"/>
        <item x="182"/>
        <item x="93"/>
        <item x="204"/>
        <item x="110"/>
        <item x="319"/>
        <item x="415"/>
        <item x="325"/>
        <item x="622"/>
        <item x="1421"/>
        <item x="1423"/>
        <item x="817"/>
        <item x="441"/>
        <item x="490"/>
        <item x="750"/>
        <item x="825"/>
        <item x="135"/>
        <item x="1169"/>
        <item x="1181"/>
        <item x="1478"/>
        <item x="731"/>
        <item x="612"/>
        <item x="558"/>
        <item x="1870"/>
        <item x="1867"/>
        <item x="1899"/>
        <item x="1232"/>
        <item x="1301"/>
        <item x="1353"/>
        <item x="809"/>
        <item x="480"/>
        <item x="1846"/>
        <item x="1367"/>
        <item x="1172"/>
        <item x="1623"/>
        <item x="113"/>
        <item x="656"/>
        <item x="1070"/>
        <item x="1838"/>
        <item x="1719"/>
        <item x="895"/>
        <item x="1475"/>
        <item x="824"/>
        <item x="1642"/>
        <item x="1373"/>
        <item x="1648"/>
        <item x="1048"/>
        <item x="1210"/>
        <item x="1091"/>
        <item x="899"/>
        <item x="927"/>
        <item x="980"/>
        <item x="1586"/>
        <item x="1055"/>
        <item x="464"/>
        <item x="1496"/>
        <item x="1812"/>
        <item x="648"/>
        <item x="1395"/>
        <item x="1656"/>
        <item x="1815"/>
        <item x="390"/>
        <item x="1137"/>
        <item x="107"/>
        <item x="1778"/>
        <item x="698"/>
        <item x="1118"/>
        <item x="804"/>
        <item x="1043"/>
        <item x="335"/>
        <item x="1517"/>
        <item x="1248"/>
        <item x="1825"/>
        <item x="1776"/>
        <item x="1777"/>
        <item x="894"/>
        <item x="1208"/>
        <item x="426"/>
        <item x="1433"/>
        <item x="1354"/>
        <item x="1641"/>
        <item x="545"/>
        <item x="1859"/>
        <item x="519"/>
        <item x="708"/>
        <item x="1501"/>
        <item x="912"/>
        <item x="1389"/>
        <item x="998"/>
        <item x="413"/>
        <item x="932"/>
        <item x="946"/>
        <item x="1534"/>
        <item x="1488"/>
        <item x="1631"/>
        <item x="1658"/>
        <item x="1742"/>
        <item x="925"/>
        <item x="1654"/>
        <item x="487"/>
        <item x="1722"/>
        <item x="1759"/>
        <item x="863"/>
        <item x="831"/>
        <item x="1370"/>
        <item x="437"/>
        <item x="339"/>
        <item x="651"/>
        <item x="697"/>
        <item x="383"/>
        <item x="226"/>
        <item x="941"/>
        <item x="1728"/>
        <item x="1757"/>
        <item x="1199"/>
        <item x="451"/>
        <item x="859"/>
        <item x="1177"/>
        <item x="807"/>
        <item x="632"/>
        <item x="1667"/>
        <item x="1476"/>
        <item x="724"/>
        <item x="1710"/>
        <item x="1382"/>
        <item x="327"/>
        <item x="587"/>
        <item x="1678"/>
        <item x="1807"/>
        <item x="1044"/>
        <item x="1663"/>
        <item x="1080"/>
        <item x="1635"/>
        <item x="846"/>
        <item x="594"/>
        <item x="775"/>
        <item x="1306"/>
        <item x="1749"/>
        <item x="1712"/>
        <item x="1699"/>
        <item x="1821"/>
        <item x="1814"/>
        <item x="1799"/>
        <item x="1756"/>
        <item x="1675"/>
        <item x="1396"/>
        <item x="1721"/>
        <item x="1100"/>
        <item x="1607"/>
        <item x="1701"/>
        <item x="1515"/>
        <item x="1561"/>
        <item x="467"/>
        <item x="1203"/>
        <item x="1127"/>
        <item x="877"/>
        <item x="276"/>
        <item x="591"/>
        <item x="302"/>
        <item x="1781"/>
        <item x="498"/>
        <item x="1298"/>
        <item x="1271"/>
        <item x="989"/>
        <item x="1023"/>
        <item x="1058"/>
        <item x="1391"/>
        <item x="1579"/>
        <item x="1105"/>
        <item x="903"/>
        <item x="992"/>
        <item x="997"/>
        <item x="901"/>
        <item x="303"/>
        <item x="1727"/>
        <item x="446"/>
        <item x="1031"/>
        <item x="1024"/>
        <item x="1906"/>
        <item x="1935"/>
        <item x="1951"/>
        <item x="1937"/>
        <item x="1953"/>
        <item x="1969"/>
        <item x="1934"/>
        <item x="1950"/>
        <item x="1938"/>
        <item x="1944"/>
        <item x="1919"/>
        <item x="1904"/>
        <item x="1913"/>
        <item x="1902"/>
        <item x="1933"/>
        <item x="1932"/>
        <item x="1946"/>
        <item x="1929"/>
        <item x="1952"/>
        <item x="1940"/>
        <item x="1941"/>
        <item x="1943"/>
        <item x="1942"/>
        <item x="1905"/>
        <item x="1907"/>
        <item x="1945"/>
        <item x="1928"/>
        <item x="1959"/>
        <item x="2020"/>
        <item x="1979"/>
        <item x="1960"/>
        <item x="2022"/>
        <item x="1986"/>
        <item x="1984"/>
        <item x="1978"/>
        <item x="2023"/>
        <item x="1958"/>
        <item x="2009"/>
        <item x="2025"/>
        <item x="2011"/>
        <item x="1903"/>
        <item x="2008"/>
        <item x="2002"/>
        <item x="2001"/>
        <item x="2019"/>
        <item x="2007"/>
        <item x="1977"/>
        <item x="1955"/>
        <item x="1992"/>
        <item x="2006"/>
        <item x="2021"/>
        <item x="1954"/>
        <item x="1975"/>
        <item x="1974"/>
        <item x="1976"/>
        <item x="1956"/>
        <item x="1914"/>
        <item x="1915"/>
        <item x="1987"/>
        <item x="2024"/>
        <item x="2004"/>
        <item x="2014"/>
        <item x="2026"/>
        <item x="2005"/>
        <item x="2010"/>
        <item x="1990"/>
        <item x="1980"/>
        <item x="2003"/>
        <item x="1964"/>
        <item x="1965"/>
        <item x="1968"/>
        <item x="1966"/>
        <item x="1971"/>
        <item x="1961"/>
        <item x="1962"/>
        <item x="1967"/>
        <item x="1963"/>
        <item x="1970"/>
        <item x="1997"/>
        <item x="2000"/>
        <item x="1993"/>
        <item x="2015"/>
        <item x="1996"/>
        <item x="1981"/>
        <item x="1973"/>
        <item x="1991"/>
        <item x="1995"/>
        <item x="2016"/>
        <item x="1972"/>
        <item x="1985"/>
        <item x="1983"/>
        <item x="1982"/>
        <item x="1957"/>
        <item x="1988"/>
        <item x="2017"/>
        <item x="1998"/>
        <item x="2013"/>
        <item x="2018"/>
        <item x="1999"/>
        <item x="2012"/>
        <item x="1989"/>
        <item x="1994"/>
        <item x="1640"/>
        <item x="1448"/>
        <item x="1690"/>
        <item x="1704"/>
        <item x="1748"/>
        <item x="1498"/>
        <item x="1441"/>
        <item x="1741"/>
        <item x="1197"/>
        <item x="1329"/>
        <item x="1330"/>
        <item x="137"/>
        <item x="1553"/>
        <item x="693"/>
        <item x="1694"/>
        <item x="1247"/>
        <item x="940"/>
        <item x="1828"/>
        <item x="1491"/>
        <item x="1303"/>
        <item x="796"/>
        <item x="288"/>
        <item x="1186"/>
        <item x="428"/>
        <item x="1166"/>
        <item x="1860"/>
        <item x="1864"/>
        <item x="1768"/>
        <item x="727"/>
        <item x="1562"/>
        <item x="259"/>
        <item x="1668"/>
        <item x="92"/>
        <item x="157"/>
        <item x="115"/>
        <item x="233"/>
        <item x="595"/>
        <item x="91"/>
        <item x="171"/>
        <item x="776"/>
        <item x="38"/>
        <item x="200"/>
        <item x="48"/>
        <item x="33"/>
        <item x="30"/>
        <item x="60"/>
        <item x="89"/>
        <item x="94"/>
        <item x="127"/>
        <item x="61"/>
        <item x="1823"/>
        <item x="1818"/>
        <item x="1264"/>
        <item x="1578"/>
        <item x="1569"/>
        <item x="1507"/>
        <item x="981"/>
        <item x="565"/>
        <item x="1490"/>
        <item x="1845"/>
        <item x="1594"/>
        <item x="1865"/>
        <item x="1883"/>
        <item x="1666"/>
        <item x="1297"/>
        <item x="1170"/>
        <item x="1885"/>
        <item x="751"/>
        <item x="1849"/>
        <item x="1780"/>
        <item x="1427"/>
        <item x="1555"/>
        <item x="1754"/>
        <item x="1552"/>
        <item x="1231"/>
        <item x="636"/>
        <item x="1445"/>
        <item x="1653"/>
        <item x="1620"/>
        <item x="1585"/>
        <item x="1563"/>
        <item x="916"/>
        <item x="1385"/>
        <item x="1817"/>
        <item x="1364"/>
        <item x="1352"/>
        <item x="292"/>
        <item x="36"/>
        <item x="466"/>
        <item x="268"/>
        <item x="251"/>
        <item x="771"/>
        <item x="1001"/>
        <item x="275"/>
        <item x="968"/>
        <item x="704"/>
        <item x="420"/>
        <item x="884"/>
        <item x="1069"/>
        <item x="394"/>
        <item x="1189"/>
        <item x="74"/>
        <item x="140"/>
        <item x="613"/>
        <item x="528"/>
        <item x="144"/>
        <item x="164"/>
        <item x="75"/>
        <item x="71"/>
        <item x="151"/>
        <item x="72"/>
        <item x="180"/>
        <item x="513"/>
        <item x="680"/>
        <item x="473"/>
        <item x="1042"/>
        <item x="712"/>
        <item x="305"/>
        <item x="314"/>
        <item x="593"/>
        <item x="0"/>
        <item x="337"/>
        <item x="295"/>
        <item x="260"/>
        <item x="184"/>
        <item x="379"/>
        <item x="201"/>
        <item x="149"/>
        <item x="646"/>
        <item x="315"/>
        <item x="51"/>
        <item x="526"/>
        <item x="681"/>
        <item x="488"/>
        <item x="689"/>
        <item x="572"/>
        <item x="243"/>
        <item x="530"/>
        <item x="975"/>
        <item x="264"/>
        <item x="588"/>
        <item x="501"/>
        <item x="456"/>
        <item x="1267"/>
        <item x="684"/>
        <item x="1480"/>
        <item x="1401"/>
        <item x="1222"/>
        <item x="289"/>
        <item x="891"/>
        <item x="272"/>
        <item x="53"/>
        <item x="537"/>
        <item x="506"/>
        <item x="883"/>
        <item x="186"/>
        <item x="779"/>
        <item x="150"/>
        <item x="577"/>
        <item x="331"/>
        <item x="1832"/>
        <item x="672"/>
        <item x="1109"/>
        <item x="452"/>
        <item x="713"/>
        <item x="500"/>
        <item x="808"/>
        <item x="773"/>
        <item x="1766"/>
        <item x="739"/>
        <item x="933"/>
        <item x="1283"/>
        <item x="1007"/>
        <item x="1157"/>
        <item x="1889"/>
        <item x="845"/>
        <item x="991"/>
        <item x="1646"/>
        <item x="1486"/>
        <item x="1542"/>
        <item x="1236"/>
        <item x="726"/>
        <item x="951"/>
        <item x="1152"/>
        <item x="1238"/>
        <item x="1453"/>
        <item x="22"/>
        <item x="1235"/>
        <item x="1924"/>
        <item x="1930"/>
        <item x="1851"/>
        <item x="1582"/>
        <item x="1783"/>
        <item x="1856"/>
        <item x="1339"/>
        <item x="1175"/>
        <item x="1215"/>
        <item x="908"/>
        <item x="1054"/>
        <item x="1134"/>
        <item x="854"/>
        <item x="1185"/>
        <item x="573"/>
        <item x="1923"/>
        <item x="1647"/>
        <item x="1225"/>
        <item x="1730"/>
        <item x="1518"/>
        <item x="1697"/>
        <item x="1804"/>
        <item x="1784"/>
        <item x="1567"/>
        <item x="1789"/>
        <item x="1752"/>
        <item x="1760"/>
        <item x="1577"/>
        <item x="1680"/>
        <item x="1416"/>
        <item x="1334"/>
        <item x="719"/>
        <item x="861"/>
        <item x="1018"/>
        <item x="207"/>
        <item x="1115"/>
        <item x="1877"/>
        <item x="1537"/>
        <item x="1342"/>
        <item x="847"/>
        <item x="1343"/>
        <item x="1626"/>
        <item x="937"/>
        <item x="73"/>
        <item x="1547"/>
        <item x="1893"/>
        <item x="1151"/>
        <item x="369"/>
        <item x="532"/>
        <item x="570"/>
        <item x="1340"/>
        <item x="1407"/>
        <item x="1308"/>
        <item x="1282"/>
        <item x="1463"/>
        <item x="1412"/>
        <item x="1103"/>
        <item x="1847"/>
        <item x="1036"/>
        <item x="76"/>
        <item x="1521"/>
        <item x="1096"/>
        <item x="1098"/>
        <item x="1097"/>
        <item x="175"/>
        <item x="1252"/>
        <item x="705"/>
        <item x="1187"/>
        <item x="1855"/>
        <item x="1504"/>
        <item x="1125"/>
        <item x="121"/>
        <item x="690"/>
        <item x="1020"/>
        <item x="1509"/>
        <item x="248"/>
        <item x="619"/>
        <item x="403"/>
        <item x="749"/>
        <item x="346"/>
        <item x="1454"/>
        <item x="112"/>
        <item x="959"/>
        <item x="987"/>
        <item x="1305"/>
        <item x="536"/>
        <item x="527"/>
        <item x="191"/>
        <item x="132"/>
        <item x="128"/>
        <item x="13"/>
        <item x="124"/>
        <item x="214"/>
        <item x="139"/>
        <item x="62"/>
        <item x="85"/>
        <item x="27"/>
        <item x="95"/>
        <item x="5"/>
        <item x="8"/>
        <item x="49"/>
        <item x="142"/>
        <item x="170"/>
        <item x="9"/>
        <item x="57"/>
        <item x="26"/>
        <item x="166"/>
        <item x="20"/>
        <item x="188"/>
        <item x="209"/>
        <item x="41"/>
        <item x="189"/>
        <item x="181"/>
        <item x="77"/>
        <item x="163"/>
        <item x="19"/>
        <item x="88"/>
        <item x="58"/>
        <item x="21"/>
        <item x="230"/>
        <item x="116"/>
        <item x="122"/>
        <item x="134"/>
        <item x="510"/>
        <item x="332"/>
        <item x="360"/>
        <item x="3"/>
        <item x="118"/>
        <item x="238"/>
        <item x="317"/>
        <item x="435"/>
        <item x="448"/>
        <item x="280"/>
        <item x="534"/>
        <item x="343"/>
        <item x="24"/>
        <item x="68"/>
        <item x="42"/>
        <item x="18"/>
        <item x="2"/>
        <item x="43"/>
        <item x="1212"/>
        <item x="1204"/>
        <item x="821"/>
        <item x="902"/>
        <item x="816"/>
        <item x="556"/>
        <item x="152"/>
        <item x="7"/>
        <item x="1826"/>
        <item x="1087"/>
        <item x="1265"/>
        <item x="658"/>
        <item x="1532"/>
        <item x="1500"/>
        <item x="970"/>
        <item x="914"/>
        <item x="1917"/>
        <item x="1843"/>
        <item x="1918"/>
        <item x="392"/>
        <item x="1082"/>
        <item x="720"/>
        <item x="855"/>
        <item x="722"/>
        <item x="496"/>
        <item x="358"/>
        <item x="1398"/>
        <item x="728"/>
        <item x="645"/>
        <item x="703"/>
        <item x="662"/>
        <item x="579"/>
        <item x="580"/>
        <item x="1618"/>
        <item x="1911"/>
        <item x="1948"/>
        <item x="1947"/>
        <item x="1931"/>
        <item x="1939"/>
        <item x="1916"/>
        <item x="1936"/>
        <item x="1691"/>
        <item x="1758"/>
        <item x="1874"/>
        <item x="1452"/>
        <item x="844"/>
        <item x="1251"/>
        <item x="1219"/>
        <item x="1242"/>
        <item x="1130"/>
        <item x="1274"/>
        <item x="1016"/>
        <item x="1878"/>
        <item x="1800"/>
        <item x="1075"/>
        <item x="384"/>
        <item x="419"/>
        <item x="1320"/>
        <item x="833"/>
        <item x="1205"/>
        <item x="1366"/>
        <item x="193"/>
        <item x="271"/>
        <item x="1840"/>
        <item x="1026"/>
        <item x="246"/>
        <item x="265"/>
        <item x="1160"/>
        <item x="1110"/>
        <item x="677"/>
        <item x="1348"/>
        <item x="541"/>
        <item x="1167"/>
        <item x="1133"/>
        <item x="1550"/>
        <item x="393"/>
        <item x="1698"/>
        <item x="893"/>
        <item x="503"/>
        <item x="1686"/>
        <item x="372"/>
        <item x="812"/>
        <item x="624"/>
        <item x="887"/>
        <item x="1302"/>
        <item x="640"/>
        <item x="330"/>
        <item x="263"/>
        <item x="1322"/>
        <item x="756"/>
        <item x="1502"/>
        <item x="539"/>
        <item x="1003"/>
        <item x="1775"/>
        <item x="423"/>
        <item x="213"/>
        <item x="481"/>
        <item x="222"/>
        <item x="449"/>
        <item x="857"/>
        <item x="281"/>
        <item x="497"/>
        <item x="770"/>
        <item x="391"/>
        <item x="1006"/>
        <item x="125"/>
        <item x="459"/>
        <item x="1837"/>
        <item x="1165"/>
        <item x="212"/>
        <item x="1287"/>
        <item x="517"/>
        <item x="1493"/>
        <item x="1574"/>
        <item x="886"/>
        <item x="1394"/>
        <item x="1655"/>
        <item x="1360"/>
        <item x="176"/>
        <item x="418"/>
        <item x="1403"/>
        <item x="966"/>
        <item x="514"/>
        <item x="1551"/>
        <item x="1587"/>
        <item x="794"/>
        <item x="628"/>
        <item x="215"/>
        <item x="1474"/>
        <item x="838"/>
        <item x="439"/>
        <item x="1625"/>
        <item x="1629"/>
        <item x="1610"/>
      </items>
    </pivotField>
    <pivotField axis="axisRow" compact="0" outline="0" showAll="0" sortType="descending" defaultSubtotal="0">
      <items count="1747">
        <item x="17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</items>
    </pivotField>
    <pivotField compact="0" outline="0" showAll="0" defaultSubtotal="0">
      <items count="1747">
        <item x="1746"/>
        <item x="317"/>
        <item x="316"/>
        <item x="315"/>
        <item x="1729"/>
        <item x="314"/>
        <item x="313"/>
        <item x="312"/>
        <item x="311"/>
        <item x="310"/>
        <item x="1728"/>
        <item x="309"/>
        <item x="1727"/>
        <item x="308"/>
        <item x="1726"/>
        <item x="307"/>
        <item x="306"/>
        <item x="1725"/>
        <item x="305"/>
        <item x="304"/>
        <item x="303"/>
        <item x="302"/>
        <item x="301"/>
        <item x="1724"/>
        <item x="300"/>
        <item x="299"/>
        <item x="1723"/>
        <item x="298"/>
        <item x="297"/>
        <item x="296"/>
        <item x="295"/>
        <item x="1722"/>
        <item x="294"/>
        <item x="293"/>
        <item x="1721"/>
        <item x="292"/>
        <item x="1720"/>
        <item x="291"/>
        <item x="290"/>
        <item x="289"/>
        <item x="1719"/>
        <item x="288"/>
        <item x="287"/>
        <item x="286"/>
        <item x="285"/>
        <item x="284"/>
        <item x="283"/>
        <item x="1718"/>
        <item x="282"/>
        <item x="1717"/>
        <item x="281"/>
        <item x="280"/>
        <item x="279"/>
        <item x="278"/>
        <item x="277"/>
        <item x="276"/>
        <item x="275"/>
        <item x="1716"/>
        <item x="274"/>
        <item x="273"/>
        <item x="272"/>
        <item x="1715"/>
        <item x="271"/>
        <item x="270"/>
        <item x="1714"/>
        <item x="269"/>
        <item x="268"/>
        <item x="1713"/>
        <item x="267"/>
        <item x="266"/>
        <item x="265"/>
        <item x="264"/>
        <item x="1712"/>
        <item x="263"/>
        <item x="262"/>
        <item x="261"/>
        <item x="260"/>
        <item x="1711"/>
        <item x="259"/>
        <item x="1710"/>
        <item x="258"/>
        <item x="1709"/>
        <item x="257"/>
        <item x="1708"/>
        <item x="256"/>
        <item x="1707"/>
        <item x="255"/>
        <item x="1706"/>
        <item x="254"/>
        <item x="253"/>
        <item x="252"/>
        <item x="251"/>
        <item x="250"/>
        <item x="249"/>
        <item x="248"/>
        <item x="1517"/>
        <item x="1516"/>
        <item x="1515"/>
        <item x="89"/>
        <item x="1514"/>
        <item x="1513"/>
        <item x="1512"/>
        <item x="1511"/>
        <item x="1510"/>
        <item x="1509"/>
        <item x="1508"/>
        <item x="1507"/>
        <item x="1506"/>
        <item x="1505"/>
        <item x="88"/>
        <item x="1504"/>
        <item x="1503"/>
        <item x="1502"/>
        <item x="1501"/>
        <item x="1500"/>
        <item x="918"/>
        <item x="917"/>
        <item x="916"/>
        <item x="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5"/>
        <item x="896"/>
        <item x="895"/>
        <item x="894"/>
        <item x="1499"/>
        <item x="1498"/>
        <item x="1497"/>
        <item x="87"/>
        <item x="1496"/>
        <item x="1495"/>
        <item x="1494"/>
        <item x="86"/>
        <item x="1493"/>
        <item x="1492"/>
        <item x="85"/>
        <item x="1491"/>
        <item x="84"/>
        <item x="1490"/>
        <item x="1489"/>
        <item x="1488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1487"/>
        <item x="1486"/>
        <item x="83"/>
        <item x="82"/>
        <item x="1485"/>
        <item x="1484"/>
        <item x="81"/>
        <item x="1483"/>
        <item x="80"/>
        <item x="79"/>
        <item x="1482"/>
        <item x="78"/>
        <item x="1481"/>
        <item x="77"/>
        <item x="76"/>
        <item x="75"/>
        <item x="1480"/>
        <item x="1479"/>
        <item x="1478"/>
        <item x="1477"/>
        <item x="74"/>
        <item x="1476"/>
        <item x="1475"/>
        <item x="1474"/>
        <item x="1473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1472"/>
        <item x="73"/>
        <item x="1471"/>
        <item x="72"/>
        <item x="1470"/>
        <item x="1469"/>
        <item x="1468"/>
        <item x="1467"/>
        <item x="1466"/>
        <item x="1465"/>
        <item x="1464"/>
        <item x="71"/>
        <item x="70"/>
        <item x="1463"/>
        <item x="1462"/>
        <item x="1461"/>
        <item x="69"/>
        <item x="68"/>
        <item x="1460"/>
        <item x="1459"/>
        <item x="1458"/>
        <item x="1457"/>
        <item x="834"/>
        <item x="833"/>
        <item x="832"/>
        <item x="831"/>
        <item x="830"/>
        <item x="1745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1456"/>
        <item x="67"/>
        <item x="1455"/>
        <item x="1454"/>
        <item x="66"/>
        <item x="65"/>
        <item x="1453"/>
        <item x="64"/>
        <item x="1452"/>
        <item x="63"/>
        <item x="1451"/>
        <item x="1450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1449"/>
        <item x="62"/>
        <item x="1448"/>
        <item x="61"/>
        <item x="1447"/>
        <item x="1446"/>
        <item x="60"/>
        <item x="1445"/>
        <item x="1444"/>
        <item x="1443"/>
        <item x="1442"/>
        <item x="1441"/>
        <item x="59"/>
        <item x="1440"/>
        <item x="1439"/>
        <item x="58"/>
        <item x="1438"/>
        <item x="57"/>
        <item x="1437"/>
        <item x="1436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1435"/>
        <item x="1434"/>
        <item x="1433"/>
        <item x="1432"/>
        <item x="1431"/>
        <item x="56"/>
        <item x="1430"/>
        <item x="1429"/>
        <item x="1428"/>
        <item x="1427"/>
        <item x="1426"/>
        <item x="1425"/>
        <item x="1424"/>
        <item x="1423"/>
        <item x="1422"/>
        <item x="1421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1420"/>
        <item x="1419"/>
        <item x="1418"/>
        <item x="55"/>
        <item x="1417"/>
        <item x="1416"/>
        <item x="1415"/>
        <item x="1414"/>
        <item x="1413"/>
        <item x="54"/>
        <item x="1412"/>
        <item x="1411"/>
        <item x="1410"/>
        <item x="1409"/>
        <item x="1408"/>
        <item x="1407"/>
        <item x="1406"/>
        <item x="1405"/>
        <item x="1404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4"/>
        <item x="725"/>
        <item x="1386"/>
        <item x="1385"/>
        <item x="1384"/>
        <item x="1383"/>
        <item x="1382"/>
        <item x="53"/>
        <item x="1381"/>
        <item x="52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247"/>
        <item x="246"/>
        <item x="245"/>
        <item x="244"/>
        <item x="1705"/>
        <item x="243"/>
        <item x="242"/>
        <item x="241"/>
        <item x="240"/>
        <item x="1704"/>
        <item x="239"/>
        <item x="1703"/>
        <item x="238"/>
        <item x="1702"/>
        <item x="237"/>
        <item x="236"/>
        <item x="1701"/>
        <item x="235"/>
        <item x="234"/>
        <item x="233"/>
        <item x="1700"/>
        <item x="1699"/>
        <item x="232"/>
        <item x="1698"/>
        <item x="231"/>
        <item x="230"/>
        <item x="1697"/>
        <item x="229"/>
        <item x="228"/>
        <item x="227"/>
        <item x="1696"/>
        <item x="226"/>
        <item x="1695"/>
        <item x="225"/>
        <item x="224"/>
        <item x="1694"/>
        <item x="223"/>
        <item x="1693"/>
        <item x="222"/>
        <item x="221"/>
        <item x="1692"/>
        <item x="220"/>
        <item x="219"/>
        <item x="1691"/>
        <item x="1690"/>
        <item x="218"/>
        <item x="217"/>
        <item x="1689"/>
        <item x="1688"/>
        <item x="1687"/>
        <item x="216"/>
        <item x="1686"/>
        <item x="215"/>
        <item x="1685"/>
        <item x="214"/>
        <item x="213"/>
        <item x="1684"/>
        <item x="1683"/>
        <item x="212"/>
        <item x="211"/>
        <item x="1380"/>
        <item x="1379"/>
        <item x="1378"/>
        <item x="1377"/>
        <item x="1376"/>
        <item x="1375"/>
        <item x="1374"/>
        <item x="1373"/>
        <item x="1372"/>
        <item x="51"/>
        <item x="50"/>
        <item x="1371"/>
        <item x="1370"/>
        <item x="1369"/>
        <item x="1368"/>
        <item x="1367"/>
        <item x="1366"/>
        <item x="1365"/>
        <item x="1364"/>
        <item x="1363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1362"/>
        <item x="1361"/>
        <item x="1360"/>
        <item x="1359"/>
        <item x="1358"/>
        <item x="1357"/>
        <item x="1356"/>
        <item x="1355"/>
        <item x="1354"/>
        <item x="1353"/>
        <item x="49"/>
        <item x="1352"/>
        <item x="1351"/>
        <item x="1350"/>
        <item x="1349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1348"/>
        <item x="48"/>
        <item x="47"/>
        <item x="1347"/>
        <item x="1346"/>
        <item x="1345"/>
        <item x="46"/>
        <item x="1344"/>
        <item x="1343"/>
        <item x="1342"/>
        <item x="1341"/>
        <item x="1340"/>
        <item x="1339"/>
        <item x="1338"/>
        <item x="1337"/>
        <item x="1336"/>
        <item x="1335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1334"/>
        <item x="1333"/>
        <item x="1332"/>
        <item x="1331"/>
        <item x="1330"/>
        <item x="1329"/>
        <item x="1328"/>
        <item x="1327"/>
        <item x="1326"/>
        <item x="1325"/>
        <item x="45"/>
        <item x="1324"/>
        <item x="1323"/>
        <item x="1322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44"/>
        <item x="1321"/>
        <item x="1320"/>
        <item x="1319"/>
        <item x="1318"/>
        <item x="1317"/>
        <item x="1316"/>
        <item x="1315"/>
        <item x="1314"/>
        <item x="43"/>
        <item x="1313"/>
        <item x="1312"/>
        <item x="1311"/>
        <item x="651"/>
        <item x="650"/>
        <item x="649"/>
        <item x="648"/>
        <item x="647"/>
        <item x="646"/>
        <item x="645"/>
        <item x="644"/>
        <item x="1310"/>
        <item x="1309"/>
        <item x="1308"/>
        <item x="1307"/>
        <item x="1306"/>
        <item x="1305"/>
        <item x="1304"/>
        <item x="1303"/>
        <item x="1302"/>
        <item x="1301"/>
        <item x="42"/>
        <item x="1300"/>
        <item x="1299"/>
        <item x="1298"/>
        <item x="1297"/>
        <item x="643"/>
        <item x="642"/>
        <item x="641"/>
        <item x="640"/>
        <item x="639"/>
        <item x="638"/>
        <item x="637"/>
        <item x="636"/>
        <item x="635"/>
        <item x="634"/>
        <item x="3"/>
        <item x="633"/>
        <item x="1296"/>
        <item x="1295"/>
        <item x="1294"/>
        <item x="41"/>
        <item x="1293"/>
        <item x="1292"/>
        <item x="1291"/>
        <item x="1290"/>
        <item x="1289"/>
        <item x="1288"/>
        <item x="1287"/>
        <item x="1286"/>
        <item x="1285"/>
        <item x="632"/>
        <item x="631"/>
        <item x="630"/>
        <item x="629"/>
        <item x="628"/>
        <item x="627"/>
        <item x="626"/>
        <item x="1284"/>
        <item x="1283"/>
        <item x="1282"/>
        <item x="1281"/>
        <item x="1280"/>
        <item x="1279"/>
        <item x="1278"/>
        <item x="1277"/>
        <item x="625"/>
        <item x="624"/>
        <item x="2"/>
        <item x="623"/>
        <item x="622"/>
        <item x="40"/>
        <item x="1276"/>
        <item x="1275"/>
        <item x="1274"/>
        <item x="1273"/>
        <item x="1272"/>
        <item x="1271"/>
        <item x="1270"/>
        <item x="39"/>
        <item x="38"/>
        <item x="1269"/>
        <item x="1268"/>
        <item x="621"/>
        <item x="620"/>
        <item x="619"/>
        <item x="618"/>
        <item x="617"/>
        <item x="37"/>
        <item x="1267"/>
        <item x="36"/>
        <item x="1266"/>
        <item x="35"/>
        <item x="1265"/>
        <item x="1264"/>
        <item x="1263"/>
        <item x="1262"/>
        <item x="1261"/>
        <item x="1260"/>
        <item x="1259"/>
        <item x="616"/>
        <item x="615"/>
        <item x="614"/>
        <item x="613"/>
        <item x="612"/>
        <item x="611"/>
        <item x="610"/>
        <item x="1682"/>
        <item x="210"/>
        <item x="209"/>
        <item x="1681"/>
        <item x="208"/>
        <item x="1680"/>
        <item x="207"/>
        <item x="1679"/>
        <item x="1678"/>
        <item x="1677"/>
        <item x="206"/>
        <item x="205"/>
        <item x="1676"/>
        <item x="204"/>
        <item x="1675"/>
        <item x="203"/>
        <item x="202"/>
        <item x="1674"/>
        <item x="201"/>
        <item x="200"/>
        <item x="1673"/>
        <item x="199"/>
        <item x="1672"/>
        <item x="198"/>
        <item x="1671"/>
        <item x="1670"/>
        <item x="197"/>
        <item x="1669"/>
        <item x="196"/>
        <item x="1668"/>
        <item x="195"/>
        <item x="194"/>
        <item x="1667"/>
        <item x="1666"/>
        <item x="1665"/>
        <item x="1664"/>
        <item x="193"/>
        <item x="1663"/>
        <item x="1662"/>
        <item x="1661"/>
        <item x="192"/>
        <item x="1660"/>
        <item x="191"/>
        <item x="1659"/>
        <item x="190"/>
        <item x="189"/>
        <item x="1658"/>
        <item x="188"/>
        <item x="1657"/>
        <item x="1656"/>
        <item x="187"/>
        <item x="186"/>
        <item x="185"/>
        <item x="1655"/>
        <item x="184"/>
        <item x="183"/>
        <item x="182"/>
        <item x="1654"/>
        <item x="1653"/>
        <item x="1652"/>
        <item x="181"/>
        <item x="1651"/>
        <item x="1258"/>
        <item x="1257"/>
        <item x="1256"/>
        <item x="1255"/>
        <item x="609"/>
        <item x="608"/>
        <item x="607"/>
        <item x="606"/>
        <item x="605"/>
        <item x="1"/>
        <item x="604"/>
        <item x="1254"/>
        <item x="1253"/>
        <item x="34"/>
        <item x="1252"/>
        <item x="33"/>
        <item x="1251"/>
        <item x="32"/>
        <item x="1250"/>
        <item x="1249"/>
        <item x="1248"/>
        <item x="1247"/>
        <item x="1246"/>
        <item x="1245"/>
        <item x="1244"/>
        <item x="603"/>
        <item x="602"/>
        <item x="601"/>
        <item x="600"/>
        <item x="599"/>
        <item x="598"/>
        <item x="597"/>
        <item x="596"/>
        <item x="595"/>
        <item x="1243"/>
        <item x="1242"/>
        <item x="31"/>
        <item x="1241"/>
        <item x="1240"/>
        <item x="1239"/>
        <item x="30"/>
        <item x="1238"/>
        <item x="1237"/>
        <item x="1236"/>
        <item x="1235"/>
        <item x="594"/>
        <item x="593"/>
        <item x="592"/>
        <item x="591"/>
        <item x="590"/>
        <item x="589"/>
        <item x="588"/>
        <item x="587"/>
        <item x="586"/>
        <item x="1234"/>
        <item x="1233"/>
        <item x="1232"/>
        <item x="1231"/>
        <item x="1230"/>
        <item x="1229"/>
        <item x="1228"/>
        <item x="1227"/>
        <item x="1226"/>
        <item x="29"/>
        <item x="1225"/>
        <item x="585"/>
        <item x="584"/>
        <item x="583"/>
        <item x="582"/>
        <item x="581"/>
        <item x="580"/>
        <item x="579"/>
        <item x="578"/>
        <item x="1224"/>
        <item x="1223"/>
        <item x="1222"/>
        <item x="1221"/>
        <item x="577"/>
        <item x="576"/>
        <item x="575"/>
        <item x="574"/>
        <item x="573"/>
        <item x="572"/>
        <item x="571"/>
        <item x="1220"/>
        <item x="1219"/>
        <item x="1218"/>
        <item x="28"/>
        <item x="1217"/>
        <item x="1216"/>
        <item x="1215"/>
        <item x="1214"/>
        <item x="27"/>
        <item x="1213"/>
        <item x="1212"/>
        <item x="570"/>
        <item x="569"/>
        <item x="568"/>
        <item x="567"/>
        <item x="1211"/>
        <item x="1210"/>
        <item x="1209"/>
        <item x="1208"/>
        <item x="1207"/>
        <item x="1206"/>
        <item x="1205"/>
        <item x="1204"/>
        <item x="1203"/>
        <item x="1202"/>
        <item x="566"/>
        <item x="565"/>
        <item x="564"/>
        <item x="563"/>
        <item x="562"/>
        <item x="561"/>
        <item x="560"/>
        <item x="559"/>
        <item x="1201"/>
        <item x="1200"/>
        <item x="1199"/>
        <item x="1198"/>
        <item x="1197"/>
        <item x="1196"/>
        <item x="1195"/>
        <item x="1194"/>
        <item x="1193"/>
        <item x="558"/>
        <item x="557"/>
        <item x="556"/>
        <item x="555"/>
        <item x="554"/>
        <item x="553"/>
        <item x="552"/>
        <item x="551"/>
        <item x="550"/>
        <item x="549"/>
        <item x="1192"/>
        <item x="1191"/>
        <item x="1190"/>
        <item x="1189"/>
        <item x="1188"/>
        <item x="1187"/>
        <item x="1186"/>
        <item x="1185"/>
        <item x="1184"/>
        <item x="548"/>
        <item x="547"/>
        <item x="546"/>
        <item x="545"/>
        <item x="544"/>
        <item x="543"/>
        <item x="542"/>
        <item x="1183"/>
        <item x="1182"/>
        <item x="1181"/>
        <item x="1180"/>
        <item x="1179"/>
        <item x="1178"/>
        <item x="1177"/>
        <item x="1176"/>
        <item x="541"/>
        <item x="540"/>
        <item x="539"/>
        <item x="538"/>
        <item x="537"/>
        <item x="536"/>
        <item x="180"/>
        <item x="1650"/>
        <item x="179"/>
        <item x="178"/>
        <item x="1649"/>
        <item x="177"/>
        <item x="1648"/>
        <item x="176"/>
        <item x="1647"/>
        <item x="1646"/>
        <item x="1645"/>
        <item x="175"/>
        <item x="1644"/>
        <item x="174"/>
        <item x="1643"/>
        <item x="1642"/>
        <item x="173"/>
        <item x="1641"/>
        <item x="172"/>
        <item x="171"/>
        <item x="170"/>
        <item x="1640"/>
        <item x="1639"/>
        <item x="169"/>
        <item x="1638"/>
        <item x="1637"/>
        <item x="1636"/>
        <item x="1635"/>
        <item x="1634"/>
        <item x="168"/>
        <item x="167"/>
        <item x="166"/>
        <item x="1633"/>
        <item x="165"/>
        <item x="164"/>
        <item x="1632"/>
        <item x="1631"/>
        <item x="1630"/>
        <item x="163"/>
        <item x="162"/>
        <item x="1629"/>
        <item x="161"/>
        <item x="1628"/>
        <item x="1627"/>
        <item x="1175"/>
        <item x="1174"/>
        <item x="1173"/>
        <item x="1172"/>
        <item x="1171"/>
        <item x="535"/>
        <item x="534"/>
        <item x="533"/>
        <item x="532"/>
        <item x="531"/>
        <item x="530"/>
        <item x="529"/>
        <item x="528"/>
        <item x="527"/>
        <item x="526"/>
        <item x="1170"/>
        <item x="1169"/>
        <item x="1168"/>
        <item x="1167"/>
        <item x="1166"/>
        <item x="1165"/>
        <item x="1164"/>
        <item x="1163"/>
        <item x="1162"/>
        <item x="525"/>
        <item x="0"/>
        <item x="524"/>
        <item x="523"/>
        <item x="522"/>
        <item x="521"/>
        <item x="520"/>
        <item x="519"/>
        <item x="26"/>
        <item x="1161"/>
        <item x="1160"/>
        <item x="1159"/>
        <item x="1158"/>
        <item x="1157"/>
        <item x="1156"/>
        <item x="25"/>
        <item x="518"/>
        <item x="517"/>
        <item x="516"/>
        <item x="515"/>
        <item x="1744"/>
        <item x="514"/>
        <item x="1155"/>
        <item x="1154"/>
        <item x="1153"/>
        <item x="1152"/>
        <item x="1151"/>
        <item x="1150"/>
        <item x="1149"/>
        <item x="1148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1147"/>
        <item x="1146"/>
        <item x="1145"/>
        <item x="1144"/>
        <item x="1143"/>
        <item x="502"/>
        <item x="1142"/>
        <item x="1141"/>
        <item x="24"/>
        <item x="23"/>
        <item x="1140"/>
        <item x="22"/>
        <item x="21"/>
        <item x="501"/>
        <item x="500"/>
        <item x="1139"/>
        <item x="1138"/>
        <item x="1137"/>
        <item x="1136"/>
        <item x="1135"/>
        <item x="1134"/>
        <item x="1133"/>
        <item x="1743"/>
        <item x="499"/>
        <item x="498"/>
        <item x="497"/>
        <item x="496"/>
        <item x="1132"/>
        <item x="1131"/>
        <item x="1130"/>
        <item x="1129"/>
        <item x="1128"/>
        <item x="1127"/>
        <item x="495"/>
        <item x="494"/>
        <item x="493"/>
        <item x="492"/>
        <item x="1742"/>
        <item x="491"/>
        <item x="490"/>
        <item x="489"/>
        <item x="488"/>
        <item x="487"/>
        <item x="486"/>
        <item x="1126"/>
        <item x="1125"/>
        <item x="1124"/>
        <item x="1123"/>
        <item x="1122"/>
        <item x="1121"/>
        <item x="1120"/>
        <item x="485"/>
        <item x="484"/>
        <item x="483"/>
        <item x="1119"/>
        <item x="1118"/>
        <item x="20"/>
        <item x="1117"/>
        <item x="1116"/>
        <item x="1115"/>
        <item x="1114"/>
        <item x="1113"/>
        <item x="1112"/>
        <item x="1111"/>
        <item x="482"/>
        <item x="481"/>
        <item x="480"/>
        <item x="479"/>
        <item x="478"/>
        <item x="477"/>
        <item x="476"/>
        <item x="160"/>
        <item x="159"/>
        <item x="158"/>
        <item x="157"/>
        <item x="1626"/>
        <item x="156"/>
        <item x="1625"/>
        <item x="1624"/>
        <item x="1623"/>
        <item x="155"/>
        <item x="1622"/>
        <item x="1621"/>
        <item x="1620"/>
        <item x="1619"/>
        <item x="154"/>
        <item x="153"/>
        <item x="1618"/>
        <item x="152"/>
        <item x="1617"/>
        <item x="151"/>
        <item x="1616"/>
        <item x="150"/>
        <item x="1615"/>
        <item x="1614"/>
        <item x="149"/>
        <item x="1613"/>
        <item x="1612"/>
        <item x="148"/>
        <item x="1611"/>
        <item x="147"/>
        <item x="1610"/>
        <item x="146"/>
        <item x="1609"/>
        <item x="145"/>
        <item x="1608"/>
        <item x="144"/>
        <item x="143"/>
        <item x="142"/>
        <item x="1607"/>
        <item x="141"/>
        <item x="1606"/>
        <item x="1605"/>
        <item x="1604"/>
        <item x="140"/>
        <item x="1603"/>
        <item x="1602"/>
        <item x="139"/>
        <item x="138"/>
        <item x="1110"/>
        <item x="1109"/>
        <item x="1108"/>
        <item x="1107"/>
        <item x="1106"/>
        <item x="475"/>
        <item x="474"/>
        <item x="473"/>
        <item x="472"/>
        <item x="1105"/>
        <item x="1104"/>
        <item x="1103"/>
        <item x="471"/>
        <item x="470"/>
        <item x="1741"/>
        <item x="469"/>
        <item x="468"/>
        <item x="467"/>
        <item x="1102"/>
        <item x="1101"/>
        <item x="19"/>
        <item x="1100"/>
        <item x="1099"/>
        <item x="1098"/>
        <item x="1097"/>
        <item x="1096"/>
        <item x="1095"/>
        <item x="466"/>
        <item x="465"/>
        <item x="464"/>
        <item x="463"/>
        <item x="1094"/>
        <item x="18"/>
        <item x="1093"/>
        <item x="462"/>
        <item x="1740"/>
        <item x="461"/>
        <item x="460"/>
        <item x="459"/>
        <item x="1092"/>
        <item x="1091"/>
        <item x="1090"/>
        <item x="458"/>
        <item x="457"/>
        <item x="1739"/>
        <item x="456"/>
        <item x="455"/>
        <item x="454"/>
        <item x="453"/>
        <item x="17"/>
        <item x="1089"/>
        <item x="1088"/>
        <item x="1087"/>
        <item x="1086"/>
        <item x="452"/>
        <item x="451"/>
        <item x="450"/>
        <item x="449"/>
        <item x="448"/>
        <item x="447"/>
        <item x="1085"/>
        <item x="1084"/>
        <item x="1083"/>
        <item x="1082"/>
        <item x="1081"/>
        <item x="1080"/>
        <item x="16"/>
        <item x="1079"/>
        <item x="446"/>
        <item x="445"/>
        <item x="444"/>
        <item x="1738"/>
        <item x="1078"/>
        <item x="1077"/>
        <item x="1076"/>
        <item x="1075"/>
        <item x="443"/>
        <item x="442"/>
        <item x="441"/>
        <item x="1074"/>
        <item x="1073"/>
        <item x="1072"/>
        <item x="440"/>
        <item x="1071"/>
        <item x="1070"/>
        <item x="439"/>
        <item x="438"/>
        <item x="437"/>
        <item x="1601"/>
        <item x="137"/>
        <item x="1600"/>
        <item x="136"/>
        <item x="1599"/>
        <item x="135"/>
        <item x="1598"/>
        <item x="1597"/>
        <item x="134"/>
        <item x="1596"/>
        <item x="1595"/>
        <item x="1594"/>
        <item x="1593"/>
        <item x="133"/>
        <item x="1592"/>
        <item x="1591"/>
        <item x="132"/>
        <item x="1590"/>
        <item x="131"/>
        <item x="130"/>
        <item x="1589"/>
        <item x="129"/>
        <item x="1588"/>
        <item x="1587"/>
        <item x="1586"/>
        <item x="1585"/>
        <item x="128"/>
        <item x="1584"/>
        <item x="127"/>
        <item x="1583"/>
        <item x="1582"/>
        <item x="126"/>
        <item x="125"/>
        <item x="1581"/>
        <item x="124"/>
        <item x="1580"/>
        <item x="123"/>
        <item x="1579"/>
        <item x="122"/>
        <item x="121"/>
        <item x="1578"/>
        <item x="120"/>
        <item x="15"/>
        <item x="1069"/>
        <item x="1068"/>
        <item x="1067"/>
        <item x="1066"/>
        <item x="1065"/>
        <item x="1064"/>
        <item x="1063"/>
        <item x="1062"/>
        <item x="436"/>
        <item x="435"/>
        <item x="1061"/>
        <item x="1060"/>
        <item x="1059"/>
        <item x="1058"/>
        <item x="1057"/>
        <item x="1056"/>
        <item x="1055"/>
        <item x="434"/>
        <item x="1737"/>
        <item x="433"/>
        <item x="1736"/>
        <item x="432"/>
        <item x="431"/>
        <item x="1054"/>
        <item x="1053"/>
        <item x="14"/>
        <item x="430"/>
        <item x="429"/>
        <item x="428"/>
        <item x="1052"/>
        <item x="1051"/>
        <item x="427"/>
        <item x="426"/>
        <item x="425"/>
        <item x="424"/>
        <item x="423"/>
        <item x="422"/>
        <item x="421"/>
        <item x="1050"/>
        <item x="13"/>
        <item x="1049"/>
        <item x="1048"/>
        <item x="420"/>
        <item x="419"/>
        <item x="418"/>
        <item x="1047"/>
        <item x="1046"/>
        <item x="1045"/>
        <item x="1044"/>
        <item x="417"/>
        <item x="416"/>
        <item x="1043"/>
        <item x="1042"/>
        <item x="415"/>
        <item x="1735"/>
        <item x="1041"/>
        <item x="1040"/>
        <item x="1039"/>
        <item x="1038"/>
        <item x="414"/>
        <item x="1037"/>
        <item x="12"/>
        <item x="1036"/>
        <item x="1035"/>
        <item x="413"/>
        <item x="412"/>
        <item x="411"/>
        <item x="410"/>
        <item x="409"/>
        <item x="408"/>
        <item x="1034"/>
        <item x="1033"/>
        <item x="1032"/>
        <item x="1031"/>
        <item x="11"/>
        <item x="1030"/>
        <item x="119"/>
        <item x="1577"/>
        <item x="118"/>
        <item x="1576"/>
        <item x="1575"/>
        <item x="1574"/>
        <item x="1573"/>
        <item x="1572"/>
        <item x="117"/>
        <item x="1571"/>
        <item x="1570"/>
        <item x="1569"/>
        <item x="116"/>
        <item x="115"/>
        <item x="114"/>
        <item x="1568"/>
        <item x="113"/>
        <item x="1567"/>
        <item x="1566"/>
        <item x="112"/>
        <item x="1565"/>
        <item x="1564"/>
        <item x="1563"/>
        <item x="111"/>
        <item x="110"/>
        <item x="1562"/>
        <item x="109"/>
        <item x="1561"/>
        <item x="1560"/>
        <item x="1559"/>
        <item x="1558"/>
        <item x="1557"/>
        <item x="1556"/>
        <item x="108"/>
        <item x="1555"/>
        <item x="1554"/>
        <item x="1553"/>
        <item x="107"/>
        <item x="1029"/>
        <item x="1028"/>
        <item x="1027"/>
        <item x="1026"/>
        <item x="407"/>
        <item x="406"/>
        <item x="405"/>
        <item x="1025"/>
        <item x="1024"/>
        <item x="1023"/>
        <item x="1022"/>
        <item x="1021"/>
        <item x="404"/>
        <item x="403"/>
        <item x="402"/>
        <item x="401"/>
        <item x="400"/>
        <item x="1020"/>
        <item x="1019"/>
        <item x="1018"/>
        <item x="1017"/>
        <item x="1016"/>
        <item x="1015"/>
        <item x="399"/>
        <item x="398"/>
        <item x="397"/>
        <item x="1014"/>
        <item x="1013"/>
        <item x="1012"/>
        <item x="396"/>
        <item x="395"/>
        <item x="394"/>
        <item x="1011"/>
        <item x="1010"/>
        <item x="393"/>
        <item x="392"/>
        <item x="1009"/>
        <item x="1008"/>
        <item x="391"/>
        <item x="1734"/>
        <item x="390"/>
        <item x="389"/>
        <item x="388"/>
        <item x="1007"/>
        <item x="1006"/>
        <item x="1005"/>
        <item x="1004"/>
        <item x="1003"/>
        <item x="1002"/>
        <item x="10"/>
        <item x="1001"/>
        <item x="1000"/>
        <item x="387"/>
        <item x="386"/>
        <item x="385"/>
        <item x="999"/>
        <item x="998"/>
        <item x="997"/>
        <item x="996"/>
        <item x="995"/>
        <item x="384"/>
        <item x="383"/>
        <item x="994"/>
        <item x="993"/>
        <item x="992"/>
        <item x="991"/>
        <item x="9"/>
        <item x="382"/>
        <item x="381"/>
        <item x="380"/>
        <item x="379"/>
        <item x="990"/>
        <item x="989"/>
        <item x="378"/>
        <item x="377"/>
        <item x="376"/>
        <item x="375"/>
        <item x="106"/>
        <item x="105"/>
        <item x="1552"/>
        <item x="1551"/>
        <item x="104"/>
        <item x="1550"/>
        <item x="1549"/>
        <item x="1548"/>
        <item x="1547"/>
        <item x="103"/>
        <item x="1546"/>
        <item x="1545"/>
        <item x="102"/>
        <item x="101"/>
        <item x="1544"/>
        <item x="100"/>
        <item x="1543"/>
        <item x="1542"/>
        <item x="1541"/>
        <item x="1540"/>
        <item x="1539"/>
        <item x="99"/>
        <item x="1538"/>
        <item x="98"/>
        <item x="97"/>
        <item x="1537"/>
        <item x="1536"/>
        <item x="988"/>
        <item x="987"/>
        <item x="986"/>
        <item x="374"/>
        <item x="373"/>
        <item x="985"/>
        <item x="984"/>
        <item x="983"/>
        <item x="982"/>
        <item x="981"/>
        <item x="372"/>
        <item x="371"/>
        <item x="370"/>
        <item x="369"/>
        <item x="980"/>
        <item x="8"/>
        <item x="979"/>
        <item x="978"/>
        <item x="977"/>
        <item x="976"/>
        <item x="368"/>
        <item x="367"/>
        <item x="366"/>
        <item x="365"/>
        <item x="364"/>
        <item x="363"/>
        <item x="975"/>
        <item x="974"/>
        <item x="973"/>
        <item x="972"/>
        <item x="362"/>
        <item x="361"/>
        <item x="360"/>
        <item x="359"/>
        <item x="358"/>
        <item x="971"/>
        <item x="970"/>
        <item x="969"/>
        <item x="968"/>
        <item x="357"/>
        <item x="356"/>
        <item x="355"/>
        <item x="354"/>
        <item x="967"/>
        <item x="353"/>
        <item x="966"/>
        <item x="965"/>
        <item x="964"/>
        <item x="963"/>
        <item x="352"/>
        <item x="351"/>
        <item x="962"/>
        <item x="961"/>
        <item x="960"/>
        <item x="959"/>
        <item x="350"/>
        <item x="1733"/>
        <item x="349"/>
        <item x="958"/>
        <item x="957"/>
        <item x="956"/>
        <item x="348"/>
        <item x="347"/>
        <item x="955"/>
        <item x="954"/>
        <item x="953"/>
        <item x="346"/>
        <item x="345"/>
        <item x="344"/>
        <item x="343"/>
        <item x="342"/>
        <item x="1535"/>
        <item x="1534"/>
        <item x="1533"/>
        <item x="1532"/>
        <item x="1531"/>
        <item x="96"/>
        <item x="1530"/>
        <item x="95"/>
        <item x="94"/>
        <item x="1529"/>
        <item x="1528"/>
        <item x="93"/>
        <item x="1527"/>
        <item x="1526"/>
        <item x="1525"/>
        <item x="92"/>
        <item x="91"/>
        <item x="1524"/>
        <item x="1523"/>
        <item x="1522"/>
        <item x="1521"/>
        <item x="1520"/>
        <item x="1519"/>
        <item x="90"/>
        <item x="1518"/>
        <item x="952"/>
        <item x="341"/>
        <item x="340"/>
        <item x="339"/>
        <item x="338"/>
        <item x="951"/>
        <item x="950"/>
        <item x="949"/>
        <item x="948"/>
        <item x="337"/>
        <item x="336"/>
        <item x="947"/>
        <item x="946"/>
        <item x="7"/>
        <item x="945"/>
        <item x="944"/>
        <item x="943"/>
        <item x="942"/>
        <item x="335"/>
        <item x="334"/>
        <item x="333"/>
        <item x="941"/>
        <item x="940"/>
        <item x="939"/>
        <item x="938"/>
        <item x="937"/>
        <item x="1732"/>
        <item x="332"/>
        <item x="331"/>
        <item x="330"/>
        <item x="936"/>
        <item x="935"/>
        <item x="934"/>
        <item x="933"/>
        <item x="932"/>
        <item x="931"/>
        <item x="329"/>
        <item x="930"/>
        <item x="929"/>
        <item x="928"/>
        <item x="328"/>
        <item x="327"/>
        <item x="326"/>
        <item x="927"/>
        <item x="1731"/>
        <item x="1730"/>
        <item x="325"/>
        <item x="324"/>
        <item x="926"/>
        <item x="925"/>
        <item x="924"/>
        <item x="323"/>
        <item x="322"/>
        <item x="321"/>
        <item x="923"/>
        <item x="922"/>
        <item x="921"/>
        <item x="320"/>
        <item x="319"/>
        <item x="920"/>
        <item x="919"/>
        <item x="318"/>
      </items>
    </pivotField>
    <pivotField axis="axisRow" compact="0" outline="0" showAll="0" defaultSubtotal="0">
      <items count="1311">
        <item x="1242"/>
        <item x="399"/>
        <item x="701"/>
        <item x="1223"/>
        <item x="1086"/>
        <item x="1212"/>
        <item x="943"/>
        <item x="542"/>
        <item x="1136"/>
        <item x="804"/>
        <item x="1139"/>
        <item x="1118"/>
        <item x="900"/>
        <item x="830"/>
        <item x="800"/>
        <item x="275"/>
        <item x="1245"/>
        <item x="1155"/>
        <item x="942"/>
        <item x="1137"/>
        <item x="1234"/>
        <item x="1128"/>
        <item x="790"/>
        <item x="298"/>
        <item x="576"/>
        <item x="839"/>
        <item x="75"/>
        <item x="218"/>
        <item x="1098"/>
        <item x="1036"/>
        <item x="1188"/>
        <item x="1206"/>
        <item x="179"/>
        <item x="276"/>
        <item x="1264"/>
        <item x="482"/>
        <item x="1166"/>
        <item x="855"/>
        <item x="1085"/>
        <item x="573"/>
        <item x="991"/>
        <item x="699"/>
        <item x="1022"/>
        <item x="1004"/>
        <item x="369"/>
        <item x="1253"/>
        <item x="1256"/>
        <item x="1196"/>
        <item x="1066"/>
        <item x="364"/>
        <item x="635"/>
        <item x="416"/>
        <item x="1087"/>
        <item x="907"/>
        <item x="1226"/>
        <item x="325"/>
        <item x="597"/>
        <item x="1107"/>
        <item x="1225"/>
        <item x="1140"/>
        <item x="936"/>
        <item x="1247"/>
        <item x="1148"/>
        <item x="531"/>
        <item x="358"/>
        <item x="589"/>
        <item x="1147"/>
        <item x="1181"/>
        <item x="847"/>
        <item x="239"/>
        <item x="1248"/>
        <item x="1153"/>
        <item x="780"/>
        <item x="356"/>
        <item x="1000"/>
        <item x="1177"/>
        <item x="944"/>
        <item x="411"/>
        <item x="645"/>
        <item x="405"/>
        <item x="1034"/>
        <item x="655"/>
        <item x="135"/>
        <item x="636"/>
        <item x="350"/>
        <item x="1105"/>
        <item x="1072"/>
        <item x="1055"/>
        <item x="469"/>
        <item x="419"/>
        <item x="1191"/>
        <item x="1071"/>
        <item x="1179"/>
        <item x="759"/>
        <item x="1207"/>
        <item x="940"/>
        <item x="575"/>
        <item x="703"/>
        <item x="565"/>
        <item x="1221"/>
        <item x="1301"/>
        <item x="964"/>
        <item x="867"/>
        <item x="1227"/>
        <item x="1110"/>
        <item x="105"/>
        <item x="825"/>
        <item x="353"/>
        <item x="872"/>
        <item x="1037"/>
        <item x="873"/>
        <item x="367"/>
        <item x="1222"/>
        <item x="307"/>
        <item x="1291"/>
        <item x="650"/>
        <item x="1127"/>
        <item x="582"/>
        <item x="1027"/>
        <item x="474"/>
        <item x="1180"/>
        <item x="995"/>
        <item x="1131"/>
        <item x="700"/>
        <item x="1235"/>
        <item x="963"/>
        <item x="1029"/>
        <item x="98"/>
        <item x="317"/>
        <item x="1163"/>
        <item x="816"/>
        <item x="698"/>
        <item x="564"/>
        <item x="1241"/>
        <item x="1067"/>
        <item x="1030"/>
        <item x="153"/>
        <item x="896"/>
        <item x="1088"/>
        <item x="146"/>
        <item x="1064"/>
        <item x="1210"/>
        <item x="142"/>
        <item x="981"/>
        <item x="978"/>
        <item x="1081"/>
        <item x="1092"/>
        <item x="556"/>
        <item x="1184"/>
        <item x="278"/>
        <item x="1266"/>
        <item x="842"/>
        <item x="1263"/>
        <item x="1116"/>
        <item x="406"/>
        <item x="551"/>
        <item x="610"/>
        <item x="1023"/>
        <item x="606"/>
        <item x="1079"/>
        <item x="662"/>
        <item x="1045"/>
        <item x="986"/>
        <item x="1078"/>
        <item x="1231"/>
        <item x="750"/>
        <item x="1021"/>
        <item x="262"/>
        <item x="799"/>
        <item x="233"/>
        <item x="1015"/>
        <item x="618"/>
        <item x="1224"/>
        <item x="553"/>
        <item x="726"/>
        <item x="1189"/>
        <item x="258"/>
        <item x="648"/>
        <item x="1280"/>
        <item x="231"/>
        <item x="1195"/>
        <item x="590"/>
        <item x="1209"/>
        <item x="891"/>
        <item x="1162"/>
        <item x="1211"/>
        <item x="82"/>
        <item x="605"/>
        <item x="572"/>
        <item x="519"/>
        <item x="661"/>
        <item x="92"/>
        <item x="437"/>
        <item x="65"/>
        <item x="1246"/>
        <item x="781"/>
        <item x="1183"/>
        <item x="1152"/>
        <item x="63"/>
        <item x="952"/>
        <item x="1269"/>
        <item x="945"/>
        <item x="486"/>
        <item x="530"/>
        <item x="1169"/>
        <item x="894"/>
        <item x="507"/>
        <item x="731"/>
        <item x="870"/>
        <item x="1011"/>
        <item x="667"/>
        <item x="1002"/>
        <item x="762"/>
        <item x="1217"/>
        <item x="716"/>
        <item x="453"/>
        <item x="878"/>
        <item x="719"/>
        <item x="1185"/>
        <item x="492"/>
        <item x="241"/>
        <item x="728"/>
        <item x="686"/>
        <item x="594"/>
        <item x="1176"/>
        <item x="640"/>
        <item x="343"/>
        <item x="806"/>
        <item x="960"/>
        <item x="1158"/>
        <item x="1104"/>
        <item x="57"/>
        <item x="285"/>
        <item x="1097"/>
        <item x="921"/>
        <item x="987"/>
        <item x="376"/>
        <item x="939"/>
        <item x="742"/>
        <item x="521"/>
        <item x="289"/>
        <item x="1108"/>
        <item x="529"/>
        <item x="813"/>
        <item x="1122"/>
        <item x="706"/>
        <item x="203"/>
        <item x="330"/>
        <item x="596"/>
        <item x="1014"/>
        <item x="950"/>
        <item x="862"/>
        <item x="827"/>
        <item x="80"/>
        <item x="670"/>
        <item x="927"/>
        <item x="544"/>
        <item x="769"/>
        <item x="533"/>
        <item x="348"/>
        <item x="885"/>
        <item x="1063"/>
        <item x="1205"/>
        <item x="1049"/>
        <item x="1214"/>
        <item x="777"/>
        <item x="505"/>
        <item x="1141"/>
        <item x="786"/>
        <item x="1233"/>
        <item x="587"/>
        <item x="917"/>
        <item x="511"/>
        <item x="1282"/>
        <item x="461"/>
        <item x="340"/>
        <item x="911"/>
        <item x="985"/>
        <item x="1143"/>
        <item x="1309"/>
        <item x="315"/>
        <item x="74"/>
        <item x="826"/>
        <item x="175"/>
        <item x="396"/>
        <item x="1232"/>
        <item x="1228"/>
        <item x="649"/>
        <item x="1216"/>
        <item x="433"/>
        <item x="1199"/>
        <item x="557"/>
        <item x="1219"/>
        <item x="274"/>
        <item x="599"/>
        <item x="751"/>
        <item x="1124"/>
        <item x="614"/>
        <item x="756"/>
        <item x="560"/>
        <item x="14"/>
        <item x="749"/>
        <item x="854"/>
        <item x="121"/>
        <item x="581"/>
        <item x="332"/>
        <item x="144"/>
        <item x="498"/>
        <item x="504"/>
        <item x="729"/>
        <item x="446"/>
        <item x="678"/>
        <item x="207"/>
        <item x="1117"/>
        <item x="523"/>
        <item x="732"/>
        <item x="887"/>
        <item x="919"/>
        <item x="975"/>
        <item x="863"/>
        <item x="277"/>
        <item x="844"/>
        <item x="668"/>
        <item x="313"/>
        <item x="641"/>
        <item x="56"/>
        <item x="620"/>
        <item x="923"/>
        <item x="671"/>
        <item x="497"/>
        <item x="73"/>
        <item x="1160"/>
        <item x="119"/>
        <item x="291"/>
        <item x="579"/>
        <item x="845"/>
        <item x="1290"/>
        <item x="1165"/>
        <item x="1187"/>
        <item x="1262"/>
        <item x="535"/>
        <item x="1059"/>
        <item x="771"/>
        <item x="779"/>
        <item x="1144"/>
        <item x="757"/>
        <item x="908"/>
        <item x="687"/>
        <item x="974"/>
        <item x="208"/>
        <item x="23"/>
        <item x="1111"/>
        <item x="205"/>
        <item x="191"/>
        <item x="821"/>
        <item x="106"/>
        <item x="928"/>
        <item x="763"/>
        <item x="1093"/>
        <item x="272"/>
        <item x="1197"/>
        <item x="783"/>
        <item x="188"/>
        <item x="652"/>
        <item x="540"/>
        <item x="619"/>
        <item x="766"/>
        <item x="1003"/>
        <item x="299"/>
        <item x="570"/>
        <item x="381"/>
        <item x="857"/>
        <item x="1035"/>
        <item x="309"/>
        <item x="1229"/>
        <item x="746"/>
        <item x="931"/>
        <item x="1010"/>
        <item x="704"/>
        <item x="140"/>
        <item x="265"/>
        <item x="980"/>
        <item x="932"/>
        <item x="292"/>
        <item x="282"/>
        <item x="583"/>
        <item x="1109"/>
        <item x="243"/>
        <item x="882"/>
        <item x="1114"/>
        <item x="1270"/>
        <item x="949"/>
        <item x="694"/>
        <item x="1089"/>
        <item x="339"/>
        <item x="934"/>
        <item x="926"/>
        <item x="1132"/>
        <item x="625"/>
        <item x="1112"/>
        <item x="409"/>
        <item x="120"/>
        <item x="378"/>
        <item x="86"/>
        <item x="273"/>
        <item x="601"/>
        <item x="524"/>
        <item x="55"/>
        <item x="840"/>
        <item x="909"/>
        <item x="906"/>
        <item x="37"/>
        <item x="534"/>
        <item x="895"/>
        <item x="8"/>
        <item x="1201"/>
        <item x="988"/>
        <item x="215"/>
        <item x="162"/>
        <item x="714"/>
        <item x="435"/>
        <item x="335"/>
        <item x="897"/>
        <item x="592"/>
        <item x="846"/>
        <item x="814"/>
        <item x="496"/>
        <item x="1286"/>
        <item x="566"/>
        <item x="18"/>
        <item x="288"/>
        <item x="1119"/>
        <item x="879"/>
        <item x="178"/>
        <item x="659"/>
        <item x="916"/>
        <item x="97"/>
        <item x="761"/>
        <item x="574"/>
        <item x="235"/>
        <item x="457"/>
        <item x="463"/>
        <item x="190"/>
        <item x="1052"/>
        <item x="736"/>
        <item x="372"/>
        <item x="965"/>
        <item x="1077"/>
        <item x="1164"/>
        <item x="737"/>
        <item x="516"/>
        <item x="132"/>
        <item x="1284"/>
        <item x="70"/>
        <item x="709"/>
        <item x="545"/>
        <item x="337"/>
        <item x="293"/>
        <item x="1039"/>
        <item x="602"/>
        <item x="11"/>
        <item x="549"/>
        <item x="984"/>
        <item x="770"/>
        <item x="561"/>
        <item x="349"/>
        <item x="1057"/>
        <item x="1236"/>
        <item x="295"/>
        <item x="1095"/>
        <item x="459"/>
        <item x="500"/>
        <item x="848"/>
        <item x="954"/>
        <item x="183"/>
        <item x="385"/>
        <item x="734"/>
        <item x="395"/>
        <item x="388"/>
        <item x="754"/>
        <item x="603"/>
        <item x="723"/>
        <item x="1044"/>
        <item x="653"/>
        <item x="1001"/>
        <item x="377"/>
        <item x="1129"/>
        <item x="1125"/>
        <item x="788"/>
        <item x="1182"/>
        <item x="466"/>
        <item x="484"/>
        <item x="956"/>
        <item x="1305"/>
        <item x="359"/>
        <item x="611"/>
        <item x="1271"/>
        <item x="257"/>
        <item x="93"/>
        <item x="819"/>
        <item x="338"/>
        <item x="58"/>
        <item x="1100"/>
        <item x="61"/>
        <item x="1159"/>
        <item x="248"/>
        <item x="809"/>
        <item x="1202"/>
        <item x="669"/>
        <item x="794"/>
        <item x="920"/>
        <item x="125"/>
        <item x="72"/>
        <item x="449"/>
        <item x="513"/>
        <item x="10"/>
        <item x="481"/>
        <item x="50"/>
        <item x="366"/>
        <item x="224"/>
        <item x="284"/>
        <item x="148"/>
        <item x="13"/>
        <item x="852"/>
        <item x="456"/>
        <item x="164"/>
        <item x="306"/>
        <item x="861"/>
        <item x="264"/>
        <item x="868"/>
        <item x="250"/>
        <item x="898"/>
        <item x="643"/>
        <item x="1142"/>
        <item x="4"/>
        <item x="1133"/>
        <item x="181"/>
        <item x="1080"/>
        <item x="167"/>
        <item x="837"/>
        <item x="47"/>
        <item x="515"/>
        <item x="392"/>
        <item x="621"/>
        <item x="268"/>
        <item x="1208"/>
        <item x="1047"/>
        <item x="480"/>
        <item x="941"/>
        <item x="760"/>
        <item x="552"/>
        <item x="807"/>
        <item x="87"/>
        <item x="1009"/>
        <item x="930"/>
        <item x="1138"/>
        <item x="1074"/>
        <item x="820"/>
        <item x="871"/>
        <item x="1294"/>
        <item x="1134"/>
        <item x="982"/>
        <item x="708"/>
        <item x="44"/>
        <item x="512"/>
        <item x="578"/>
        <item x="126"/>
        <item x="559"/>
        <item x="27"/>
        <item x="543"/>
        <item x="177"/>
        <item x="817"/>
        <item x="829"/>
        <item x="109"/>
        <item x="1167"/>
        <item x="886"/>
        <item x="19"/>
        <item x="102"/>
        <item x="604"/>
        <item x="280"/>
        <item x="1103"/>
        <item x="410"/>
        <item x="155"/>
        <item x="214"/>
        <item x="834"/>
        <item x="1255"/>
        <item x="740"/>
        <item x="219"/>
        <item x="412"/>
        <item x="1218"/>
        <item x="961"/>
        <item x="595"/>
        <item x="225"/>
        <item x="2"/>
        <item x="213"/>
        <item x="244"/>
        <item x="24"/>
        <item x="628"/>
        <item x="158"/>
        <item x="1070"/>
        <item x="45"/>
        <item x="853"/>
        <item x="76"/>
        <item x="318"/>
        <item x="201"/>
        <item x="296"/>
        <item x="866"/>
        <item x="735"/>
        <item x="387"/>
        <item x="758"/>
        <item x="695"/>
        <item x="297"/>
        <item x="283"/>
        <item x="320"/>
        <item x="1069"/>
        <item x="1194"/>
        <item x="422"/>
        <item x="403"/>
        <item x="323"/>
        <item x="237"/>
        <item x="1146"/>
        <item x="234"/>
        <item x="263"/>
        <item x="161"/>
        <item x="394"/>
        <item x="992"/>
        <item x="95"/>
        <item x="254"/>
        <item x="232"/>
        <item x="812"/>
        <item x="247"/>
        <item x="379"/>
        <item x="426"/>
        <item x="40"/>
        <item x="77"/>
        <item x="168"/>
        <item x="166"/>
        <item x="34"/>
        <item x="622"/>
        <item x="211"/>
        <item x="993"/>
        <item x="658"/>
        <item x="745"/>
        <item x="29"/>
        <item x="373"/>
        <item x="212"/>
        <item x="617"/>
        <item x="849"/>
        <item x="169"/>
        <item x="159"/>
        <item x="990"/>
        <item x="52"/>
        <item x="765"/>
        <item x="39"/>
        <item x="1056"/>
        <item x="654"/>
        <item x="156"/>
        <item x="1145"/>
        <item x="526"/>
        <item x="1168"/>
        <item x="35"/>
        <item x="221"/>
        <item x="937"/>
        <item x="1068"/>
        <item x="514"/>
        <item x="448"/>
        <item x="365"/>
        <item x="336"/>
        <item x="450"/>
        <item x="1019"/>
        <item x="577"/>
        <item x="41"/>
        <item x="150"/>
        <item x="375"/>
        <item x="452"/>
        <item x="400"/>
        <item x="217"/>
        <item x="304"/>
        <item x="172"/>
        <item x="130"/>
        <item x="775"/>
        <item x="64"/>
        <item x="838"/>
        <item x="170"/>
        <item x="287"/>
        <item x="255"/>
        <item x="674"/>
        <item x="1043"/>
        <item x="196"/>
        <item x="616"/>
        <item x="129"/>
        <item x="397"/>
        <item x="972"/>
        <item x="1213"/>
        <item x="22"/>
        <item x="1190"/>
        <item x="465"/>
        <item x="9"/>
        <item x="152"/>
        <item x="228"/>
        <item x="470"/>
        <item x="401"/>
        <item x="62"/>
        <item x="485"/>
        <item x="801"/>
        <item x="355"/>
        <item x="710"/>
        <item x="311"/>
        <item x="267"/>
        <item x="111"/>
        <item x="738"/>
        <item x="176"/>
        <item x="154"/>
        <item x="360"/>
        <item x="1175"/>
        <item x="679"/>
        <item x="1061"/>
        <item x="554"/>
        <item x="84"/>
        <item x="279"/>
        <item x="1051"/>
        <item x="418"/>
        <item x="1012"/>
        <item x="68"/>
        <item x="165"/>
        <item x="632"/>
        <item x="438"/>
        <item x="657"/>
        <item x="772"/>
        <item x="966"/>
        <item x="646"/>
        <item x="198"/>
        <item x="206"/>
        <item x="30"/>
        <item x="60"/>
        <item x="182"/>
        <item x="451"/>
        <item x="421"/>
        <item x="143"/>
        <item x="171"/>
        <item x="835"/>
        <item x="1005"/>
        <item x="404"/>
        <item x="905"/>
        <item x="782"/>
        <item x="865"/>
        <item x="647"/>
        <item x="676"/>
        <item x="389"/>
        <item x="787"/>
        <item x="903"/>
        <item x="149"/>
        <item x="17"/>
        <item x="487"/>
        <item x="127"/>
        <item x="197"/>
        <item x="7"/>
        <item x="118"/>
        <item x="724"/>
        <item x="131"/>
        <item x="185"/>
        <item x="5"/>
        <item x="550"/>
        <item x="163"/>
        <item x="321"/>
        <item x="300"/>
        <item x="877"/>
        <item x="528"/>
        <item x="1135"/>
        <item x="79"/>
        <item x="580"/>
        <item x="472"/>
        <item x="346"/>
        <item x="123"/>
        <item x="425"/>
        <item x="314"/>
        <item x="541"/>
        <item x="445"/>
        <item x="294"/>
        <item x="0"/>
        <item x="3"/>
        <item x="1"/>
        <item x="630"/>
        <item x="108"/>
        <item x="517"/>
        <item x="246"/>
        <item x="447"/>
        <item x="96"/>
        <item x="1024"/>
        <item x="26"/>
        <item x="227"/>
        <item x="1252"/>
        <item x="613"/>
        <item x="692"/>
        <item x="910"/>
        <item x="361"/>
        <item x="216"/>
        <item x="748"/>
        <item x="31"/>
        <item x="1099"/>
        <item x="663"/>
        <item x="875"/>
        <item x="36"/>
        <item x="100"/>
        <item x="89"/>
        <item x="1243"/>
        <item x="384"/>
        <item x="281"/>
        <item x="483"/>
        <item x="94"/>
        <item x="427"/>
        <item x="21"/>
        <item x="16"/>
        <item x="1186"/>
        <item x="876"/>
        <item x="305"/>
        <item x="46"/>
        <item x="220"/>
        <item x="715"/>
        <item x="398"/>
        <item x="347"/>
        <item x="226"/>
        <item x="103"/>
        <item x="884"/>
        <item x="634"/>
        <item x="860"/>
        <item x="892"/>
        <item x="792"/>
        <item x="778"/>
        <item x="696"/>
        <item x="245"/>
        <item x="138"/>
        <item x="1075"/>
        <item x="189"/>
        <item x="380"/>
        <item x="413"/>
        <item x="914"/>
        <item x="187"/>
        <item x="713"/>
        <item x="585"/>
        <item x="1200"/>
        <item x="230"/>
        <item x="134"/>
        <item x="194"/>
        <item x="539"/>
        <item x="1126"/>
        <item x="38"/>
        <item x="458"/>
        <item x="351"/>
        <item x="1101"/>
        <item x="631"/>
        <item x="475"/>
        <item x="253"/>
        <item x="968"/>
        <item x="1173"/>
        <item x="326"/>
        <item x="697"/>
        <item x="712"/>
        <item x="672"/>
        <item x="955"/>
        <item x="20"/>
        <item x="705"/>
        <item x="1008"/>
        <item x="204"/>
        <item x="796"/>
        <item x="688"/>
        <item x="717"/>
        <item x="151"/>
        <item x="711"/>
        <item x="795"/>
        <item x="673"/>
        <item x="841"/>
        <item x="414"/>
        <item x="958"/>
        <item x="639"/>
        <item x="432"/>
        <item x="690"/>
        <item x="612"/>
        <item x="1267"/>
        <item x="721"/>
        <item x="831"/>
        <item x="682"/>
        <item x="810"/>
        <item x="1050"/>
        <item x="85"/>
        <item x="184"/>
        <item sd="0" x="874"/>
        <item x="938"/>
        <item x="128"/>
        <item x="424"/>
        <item x="1091"/>
        <item x="843"/>
        <item x="251"/>
        <item x="1130"/>
        <item x="501"/>
        <item x="947"/>
        <item x="888"/>
        <item x="383"/>
        <item x="707"/>
        <item x="946"/>
        <item x="1295"/>
        <item x="976"/>
        <item x="1174"/>
        <item x="69"/>
        <item x="537"/>
        <item x="730"/>
        <item x="210"/>
        <item x="608"/>
        <item x="684"/>
        <item x="489"/>
        <item x="12"/>
        <item x="440"/>
        <item x="53"/>
        <item x="785"/>
        <item x="436"/>
        <item x="428"/>
        <item x="15"/>
        <item x="509"/>
        <item x="271"/>
        <item x="112"/>
        <item x="1018"/>
        <item x="90"/>
        <item x="527"/>
        <item x="328"/>
        <item x="584"/>
        <item x="173"/>
        <item x="420"/>
        <item x="139"/>
        <item x="1204"/>
        <item x="803"/>
        <item x="464"/>
        <item x="261"/>
        <item x="720"/>
        <item x="869"/>
        <item x="1296"/>
        <item x="951"/>
        <item x="656"/>
        <item x="478"/>
        <item x="476"/>
        <item x="302"/>
        <item x="536"/>
        <item x="925"/>
        <item x="836"/>
        <item x="308"/>
        <item x="948"/>
        <item x="753"/>
        <item x="1094"/>
        <item x="755"/>
        <item x="1193"/>
        <item x="1083"/>
        <item x="186"/>
        <item x="269"/>
        <item x="370"/>
        <item x="752"/>
        <item x="236"/>
        <item x="116"/>
        <item x="1250"/>
        <item x="764"/>
        <item x="850"/>
        <item x="342"/>
        <item x="624"/>
        <item x="193"/>
        <item x="859"/>
        <item x="160"/>
        <item x="889"/>
        <item x="28"/>
        <item x="122"/>
        <item x="768"/>
        <item x="666"/>
        <item x="739"/>
        <item x="693"/>
        <item x="494"/>
        <item x="1113"/>
        <item x="929"/>
        <item x="773"/>
        <item x="600"/>
        <item x="301"/>
        <item x="434"/>
        <item x="851"/>
        <item x="490"/>
        <item x="455"/>
        <item x="1028"/>
        <item x="1038"/>
        <item x="1156"/>
        <item x="883"/>
        <item x="81"/>
        <item x="626"/>
        <item x="642"/>
        <item x="1192"/>
        <item x="546"/>
        <item x="586"/>
        <item x="99"/>
        <item x="629"/>
        <item x="1150"/>
        <item x="141"/>
        <item x="1040"/>
        <item x="1273"/>
        <item x="493"/>
        <item x="488"/>
        <item x="1026"/>
        <item x="1065"/>
        <item x="417"/>
        <item x="824"/>
        <item x="633"/>
        <item x="793"/>
        <item x="290"/>
        <item x="503"/>
        <item x="229"/>
        <item x="776"/>
        <item x="1237"/>
        <item x="880"/>
        <item x="331"/>
        <item x="362"/>
        <item x="593"/>
        <item x="644"/>
        <item x="467"/>
        <item x="133"/>
        <item x="664"/>
        <item x="495"/>
        <item x="78"/>
        <item x="180"/>
        <item x="444"/>
        <item x="567"/>
        <item x="42"/>
        <item x="912"/>
        <item x="591"/>
        <item x="627"/>
        <item x="124"/>
        <item x="479"/>
        <item x="344"/>
        <item x="66"/>
        <item x="924"/>
        <item x="822"/>
        <item x="1240"/>
        <item x="1062"/>
        <item x="83"/>
        <item x="286"/>
        <item x="609"/>
        <item x="588"/>
        <item x="815"/>
        <item x="598"/>
        <item x="1238"/>
        <item x="1230"/>
        <item x="997"/>
        <item x="491"/>
        <item x="1046"/>
        <item x="607"/>
        <item x="569"/>
        <item x="223"/>
        <item x="354"/>
        <item x="953"/>
        <item x="352"/>
        <item x="1151"/>
        <item x="390"/>
        <item x="443"/>
        <item x="808"/>
        <item x="1161"/>
        <item x="1016"/>
        <item x="1025"/>
        <item x="429"/>
        <item x="471"/>
        <item x="322"/>
        <item x="408"/>
        <item x="1154"/>
        <item x="43"/>
        <item x="856"/>
        <item x="391"/>
        <item x="107"/>
        <item x="722"/>
        <item x="522"/>
        <item x="441"/>
        <item x="270"/>
        <item x="32"/>
        <item x="959"/>
        <item x="774"/>
        <item x="683"/>
        <item x="833"/>
        <item x="691"/>
        <item x="547"/>
        <item x="393"/>
        <item x="901"/>
        <item x="915"/>
        <item x="1096"/>
        <item x="957"/>
        <item x="249"/>
        <item x="933"/>
        <item x="744"/>
        <item x="1042"/>
        <item x="240"/>
        <item x="969"/>
        <item x="520"/>
        <item x="1203"/>
        <item x="202"/>
        <item x="260"/>
        <item x="558"/>
        <item x="893"/>
        <item x="386"/>
        <item x="904"/>
        <item x="1106"/>
        <item x="6"/>
        <item x="431"/>
        <item x="259"/>
        <item x="918"/>
        <item x="784"/>
        <item x="979"/>
        <item x="238"/>
        <item x="508"/>
        <item x="439"/>
        <item x="899"/>
        <item x="71"/>
        <item x="334"/>
        <item x="104"/>
        <item x="91"/>
        <item x="1058"/>
        <item x="423"/>
        <item x="51"/>
        <item x="998"/>
        <item x="996"/>
        <item x="1041"/>
        <item x="702"/>
        <item x="532"/>
        <item x="725"/>
        <item x="1013"/>
        <item x="1244"/>
        <item x="1149"/>
        <item x="462"/>
        <item x="114"/>
        <item x="858"/>
        <item x="733"/>
        <item x="192"/>
        <item x="741"/>
        <item x="913"/>
        <item x="675"/>
        <item x="1115"/>
        <item x="499"/>
        <item x="1020"/>
        <item x="454"/>
        <item x="147"/>
        <item x="430"/>
        <item x="967"/>
        <item x="345"/>
        <item x="823"/>
        <item x="689"/>
        <item x="802"/>
        <item x="25"/>
        <item x="327"/>
        <item x="195"/>
        <item x="797"/>
        <item x="571"/>
        <item x="665"/>
        <item x="743"/>
        <item x="256"/>
        <item x="324"/>
        <item x="54"/>
        <item x="1310"/>
        <item x="832"/>
        <item x="48"/>
        <item x="303"/>
        <item x="718"/>
        <item x="681"/>
        <item x="994"/>
        <item x="310"/>
        <item x="329"/>
        <item x="49"/>
        <item x="1073"/>
        <item x="638"/>
        <item x="977"/>
        <item x="199"/>
        <item x="525"/>
        <item x="88"/>
        <item x="1306"/>
        <item x="363"/>
        <item x="989"/>
        <item x="242"/>
        <item x="1289"/>
        <item x="1157"/>
        <item x="1178"/>
        <item x="316"/>
        <item x="651"/>
        <item x="548"/>
        <item x="415"/>
        <item x="680"/>
        <item x="136"/>
        <item x="157"/>
        <item x="660"/>
        <item x="677"/>
        <item x="970"/>
        <item x="563"/>
        <item x="1272"/>
        <item x="137"/>
        <item x="341"/>
        <item x="312"/>
        <item x="1251"/>
        <item x="1249"/>
        <item x="791"/>
        <item x="1278"/>
        <item x="1121"/>
        <item x="999"/>
        <item x="67"/>
        <item x="767"/>
        <item x="502"/>
        <item x="1277"/>
        <item x="1170"/>
        <item x="407"/>
        <item x="1102"/>
        <item x="789"/>
        <item x="828"/>
        <item x="1090"/>
        <item x="818"/>
        <item x="727"/>
        <item x="864"/>
        <item x="200"/>
        <item x="1032"/>
        <item x="1048"/>
        <item x="562"/>
        <item x="1304"/>
        <item x="506"/>
        <item x="1275"/>
        <item x="798"/>
        <item x="1239"/>
        <item x="368"/>
        <item x="101"/>
        <item x="1076"/>
        <item x="333"/>
        <item x="1172"/>
        <item x="615"/>
        <item x="222"/>
        <item x="468"/>
        <item x="1292"/>
        <item x="805"/>
        <item x="1302"/>
        <item x="115"/>
        <item x="1298"/>
        <item x="1120"/>
        <item x="1033"/>
        <item x="1308"/>
        <item x="1053"/>
        <item x="1283"/>
        <item x="568"/>
        <item x="1215"/>
        <item x="637"/>
        <item x="518"/>
        <item x="402"/>
        <item x="1123"/>
        <item x="1307"/>
        <item x="1268"/>
        <item x="1031"/>
        <item x="902"/>
        <item x="1258"/>
        <item x="371"/>
        <item x="1288"/>
        <item x="1082"/>
        <item x="110"/>
        <item x="973"/>
        <item x="1198"/>
        <item x="145"/>
        <item x="357"/>
        <item x="538"/>
        <item x="117"/>
        <item x="1293"/>
        <item x="1276"/>
        <item x="209"/>
        <item x="252"/>
        <item x="1006"/>
        <item x="266"/>
        <item x="460"/>
        <item x="113"/>
        <item x="1259"/>
        <item x="319"/>
        <item x="555"/>
        <item x="59"/>
        <item x="1007"/>
        <item x="747"/>
        <item x="1017"/>
        <item x="1281"/>
        <item x="685"/>
        <item x="473"/>
        <item x="33"/>
        <item x="382"/>
        <item x="1299"/>
        <item x="1303"/>
        <item x="1254"/>
        <item x="983"/>
        <item x="1287"/>
        <item x="922"/>
        <item x="1274"/>
        <item x="1060"/>
        <item x="623"/>
        <item x="935"/>
        <item x="1297"/>
        <item x="477"/>
        <item x="1265"/>
        <item x="962"/>
        <item x="1279"/>
        <item x="374"/>
        <item x="890"/>
        <item x="1260"/>
        <item x="442"/>
        <item x="1300"/>
        <item x="1285"/>
        <item x="1171"/>
        <item x="811"/>
        <item x="1261"/>
        <item x="510"/>
        <item x="1257"/>
        <item x="971"/>
        <item x="1220"/>
        <item x="1054"/>
        <item x="1084"/>
        <item x="881"/>
        <item x="174"/>
      </items>
    </pivotField>
    <pivotField axis="axisRow" compact="0" outline="0" showAll="0" defaultSubtotal="0">
      <items count="137">
        <item x="92"/>
        <item x="81"/>
        <item x="1"/>
        <item x="5"/>
        <item x="3"/>
        <item x="8"/>
        <item x="4"/>
        <item x="11"/>
        <item x="0"/>
        <item x="6"/>
        <item x="7"/>
        <item x="12"/>
        <item x="103"/>
        <item x="50"/>
        <item x="14"/>
        <item x="15"/>
        <item x="32"/>
        <item x="13"/>
        <item x="9"/>
        <item x="2"/>
        <item x="48"/>
        <item x="106"/>
        <item x="19"/>
        <item x="20"/>
        <item x="25"/>
        <item x="52"/>
        <item x="35"/>
        <item x="63"/>
        <item x="49"/>
        <item x="42"/>
        <item x="10"/>
        <item x="59"/>
        <item x="37"/>
        <item x="17"/>
        <item x="47"/>
        <item x="70"/>
        <item x="55"/>
        <item x="18"/>
        <item x="21"/>
        <item x="30"/>
        <item x="44"/>
        <item x="27"/>
        <item x="104"/>
        <item x="28"/>
        <item x="36"/>
        <item x="34"/>
        <item x="65"/>
        <item x="45"/>
        <item x="29"/>
        <item x="24"/>
        <item x="22"/>
        <item x="46"/>
        <item x="74"/>
        <item x="57"/>
        <item x="26"/>
        <item x="51"/>
        <item x="62"/>
        <item x="33"/>
        <item x="38"/>
        <item x="71"/>
        <item x="73"/>
        <item x="67"/>
        <item x="68"/>
        <item x="53"/>
        <item x="86"/>
        <item x="75"/>
        <item x="66"/>
        <item x="39"/>
        <item x="16"/>
        <item x="80"/>
        <item x="99"/>
        <item x="78"/>
        <item x="40"/>
        <item x="23"/>
        <item x="31"/>
        <item x="116"/>
        <item x="76"/>
        <item x="90"/>
        <item x="87"/>
        <item x="93"/>
        <item x="113"/>
        <item x="61"/>
        <item x="77"/>
        <item x="64"/>
        <item x="79"/>
        <item x="58"/>
        <item x="108"/>
        <item x="109"/>
        <item x="41"/>
        <item x="121"/>
        <item x="131"/>
        <item x="115"/>
        <item x="69"/>
        <item x="43"/>
        <item x="118"/>
        <item x="107"/>
        <item x="54"/>
        <item x="85"/>
        <item x="56"/>
        <item x="82"/>
        <item x="114"/>
        <item x="84"/>
        <item x="100"/>
        <item x="94"/>
        <item x="60"/>
        <item x="110"/>
        <item x="95"/>
        <item x="72"/>
        <item x="122"/>
        <item x="96"/>
        <item x="83"/>
        <item x="127"/>
        <item x="111"/>
        <item x="119"/>
        <item x="91"/>
        <item x="120"/>
        <item x="130"/>
        <item x="101"/>
        <item x="97"/>
        <item x="105"/>
        <item x="129"/>
        <item x="89"/>
        <item x="98"/>
        <item x="102"/>
        <item x="117"/>
        <item x="124"/>
        <item x="126"/>
        <item x="134"/>
        <item x="133"/>
        <item x="123"/>
        <item x="128"/>
        <item x="135"/>
        <item x="136"/>
        <item x="125"/>
        <item x="112"/>
        <item x="88"/>
        <item x="132"/>
      </items>
    </pivotField>
    <pivotField axis="axisRow" compact="0" outline="0" showAll="0" defaultSubtotal="0">
      <items count="420">
        <item x="385"/>
        <item x="246"/>
        <item x="282"/>
        <item x="323"/>
        <item x="292"/>
        <item x="351"/>
        <item x="97"/>
        <item x="67"/>
        <item x="115"/>
        <item x="263"/>
        <item x="315"/>
        <item x="249"/>
        <item x="62"/>
        <item x="50"/>
        <item x="169"/>
        <item x="53"/>
        <item x="276"/>
        <item x="49"/>
        <item x="327"/>
        <item x="380"/>
        <item x="373"/>
        <item x="384"/>
        <item x="357"/>
        <item x="288"/>
        <item x="181"/>
        <item x="353"/>
        <item x="358"/>
        <item x="253"/>
        <item x="232"/>
        <item x="319"/>
        <item x="113"/>
        <item x="43"/>
        <item x="356"/>
        <item x="365"/>
        <item x="369"/>
        <item x="386"/>
        <item x="296"/>
        <item x="228"/>
        <item x="52"/>
        <item x="70"/>
        <item x="201"/>
        <item x="94"/>
        <item x="197"/>
        <item x="18"/>
        <item x="103"/>
        <item x="131"/>
        <item x="226"/>
        <item x="99"/>
        <item x="397"/>
        <item x="269"/>
        <item x="284"/>
        <item x="312"/>
        <item x="359"/>
        <item x="361"/>
        <item x="193"/>
        <item x="143"/>
        <item x="240"/>
        <item x="26"/>
        <item x="3"/>
        <item x="21"/>
        <item x="31"/>
        <item x="170"/>
        <item x="68"/>
        <item x="44"/>
        <item x="230"/>
        <item x="75"/>
        <item x="116"/>
        <item x="2"/>
        <item x="72"/>
        <item x="332"/>
        <item x="158"/>
        <item x="211"/>
        <item x="141"/>
        <item x="379"/>
        <item x="387"/>
        <item x="396"/>
        <item x="172"/>
        <item x="340"/>
        <item x="316"/>
        <item x="308"/>
        <item x="350"/>
        <item x="98"/>
        <item x="283"/>
        <item x="337"/>
        <item x="146"/>
        <item x="100"/>
        <item x="58"/>
        <item x="90"/>
        <item x="5"/>
        <item x="279"/>
        <item x="234"/>
        <item x="383"/>
        <item x="266"/>
        <item x="344"/>
        <item x="135"/>
        <item x="148"/>
        <item x="314"/>
        <item x="145"/>
        <item x="168"/>
        <item x="300"/>
        <item x="303"/>
        <item x="93"/>
        <item x="322"/>
        <item x="138"/>
        <item x="74"/>
        <item x="179"/>
        <item x="247"/>
        <item x="390"/>
        <item x="331"/>
        <item x="17"/>
        <item x="157"/>
        <item x="241"/>
        <item x="120"/>
        <item x="126"/>
        <item x="78"/>
        <item x="204"/>
        <item x="270"/>
        <item x="173"/>
        <item x="137"/>
        <item x="215"/>
        <item x="212"/>
        <item x="33"/>
        <item x="151"/>
        <item x="209"/>
        <item x="207"/>
        <item x="360"/>
        <item x="345"/>
        <item x="185"/>
        <item x="130"/>
        <item x="104"/>
        <item x="61"/>
        <item x="200"/>
        <item x="142"/>
        <item x="136"/>
        <item x="109"/>
        <item x="178"/>
        <item x="80"/>
        <item x="244"/>
        <item x="36"/>
        <item x="9"/>
        <item x="287"/>
        <item x="306"/>
        <item x="281"/>
        <item x="371"/>
        <item x="66"/>
        <item x="86"/>
        <item x="110"/>
        <item x="73"/>
        <item x="30"/>
        <item x="77"/>
        <item x="398"/>
        <item x="213"/>
        <item x="220"/>
        <item x="325"/>
        <item x="177"/>
        <item x="56"/>
        <item x="81"/>
        <item x="89"/>
        <item x="171"/>
        <item x="301"/>
        <item x="118"/>
        <item x="154"/>
        <item x="349"/>
        <item x="127"/>
        <item x="250"/>
        <item x="57"/>
        <item x="46"/>
        <item x="124"/>
        <item x="343"/>
        <item x="257"/>
        <item x="370"/>
        <item x="190"/>
        <item x="107"/>
        <item x="76"/>
        <item x="375"/>
        <item x="65"/>
        <item x="105"/>
        <item x="42"/>
        <item x="132"/>
        <item x="342"/>
        <item x="189"/>
        <item x="268"/>
        <item x="248"/>
        <item x="198"/>
        <item x="352"/>
        <item x="225"/>
        <item x="164"/>
        <item x="125"/>
        <item x="237"/>
        <item x="134"/>
        <item x="152"/>
        <item x="183"/>
        <item x="51"/>
        <item x="273"/>
        <item x="251"/>
        <item x="364"/>
        <item x="192"/>
        <item x="264"/>
        <item x="219"/>
        <item x="222"/>
        <item x="153"/>
        <item x="216"/>
        <item x="35"/>
        <item x="265"/>
        <item x="338"/>
        <item x="140"/>
        <item x="367"/>
        <item x="208"/>
        <item x="147"/>
        <item x="182"/>
        <item x="239"/>
        <item x="293"/>
        <item x="382"/>
        <item x="79"/>
        <item x="400"/>
        <item x="233"/>
        <item x="330"/>
        <item x="95"/>
        <item x="165"/>
        <item x="366"/>
        <item x="63"/>
        <item x="275"/>
        <item x="339"/>
        <item x="217"/>
        <item x="235"/>
        <item x="202"/>
        <item x="362"/>
        <item x="254"/>
        <item x="336"/>
        <item x="119"/>
        <item x="128"/>
        <item x="160"/>
        <item x="196"/>
        <item x="69"/>
        <item x="309"/>
        <item x="159"/>
        <item x="155"/>
        <item x="106"/>
        <item x="45"/>
        <item x="186"/>
        <item x="199"/>
        <item x="252"/>
        <item x="82"/>
        <item x="24"/>
        <item x="224"/>
        <item x="48"/>
        <item x="13"/>
        <item x="0"/>
        <item x="6"/>
        <item x="4"/>
        <item x="129"/>
        <item x="8"/>
        <item x="28"/>
        <item x="22"/>
        <item x="7"/>
        <item x="27"/>
        <item x="16"/>
        <item x="1"/>
        <item x="34"/>
        <item x="23"/>
        <item x="91"/>
        <item x="277"/>
        <item x="163"/>
        <item x="83"/>
        <item x="278"/>
        <item x="38"/>
        <item x="174"/>
        <item x="194"/>
        <item x="272"/>
        <item x="133"/>
        <item x="139"/>
        <item x="32"/>
        <item x="206"/>
        <item x="329"/>
        <item x="19"/>
        <item x="25"/>
        <item x="393"/>
        <item x="15"/>
        <item x="92"/>
        <item x="12"/>
        <item x="368"/>
        <item x="14"/>
        <item x="39"/>
        <item x="298"/>
        <item x="162"/>
        <item x="122"/>
        <item x="363"/>
        <item x="123"/>
        <item x="88"/>
        <item x="175"/>
        <item x="20"/>
        <item x="10"/>
        <item x="60"/>
        <item x="176"/>
        <item x="40"/>
        <item x="304"/>
        <item x="112"/>
        <item x="41"/>
        <item x="290"/>
        <item x="101"/>
        <item x="221"/>
        <item x="54"/>
        <item x="231"/>
        <item x="121"/>
        <item x="243"/>
        <item x="180"/>
        <item x="71"/>
        <item x="326"/>
        <item x="191"/>
        <item x="271"/>
        <item x="11"/>
        <item x="55"/>
        <item x="47"/>
        <item x="260"/>
        <item x="96"/>
        <item x="378"/>
        <item x="313"/>
        <item x="37"/>
        <item x="203"/>
        <item x="59"/>
        <item x="341"/>
        <item x="114"/>
        <item x="166"/>
        <item x="108"/>
        <item x="29"/>
        <item x="102"/>
        <item x="311"/>
        <item x="161"/>
        <item x="388"/>
        <item x="406"/>
        <item x="289"/>
        <item x="236"/>
        <item x="407"/>
        <item x="412"/>
        <item x="321"/>
        <item x="391"/>
        <item x="280"/>
        <item x="394"/>
        <item x="411"/>
        <item x="188"/>
        <item x="405"/>
        <item x="184"/>
        <item x="267"/>
        <item x="258"/>
        <item x="285"/>
        <item x="414"/>
        <item x="417"/>
        <item x="320"/>
        <item x="242"/>
        <item x="413"/>
        <item x="416"/>
        <item x="261"/>
        <item x="354"/>
        <item x="404"/>
        <item x="259"/>
        <item x="403"/>
        <item x="334"/>
        <item x="238"/>
        <item x="346"/>
        <item x="415"/>
        <item x="401"/>
        <item x="218"/>
        <item x="167"/>
        <item x="255"/>
        <item x="195"/>
        <item x="347"/>
        <item x="297"/>
        <item x="317"/>
        <item x="408"/>
        <item x="223"/>
        <item x="376"/>
        <item x="399"/>
        <item x="150"/>
        <item x="392"/>
        <item x="377"/>
        <item x="324"/>
        <item x="389"/>
        <item x="262"/>
        <item x="409"/>
        <item x="348"/>
        <item x="381"/>
        <item x="291"/>
        <item x="305"/>
        <item x="307"/>
        <item x="85"/>
        <item x="227"/>
        <item x="274"/>
        <item x="111"/>
        <item x="318"/>
        <item x="328"/>
        <item x="205"/>
        <item x="302"/>
        <item x="117"/>
        <item x="149"/>
        <item x="256"/>
        <item x="295"/>
        <item x="418"/>
        <item x="156"/>
        <item x="84"/>
        <item x="214"/>
        <item x="210"/>
        <item x="294"/>
        <item x="87"/>
        <item x="374"/>
        <item x="229"/>
        <item x="419"/>
        <item x="372"/>
        <item x="310"/>
        <item x="299"/>
        <item x="144"/>
        <item x="402"/>
        <item x="335"/>
        <item x="245"/>
        <item x="187"/>
        <item x="64"/>
        <item x="355"/>
        <item x="410"/>
        <item x="286"/>
        <item x="333"/>
        <item x="395"/>
      </items>
    </pivotField>
    <pivotField axis="axisRow" compact="0" outline="0" showAll="0" defaultSubtotal="0">
      <items count="2029">
        <item x="254"/>
        <item x="740"/>
        <item x="1902"/>
        <item x="1129"/>
        <item x="172"/>
        <item x="1176"/>
        <item x="476"/>
        <item x="641"/>
        <item x="1085"/>
        <item x="1091"/>
        <item x="1333"/>
        <item x="873"/>
        <item x="54"/>
        <item x="155"/>
        <item x="165"/>
        <item x="1780"/>
        <item x="657"/>
        <item x="826"/>
        <item x="967"/>
        <item x="1151"/>
        <item x="1791"/>
        <item x="1842"/>
        <item x="1841"/>
        <item x="1663"/>
        <item x="1159"/>
        <item x="1724"/>
        <item x="257"/>
        <item x="878"/>
        <item x="1684"/>
        <item x="1887"/>
        <item x="1892"/>
        <item x="837"/>
        <item x="733"/>
        <item x="893"/>
        <item x="539"/>
        <item x="1386"/>
        <item x="594"/>
        <item x="1779"/>
        <item x="147"/>
        <item x="1124"/>
        <item x="1307"/>
        <item x="1441"/>
        <item x="1200"/>
        <item x="1068"/>
        <item x="1951"/>
        <item x="1921"/>
        <item x="1730"/>
        <item x="1835"/>
        <item x="1146"/>
        <item x="1670"/>
        <item x="1368"/>
        <item x="308"/>
        <item x="195"/>
        <item x="82"/>
        <item x="293"/>
        <item x="237"/>
        <item x="616"/>
        <item x="1311"/>
        <item x="1266"/>
        <item x="212"/>
        <item x="1287"/>
        <item x="1655"/>
        <item x="1606"/>
        <item x="810"/>
        <item x="1518"/>
        <item x="822"/>
        <item x="342"/>
        <item x="1822"/>
        <item x="1325"/>
        <item x="333"/>
        <item x="385"/>
        <item x="1121"/>
        <item x="1434"/>
        <item x="919"/>
        <item x="1442"/>
        <item x="1868"/>
        <item x="285"/>
        <item x="252"/>
        <item x="723"/>
        <item x="1891"/>
        <item x="1589"/>
        <item x="1198"/>
        <item x="1514"/>
        <item x="1249"/>
        <item x="1591"/>
        <item x="1013"/>
        <item x="1482"/>
        <item x="1291"/>
        <item x="1671"/>
        <item x="1093"/>
        <item x="965"/>
        <item x="734"/>
        <item x="1079"/>
        <item x="182"/>
        <item x="1950"/>
        <item x="136"/>
        <item x="93"/>
        <item x="570"/>
        <item x="204"/>
        <item x="110"/>
        <item x="325"/>
        <item x="1949"/>
        <item x="319"/>
        <item x="622"/>
        <item x="415"/>
        <item x="1279"/>
        <item x="1171"/>
        <item x="1081"/>
        <item x="1770"/>
        <item x="1651"/>
        <item x="1778"/>
        <item x="727"/>
        <item x="1141"/>
        <item x="1296"/>
        <item x="882"/>
        <item x="1592"/>
        <item x="1958"/>
        <item x="686"/>
        <item x="1432"/>
        <item x="1890"/>
        <item x="1829"/>
        <item x="1959"/>
        <item x="1011"/>
        <item x="532"/>
        <item x="792"/>
        <item x="1036"/>
        <item x="1014"/>
        <item x="1144"/>
        <item x="1025"/>
        <item x="1638"/>
        <item x="1281"/>
        <item x="1643"/>
        <item x="923"/>
        <item x="977"/>
        <item x="1636"/>
        <item x="583"/>
        <item x="979"/>
        <item x="1062"/>
        <item x="1650"/>
        <item x="751"/>
        <item x="1461"/>
        <item x="876"/>
        <item x="1790"/>
        <item x="406"/>
        <item x="1164"/>
        <item x="1128"/>
        <item x="1673"/>
        <item x="1677"/>
        <item x="1777"/>
        <item x="894"/>
        <item x="1061"/>
        <item x="1585"/>
        <item x="973"/>
        <item x="1575"/>
        <item x="258"/>
        <item x="1556"/>
        <item x="1340"/>
        <item x="774"/>
        <item x="1848"/>
        <item x="866"/>
        <item x="1758"/>
        <item x="1105"/>
        <item x="1560"/>
        <item x="1772"/>
        <item x="1808"/>
        <item x="653"/>
        <item x="1050"/>
        <item x="1021"/>
        <item x="509"/>
        <item x="1155"/>
        <item x="395"/>
        <item x="1298"/>
        <item x="698"/>
        <item x="1470"/>
        <item x="959"/>
        <item x="1860"/>
        <item x="1974"/>
        <item x="801"/>
        <item x="498"/>
        <item x="569"/>
        <item x="1083"/>
        <item x="511"/>
        <item x="1669"/>
        <item x="1683"/>
        <item x="1922"/>
        <item x="358"/>
        <item x="720"/>
        <item x="1771"/>
        <item x="1532"/>
        <item x="496"/>
        <item x="1803"/>
        <item x="392"/>
        <item x="365"/>
        <item x="910"/>
        <item x="1027"/>
        <item x="1802"/>
        <item x="953"/>
        <item x="1603"/>
        <item x="1604"/>
        <item x="1576"/>
        <item x="1347"/>
        <item x="1344"/>
        <item x="1597"/>
        <item x="600"/>
        <item x="1703"/>
        <item x="1588"/>
        <item x="1862"/>
        <item x="1010"/>
        <item x="1656"/>
        <item x="160"/>
        <item x="1500"/>
        <item x="970"/>
        <item x="1265"/>
        <item x="1593"/>
        <item x="1524"/>
        <item x="1936"/>
        <item x="1869"/>
        <item x="1729"/>
        <item x="404"/>
        <item x="669"/>
        <item x="1574"/>
        <item x="1120"/>
        <item x="1395"/>
        <item x="684"/>
        <item x="1308"/>
        <item x="410"/>
        <item x="286"/>
        <item x="302"/>
        <item x="322"/>
        <item x="1509"/>
        <item x="341"/>
        <item x="1277"/>
        <item x="1384"/>
        <item x="1398"/>
        <item x="722"/>
        <item x="1122"/>
        <item x="1082"/>
        <item x="1971"/>
        <item x="784"/>
        <item x="995"/>
        <item x="1905"/>
        <item x="1510"/>
        <item x="1584"/>
        <item x="747"/>
        <item x="1038"/>
        <item x="1447"/>
        <item x="649"/>
        <item x="275"/>
        <item x="1336"/>
        <item x="384"/>
        <item x="760"/>
        <item x="1282"/>
        <item x="983"/>
        <item x="1906"/>
        <item x="885"/>
        <item x="1273"/>
        <item x="886"/>
        <item x="176"/>
        <item x="966"/>
        <item x="514"/>
        <item x="1551"/>
        <item x="1587"/>
        <item x="1557"/>
        <item x="794"/>
        <item x="1220"/>
        <item x="1473"/>
        <item x="1002"/>
        <item x="1980"/>
        <item x="1202"/>
        <item x="1205"/>
        <item x="2021"/>
        <item x="833"/>
        <item x="1697"/>
        <item x="1165"/>
        <item x="1186"/>
        <item x="687"/>
        <item x="1007"/>
        <item x="271"/>
        <item x="1559"/>
        <item x="281"/>
        <item x="838"/>
        <item x="1133"/>
        <item x="67"/>
        <item x="495"/>
        <item x="354"/>
        <item x="183"/>
        <item x="129"/>
        <item x="299"/>
        <item x="167"/>
        <item x="677"/>
        <item x="717"/>
        <item x="716"/>
        <item x="190"/>
        <item x="756"/>
        <item x="1297"/>
        <item x="788"/>
        <item x="1074"/>
        <item x="1147"/>
        <item x="143"/>
        <item x="1026"/>
        <item x="46"/>
        <item x="770"/>
        <item x="125"/>
        <item x="246"/>
        <item x="1001"/>
        <item x="423"/>
        <item x="36"/>
        <item x="1989"/>
        <item x="887"/>
        <item x="818"/>
        <item x="482"/>
        <item x="763"/>
        <item x="402"/>
        <item x="1427"/>
        <item x="1225"/>
        <item x="1135"/>
        <item x="820"/>
        <item x="1113"/>
        <item x="1126"/>
        <item x="213"/>
        <item x="330"/>
        <item x="1015"/>
        <item x="1065"/>
        <item x="1816"/>
        <item x="1844"/>
        <item x="676"/>
        <item x="541"/>
        <item x="888"/>
        <item x="1032"/>
        <item x="2022"/>
        <item x="624"/>
        <item x="222"/>
        <item x="1726"/>
        <item x="610"/>
        <item x="1045"/>
        <item x="328"/>
        <item x="961"/>
        <item x="1438"/>
        <item x="1167"/>
        <item x="1140"/>
        <item x="192"/>
        <item x="1723"/>
        <item x="1659"/>
        <item x="1851"/>
        <item x="512"/>
        <item x="1406"/>
        <item x="391"/>
        <item x="778"/>
        <item x="812"/>
        <item x="1884"/>
        <item x="1990"/>
        <item x="1187"/>
        <item x="635"/>
        <item x="1245"/>
        <item x="1178"/>
        <item x="1418"/>
        <item x="942"/>
        <item x="52"/>
        <item x="1226"/>
        <item x="436"/>
        <item x="620"/>
        <item x="915"/>
        <item x="1554"/>
        <item x="1174"/>
        <item x="650"/>
        <item x="503"/>
        <item x="1705"/>
        <item x="1302"/>
        <item x="1609"/>
        <item x="1328"/>
        <item x="1019"/>
        <item x="501"/>
        <item x="2017"/>
        <item x="1348"/>
        <item x="263"/>
        <item x="1322"/>
        <item x="929"/>
        <item x="1823"/>
        <item x="1312"/>
        <item x="1360"/>
        <item x="1826"/>
        <item x="1797"/>
        <item x="869"/>
        <item x="1158"/>
        <item x="557"/>
        <item x="1479"/>
        <item x="1112"/>
        <item x="905"/>
        <item x="1635"/>
        <item x="1647"/>
        <item x="828"/>
        <item x="848"/>
        <item x="681"/>
        <item x="737"/>
        <item x="1390"/>
        <item x="872"/>
        <item x="1744"/>
        <item x="1362"/>
        <item x="1866"/>
        <item x="633"/>
        <item x="37"/>
        <item x="445"/>
        <item x="1679"/>
        <item x="1725"/>
        <item x="615"/>
        <item x="196"/>
        <item x="884"/>
        <item x="497"/>
        <item x="1976"/>
        <item x="1985"/>
        <item x="17"/>
        <item x="1952"/>
        <item x="1600"/>
        <item x="108"/>
        <item x="704"/>
        <item x="79"/>
        <item x="593"/>
        <item x="1335"/>
        <item x="1977"/>
        <item x="1987"/>
        <item x="56"/>
        <item x="1988"/>
        <item x="1404"/>
        <item x="1463"/>
        <item x="627"/>
        <item x="1412"/>
        <item x="1059"/>
        <item x="781"/>
        <item x="999"/>
        <item x="1292"/>
        <item x="1612"/>
        <item x="459"/>
        <item x="1940"/>
        <item x="1455"/>
        <item x="1818"/>
        <item x="421"/>
        <item x="1512"/>
        <item x="261"/>
        <item x="1840"/>
        <item x="401"/>
        <item x="1403"/>
        <item x="1937"/>
        <item x="253"/>
        <item x="1351"/>
        <item x="1101"/>
        <item x="1191"/>
        <item x="1149"/>
        <item x="920"/>
        <item x="1689"/>
        <item x="906"/>
        <item x="393"/>
        <item x="694"/>
        <item x="256"/>
        <item x="1881"/>
        <item x="481"/>
        <item x="757"/>
        <item x="1975"/>
        <item x="492"/>
        <item x="765"/>
        <item x="1631"/>
        <item x="1939"/>
        <item x="1733"/>
        <item x="954"/>
        <item x="1369"/>
        <item x="597"/>
        <item x="554"/>
        <item x="515"/>
        <item x="1355"/>
        <item x="800"/>
        <item x="858"/>
        <item x="111"/>
        <item x="133"/>
        <item x="815"/>
        <item x="1746"/>
        <item x="1387"/>
        <item x="45"/>
        <item x="139"/>
        <item x="1715"/>
        <item x="1832"/>
        <item x="336"/>
        <item x="1732"/>
        <item x="536"/>
        <item x="1908"/>
        <item x="811"/>
        <item x="1110"/>
        <item x="1946"/>
        <item x="279"/>
        <item x="1986"/>
        <item x="1262"/>
        <item x="1837"/>
        <item x="562"/>
        <item x="1160"/>
        <item x="1897"/>
        <item x="1103"/>
        <item x="329"/>
        <item x="187"/>
        <item x="1256"/>
        <item x="508"/>
        <item x="1794"/>
        <item x="249"/>
        <item x="1286"/>
        <item x="399"/>
        <item x="489"/>
        <item x="87"/>
        <item x="1696"/>
        <item x="1063"/>
        <item x="1337"/>
        <item x="290"/>
        <item x="725"/>
        <item x="926"/>
        <item x="602"/>
        <item x="1057"/>
        <item x="523"/>
        <item x="444"/>
        <item x="853"/>
        <item x="525"/>
        <item x="1037"/>
        <item x="119"/>
        <item x="217"/>
        <item x="1008"/>
        <item x="1984"/>
        <item x="453"/>
        <item x="488"/>
        <item x="177"/>
        <item x="161"/>
        <item x="988"/>
        <item x="596"/>
        <item x="1012"/>
        <item x="660"/>
        <item x="1978"/>
        <item x="449"/>
        <item x="117"/>
        <item x="852"/>
        <item x="745"/>
        <item x="673"/>
        <item x="875"/>
        <item x="221"/>
        <item x="786"/>
        <item x="945"/>
        <item x="598"/>
        <item x="985"/>
        <item x="847"/>
        <item x="310"/>
        <item x="1598"/>
        <item x="1634"/>
        <item x="560"/>
        <item x="1503"/>
        <item x="458"/>
        <item x="856"/>
        <item x="521"/>
        <item x="691"/>
        <item x="830"/>
        <item x="1467"/>
        <item x="1525"/>
        <item x="814"/>
        <item x="1633"/>
        <item x="306"/>
        <item x="282"/>
        <item x="574"/>
        <item x="832"/>
        <item x="960"/>
        <item x="106"/>
        <item x="1150"/>
        <item x="516"/>
        <item x="1241"/>
        <item x="590"/>
        <item x="1581"/>
        <item x="378"/>
        <item x="1830"/>
        <item x="1804"/>
        <item x="1909"/>
        <item x="1761"/>
        <item x="1858"/>
        <item x="581"/>
        <item x="879"/>
        <item x="361"/>
        <item x="529"/>
        <item x="1839"/>
        <item x="1090"/>
        <item x="1313"/>
        <item x="362"/>
        <item x="251"/>
        <item x="730"/>
        <item x="1582"/>
        <item x="1310"/>
        <item x="1278"/>
        <item x="798"/>
        <item x="531"/>
        <item x="1047"/>
        <item x="1190"/>
        <item x="229"/>
        <item x="1425"/>
        <item x="1228"/>
        <item x="1030"/>
        <item x="427"/>
        <item x="1537"/>
        <item x="1342"/>
        <item x="1034"/>
        <item x="414"/>
        <item x="1401"/>
        <item x="1269"/>
        <item x="347"/>
        <item x="324"/>
        <item x="871"/>
        <item x="1315"/>
        <item x="881"/>
        <item x="971"/>
        <item x="1040"/>
        <item x="1400"/>
        <item x="1341"/>
        <item x="688"/>
        <item x="1331"/>
        <item x="944"/>
        <item x="1828"/>
        <item x="777"/>
        <item x="1444"/>
        <item x="1615"/>
        <item x="505"/>
        <item x="1492"/>
        <item x="1487"/>
        <item x="1213"/>
        <item x="1786"/>
        <item x="1596"/>
        <item x="447"/>
        <item x="1148"/>
        <item x="1782"/>
        <item x="898"/>
        <item x="1619"/>
        <item x="1614"/>
        <item x="1672"/>
        <item x="1377"/>
        <item x="1457"/>
        <item x="1543"/>
        <item x="1531"/>
        <item x="411"/>
        <item x="1184"/>
        <item x="1544"/>
        <item x="1536"/>
        <item x="1459"/>
        <item x="1792"/>
        <item x="1209"/>
        <item x="1196"/>
        <item x="738"/>
        <item x="1750"/>
        <item x="549"/>
        <item x="1206"/>
        <item x="1053"/>
        <item x="543"/>
        <item x="952"/>
        <item x="1154"/>
        <item x="1632"/>
        <item x="277"/>
        <item x="171"/>
        <item x="595"/>
        <item x="233"/>
        <item x="157"/>
        <item x="115"/>
        <item x="91"/>
        <item x="1043"/>
        <item x="1711"/>
        <item x="804"/>
        <item x="1118"/>
        <item x="335"/>
        <item x="996"/>
        <item x="766"/>
        <item x="696"/>
        <item x="1898"/>
        <item x="396"/>
        <item x="634"/>
        <item x="851"/>
        <item x="1244"/>
        <item x="1558"/>
        <item x="1657"/>
        <item x="1446"/>
        <item x="311"/>
        <item x="1616"/>
        <item x="471"/>
        <item x="711"/>
        <item x="972"/>
        <item x="262"/>
        <item x="1210"/>
        <item x="1458"/>
        <item x="1319"/>
        <item x="900"/>
        <item x="1116"/>
        <item x="1365"/>
        <item x="1740"/>
        <item x="405"/>
        <item x="1017"/>
        <item x="355"/>
        <item x="1736"/>
        <item x="376"/>
        <item x="98"/>
        <item x="130"/>
        <item x="1223"/>
        <item x="1662"/>
        <item x="1263"/>
        <item x="1374"/>
        <item x="1674"/>
        <item x="1538"/>
        <item x="990"/>
        <item x="373"/>
        <item x="670"/>
        <item x="356"/>
        <item x="974"/>
        <item x="352"/>
        <item x="231"/>
        <item x="575"/>
        <item x="764"/>
        <item x="78"/>
        <item x="297"/>
        <item x="671"/>
        <item x="321"/>
        <item x="145"/>
        <item x="307"/>
        <item x="551"/>
        <item x="316"/>
        <item x="1983"/>
        <item x="284"/>
        <item x="799"/>
        <item x="555"/>
        <item x="678"/>
        <item x="1193"/>
        <item x="744"/>
        <item x="416"/>
        <item x="1016"/>
        <item x="1900"/>
        <item x="1831"/>
        <item x="1880"/>
        <item x="1774"/>
        <item x="1871"/>
        <item x="1519"/>
        <item x="1709"/>
        <item x="846"/>
        <item x="1465"/>
        <item x="76"/>
        <item x="1517"/>
        <item x="175"/>
        <item x="1248"/>
        <item x="334"/>
        <item x="992"/>
        <item x="1288"/>
        <item x="1323"/>
        <item x="1809"/>
        <item x="1552"/>
        <item x="572"/>
        <item x="586"/>
        <item x="1428"/>
        <item x="1407"/>
        <item x="1785"/>
        <item x="1096"/>
        <item x="1399"/>
        <item x="1521"/>
        <item x="526"/>
        <item x="790"/>
        <item x="243"/>
        <item x="1018"/>
        <item x="1214"/>
        <item x="1692"/>
        <item x="578"/>
        <item x="1520"/>
        <item x="911"/>
        <item x="1338"/>
        <item x="462"/>
        <item x="1886"/>
        <item x="1326"/>
        <item x="1483"/>
        <item x="429"/>
        <item x="994"/>
        <item x="618"/>
        <item x="216"/>
        <item x="1565"/>
        <item x="69"/>
        <item x="710"/>
        <item x="582"/>
        <item x="585"/>
        <item x="736"/>
        <item x="1502"/>
        <item x="126"/>
        <item x="1142"/>
        <item x="469"/>
        <item x="938"/>
        <item x="797"/>
        <item x="456"/>
        <item x="315"/>
        <item x="1261"/>
        <item x="1035"/>
        <item x="270"/>
        <item x="891"/>
        <item x="1020"/>
        <item x="1706"/>
        <item x="517"/>
        <item x="917"/>
        <item x="1394"/>
        <item x="418"/>
        <item x="1076"/>
        <item x="1748"/>
        <item x="1539"/>
        <item x="1094"/>
        <item x="1182"/>
        <item x="109"/>
        <item x="265"/>
        <item x="803"/>
        <item x="1639"/>
        <item x="210"/>
        <item x="845"/>
        <item x="1526"/>
        <item x="1578"/>
        <item x="1807"/>
        <item x="637"/>
        <item x="1505"/>
        <item x="1163"/>
        <item x="468"/>
        <item x="1572"/>
        <item x="518"/>
        <item x="1108"/>
        <item x="674"/>
        <item x="1854"/>
        <item x="1051"/>
        <item x="1239"/>
        <item x="1924"/>
        <item x="1349"/>
        <item x="1811"/>
        <item x="982"/>
        <item x="844"/>
        <item x="1410"/>
        <item x="1086"/>
        <item x="1867"/>
        <item x="978"/>
        <item x="1564"/>
        <item x="796"/>
        <item x="921"/>
        <item x="1743"/>
        <item x="1405"/>
        <item x="408"/>
        <item x="1009"/>
        <item x="1485"/>
        <item x="320"/>
        <item x="100"/>
        <item x="1424"/>
        <item x="1894"/>
        <item x="564"/>
        <item x="1773"/>
        <item x="232"/>
        <item x="169"/>
        <item x="1285"/>
        <item x="1080"/>
        <item x="1661"/>
        <item x="123"/>
        <item x="1495"/>
        <item x="907"/>
        <item x="1700"/>
        <item x="483"/>
        <item x="931"/>
        <item x="1652"/>
        <item x="715"/>
        <item x="839"/>
        <item x="507"/>
        <item x="433"/>
        <item x="173"/>
        <item x="1098"/>
        <item x="1522"/>
        <item x="1397"/>
        <item x="6"/>
        <item x="1637"/>
        <item x="1270"/>
        <item x="1276"/>
        <item x="1549"/>
        <item x="10"/>
        <item x="599"/>
        <item x="889"/>
        <item x="153"/>
        <item x="661"/>
        <item x="266"/>
        <item x="950"/>
        <item x="1910"/>
        <item x="735"/>
        <item x="457"/>
        <item x="754"/>
        <item x="547"/>
        <item x="211"/>
        <item x="208"/>
        <item x="904"/>
        <item x="664"/>
        <item x="162"/>
        <item x="538"/>
        <item x="372"/>
        <item x="621"/>
        <item x="350"/>
        <item x="105"/>
        <item x="1114"/>
        <item x="14"/>
        <item x="102"/>
        <item x="114"/>
        <item x="11"/>
        <item x="103"/>
        <item x="148"/>
        <item x="1180"/>
        <item x="425"/>
        <item x="273"/>
        <item x="450"/>
        <item x="1798"/>
        <item x="412"/>
        <item x="442"/>
        <item x="357"/>
        <item x="567"/>
        <item x="934"/>
        <item x="1605"/>
        <item x="1117"/>
        <item x="431"/>
        <item x="1005"/>
        <item x="141"/>
        <item x="1654"/>
        <item x="1056"/>
        <item x="587"/>
        <item x="486"/>
        <item x="432"/>
        <item x="1586"/>
        <item x="1901"/>
        <item x="422"/>
        <item x="1566"/>
        <item x="197"/>
        <item x="380"/>
        <item x="417"/>
        <item x="958"/>
        <item x="693"/>
        <item x="1553"/>
        <item x="1111"/>
        <item x="504"/>
        <item x="640"/>
        <item x="1066"/>
        <item x="743"/>
        <item x="179"/>
        <item x="1608"/>
        <item x="768"/>
        <item x="571"/>
        <item x="630"/>
        <item x="759"/>
        <item x="782"/>
        <item x="639"/>
        <item x="609"/>
        <item x="667"/>
        <item x="1350"/>
        <item x="957"/>
        <item x="1097"/>
        <item x="1568"/>
        <item x="1527"/>
        <item x="247"/>
        <item x="1817"/>
        <item x="235"/>
        <item x="867"/>
        <item x="25"/>
        <item x="791"/>
        <item x="1895"/>
        <item x="83"/>
        <item x="1229"/>
        <item x="86"/>
        <item x="896"/>
        <item x="1879"/>
        <item x="44"/>
        <item x="1274"/>
        <item x="1713"/>
        <item x="340"/>
        <item x="435"/>
        <item x="317"/>
        <item x="448"/>
        <item x="1833"/>
        <item x="1872"/>
        <item x="1"/>
        <item x="28"/>
        <item x="35"/>
        <item x="374"/>
        <item x="16"/>
        <item x="1327"/>
        <item x="12"/>
        <item x="1734"/>
        <item x="1372"/>
        <item x="400"/>
        <item x="15"/>
        <item x="1481"/>
        <item x="63"/>
        <item x="90"/>
        <item x="70"/>
        <item x="39"/>
        <item x="65"/>
        <item x="84"/>
        <item x="351"/>
        <item x="174"/>
        <item x="298"/>
        <item x="228"/>
        <item x="206"/>
        <item x="154"/>
        <item x="721"/>
        <item x="1698"/>
        <item x="31"/>
        <item x="326"/>
        <item x="227"/>
        <item x="241"/>
        <item x="242"/>
        <item x="224"/>
        <item x="300"/>
        <item x="438"/>
        <item x="479"/>
        <item x="120"/>
        <item x="296"/>
        <item x="101"/>
        <item x="294"/>
        <item x="542"/>
        <item x="823"/>
        <item x="1784"/>
        <item x="1356"/>
        <item x="1421"/>
        <item x="1181"/>
        <item x="1123"/>
        <item x="647"/>
        <item x="135"/>
        <item x="207"/>
        <item x="1769"/>
        <item x="1876"/>
        <item x="1513"/>
        <item x="478"/>
        <item x="1528"/>
        <item x="1469"/>
        <item x="535"/>
        <item x="1462"/>
        <item x="1361"/>
        <item x="1243"/>
        <item x="1516"/>
        <item x="463"/>
        <item x="245"/>
        <item x="1413"/>
        <item x="1107"/>
        <item x="1511"/>
        <item x="611"/>
        <item x="1363"/>
        <item x="1169"/>
        <item x="1478"/>
        <item x="731"/>
        <item x="584"/>
        <item x="1916"/>
        <item x="1280"/>
        <item x="817"/>
        <item x="441"/>
        <item x="750"/>
        <item x="1493"/>
        <item x="825"/>
        <item x="490"/>
        <item x="1064"/>
        <item x="612"/>
        <item x="1602"/>
        <item x="1702"/>
        <item x="829"/>
        <item x="962"/>
        <item x="1029"/>
        <item x="1567"/>
        <item x="1789"/>
        <item x="1378"/>
        <item x="700"/>
        <item x="558"/>
        <item x="836"/>
        <item x="1217"/>
        <item x="1475"/>
        <item x="1052"/>
        <item x="656"/>
        <item x="480"/>
        <item x="201"/>
        <item x="1172"/>
        <item x="219"/>
        <item x="559"/>
        <item x="1084"/>
        <item x="1060"/>
        <item x="675"/>
        <item x="646"/>
        <item x="1806"/>
        <item x="1070"/>
        <item x="1373"/>
        <item x="1642"/>
        <item x="1367"/>
        <item x="1623"/>
        <item x="824"/>
        <item x="1846"/>
        <item x="588"/>
        <item x="969"/>
        <item x="1139"/>
        <item x="1232"/>
        <item x="809"/>
        <item x="1747"/>
        <item x="1838"/>
        <item x="601"/>
        <item x="1626"/>
        <item x="1429"/>
        <item x="1258"/>
        <item x="1379"/>
        <item x="628"/>
        <item x="289"/>
        <item x="1499"/>
        <item x="1289"/>
        <item x="150"/>
        <item x="491"/>
        <item x="1751"/>
        <item x="371"/>
        <item x="1301"/>
        <item x="1048"/>
        <item x="1719"/>
        <item x="895"/>
        <item x="1353"/>
        <item x="113"/>
        <item x="1464"/>
        <item x="377"/>
        <item x="1161"/>
        <item x="461"/>
        <item x="1157"/>
        <item x="520"/>
        <item x="312"/>
        <item x="1089"/>
        <item x="1170"/>
        <item x="860"/>
        <item x="1252"/>
        <item x="1812"/>
        <item x="652"/>
        <item x="500"/>
        <item x="156"/>
        <item x="1827"/>
        <item x="1613"/>
        <item x="1796"/>
        <item x="1131"/>
        <item x="968"/>
        <item x="761"/>
        <item x="363"/>
        <item x="1334"/>
        <item x="927"/>
        <item x="899"/>
        <item x="1712"/>
        <item x="1982"/>
        <item x="1664"/>
        <item x="464"/>
        <item x="1055"/>
        <item x="1708"/>
        <item x="1529"/>
        <item x="1579"/>
        <item x="1907"/>
        <item x="1752"/>
        <item x="1760"/>
        <item x="1354"/>
        <item x="1309"/>
        <item x="131"/>
        <item x="1843"/>
        <item x="1912"/>
        <item x="53"/>
        <item x="305"/>
        <item x="314"/>
        <item x="1864"/>
        <item x="428"/>
        <item x="1541"/>
        <item x="1023"/>
        <item x="989"/>
        <item x="1058"/>
        <item x="181"/>
        <item x="77"/>
        <item x="1216"/>
        <item x="163"/>
        <item x="1923"/>
        <item x="1625"/>
        <item x="1687"/>
        <item x="1099"/>
        <item x="813"/>
        <item x="484"/>
        <item x="1882"/>
        <item x="1735"/>
        <item x="1888"/>
        <item x="387"/>
        <item x="783"/>
        <item x="1415"/>
        <item x="1316"/>
        <item x="440"/>
        <item x="948"/>
        <item x="1863"/>
        <item x="1042"/>
        <item x="1718"/>
        <item x="121"/>
        <item x="1433"/>
        <item x="369"/>
        <item x="1092"/>
        <item x="690"/>
        <item x="1855"/>
        <item x="1504"/>
        <item x="1125"/>
        <item x="1555"/>
        <item x="1849"/>
        <item x="1824"/>
        <item x="397"/>
        <item x="648"/>
        <item x="1468"/>
        <item x="81"/>
        <item x="1583"/>
        <item x="1768"/>
        <item x="1595"/>
        <item x="1272"/>
        <item x="2023"/>
        <item x="998"/>
        <item x="502"/>
        <item x="2024"/>
        <item x="2018"/>
        <item x="1275"/>
        <item x="729"/>
        <item x="537"/>
        <item x="1293"/>
        <item x="1389"/>
        <item x="1722"/>
        <item x="1166"/>
        <item x="925"/>
        <item x="240"/>
        <item x="1156"/>
        <item x="1627"/>
        <item x="1240"/>
        <item x="1793"/>
        <item x="943"/>
        <item x="1227"/>
        <item x="1305"/>
        <item x="1954"/>
        <item x="1153"/>
        <item x="1104"/>
        <item x="1577"/>
        <item x="1208"/>
        <item x="426"/>
        <item x="1728"/>
        <item x="1488"/>
        <item x="1534"/>
        <item x="1852"/>
        <item x="831"/>
        <item x="1759"/>
        <item x="863"/>
        <item x="226"/>
        <item x="477"/>
        <item x="1370"/>
        <item x="437"/>
        <item x="339"/>
        <item x="651"/>
        <item x="697"/>
        <item x="941"/>
        <item x="383"/>
        <item x="413"/>
        <item x="1920"/>
        <item x="1741"/>
        <item x="1757"/>
        <item x="389"/>
        <item x="1889"/>
        <item x="1177"/>
        <item x="1648"/>
        <item x="1765"/>
        <item x="1680"/>
        <item x="97"/>
        <item x="1199"/>
        <item x="632"/>
        <item x="248"/>
        <item x="1825"/>
        <item x="1776"/>
        <item x="274"/>
        <item x="802"/>
        <item x="680"/>
        <item x="178"/>
        <item x="513"/>
        <item x="473"/>
        <item x="1935"/>
        <item x="964"/>
        <item x="1762"/>
        <item x="807"/>
        <item x="451"/>
        <item x="859"/>
        <item x="1667"/>
        <item x="724"/>
        <item x="1476"/>
        <item x="1710"/>
        <item x="1472"/>
        <item x="775"/>
        <item x="1306"/>
        <item x="787"/>
        <item x="827"/>
        <item x="159"/>
        <item x="1934"/>
        <item x="706"/>
        <item x="986"/>
        <item x="741"/>
        <item x="1533"/>
        <item x="913"/>
        <item x="835"/>
        <item x="1179"/>
        <item x="1324"/>
        <item x="236"/>
        <item x="368"/>
        <item x="758"/>
        <item x="563"/>
        <item x="318"/>
        <item x="353"/>
        <item x="1955"/>
        <item x="1781"/>
        <item x="386"/>
        <item x="939"/>
        <item x="928"/>
        <item x="1004"/>
        <item x="485"/>
        <item x="1690"/>
        <item x="1644"/>
        <item x="772"/>
        <item x="1640"/>
        <item x="659"/>
        <item x="278"/>
        <item x="370"/>
        <item x="494"/>
        <item x="769"/>
        <item x="1440"/>
        <item x="935"/>
        <item x="1264"/>
        <item x="666"/>
        <item x="752"/>
        <item x="552"/>
        <item x="654"/>
        <item x="795"/>
        <item x="880"/>
        <item x="718"/>
        <item x="313"/>
        <item x="1550"/>
        <item x="1704"/>
        <item x="901"/>
        <item x="1727"/>
        <item x="984"/>
        <item x="762"/>
        <item x="780"/>
        <item x="470"/>
        <item x="805"/>
        <item x="1078"/>
        <item x="493"/>
        <item x="619"/>
        <item x="861"/>
        <item x="1271"/>
        <item x="146"/>
        <item x="287"/>
        <item x="742"/>
        <item x="668"/>
        <item x="446"/>
        <item x="1201"/>
        <item x="1234"/>
        <item x="956"/>
        <item x="1218"/>
        <item x="605"/>
        <item x="976"/>
        <item x="1821"/>
        <item x="1450"/>
        <item x="1799"/>
        <item x="568"/>
        <item x="1371"/>
        <item x="1814"/>
        <item x="1699"/>
        <item x="1737"/>
        <item x="709"/>
        <item x="997"/>
        <item x="1396"/>
        <item x="1100"/>
        <item x="1756"/>
        <item x="1675"/>
        <item x="1721"/>
        <item x="460"/>
        <item x="1716"/>
        <item x="695"/>
        <item x="1000"/>
        <item x="1515"/>
        <item x="1607"/>
        <item x="1561"/>
        <item x="1701"/>
        <item x="707"/>
        <item x="2025"/>
        <item x="909"/>
        <item x="1660"/>
        <item x="1203"/>
        <item x="692"/>
        <item x="665"/>
        <item x="877"/>
        <item x="276"/>
        <item x="591"/>
        <item x="467"/>
        <item x="1233"/>
        <item x="1075"/>
        <item x="1448"/>
        <item x="474"/>
        <item x="963"/>
        <item x="443"/>
        <item x="842"/>
        <item x="364"/>
        <item x="323"/>
        <item x="865"/>
        <item x="1420"/>
        <item x="1211"/>
        <item x="903"/>
        <item x="1031"/>
        <item x="1489"/>
        <item x="897"/>
        <item x="936"/>
        <item x="1474"/>
        <item x="1022"/>
        <item x="255"/>
        <item x="1820"/>
        <item x="1041"/>
        <item x="589"/>
        <item x="301"/>
        <item x="1392"/>
        <item x="1456"/>
        <item x="420"/>
        <item x="1069"/>
        <item x="753"/>
        <item x="2019"/>
        <item x="748"/>
        <item x="1443"/>
        <item x="892"/>
        <item x="2026"/>
        <item x="849"/>
        <item x="1088"/>
        <item x="1546"/>
        <item x="1540"/>
        <item x="1072"/>
        <item x="1569"/>
        <item x="1507"/>
        <item x="345"/>
        <item x="643"/>
        <item x="1850"/>
        <item x="1645"/>
        <item x="4"/>
        <item x="1913"/>
        <item x="623"/>
        <item x="388"/>
        <item x="198"/>
        <item x="914"/>
        <item x="930"/>
        <item x="1498"/>
        <item x="1548"/>
        <item x="1375"/>
        <item x="1497"/>
        <item x="205"/>
        <item x="1707"/>
        <item x="1665"/>
        <item x="1731"/>
        <item x="1795"/>
        <item x="840"/>
        <item x="47"/>
        <item x="1346"/>
        <item x="394"/>
        <item x="755"/>
        <item x="455"/>
        <item x="789"/>
        <item x="1207"/>
        <item x="1189"/>
        <item x="138"/>
        <item x="1192"/>
        <item x="1391"/>
        <item x="1197"/>
        <item x="1330"/>
        <item x="1329"/>
        <item x="1682"/>
        <item x="932"/>
        <item x="946"/>
        <item x="592"/>
        <item x="472"/>
        <item x="1364"/>
        <item x="1380"/>
        <item x="104"/>
        <item x="1449"/>
        <item x="203"/>
        <item x="1947"/>
        <item x="1426"/>
        <item x="1960"/>
        <item x="348"/>
        <item x="1352"/>
        <item x="403"/>
        <item x="1686"/>
        <item x="1366"/>
        <item x="1899"/>
        <item x="1003"/>
        <item x="1033"/>
        <item x="1436"/>
        <item x="1991"/>
        <item x="366"/>
        <item x="940"/>
        <item x="834"/>
        <item x="1221"/>
        <item x="1451"/>
        <item x="1247"/>
        <item x="655"/>
        <item x="843"/>
        <item x="561"/>
        <item x="553"/>
        <item x="1466"/>
        <item x="1618"/>
        <item x="546"/>
        <item x="1570"/>
        <item x="1357"/>
        <item x="1508"/>
        <item x="1693"/>
        <item x="1358"/>
        <item x="1460"/>
        <item x="947"/>
        <item x="1484"/>
        <item x="1255"/>
        <item x="288"/>
        <item x="702"/>
        <item x="1739"/>
        <item x="1836"/>
        <item x="283"/>
        <item x="1480"/>
        <item x="1992"/>
        <item x="1237"/>
        <item x="1393"/>
        <item x="642"/>
        <item x="225"/>
        <item x="220"/>
        <item x="32"/>
        <item x="1767"/>
        <item x="1694"/>
        <item x="346"/>
        <item x="1454"/>
        <item x="749"/>
        <item x="576"/>
        <item x="1845"/>
        <item x="1102"/>
        <item x="1194"/>
        <item x="1535"/>
        <item x="475"/>
        <item x="625"/>
        <item x="367"/>
        <item x="2011"/>
        <item x="292"/>
        <item x="268"/>
        <item x="1314"/>
        <item x="466"/>
        <item x="1993"/>
        <item x="606"/>
        <item x="1994"/>
        <item x="644"/>
        <item x="544"/>
        <item x="409"/>
        <item x="924"/>
        <item x="424"/>
        <item x="239"/>
        <item x="746"/>
        <item x="949"/>
        <item x="701"/>
        <item x="2012"/>
        <item x="1668"/>
        <item x="719"/>
        <item x="1714"/>
        <item x="2013"/>
        <item x="874"/>
        <item x="1961"/>
        <item x="1995"/>
        <item x="1304"/>
        <item x="61"/>
        <item x="48"/>
        <item x="200"/>
        <item x="33"/>
        <item x="92"/>
        <item x="38"/>
        <item x="60"/>
        <item x="127"/>
        <item x="259"/>
        <item x="94"/>
        <item x="89"/>
        <item x="30"/>
        <item x="776"/>
        <item x="1106"/>
        <item x="66"/>
        <item x="2014"/>
        <item x="1563"/>
        <item x="1071"/>
        <item x="540"/>
        <item x="1738"/>
        <item x="407"/>
        <item x="349"/>
        <item x="1963"/>
        <item x="1996"/>
        <item x="2020"/>
        <item x="524"/>
        <item x="51"/>
        <item x="390"/>
        <item x="1981"/>
        <item x="1132"/>
        <item x="1416"/>
        <item x="636"/>
        <item x="1445"/>
        <item x="1231"/>
        <item x="933"/>
        <item x="739"/>
        <item x="2027"/>
        <item x="713"/>
        <item x="1861"/>
        <item x="1918"/>
        <item x="1236"/>
        <item x="1997"/>
        <item x="381"/>
        <item x="465"/>
        <item x="1873"/>
        <item x="1222"/>
        <item x="1896"/>
        <item x="841"/>
        <item x="714"/>
        <item x="1414"/>
        <item x="890"/>
        <item x="1299"/>
        <item x="1143"/>
        <item x="550"/>
        <item x="1998"/>
        <item x="1914"/>
        <item x="158"/>
        <item x="1749"/>
        <item x="732"/>
        <item x="987"/>
        <item x="295"/>
        <item x="260"/>
        <item x="184"/>
        <item x="1422"/>
        <item x="1964"/>
        <item x="1948"/>
        <item x="1646"/>
        <item x="112"/>
        <item x="1259"/>
        <item x="1321"/>
        <item x="603"/>
        <item x="1629"/>
        <item x="382"/>
        <item x="773"/>
        <item x="638"/>
        <item x="454"/>
        <item x="1999"/>
        <item x="705"/>
        <item x="439"/>
        <item x="566"/>
        <item x="685"/>
        <item x="1339"/>
        <item x="1754"/>
        <item x="168"/>
        <item x="1195"/>
        <item x="918"/>
        <item x="99"/>
        <item x="1430"/>
        <item x="1491"/>
        <item x="1224"/>
        <item x="1175"/>
        <item x="565"/>
        <item x="819"/>
        <item x="1188"/>
        <item x="74"/>
        <item x="140"/>
        <item x="613"/>
        <item x="528"/>
        <item x="434"/>
        <item x="344"/>
        <item x="218"/>
        <item x="202"/>
        <item x="75"/>
        <item x="96"/>
        <item x="164"/>
        <item x="1039"/>
        <item x="1383"/>
        <item x="1885"/>
        <item x="1385"/>
        <item x="1766"/>
        <item x="180"/>
        <item x="144"/>
        <item x="1490"/>
        <item x="916"/>
        <item x="1183"/>
        <item x="1268"/>
        <item x="850"/>
        <item x="1942"/>
        <item x="223"/>
        <item x="1943"/>
        <item x="614"/>
        <item x="1944"/>
        <item x="1972"/>
        <item x="1945"/>
        <item x="1641"/>
        <item x="0"/>
        <item x="981"/>
        <item x="151"/>
        <item x="71"/>
        <item x="72"/>
        <item x="337"/>
        <item x="980"/>
        <item x="1496"/>
        <item x="1969"/>
        <item x="607"/>
        <item x="2000"/>
        <item x="1965"/>
        <item x="327"/>
        <item x="2001"/>
        <item x="1486"/>
        <item x="2028"/>
        <item x="1260"/>
        <item x="991"/>
        <item x="626"/>
        <item x="1927"/>
        <item x="1753"/>
        <item x="1695"/>
        <item x="1928"/>
        <item x="1283"/>
        <item x="1929"/>
        <item x="1688"/>
        <item x="1562"/>
        <item x="1917"/>
        <item x="185"/>
        <item x="199"/>
        <item x="864"/>
        <item x="1805"/>
        <item x="1388"/>
        <item x="1294"/>
        <item x="631"/>
        <item x="1542"/>
        <item x="2002"/>
        <item x="1044"/>
        <item x="1925"/>
        <item x="1926"/>
        <item x="267"/>
        <item x="726"/>
        <item x="291"/>
        <item x="1930"/>
        <item x="951"/>
        <item x="629"/>
        <item x="234"/>
        <item x="1049"/>
        <item x="1423"/>
        <item x="1409"/>
        <item x="1152"/>
        <item x="1238"/>
        <item x="1932"/>
        <item x="608"/>
        <item x="1303"/>
        <item x="304"/>
        <item x="1903"/>
        <item x="1904"/>
        <item x="499"/>
        <item x="663"/>
        <item x="1137"/>
        <item x="1931"/>
        <item x="545"/>
        <item x="1859"/>
        <item x="519"/>
        <item x="708"/>
        <item x="912"/>
        <item x="1501"/>
        <item x="309"/>
        <item x="806"/>
        <item x="1439"/>
        <item x="1953"/>
        <item x="1628"/>
        <item x="908"/>
        <item x="1215"/>
        <item x="1054"/>
        <item x="854"/>
        <item x="1134"/>
        <item x="1162"/>
        <item x="1185"/>
        <item x="573"/>
        <item x="1970"/>
        <item x="1856"/>
        <item x="1127"/>
        <item x="1620"/>
        <item x="1359"/>
        <item x="1545"/>
        <item x="1453"/>
        <item x="793"/>
        <item x="1073"/>
        <item x="683"/>
        <item x="1431"/>
        <item x="2015"/>
        <item x="1853"/>
        <item x="604"/>
        <item x="1318"/>
        <item x="1250"/>
        <item x="1332"/>
        <item x="1877"/>
        <item x="1381"/>
        <item x="1956"/>
        <item x="2003"/>
        <item x="1915"/>
        <item x="1257"/>
        <item x="1966"/>
        <item x="728"/>
        <item x="1408"/>
        <item x="1024"/>
        <item x="1343"/>
        <item x="2004"/>
        <item x="645"/>
        <item x="993"/>
        <item x="1230"/>
        <item x="1494"/>
        <item x="662"/>
        <item x="1376"/>
        <item x="1254"/>
        <item x="1967"/>
        <item x="937"/>
        <item x="1452"/>
        <item x="1290"/>
        <item x="1119"/>
        <item x="1973"/>
        <item x="1957"/>
        <item x="2005"/>
        <item x="359"/>
        <item x="2006"/>
        <item x="487"/>
        <item x="269"/>
        <item x="1968"/>
        <item x="1382"/>
        <item x="2007"/>
        <item x="1145"/>
        <item x="1834"/>
        <item x="1630"/>
        <item x="303"/>
        <item x="857"/>
        <item x="1345"/>
        <item x="40"/>
        <item x="244"/>
        <item x="215"/>
        <item x="703"/>
        <item x="1815"/>
        <item x="533"/>
        <item x="1941"/>
        <item x="1087"/>
        <item x="1435"/>
        <item x="1547"/>
        <item x="2016"/>
        <item x="2008"/>
        <item x="2009"/>
        <item x="2010"/>
        <item x="785"/>
        <item x="1437"/>
        <item x="189"/>
        <item x="24"/>
        <item x="1893"/>
        <item x="68"/>
        <item x="42"/>
        <item x="1666"/>
        <item x="1911"/>
        <item x="1594"/>
        <item x="132"/>
        <item x="128"/>
        <item x="124"/>
        <item x="1874"/>
        <item x="5"/>
        <item x="1067"/>
        <item x="1115"/>
        <item x="27"/>
        <item x="85"/>
        <item x="1865"/>
        <item x="1212"/>
        <item x="902"/>
        <item x="821"/>
        <item x="1204"/>
        <item x="816"/>
        <item x="556"/>
        <item x="49"/>
        <item x="20"/>
        <item x="57"/>
        <item x="1617"/>
        <item x="580"/>
        <item x="13"/>
        <item x="188"/>
        <item x="534"/>
        <item x="280"/>
        <item x="343"/>
        <item x="1678"/>
        <item x="166"/>
        <item x="712"/>
        <item x="59"/>
        <item x="1246"/>
        <item x="1801"/>
        <item x="527"/>
        <item x="1658"/>
        <item x="21"/>
        <item x="170"/>
        <item x="1742"/>
        <item x="19"/>
        <item x="58"/>
        <item x="230"/>
        <item x="116"/>
        <item x="122"/>
        <item x="3"/>
        <item x="118"/>
        <item x="238"/>
        <item x="88"/>
        <item x="699"/>
        <item x="191"/>
        <item x="142"/>
        <item x="1077"/>
        <item x="1883"/>
        <item x="152"/>
        <item x="1933"/>
        <item x="658"/>
        <item x="214"/>
        <item x="1691"/>
        <item x="1622"/>
        <item x="855"/>
        <item x="95"/>
        <item x="43"/>
        <item x="360"/>
        <item x="2"/>
        <item x="1919"/>
        <item x="7"/>
        <item x="510"/>
        <item x="134"/>
        <item x="332"/>
        <item x="9"/>
        <item x="579"/>
        <item x="41"/>
        <item x="1938"/>
        <item x="8"/>
        <item x="62"/>
        <item x="18"/>
        <item x="26"/>
        <item x="209"/>
        <item x="1253"/>
        <item x="1219"/>
        <item x="1242"/>
        <item x="1251"/>
        <item x="1130"/>
        <item x="1320"/>
        <item x="419"/>
        <item x="689"/>
        <item x="1800"/>
        <item x="870"/>
        <item x="1590"/>
        <item x="1046"/>
        <item x="1775"/>
        <item x="1787"/>
        <item x="1653"/>
        <item x="1317"/>
        <item x="1788"/>
        <item x="1295"/>
        <item x="682"/>
        <item x="1136"/>
        <item x="1878"/>
        <item x="1006"/>
        <item x="1300"/>
        <item x="955"/>
        <item x="1764"/>
        <item x="379"/>
        <item x="1477"/>
        <item x="149"/>
        <item x="1621"/>
        <item x="1611"/>
        <item x="1745"/>
        <item x="1717"/>
        <item x="1095"/>
        <item x="1810"/>
        <item x="1681"/>
        <item x="1813"/>
        <item x="1402"/>
        <item x="1875"/>
        <item x="1755"/>
        <item x="1870"/>
        <item x="1857"/>
        <item x="1573"/>
        <item x="1601"/>
        <item x="883"/>
        <item x="264"/>
        <item x="530"/>
        <item x="975"/>
        <item x="771"/>
        <item x="1138"/>
        <item x="1419"/>
        <item x="1599"/>
        <item x="107"/>
        <item x="80"/>
        <item x="34"/>
        <item x="23"/>
        <item x="250"/>
        <item x="55"/>
        <item x="22"/>
        <item x="64"/>
        <item x="137"/>
        <item x="808"/>
        <item x="73"/>
        <item x="29"/>
        <item x="50"/>
        <item x="272"/>
        <item x="679"/>
        <item x="338"/>
        <item x="430"/>
        <item x="767"/>
        <item x="506"/>
        <item x="186"/>
        <item x="922"/>
        <item x="779"/>
        <item x="1530"/>
        <item x="1979"/>
        <item x="1168"/>
        <item x="1523"/>
        <item x="577"/>
        <item x="331"/>
        <item x="1506"/>
        <item x="1411"/>
        <item x="375"/>
        <item x="862"/>
        <item x="193"/>
        <item x="522"/>
        <item x="672"/>
        <item x="194"/>
        <item x="1685"/>
        <item x="1720"/>
        <item x="1649"/>
        <item x="1109"/>
        <item x="452"/>
        <item x="1763"/>
        <item x="1819"/>
        <item x="1028"/>
        <item x="617"/>
        <item x="1267"/>
        <item x="398"/>
        <item x="1284"/>
        <item x="1173"/>
        <item x="1624"/>
        <item x="548"/>
        <item x="1571"/>
        <item x="1471"/>
        <item x="1580"/>
        <item x="868"/>
        <item x="1417"/>
        <item x="1676"/>
        <item x="1847"/>
        <item x="1962"/>
        <item x="1610"/>
        <item x="1783"/>
        <item x="1235"/>
      </items>
    </pivotField>
  </pivotFields>
  <rowFields count="7">
    <field x="6"/>
    <field x="2"/>
    <field x="0"/>
    <field x="1"/>
    <field x="5"/>
    <field x="4"/>
    <field x="7"/>
  </rowFields>
  <rowItems count="2030">
    <i>
      <x/>
      <x v="1710"/>
      <x v="41"/>
      <x v="1757"/>
      <x v="97"/>
      <x v="1310"/>
      <x v="1760"/>
    </i>
    <i>
      <x v="1"/>
      <x v="884"/>
      <x v="91"/>
      <x v="606"/>
      <x v="37"/>
      <x v="688"/>
      <x v="1264"/>
    </i>
    <i>
      <x v="2"/>
      <x v="1065"/>
      <x v="146"/>
      <x v="1798"/>
      <x v="77"/>
      <x v="886"/>
    </i>
    <i>
      <x v="3"/>
      <x v="1275"/>
      <x v="91"/>
      <x v="639"/>
      <x v="58"/>
      <x v="277"/>
      <x v="50"/>
    </i>
    <i r="1">
      <x v="1596"/>
      <x v="20"/>
      <x v="1104"/>
      <x v="57"/>
      <x v="278"/>
      <x v="25"/>
    </i>
    <i>
      <x v="4"/>
      <x v="1138"/>
      <x v="20"/>
      <x v="1002"/>
      <x v="47"/>
      <x v="1149"/>
      <x v="358"/>
    </i>
    <i>
      <x v="5"/>
      <x v="1474"/>
      <x v="52"/>
      <x v="106"/>
      <x v="96"/>
      <x v="673"/>
      <x v="242"/>
    </i>
    <i>
      <x v="6"/>
      <x v="240"/>
      <x v="20"/>
      <x v="1001"/>
      <x v="48"/>
      <x v="628"/>
      <x v="26"/>
    </i>
    <i>
      <x v="7"/>
      <x v="169"/>
      <x v="20"/>
      <x v="1103"/>
      <x v="68"/>
      <x v="656"/>
      <x v="4"/>
    </i>
    <i r="1">
      <x v="1250"/>
      <x v="58"/>
      <x v="524"/>
      <x v="18"/>
      <x v="692"/>
      <x v="609"/>
    </i>
    <i r="1">
      <x v="1645"/>
      <x v="67"/>
      <x v="1633"/>
      <x v="76"/>
      <x v="1202"/>
      <x v="15"/>
    </i>
    <i>
      <x v="8"/>
      <x v="289"/>
      <x v="20"/>
      <x v="1105"/>
      <x v="49"/>
      <x v="468"/>
      <x v="494"/>
    </i>
    <i r="1">
      <x v="1304"/>
      <x v="58"/>
      <x v="525"/>
      <x v="8"/>
      <x v="501"/>
      <x v="608"/>
    </i>
    <i>
      <x v="9"/>
      <x v="974"/>
      <x v="20"/>
      <x v="1106"/>
      <x v="49"/>
      <x v="954"/>
      <x v="511"/>
    </i>
    <i>
      <x v="10"/>
      <x v="1247"/>
      <x v="20"/>
      <x v="1107"/>
      <x v="49"/>
      <x v="1002"/>
      <x v="506"/>
    </i>
    <i>
      <x v="11"/>
      <x v="908"/>
      <x v="20"/>
      <x v="1109"/>
      <x v="57"/>
      <x v="680"/>
      <x v="525"/>
    </i>
    <i r="1">
      <x v="1249"/>
      <x v="146"/>
      <x v="1802"/>
      <x v="61"/>
      <x v="732"/>
      <x v="156"/>
    </i>
    <i>
      <x v="12"/>
      <x v="160"/>
      <x v="20"/>
      <x v="1108"/>
      <x v="57"/>
      <x v="1255"/>
      <x v="524"/>
    </i>
    <i r="1">
      <x v="613"/>
      <x v="58"/>
      <x v="526"/>
      <x v="18"/>
      <x v="1238"/>
      <x v="610"/>
    </i>
    <i r="1">
      <x v="1488"/>
      <x v="56"/>
      <x v="381"/>
      <x v="78"/>
      <x v="1079"/>
      <x v="543"/>
    </i>
    <i>
      <x v="13"/>
      <x v="136"/>
      <x v="82"/>
      <x v="1284"/>
      <x v="18"/>
      <x v="773"/>
      <x v="95"/>
    </i>
    <i r="1">
      <x v="180"/>
      <x v="20"/>
      <x v="1111"/>
      <x v="49"/>
      <x v="739"/>
      <x v="495"/>
    </i>
    <i r="1">
      <x v="1241"/>
      <x v="58"/>
      <x v="527"/>
      <x v="8"/>
      <x v="853"/>
      <x v="611"/>
    </i>
    <i r="1">
      <x v="1403"/>
      <x v="20"/>
      <x v="1024"/>
      <x v="51"/>
      <x v="880"/>
      <x v="810"/>
    </i>
    <i>
      <x v="14"/>
      <x v="483"/>
      <x v="20"/>
      <x v="1112"/>
      <x v="57"/>
      <x v="1290"/>
      <x v="384"/>
    </i>
    <i>
      <x v="15"/>
      <x v="145"/>
      <x v="20"/>
      <x v="1004"/>
      <x v="72"/>
      <x v="451"/>
      <x v="713"/>
    </i>
    <i r="1">
      <x v="1218"/>
      <x v="146"/>
      <x v="1804"/>
      <x v="63"/>
      <x v="492"/>
      <x v="224"/>
    </i>
    <i r="1">
      <x v="1546"/>
      <x v="102"/>
      <x v="1414"/>
      <x v="68"/>
      <x v="784"/>
      <x v="23"/>
    </i>
    <i>
      <x v="16"/>
      <x v="1027"/>
      <x v="20"/>
      <x v="1115"/>
      <x v="57"/>
      <x v="647"/>
      <x v="386"/>
    </i>
    <i r="1">
      <x v="1198"/>
      <x v="44"/>
      <x v="2003"/>
      <x v="63"/>
      <x v="929"/>
      <x v="60"/>
    </i>
    <i>
      <x v="17"/>
      <x v="132"/>
      <x v="20"/>
      <x v="1114"/>
      <x v="57"/>
      <x v="332"/>
      <x v="1145"/>
    </i>
    <i r="1">
      <x v="202"/>
      <x v="44"/>
      <x v="2002"/>
      <x v="63"/>
      <x v="843"/>
      <x v="59"/>
    </i>
    <i r="1">
      <x v="281"/>
      <x v="126"/>
      <x v="1693"/>
      <x v="57"/>
      <x v="384"/>
      <x v="784"/>
    </i>
    <i r="1">
      <x v="315"/>
      <x v="158"/>
      <x v="1948"/>
      <x v="30"/>
      <x v="275"/>
      <x v="249"/>
    </i>
    <i r="1">
      <x v="336"/>
      <x v="20"/>
      <x v="1113"/>
      <x v="58"/>
      <x v="795"/>
      <x v="225"/>
    </i>
    <i r="1">
      <x v="406"/>
      <x v="29"/>
      <x v="1314"/>
      <x v="58"/>
      <x v="835"/>
      <x v="1064"/>
    </i>
    <i r="1">
      <x v="696"/>
      <x v="78"/>
      <x v="877"/>
      <x v="67"/>
      <x v="83"/>
      <x v="1303"/>
    </i>
    <i r="1">
      <x v="748"/>
      <x v="29"/>
      <x v="1326"/>
      <x v="77"/>
      <x v="322"/>
      <x v="1079"/>
    </i>
    <i r="1">
      <x v="865"/>
      <x v="58"/>
      <x v="528"/>
      <x v="18"/>
      <x v="375"/>
      <x v="612"/>
    </i>
    <i r="1">
      <x v="965"/>
      <x v="29"/>
      <x v="1330"/>
      <x v="86"/>
      <x v="611"/>
      <x v="1102"/>
    </i>
    <i r="1">
      <x v="1110"/>
      <x v="111"/>
      <x v="1572"/>
      <x v="78"/>
      <x v="750"/>
      <x v="1453"/>
    </i>
    <i r="1">
      <x v="1374"/>
      <x v="29"/>
      <x v="1325"/>
      <x v="47"/>
      <x v="464"/>
      <x v="1061"/>
    </i>
    <i r="1">
      <x v="1464"/>
      <x v="44"/>
      <x v="2006"/>
      <x v="48"/>
      <x v="430"/>
      <x v="220"/>
    </i>
    <i r="1">
      <x v="1511"/>
      <x v="29"/>
      <x v="1318"/>
      <x v="68"/>
      <x v="1204"/>
      <x v="1078"/>
    </i>
    <i r="1">
      <x v="1520"/>
      <x v="56"/>
      <x v="384"/>
      <x v="78"/>
      <x v="672"/>
      <x v="544"/>
    </i>
    <i r="1">
      <x v="1528"/>
      <x v="29"/>
      <x v="1327"/>
      <x v="57"/>
      <x v="351"/>
      <x v="1076"/>
    </i>
    <i r="1">
      <x v="1540"/>
      <x v="44"/>
      <x v="2009"/>
      <x v="58"/>
      <x v="738"/>
      <x v="61"/>
    </i>
    <i r="1">
      <x v="1668"/>
      <x v="91"/>
      <x v="614"/>
      <x v="73"/>
      <x v="338"/>
      <x v="1073"/>
    </i>
    <i>
      <x v="18"/>
      <x v="1310"/>
      <x v="146"/>
      <x v="1803"/>
      <x v="58"/>
      <x v="484"/>
      <x v="748"/>
    </i>
    <i>
      <x v="19"/>
      <x v="1665"/>
      <x v="91"/>
      <x v="613"/>
      <x v="65"/>
      <x v="218"/>
      <x v="195"/>
    </i>
    <i>
      <x v="20"/>
      <x v="1591"/>
      <x v="29"/>
      <x v="1323"/>
      <x v="67"/>
      <x v="267"/>
      <x v="1103"/>
    </i>
    <i>
      <x v="21"/>
      <x v="1702"/>
      <x v="29"/>
      <x v="1315"/>
      <x v="68"/>
      <x v="262"/>
      <x v="1080"/>
    </i>
    <i>
      <x v="22"/>
      <x v="1492"/>
      <x v="91"/>
      <x v="640"/>
      <x v="63"/>
      <x v="362"/>
      <x v="197"/>
    </i>
    <i>
      <x v="23"/>
      <x v="1086"/>
      <x v="29"/>
      <x v="1317"/>
      <x v="67"/>
      <x v="906"/>
      <x v="1066"/>
    </i>
    <i>
      <x v="24"/>
      <x v="526"/>
      <x v="91"/>
      <x v="641"/>
      <x v="63"/>
      <x v="206"/>
      <x v="203"/>
    </i>
    <i>
      <x v="25"/>
      <x v="1478"/>
      <x v="91"/>
      <x v="642"/>
      <x v="63"/>
      <x v="949"/>
      <x v="205"/>
    </i>
    <i>
      <x v="26"/>
      <x v="1493"/>
      <x v="91"/>
      <x v="643"/>
      <x v="64"/>
      <x v="907"/>
      <x v="198"/>
    </i>
    <i>
      <x v="27"/>
      <x v="930"/>
      <x v="91"/>
      <x v="644"/>
      <x v="63"/>
      <x v="1205"/>
      <x v="207"/>
    </i>
    <i>
      <x v="28"/>
      <x v="818"/>
      <x v="29"/>
      <x v="1324"/>
      <x v="63"/>
      <x v="236"/>
      <x v="1104"/>
    </i>
    <i r="1">
      <x v="1466"/>
      <x v="91"/>
      <x v="645"/>
      <x v="63"/>
      <x v="159"/>
      <x v="199"/>
    </i>
    <i>
      <x v="29"/>
      <x v="1256"/>
      <x v="91"/>
      <x v="646"/>
      <x v="64"/>
      <x v="901"/>
      <x v="200"/>
    </i>
    <i>
      <x v="30"/>
      <x v="285"/>
      <x v="78"/>
      <x v="833"/>
      <x v="68"/>
      <x v="240"/>
      <x v="228"/>
    </i>
    <i r="1">
      <x v="1253"/>
      <x v="91"/>
      <x v="647"/>
      <x v="63"/>
      <x v="348"/>
      <x v="201"/>
    </i>
    <i r="1">
      <x v="1274"/>
      <x v="29"/>
      <x v="1316"/>
      <x v="63"/>
      <x v="1039"/>
      <x v="1077"/>
    </i>
    <i>
      <x v="31"/>
      <x v="114"/>
      <x v="29"/>
      <x v="1319"/>
      <x v="74"/>
      <x v="105"/>
      <x v="1106"/>
    </i>
    <i>
      <x v="32"/>
      <x v="1487"/>
      <x v="91"/>
      <x v="648"/>
      <x v="64"/>
      <x v="393"/>
      <x v="202"/>
    </i>
    <i>
      <x v="33"/>
      <x v="1540"/>
      <x v="52"/>
      <x v="1343"/>
      <x v="77"/>
      <x v="153"/>
      <x v="208"/>
    </i>
    <i>
      <x v="34"/>
      <x v="1578"/>
      <x v="91"/>
      <x v="649"/>
      <x v="64"/>
      <x v="560"/>
      <x v="204"/>
    </i>
    <i>
      <x v="35"/>
      <x v="1715"/>
      <x v="91"/>
      <x v="650"/>
      <x v="64"/>
      <x v="1115"/>
      <x v="206"/>
    </i>
    <i>
      <x v="36"/>
      <x v="1172"/>
      <x v="91"/>
      <x v="651"/>
      <x v="60"/>
      <x v="1085"/>
      <x v="785"/>
    </i>
    <i r="1">
      <x v="1196"/>
      <x v="20"/>
      <x v="1116"/>
      <x v="59"/>
      <x v="1019"/>
      <x v="845"/>
    </i>
    <i>
      <x v="37"/>
      <x v="772"/>
      <x v="20"/>
      <x v="1117"/>
      <x v="51"/>
      <x v="347"/>
      <x v="391"/>
    </i>
    <i>
      <x v="38"/>
      <x v="142"/>
      <x v="147"/>
      <x v="1853"/>
      <x v="7"/>
      <x v="690"/>
      <x v="1888"/>
    </i>
    <i r="1">
      <x v="314"/>
      <x v="20"/>
      <x v="1013"/>
      <x v="8"/>
      <x v="667"/>
      <x v="922"/>
    </i>
    <i>
      <x v="39"/>
      <x v="177"/>
      <x v="82"/>
      <x v="1285"/>
      <x v="18"/>
      <x v="636"/>
      <x v="93"/>
    </i>
    <i r="1">
      <x v="239"/>
      <x v="20"/>
      <x v="1170"/>
      <x v="46"/>
      <x v="582"/>
      <x v="452"/>
    </i>
    <i r="1">
      <x v="1448"/>
      <x v="56"/>
      <x v="379"/>
      <x v="78"/>
      <x v="711"/>
      <x v="671"/>
    </i>
    <i>
      <x v="40"/>
      <x v="616"/>
      <x v="56"/>
      <x v="483"/>
      <x v="56"/>
      <x v="1148"/>
      <x v="550"/>
    </i>
    <i>
      <x v="41"/>
      <x v="234"/>
      <x v="126"/>
      <x v="1654"/>
      <x v="27"/>
      <x v="885"/>
      <x v="581"/>
    </i>
    <i r="1">
      <x v="247"/>
      <x v="20"/>
      <x v="1049"/>
      <x v="57"/>
      <x v="885"/>
      <x v="873"/>
    </i>
    <i r="1">
      <x v="1112"/>
      <x v="101"/>
      <x v="1398"/>
      <x v="46"/>
      <x v="826"/>
      <x v="1252"/>
    </i>
    <i>
      <x v="42"/>
      <x v="587"/>
      <x v="20"/>
      <x v="1130"/>
      <x v="38"/>
      <x v="461"/>
      <x v="872"/>
    </i>
    <i r="1">
      <x v="602"/>
      <x v="158"/>
      <x v="1962"/>
      <x v="56"/>
      <x v="567"/>
      <x v="289"/>
    </i>
    <i r="1">
      <x v="1074"/>
      <x v="158"/>
      <x v="1960"/>
      <x v="56"/>
      <x v="1010"/>
      <x v="491"/>
    </i>
    <i>
      <x v="43"/>
      <x/>
      <x v="109"/>
      <x v="1471"/>
      <x v="54"/>
      <x v="553"/>
      <x v="485"/>
    </i>
    <i r="1">
      <x v="50"/>
      <x v="147"/>
      <x v="1852"/>
      <x v="7"/>
      <x v="816"/>
      <x v="1856"/>
    </i>
    <i r="1">
      <x v="94"/>
      <x v="82"/>
      <x v="1286"/>
      <x v="8"/>
      <x v="884"/>
      <x v="96"/>
    </i>
    <i r="1">
      <x v="118"/>
      <x v="20"/>
      <x v="1131"/>
      <x v="49"/>
      <x v="783"/>
      <x v="531"/>
    </i>
    <i r="1">
      <x v="153"/>
      <x v="20"/>
      <x v="1011"/>
      <x v="8"/>
      <x v="831"/>
      <x v="871"/>
    </i>
    <i r="1">
      <x v="246"/>
      <x v="158"/>
      <x v="1959"/>
      <x v="56"/>
      <x v="1105"/>
      <x v="801"/>
    </i>
    <i r="1">
      <x v="440"/>
      <x v="44"/>
      <x v="2015"/>
      <x v="44"/>
      <x v="1070"/>
      <x v="259"/>
    </i>
    <i r="1">
      <x v="444"/>
      <x v="20"/>
      <x v="1028"/>
      <x v="51"/>
      <x v="1021"/>
      <x v="814"/>
    </i>
    <i r="1">
      <x v="455"/>
      <x v="56"/>
      <x v="409"/>
      <x v="78"/>
      <x v="674"/>
      <x v="576"/>
    </i>
    <i r="1">
      <x v="539"/>
      <x v="126"/>
      <x v="1667"/>
      <x v="8"/>
      <x v="784"/>
      <x v="1649"/>
    </i>
    <i r="1">
      <x v="701"/>
      <x v="58"/>
      <x v="529"/>
      <x v="8"/>
      <x v="874"/>
      <x v="614"/>
    </i>
    <i r="1">
      <x v="1006"/>
      <x v="56"/>
      <x v="410"/>
      <x v="78"/>
      <x v="682"/>
      <x v="578"/>
    </i>
    <i r="1">
      <x v="1025"/>
      <x v="158"/>
      <x v="1961"/>
      <x v="56"/>
      <x v="1028"/>
      <x v="484"/>
    </i>
    <i r="1">
      <x v="1116"/>
      <x v="102"/>
      <x v="1437"/>
      <x v="63"/>
      <x v="765"/>
      <x v="1373"/>
    </i>
    <i r="1">
      <x v="1345"/>
      <x v="58"/>
      <x v="530"/>
      <x v="8"/>
      <x v="1058"/>
      <x v="615"/>
    </i>
    <i r="1">
      <x v="1351"/>
      <x v="56"/>
      <x v="474"/>
      <x v="81"/>
      <x v="773"/>
      <x v="1483"/>
    </i>
    <i r="1">
      <x v="1382"/>
      <x v="64"/>
      <x v="690"/>
      <x v="24"/>
      <x v="803"/>
      <x v="766"/>
    </i>
    <i r="1">
      <x v="1442"/>
      <x v="44"/>
      <x v="2016"/>
      <x v="45"/>
      <x v="1000"/>
      <x v="260"/>
    </i>
    <i r="1">
      <x v="1504"/>
      <x v="56"/>
      <x v="432"/>
      <x v="68"/>
      <x v="233"/>
      <x v="675"/>
    </i>
    <i r="1">
      <x v="1695"/>
      <x v="44"/>
      <x v="2000"/>
      <x v="8"/>
      <x v="799"/>
      <x v="489"/>
    </i>
    <i>
      <x v="44"/>
      <x v="258"/>
      <x v="20"/>
      <x v="1129"/>
      <x v="46"/>
      <x v="1084"/>
      <x v="486"/>
    </i>
    <i>
      <x v="45"/>
      <x v="313"/>
      <x v="54"/>
      <x v="346"/>
      <x v="27"/>
      <x v="1110"/>
      <x v="567"/>
    </i>
    <i r="1">
      <x v="457"/>
      <x v="56"/>
      <x v="400"/>
      <x v="57"/>
      <x v="1136"/>
      <x v="587"/>
    </i>
    <i r="1">
      <x v="1538"/>
      <x v="135"/>
      <x v="1641"/>
      <x v="47"/>
      <x v="1133"/>
      <x v="1930"/>
    </i>
    <i>
      <x v="46"/>
      <x v="770"/>
      <x v="102"/>
      <x v="1417"/>
      <x v="58"/>
      <x v="1275"/>
      <x v="733"/>
    </i>
    <i>
      <x v="47"/>
      <x v="250"/>
      <x v="20"/>
      <x v="1200"/>
      <x v="23"/>
      <x v="697"/>
      <x v="1806"/>
    </i>
    <i r="1">
      <x v="442"/>
      <x v="54"/>
      <x v="342"/>
      <x v="27"/>
      <x v="1054"/>
      <x v="563"/>
    </i>
    <i r="1">
      <x v="692"/>
      <x v="95"/>
      <x v="990"/>
      <x v="14"/>
      <x v="725"/>
      <x v="934"/>
    </i>
    <i r="1">
      <x v="733"/>
      <x v="76"/>
      <x v="1313"/>
      <x v="73"/>
      <x v="468"/>
      <x v="1085"/>
    </i>
    <i r="1">
      <x v="739"/>
      <x v="96"/>
      <x v="512"/>
      <x v="40"/>
      <x v="800"/>
      <x v="472"/>
    </i>
    <i r="1">
      <x v="1010"/>
      <x v="56"/>
      <x v="419"/>
      <x v="78"/>
      <x v="1007"/>
      <x v="798"/>
    </i>
    <i r="1">
      <x v="1042"/>
      <x v="102"/>
      <x v="1438"/>
      <x v="75"/>
      <x v="825"/>
      <x v="1761"/>
    </i>
    <i r="1">
      <x v="1102"/>
      <x v="126"/>
      <x v="1664"/>
      <x v="28"/>
      <x v="875"/>
      <x v="1449"/>
    </i>
    <i r="1">
      <x v="1158"/>
      <x v="7"/>
      <x v="51"/>
      <x v="129"/>
      <x v="396"/>
      <x v="1870"/>
    </i>
    <i r="1">
      <x v="1227"/>
      <x v="116"/>
      <x v="28"/>
      <x v="65"/>
      <x v="590"/>
      <x v="1931"/>
    </i>
    <i r="1">
      <x v="1240"/>
      <x v="111"/>
      <x v="1574"/>
      <x v="78"/>
      <x v="1310"/>
      <x v="1454"/>
    </i>
    <i r="1">
      <x v="1669"/>
      <x v="102"/>
      <x v="1412"/>
      <x v="71"/>
      <x v="1074"/>
      <x v="808"/>
    </i>
    <i>
      <x v="48"/>
      <x/>
      <x v="109"/>
      <x v="1473"/>
      <x v="56"/>
      <x v="1310"/>
      <x v="1735"/>
    </i>
    <i>
      <x v="49"/>
      <x v="995"/>
      <x v="91"/>
      <x v="612"/>
      <x v="49"/>
      <x v="13"/>
      <x v="1330"/>
    </i>
    <i>
      <x v="50"/>
      <x v="1073"/>
      <x v="91"/>
      <x v="607"/>
      <x v="48"/>
      <x v="432"/>
      <x v="24"/>
    </i>
    <i r="1">
      <x v="1206"/>
      <x v="91"/>
      <x v="632"/>
      <x v="48"/>
      <x v="391"/>
      <x v="113"/>
    </i>
    <i>
      <x v="51"/>
      <x v="1230"/>
      <x v="158"/>
      <x v="1950"/>
      <x v="43"/>
      <x v="101"/>
      <x v="1921"/>
    </i>
    <i>
      <x v="52"/>
      <x v="1506"/>
      <x v="7"/>
      <x v="1926"/>
      <x v="88"/>
      <x v="28"/>
      <x v="1490"/>
    </i>
    <i>
      <x v="53"/>
      <x v="1515"/>
      <x v="136"/>
      <x v="279"/>
      <x v="38"/>
      <x v="85"/>
      <x v="1750"/>
    </i>
    <i>
      <x v="54"/>
      <x v="554"/>
      <x v="44"/>
      <x v="2019"/>
      <x v="8"/>
      <x v="675"/>
      <x v="1093"/>
    </i>
    <i r="1">
      <x v="730"/>
      <x v="20"/>
      <x v="1163"/>
      <x v="24"/>
      <x v="727"/>
      <x v="1747"/>
    </i>
    <i>
      <x v="55"/>
      <x v="344"/>
      <x v="44"/>
      <x v="2012"/>
      <x v="19"/>
      <x v="1220"/>
      <x v="794"/>
    </i>
    <i r="1">
      <x v="736"/>
      <x v="158"/>
      <x v="1974"/>
      <x v="56"/>
      <x v="1184"/>
      <x v="348"/>
    </i>
    <i>
      <x v="56"/>
      <x v="854"/>
      <x v="92"/>
      <x v="1374"/>
      <x v="40"/>
      <x v="674"/>
      <x v="1457"/>
    </i>
    <i>
      <x v="57"/>
      <x v="67"/>
      <x v="20"/>
      <x v="1121"/>
      <x v="38"/>
      <x v="503"/>
      <x v="1567"/>
    </i>
    <i r="1">
      <x v="898"/>
      <x v="20"/>
      <x v="1026"/>
      <x v="41"/>
      <x v="616"/>
      <x v="828"/>
    </i>
    <i r="1">
      <x v="1118"/>
      <x v="158"/>
      <x v="1952"/>
      <x v="36"/>
      <x v="743"/>
      <x v="269"/>
    </i>
    <i>
      <x v="58"/>
      <x/>
      <x v="109"/>
      <x v="1469"/>
      <x v="49"/>
      <x v="468"/>
      <x v="411"/>
    </i>
    <i r="1">
      <x v="7"/>
      <x v="20"/>
      <x v="1009"/>
      <x v="6"/>
      <x v="761"/>
      <x v="863"/>
    </i>
    <i r="1">
      <x v="18"/>
      <x v="20"/>
      <x v="1118"/>
      <x v="30"/>
      <x v="812"/>
      <x v="410"/>
    </i>
    <i r="1">
      <x v="109"/>
      <x v="20"/>
      <x v="1120"/>
      <x v="19"/>
      <x v="803"/>
      <x v="413"/>
    </i>
    <i r="1">
      <x v="112"/>
      <x v="20"/>
      <x v="1039"/>
      <x v="19"/>
      <x v="822"/>
      <x v="470"/>
    </i>
    <i r="1">
      <x v="173"/>
      <x v="44"/>
      <x v="2011"/>
      <x v="34"/>
      <x v="963"/>
      <x v="257"/>
    </i>
    <i r="1">
      <x v="196"/>
      <x v="82"/>
      <x v="1287"/>
      <x v="6"/>
      <x v="837"/>
      <x v="98"/>
    </i>
    <i r="1">
      <x v="200"/>
      <x v="20"/>
      <x v="1025"/>
      <x v="33"/>
      <x v="961"/>
      <x v="804"/>
    </i>
    <i r="1">
      <x v="310"/>
      <x v="158"/>
      <x v="1973"/>
      <x v="56"/>
      <x v="923"/>
      <x v="886"/>
    </i>
    <i r="1">
      <x v="346"/>
      <x v="126"/>
      <x v="1660"/>
      <x v="28"/>
      <x v="842"/>
      <x v="1406"/>
    </i>
    <i r="1">
      <x v="367"/>
      <x v="82"/>
      <x v="1296"/>
      <x v="35"/>
      <x v="806"/>
      <x v="1042"/>
    </i>
    <i r="1">
      <x v="429"/>
      <x v="158"/>
      <x v="1971"/>
      <x v="46"/>
      <x v="1100"/>
      <x v="365"/>
    </i>
    <i r="1">
      <x v="461"/>
      <x v="81"/>
      <x v="1266"/>
      <x v="37"/>
      <x v="847"/>
      <x v="1023"/>
    </i>
    <i r="1">
      <x v="544"/>
      <x v="64"/>
      <x v="706"/>
      <x v="19"/>
      <x v="807"/>
      <x v="769"/>
    </i>
    <i r="1">
      <x v="566"/>
      <x v="158"/>
      <x v="1978"/>
      <x v="40"/>
      <x v="763"/>
      <x v="929"/>
    </i>
    <i r="1">
      <x v="599"/>
      <x v="95"/>
      <x v="988"/>
      <x v="19"/>
      <x v="911"/>
      <x v="816"/>
    </i>
    <i r="1">
      <x v="601"/>
      <x v="20"/>
      <x v="1036"/>
      <x v="11"/>
      <x v="648"/>
      <x v="325"/>
    </i>
    <i r="1">
      <x v="628"/>
      <x v="126"/>
      <x v="1659"/>
      <x v="19"/>
      <x v="770"/>
      <x v="414"/>
    </i>
    <i r="1">
      <x v="755"/>
      <x v="97"/>
      <x v="1387"/>
      <x v="28"/>
      <x v="870"/>
      <x v="1229"/>
    </i>
    <i r="1">
      <x v="757"/>
      <x v="158"/>
      <x v="1951"/>
      <x v="38"/>
      <x v="1132"/>
      <x v="271"/>
    </i>
    <i r="1">
      <x v="906"/>
      <x v="78"/>
      <x v="896"/>
      <x v="6"/>
      <x v="786"/>
      <x v="1281"/>
    </i>
    <i r="1">
      <x v="1029"/>
      <x v="74"/>
      <x v="759"/>
      <x v="83"/>
      <x v="978"/>
      <x v="890"/>
    </i>
    <i r="1">
      <x v="1032"/>
      <x v="7"/>
      <x v="47"/>
      <x v="57"/>
      <x v="302"/>
      <x v="908"/>
    </i>
    <i r="1">
      <x v="1094"/>
      <x v="74"/>
      <x v="760"/>
      <x v="84"/>
      <x v="922"/>
      <x v="897"/>
    </i>
    <i r="1">
      <x v="1212"/>
      <x v="158"/>
      <x v="1977"/>
      <x v="36"/>
      <x v="935"/>
      <x v="367"/>
    </i>
    <i r="1">
      <x v="1269"/>
      <x v="44"/>
      <x v="2010"/>
      <x v="13"/>
      <x v="831"/>
      <x v="379"/>
    </i>
    <i r="1">
      <x v="1384"/>
      <x v="74"/>
      <x v="758"/>
      <x v="83"/>
      <x v="879"/>
      <x v="836"/>
    </i>
    <i r="1">
      <x v="1423"/>
      <x v="58"/>
      <x v="553"/>
      <x v="38"/>
      <x v="1113"/>
      <x v="633"/>
    </i>
    <i r="1">
      <x v="1456"/>
      <x v="74"/>
      <x v="761"/>
      <x v="83"/>
      <x v="903"/>
      <x v="920"/>
    </i>
    <i r="1">
      <x v="1461"/>
      <x v="56"/>
      <x v="565"/>
      <x v="88"/>
      <x v="832"/>
      <x v="2018"/>
    </i>
    <i r="1">
      <x v="1470"/>
      <x v="56"/>
      <x v="566"/>
      <x v="88"/>
      <x v="792"/>
      <x v="2020"/>
    </i>
    <i r="1">
      <x v="1512"/>
      <x v="56"/>
      <x v="564"/>
      <x v="88"/>
      <x v="694"/>
      <x v="2016"/>
    </i>
    <i r="1">
      <x v="1522"/>
      <x v="22"/>
      <x v="138"/>
      <x v="68"/>
      <x v="1310"/>
      <x v="134"/>
    </i>
    <i r="1">
      <x v="1557"/>
      <x v="56"/>
      <x v="567"/>
      <x v="88"/>
      <x v="841"/>
      <x v="2023"/>
    </i>
    <i r="1">
      <x v="1563"/>
      <x v="158"/>
      <x v="1972"/>
      <x v="28"/>
      <x v="893"/>
      <x v="1472"/>
    </i>
    <i r="1">
      <x v="1683"/>
      <x v="121"/>
      <x v="1614"/>
      <x v="30"/>
      <x v="1310"/>
      <x v="377"/>
    </i>
    <i>
      <x v="59"/>
      <x v="57"/>
      <x v="20"/>
      <x v="1122"/>
      <x v="37"/>
      <x v="1115"/>
      <x v="420"/>
    </i>
    <i>
      <x v="60"/>
      <x v="80"/>
      <x v="20"/>
      <x v="1119"/>
      <x v="38"/>
      <x v="512"/>
      <x v="415"/>
    </i>
    <i>
      <x v="61"/>
      <x v="489"/>
      <x v="78"/>
      <x v="870"/>
      <x v="47"/>
      <x v="516"/>
      <x v="1291"/>
    </i>
    <i>
      <x v="62"/>
      <x v="170"/>
      <x v="20"/>
      <x v="1087"/>
      <x v="47"/>
      <x v="1183"/>
      <x v="859"/>
    </i>
    <i r="1">
      <x v="948"/>
      <x v="54"/>
      <x v="347"/>
      <x v="37"/>
      <x v="1143"/>
      <x v="593"/>
    </i>
    <i r="1">
      <x v="1489"/>
      <x v="91"/>
      <x v="658"/>
      <x v="54"/>
      <x v="1207"/>
      <x v="412"/>
    </i>
    <i>
      <x v="63"/>
      <x v="116"/>
      <x v="28"/>
      <x v="1598"/>
      <x v="24"/>
      <x v="1067"/>
      <x v="656"/>
    </i>
    <i r="1">
      <x v="550"/>
      <x v="158"/>
      <x v="1975"/>
      <x v="46"/>
      <x v="1168"/>
      <x v="330"/>
    </i>
    <i r="1">
      <x v="593"/>
      <x v="78"/>
      <x v="901"/>
      <x v="22"/>
      <x v="1062"/>
      <x v="941"/>
    </i>
    <i r="1">
      <x v="763"/>
      <x v="125"/>
      <x v="65"/>
      <x v="48"/>
      <x v="1181"/>
      <x v="856"/>
    </i>
    <i r="1">
      <x v="801"/>
      <x v="102"/>
      <x v="1439"/>
      <x v="64"/>
      <x v="861"/>
      <x v="1376"/>
    </i>
    <i r="1">
      <x v="816"/>
      <x v="158"/>
      <x v="1970"/>
      <x v="56"/>
      <x v="1158"/>
      <x v="33"/>
    </i>
    <i r="1">
      <x v="890"/>
      <x v="149"/>
      <x v="1907"/>
      <x v="43"/>
      <x v="888"/>
      <x v="211"/>
    </i>
    <i r="1">
      <x v="897"/>
      <x v="22"/>
      <x v="136"/>
      <x v="3"/>
      <x v="844"/>
      <x v="133"/>
    </i>
    <i r="1">
      <x v="971"/>
      <x v="134"/>
      <x v="1762"/>
      <x v="60"/>
      <x v="762"/>
      <x v="1753"/>
    </i>
    <i r="1">
      <x v="1176"/>
      <x v="149"/>
      <x v="1903"/>
      <x v="43"/>
      <x v="811"/>
      <x v="212"/>
    </i>
    <i r="1">
      <x v="1398"/>
      <x v="149"/>
      <x v="1906"/>
      <x v="43"/>
      <x v="1186"/>
      <x v="210"/>
    </i>
    <i r="1">
      <x v="1628"/>
      <x v="96"/>
      <x v="497"/>
      <x v="11"/>
      <x v="855"/>
      <x v="571"/>
    </i>
    <i r="1">
      <x v="1636"/>
      <x v="91"/>
      <x v="676"/>
      <x v="33"/>
      <x v="659"/>
      <x v="187"/>
    </i>
    <i>
      <x v="64"/>
      <x v="811"/>
      <x v="158"/>
      <x v="1976"/>
      <x v="56"/>
      <x v="857"/>
      <x v="308"/>
    </i>
    <i>
      <x v="65"/>
      <x v="192"/>
      <x v="28"/>
      <x v="1605"/>
      <x v="10"/>
      <x v="474"/>
      <x v="1555"/>
    </i>
    <i r="1">
      <x v="221"/>
      <x v="28"/>
      <x v="1599"/>
      <x v="37"/>
      <x v="583"/>
      <x v="654"/>
    </i>
    <i r="1">
      <x v="290"/>
      <x v="158"/>
      <x v="1979"/>
      <x v="56"/>
      <x v="605"/>
      <x v="320"/>
    </i>
    <i r="1">
      <x v="382"/>
      <x v="126"/>
      <x v="1706"/>
      <x v="38"/>
      <x v="477"/>
      <x v="783"/>
    </i>
    <i r="1">
      <x v="706"/>
      <x v="20"/>
      <x v="1153"/>
      <x v="38"/>
      <x v="632"/>
      <x v="938"/>
    </i>
    <i r="1">
      <x v="1471"/>
      <x v="56"/>
      <x v="391"/>
      <x v="78"/>
      <x v="537"/>
      <x v="566"/>
    </i>
    <i>
      <x v="66"/>
      <x v="292"/>
      <x v="10"/>
      <x v="111"/>
      <x v="34"/>
      <x v="723"/>
      <x v="69"/>
    </i>
    <i r="1">
      <x v="1458"/>
      <x v="20"/>
      <x v="1085"/>
      <x v="28"/>
      <x v="638"/>
      <x v="945"/>
    </i>
    <i>
      <x v="67"/>
      <x v="6"/>
      <x v="147"/>
      <x v="1850"/>
      <x v="4"/>
      <x v="761"/>
      <x v="1844"/>
    </i>
    <i r="1">
      <x v="39"/>
      <x v="28"/>
      <x v="1604"/>
      <x v="5"/>
      <x v="802"/>
      <x v="1558"/>
    </i>
    <i r="1">
      <x v="75"/>
      <x v="126"/>
      <x v="1665"/>
      <x v="3"/>
      <x v="723"/>
      <x v="1647"/>
    </i>
    <i r="1">
      <x v="124"/>
      <x v="20"/>
      <x v="1012"/>
      <x v="4"/>
      <x v="756"/>
      <x v="848"/>
    </i>
    <i r="1">
      <x v="175"/>
      <x v="20"/>
      <x v="1151"/>
      <x v="28"/>
      <x v="763"/>
      <x v="932"/>
    </i>
    <i r="1">
      <x v="205"/>
      <x v="64"/>
      <x v="691"/>
      <x v="24"/>
      <x v="731"/>
      <x v="770"/>
    </i>
    <i r="1">
      <x v="262"/>
      <x v="132"/>
      <x v="715"/>
      <x v="27"/>
      <x v="852"/>
      <x v="1505"/>
    </i>
    <i r="1">
      <x v="297"/>
      <x v="10"/>
      <x v="109"/>
      <x v="22"/>
      <x v="815"/>
      <x v="66"/>
    </i>
    <i r="1">
      <x v="302"/>
      <x v="40"/>
      <x v="190"/>
      <x v="17"/>
      <x v="837"/>
      <x v="284"/>
    </i>
    <i r="1">
      <x v="306"/>
      <x v="78"/>
      <x v="869"/>
      <x v="43"/>
      <x v="1061"/>
      <x v="1387"/>
    </i>
    <i r="1">
      <x v="348"/>
      <x v="20"/>
      <x v="1150"/>
      <x v="28"/>
      <x v="843"/>
      <x v="919"/>
    </i>
    <i r="1">
      <x v="357"/>
      <x v="20"/>
      <x v="1149"/>
      <x v="28"/>
      <x v="631"/>
      <x v="909"/>
    </i>
    <i r="1">
      <x v="409"/>
      <x v="78"/>
      <x v="946"/>
      <x v="24"/>
      <x v="1012"/>
      <x v="852"/>
    </i>
    <i r="1">
      <x v="425"/>
      <x v="96"/>
      <x v="503"/>
      <x v="37"/>
      <x v="810"/>
      <x v="1736"/>
    </i>
    <i r="1">
      <x v="516"/>
      <x v="56"/>
      <x v="390"/>
      <x v="78"/>
      <x v="753"/>
      <x v="565"/>
    </i>
    <i r="1">
      <x v="571"/>
      <x v="149"/>
      <x v="1921"/>
      <x v="33"/>
      <x v="844"/>
      <x v="1788"/>
    </i>
    <i r="1">
      <x v="667"/>
      <x v="95"/>
      <x v="989"/>
      <x v="24"/>
      <x v="877"/>
      <x v="931"/>
    </i>
    <i r="1">
      <x v="676"/>
      <x v="78"/>
      <x v="840"/>
      <x v="78"/>
      <x v="365"/>
      <x v="1314"/>
    </i>
    <i r="1">
      <x v="758"/>
      <x v="56"/>
      <x v="472"/>
      <x v="81"/>
      <x v="747"/>
      <x v="1481"/>
    </i>
    <i r="1">
      <x v="826"/>
      <x v="107"/>
      <x v="1453"/>
      <x v="23"/>
      <x v="767"/>
      <x v="1392"/>
    </i>
    <i r="1">
      <x v="829"/>
      <x v="78"/>
      <x v="948"/>
      <x v="27"/>
      <x v="761"/>
      <x v="850"/>
    </i>
    <i r="1">
      <x v="856"/>
      <x v="78"/>
      <x v="881"/>
      <x v="32"/>
      <x v="586"/>
      <x v="906"/>
    </i>
    <i r="1">
      <x v="942"/>
      <x v="104"/>
      <x v="1448"/>
      <x v="37"/>
      <x v="952"/>
      <x v="1154"/>
    </i>
    <i r="1">
      <x v="972"/>
      <x v="58"/>
      <x v="1337"/>
      <x v="38"/>
      <x v="1208"/>
      <x v="1136"/>
    </i>
    <i r="1">
      <x v="990"/>
      <x v="137"/>
      <x v="335"/>
      <x v="59"/>
      <x v="632"/>
      <x v="1767"/>
    </i>
    <i r="1">
      <x v="996"/>
      <x v="102"/>
      <x v="1415"/>
      <x v="63"/>
      <x v="1155"/>
      <x v="846"/>
    </i>
    <i r="1">
      <x v="1004"/>
      <x v="96"/>
      <x v="495"/>
      <x v="30"/>
      <x v="942"/>
      <x v="1415"/>
    </i>
    <i r="1">
      <x v="1079"/>
      <x v="44"/>
      <x v="2001"/>
      <x v="23"/>
      <x v="823"/>
      <x v="273"/>
    </i>
    <i r="1">
      <x v="1106"/>
      <x v="24"/>
      <x v="146"/>
      <x v="57"/>
      <x v="1108"/>
      <x v="722"/>
    </i>
    <i r="1">
      <x v="1182"/>
      <x v="110"/>
      <x v="1446"/>
      <x v="27"/>
      <x v="887"/>
      <x v="1334"/>
    </i>
    <i r="1">
      <x v="1266"/>
      <x v="56"/>
      <x v="389"/>
      <x v="63"/>
      <x v="782"/>
      <x v="1493"/>
    </i>
    <i r="1">
      <x v="1272"/>
      <x v="126"/>
      <x v="1648"/>
      <x v="11"/>
      <x v="1310"/>
      <x v="1461"/>
    </i>
    <i r="1">
      <x v="1328"/>
      <x v="56"/>
      <x v="430"/>
      <x v="68"/>
      <x v="722"/>
      <x v="591"/>
    </i>
    <i r="1">
      <x v="1394"/>
      <x v="78"/>
      <x v="945"/>
      <x v="28"/>
      <x v="1087"/>
      <x v="849"/>
    </i>
    <i r="1">
      <x v="1418"/>
      <x v="54"/>
      <x v="348"/>
      <x v="37"/>
      <x v="802"/>
      <x v="553"/>
    </i>
    <i r="1">
      <x v="1419"/>
      <x v="20"/>
      <x v="1152"/>
      <x v="28"/>
      <x v="654"/>
      <x v="946"/>
    </i>
    <i r="1">
      <x v="1524"/>
      <x v="22"/>
      <x v="134"/>
      <x v="78"/>
      <x v="1310"/>
      <x v="129"/>
    </i>
    <i r="1">
      <x v="1537"/>
      <x v="78"/>
      <x v="947"/>
      <x v="24"/>
      <x v="843"/>
      <x v="854"/>
    </i>
    <i r="1">
      <x v="1562"/>
      <x v="48"/>
      <x v="31"/>
      <x v="77"/>
      <x v="486"/>
      <x v="28"/>
    </i>
    <i r="1">
      <x v="1576"/>
      <x v="78"/>
      <x v="868"/>
      <x v="43"/>
      <x v="606"/>
      <x v="851"/>
    </i>
    <i r="1">
      <x v="1615"/>
      <x v="31"/>
      <x v="165"/>
      <x v="43"/>
      <x v="1063"/>
      <x v="473"/>
    </i>
    <i>
      <x v="68"/>
      <x v="183"/>
      <x v="40"/>
      <x v="191"/>
      <x v="33"/>
      <x v="1310"/>
      <x v="292"/>
    </i>
    <i r="1">
      <x v="296"/>
      <x v="20"/>
      <x v="1154"/>
      <x v="28"/>
      <x v="1157"/>
      <x v="962"/>
    </i>
    <i r="1">
      <x v="819"/>
      <x v="7"/>
      <x v="48"/>
      <x v="57"/>
      <x v="1006"/>
      <x v="957"/>
    </i>
    <i r="1">
      <x v="1180"/>
      <x v="54"/>
      <x v="349"/>
      <x v="37"/>
      <x v="1112"/>
      <x v="600"/>
    </i>
    <i r="1">
      <x v="1700"/>
      <x v="2"/>
      <x v="5"/>
      <x v="37"/>
      <x v="928"/>
      <x v="324"/>
    </i>
    <i>
      <x v="69"/>
      <x v="1336"/>
      <x v="10"/>
      <x v="110"/>
      <x v="24"/>
      <x v="1057"/>
      <x v="72"/>
    </i>
    <i>
      <x v="70"/>
      <x v="446"/>
      <x v="20"/>
      <x v="131"/>
      <x v="19"/>
      <x v="777"/>
      <x v="1112"/>
    </i>
    <i>
      <x v="71"/>
      <x v="659"/>
      <x v="20"/>
      <x v="1084"/>
      <x v="46"/>
      <x v="578"/>
      <x v="876"/>
    </i>
    <i r="1">
      <x v="1050"/>
      <x v="20"/>
      <x v="1083"/>
      <x v="46"/>
      <x v="606"/>
      <x v="1935"/>
    </i>
    <i>
      <x v="72"/>
      <x v="340"/>
      <x v="91"/>
      <x v="626"/>
      <x v="66"/>
      <x v="49"/>
      <x v="598"/>
    </i>
    <i>
      <x v="73"/>
      <x v="1663"/>
      <x v="158"/>
      <x v="1946"/>
      <x v="43"/>
      <x v="148"/>
      <x v="1924"/>
    </i>
    <i>
      <x v="74"/>
      <x v="1719"/>
      <x v="83"/>
      <x v="1308"/>
      <x v="76"/>
      <x v="1310"/>
      <x v="827"/>
    </i>
    <i>
      <x v="75"/>
      <x/>
      <x v="83"/>
      <x v="1309"/>
      <x v="66"/>
      <x v="1310"/>
      <x v="1474"/>
    </i>
    <i>
      <x v="76"/>
      <x v="492"/>
      <x v="91"/>
      <x v="634"/>
      <x v="66"/>
      <x v="491"/>
      <x v="1632"/>
    </i>
    <i>
      <x v="77"/>
      <x v="1378"/>
      <x v="56"/>
      <x v="404"/>
      <x v="94"/>
      <x v="888"/>
      <x v="385"/>
    </i>
    <i r="1">
      <x v="1703"/>
      <x v="51"/>
      <x v="302"/>
      <x v="73"/>
      <x v="184"/>
      <x v="158"/>
    </i>
    <i>
      <x v="78"/>
      <x v="1247"/>
      <x v="95"/>
      <x v="997"/>
      <x v="28"/>
      <x v="1186"/>
      <x v="762"/>
    </i>
    <i>
      <x v="79"/>
      <x v="1220"/>
      <x v="56"/>
      <x v="413"/>
      <x v="58"/>
      <x v="873"/>
      <x v="584"/>
    </i>
    <i>
      <x v="80"/>
      <x v="1460"/>
      <x v="52"/>
      <x v="297"/>
      <x v="48"/>
      <x v="1310"/>
      <x v="1492"/>
    </i>
    <i>
      <x v="81"/>
      <x v="240"/>
      <x v="91"/>
      <x v="667"/>
      <x v="66"/>
      <x v="169"/>
      <x v="154"/>
    </i>
    <i r="1">
      <x v="761"/>
      <x v="91"/>
      <x v="609"/>
      <x v="66"/>
      <x v="311"/>
      <x v="31"/>
    </i>
    <i>
      <x v="82"/>
      <x v="1072"/>
      <x v="136"/>
      <x v="280"/>
      <x v="38"/>
      <x v="850"/>
      <x v="383"/>
    </i>
    <i>
      <x v="83"/>
      <x v="1363"/>
      <x v="146"/>
      <x v="1806"/>
      <x v="93"/>
      <x v="1212"/>
      <x v="423"/>
    </i>
    <i>
      <x v="84"/>
      <x v="371"/>
      <x v="20"/>
      <x v="1123"/>
      <x v="48"/>
      <x v="608"/>
      <x v="401"/>
    </i>
    <i r="1">
      <x v="452"/>
      <x v="126"/>
      <x v="1695"/>
      <x v="47"/>
      <x v="668"/>
      <x v="753"/>
    </i>
    <i r="1">
      <x v="916"/>
      <x v="56"/>
      <x v="385"/>
      <x v="58"/>
      <x v="195"/>
      <x v="663"/>
    </i>
    <i>
      <x v="85"/>
      <x v="251"/>
      <x v="158"/>
      <x v="1955"/>
      <x v="61"/>
      <x v="1173"/>
      <x v="277"/>
    </i>
    <i r="1">
      <x v="362"/>
      <x v="20"/>
      <x v="1034"/>
      <x v="47"/>
      <x v="1012"/>
      <x v="359"/>
    </i>
    <i r="1">
      <x v="606"/>
      <x v="126"/>
      <x v="1696"/>
      <x v="47"/>
      <x v="1214"/>
      <x v="392"/>
    </i>
    <i r="1">
      <x v="988"/>
      <x v="91"/>
      <x v="659"/>
      <x v="65"/>
      <x v="1022"/>
      <x v="1570"/>
    </i>
    <i>
      <x v="86"/>
      <x v="157"/>
      <x v="28"/>
      <x v="1597"/>
      <x v="37"/>
      <x v="994"/>
      <x v="655"/>
    </i>
    <i r="1">
      <x v="750"/>
      <x v="78"/>
      <x v="831"/>
      <x v="28"/>
      <x v="478"/>
      <x v="17"/>
    </i>
    <i r="1">
      <x v="1192"/>
      <x v="22"/>
      <x v="135"/>
      <x v="10"/>
      <x v="686"/>
      <x v="130"/>
    </i>
    <i r="1">
      <x v="1259"/>
      <x v="78"/>
      <x v="902"/>
      <x v="33"/>
      <x v="819"/>
      <x v="942"/>
    </i>
    <i r="1">
      <x v="1295"/>
      <x v="125"/>
      <x v="61"/>
      <x v="58"/>
      <x v="896"/>
      <x v="394"/>
    </i>
    <i r="1">
      <x v="1424"/>
      <x v="149"/>
      <x v="1905"/>
      <x v="48"/>
      <x v="869"/>
      <x v="188"/>
    </i>
    <i>
      <x v="87"/>
      <x v="231"/>
      <x v="158"/>
      <x v="1958"/>
      <x v="56"/>
      <x v="1067"/>
      <x v="303"/>
    </i>
    <i r="1">
      <x v="414"/>
      <x v="126"/>
      <x v="1697"/>
      <x v="63"/>
      <x v="951"/>
      <x v="522"/>
    </i>
    <i r="1">
      <x v="541"/>
      <x v="20"/>
      <x v="1128"/>
      <x v="69"/>
      <x v="884"/>
      <x v="404"/>
    </i>
    <i r="1">
      <x v="803"/>
      <x v="56"/>
      <x v="407"/>
      <x v="78"/>
      <x v="860"/>
      <x v="574"/>
    </i>
    <i>
      <x v="88"/>
      <x/>
      <x v="109"/>
      <x v="1470"/>
      <x v="59"/>
      <x v="956"/>
      <x v="432"/>
    </i>
    <i r="1">
      <x v="9"/>
      <x v="147"/>
      <x v="1851"/>
      <x v="9"/>
      <x v="756"/>
      <x v="1911"/>
    </i>
    <i r="1">
      <x v="11"/>
      <x v="20"/>
      <x v="1010"/>
      <x v="10"/>
      <x v="697"/>
      <x v="868"/>
    </i>
    <i r="1">
      <x v="38"/>
      <x v="20"/>
      <x v="1124"/>
      <x v="68"/>
      <x v="660"/>
      <x v="400"/>
    </i>
    <i r="1">
      <x v="93"/>
      <x v="28"/>
      <x v="1596"/>
      <x v="10"/>
      <x v="718"/>
      <x v="1557"/>
    </i>
    <i r="1">
      <x v="134"/>
      <x v="20"/>
      <x v="1040"/>
      <x v="24"/>
      <x v="626"/>
      <x v="471"/>
    </i>
    <i r="1">
      <x v="140"/>
      <x v="126"/>
      <x v="1666"/>
      <x v="10"/>
      <x v="754"/>
      <x v="1648"/>
    </i>
    <i r="1">
      <x v="186"/>
      <x v="158"/>
      <x v="1954"/>
      <x v="30"/>
      <x v="570"/>
      <x v="1999"/>
    </i>
    <i r="1">
      <x v="188"/>
      <x v="20"/>
      <x v="1126"/>
      <x v="24"/>
      <x v="1020"/>
      <x v="405"/>
    </i>
    <i r="1">
      <x v="236"/>
      <x v="20"/>
      <x v="1125"/>
      <x v="24"/>
      <x v="1007"/>
      <x v="442"/>
    </i>
    <i r="1">
      <x v="286"/>
      <x v="78"/>
      <x v="871"/>
      <x v="48"/>
      <x v="1005"/>
      <x v="1388"/>
    </i>
    <i r="1">
      <x v="292"/>
      <x v="64"/>
      <x v="689"/>
      <x v="43"/>
      <x v="756"/>
      <x v="739"/>
    </i>
    <i r="1">
      <x v="315"/>
      <x v="10"/>
      <x v="107"/>
      <x v="31"/>
      <x v="841"/>
      <x v="70"/>
    </i>
    <i r="1">
      <x v="347"/>
      <x v="20"/>
      <x v="1127"/>
      <x v="43"/>
      <x v="952"/>
      <x v="435"/>
    </i>
    <i r="1">
      <x v="404"/>
      <x v="81"/>
      <x v="1267"/>
      <x v="47"/>
      <x v="806"/>
      <x v="1020"/>
    </i>
    <i r="1">
      <x v="421"/>
      <x v="40"/>
      <x v="189"/>
      <x v="33"/>
      <x v="889"/>
      <x v="283"/>
    </i>
    <i r="1">
      <x v="507"/>
      <x v="56"/>
      <x v="405"/>
      <x v="78"/>
      <x v="1018"/>
      <x v="573"/>
    </i>
    <i r="1">
      <x v="559"/>
      <x v="78"/>
      <x v="942"/>
      <x v="28"/>
      <x v="1120"/>
      <x v="399"/>
    </i>
    <i r="1">
      <x v="573"/>
      <x v="82"/>
      <x v="1280"/>
      <x v="37"/>
      <x v="633"/>
      <x v="1014"/>
    </i>
    <i r="1">
      <x v="589"/>
      <x v="96"/>
      <x v="504"/>
      <x v="57"/>
      <x v="762"/>
      <x v="1737"/>
    </i>
    <i r="1">
      <x v="652"/>
      <x v="149"/>
      <x v="1920"/>
      <x v="43"/>
      <x v="1040"/>
      <x v="1783"/>
    </i>
    <i r="1">
      <x v="693"/>
      <x v="78"/>
      <x v="841"/>
      <x v="88"/>
      <x v="1003"/>
      <x v="1309"/>
    </i>
    <i r="1">
      <x v="727"/>
      <x v="20"/>
      <x v="1027"/>
      <x v="123"/>
      <x v="655"/>
      <x v="802"/>
    </i>
    <i r="1">
      <x v="741"/>
      <x v="82"/>
      <x v="1295"/>
      <x v="42"/>
      <x v="1017"/>
      <x v="1041"/>
    </i>
    <i r="1">
      <x v="787"/>
      <x v="97"/>
      <x v="1386"/>
      <x v="33"/>
      <x v="610"/>
      <x v="1231"/>
    </i>
    <i r="1">
      <x v="808"/>
      <x v="126"/>
      <x v="1661"/>
      <x v="28"/>
      <x v="706"/>
      <x v="406"/>
    </i>
    <i r="1">
      <x v="845"/>
      <x v="20"/>
      <x v="1110"/>
      <x v="68"/>
      <x v="426"/>
      <x v="132"/>
    </i>
    <i r="1">
      <x v="886"/>
      <x v="44"/>
      <x v="2014"/>
      <x v="64"/>
      <x v="652"/>
      <x v="258"/>
    </i>
    <i r="1">
      <x v="892"/>
      <x v="7"/>
      <x v="557"/>
      <x v="47"/>
      <x v="1199"/>
      <x v="678"/>
    </i>
    <i r="1">
      <x v="909"/>
      <x v="104"/>
      <x v="1447"/>
      <x v="47"/>
      <x v="875"/>
      <x v="1155"/>
    </i>
    <i r="1">
      <x v="919"/>
      <x v="74"/>
      <x v="746"/>
      <x v="87"/>
      <x v="796"/>
      <x v="428"/>
    </i>
    <i r="1">
      <x v="932"/>
      <x v="24"/>
      <x v="145"/>
      <x v="63"/>
      <x v="1194"/>
      <x v="527"/>
    </i>
    <i r="1">
      <x v="945"/>
      <x v="158"/>
      <x v="1957"/>
      <x v="30"/>
      <x v="932"/>
      <x v="299"/>
    </i>
    <i r="1">
      <x v="986"/>
      <x v="126"/>
      <x v="1662"/>
      <x v="28"/>
      <x v="1002"/>
      <x v="1407"/>
    </i>
    <i r="1">
      <x v="1005"/>
      <x v="20"/>
      <x v="1043"/>
      <x v="15"/>
      <x v="539"/>
      <x v="1114"/>
    </i>
    <i r="1">
      <x v="1011"/>
      <x v="31"/>
      <x v="160"/>
      <x v="15"/>
      <x v="953"/>
      <x v="1948"/>
    </i>
    <i r="1">
      <x v="1133"/>
      <x v="56"/>
      <x v="473"/>
      <x v="92"/>
      <x v="880"/>
      <x v="1482"/>
    </i>
    <i r="1">
      <x v="1167"/>
      <x v="132"/>
      <x v="717"/>
      <x v="42"/>
      <x v="986"/>
      <x v="1500"/>
    </i>
    <i r="1">
      <x v="1202"/>
      <x v="74"/>
      <x v="747"/>
      <x v="88"/>
      <x v="895"/>
      <x v="429"/>
    </i>
    <i r="1">
      <x v="1222"/>
      <x v="74"/>
      <x v="745"/>
      <x v="87"/>
      <x v="851"/>
      <x v="378"/>
    </i>
    <i r="1">
      <x v="1236"/>
      <x v="64"/>
      <x v="705"/>
      <x v="34"/>
      <x v="701"/>
      <x v="765"/>
    </i>
    <i r="1">
      <x v="1239"/>
      <x v="111"/>
      <x v="1573"/>
      <x v="78"/>
      <x v="1310"/>
      <x v="1455"/>
    </i>
    <i r="1">
      <x v="1260"/>
      <x v="20"/>
      <x v="1037"/>
      <x v="15"/>
      <x v="835"/>
      <x v="443"/>
    </i>
    <i r="1">
      <x v="1261"/>
      <x v="126"/>
      <x v="1649"/>
      <x v="15"/>
      <x v="1310"/>
      <x v="1470"/>
    </i>
    <i r="1">
      <x v="1273"/>
      <x v="158"/>
      <x v="1953"/>
      <x v="30"/>
      <x v="888"/>
      <x v="1473"/>
    </i>
    <i r="1">
      <x v="1279"/>
      <x v="29"/>
      <x v="1328"/>
      <x v="24"/>
      <x v="1067"/>
      <x v="1075"/>
    </i>
    <i r="1">
      <x v="1307"/>
      <x v="44"/>
      <x v="2013"/>
      <x v="19"/>
      <x v="571"/>
      <x v="440"/>
    </i>
    <i r="1">
      <x v="1334"/>
      <x v="56"/>
      <x v="380"/>
      <x v="62"/>
      <x v="361"/>
      <x v="118"/>
    </i>
    <i r="1">
      <x v="1355"/>
      <x v="91"/>
      <x v="653"/>
      <x v="68"/>
      <x v="981"/>
      <x v="433"/>
    </i>
    <i r="1">
      <x v="1357"/>
      <x v="58"/>
      <x v="550"/>
      <x v="43"/>
      <x v="1036"/>
      <x v="631"/>
    </i>
    <i r="1">
      <x v="1367"/>
      <x v="54"/>
      <x v="344"/>
      <x v="43"/>
      <x v="953"/>
      <x v="552"/>
    </i>
    <i r="1">
      <x v="1425"/>
      <x v="78"/>
      <x v="897"/>
      <x v="15"/>
      <x v="705"/>
      <x v="1283"/>
    </i>
    <i r="1">
      <x v="1437"/>
      <x v="96"/>
      <x v="496"/>
      <x v="38"/>
      <x v="1017"/>
      <x v="1416"/>
    </i>
    <i r="1">
      <x v="1521"/>
      <x v="102"/>
      <x v="1416"/>
      <x v="68"/>
      <x v="1160"/>
      <x v="388"/>
    </i>
    <i r="1">
      <x v="1529"/>
      <x v="22"/>
      <x v="137"/>
      <x v="10"/>
      <x v="1310"/>
      <x v="131"/>
    </i>
    <i r="1">
      <x v="1566"/>
      <x v="74"/>
      <x v="744"/>
      <x v="87"/>
      <x v="861"/>
      <x v="448"/>
    </i>
    <i r="1">
      <x v="1569"/>
      <x v="56"/>
      <x v="406"/>
      <x v="73"/>
      <x v="1069"/>
      <x v="1495"/>
    </i>
    <i r="1">
      <x v="1597"/>
      <x v="78"/>
      <x v="943"/>
      <x v="29"/>
      <x v="880"/>
      <x v="403"/>
    </i>
    <i r="1">
      <x v="1678"/>
      <x v="121"/>
      <x v="1615"/>
      <x v="29"/>
      <x v="1310"/>
      <x v="434"/>
    </i>
    <i r="1">
      <x v="1697"/>
      <x v="158"/>
      <x v="1956"/>
      <x v="46"/>
      <x v="840"/>
      <x v="438"/>
    </i>
    <i>
      <x v="89"/>
      <x v="1036"/>
      <x v="10"/>
      <x v="108"/>
      <x v="34"/>
      <x v="1065"/>
      <x v="71"/>
    </i>
    <i r="1">
      <x v="1559"/>
      <x v="2"/>
      <x v="6"/>
      <x v="48"/>
      <x v="1005"/>
      <x v="402"/>
    </i>
    <i>
      <x v="90"/>
      <x v="827"/>
      <x v="31"/>
      <x v="161"/>
      <x v="47"/>
      <x v="481"/>
      <x v="387"/>
    </i>
    <i>
      <x v="91"/>
      <x v="1696"/>
      <x v="29"/>
      <x v="1322"/>
      <x v="77"/>
      <x v="290"/>
      <x v="1087"/>
    </i>
    <i>
      <x v="92"/>
      <x v="987"/>
      <x v="29"/>
      <x v="1321"/>
      <x v="58"/>
      <x v="106"/>
      <x v="1074"/>
    </i>
    <i>
      <x v="93"/>
      <x v="1408"/>
      <x v="20"/>
      <x v="1035"/>
      <x v="58"/>
      <x v="803"/>
      <x v="436"/>
    </i>
    <i>
      <x v="94"/>
      <x v="327"/>
      <x v="52"/>
      <x v="282"/>
      <x v="84"/>
      <x v="107"/>
      <x v="439"/>
    </i>
    <i r="1">
      <x v="1657"/>
      <x v="91"/>
      <x v="625"/>
      <x v="63"/>
      <x v="120"/>
      <x v="498"/>
    </i>
    <i>
      <x v="95"/>
      <x v="385"/>
      <x v="44"/>
      <x v="1999"/>
      <x v="14"/>
      <x v="691"/>
      <x v="431"/>
    </i>
    <i>
      <x v="96"/>
      <x v="1245"/>
      <x v="20"/>
      <x v="1132"/>
      <x v="51"/>
      <x v="582"/>
      <x v="417"/>
    </i>
    <i>
      <x v="97"/>
      <x v="370"/>
      <x v="20"/>
      <x v="1133"/>
      <x v="49"/>
      <x v="1096"/>
      <x v="513"/>
    </i>
    <i r="1">
      <x v="1503"/>
      <x v="58"/>
      <x v="531"/>
      <x v="8"/>
      <x v="1082"/>
      <x v="616"/>
    </i>
    <i>
      <x v="98"/>
      <x v="475"/>
      <x v="20"/>
      <x v="1134"/>
      <x v="77"/>
      <x v="700"/>
      <x v="644"/>
    </i>
    <i>
      <x v="99"/>
      <x v="1184"/>
      <x v="91"/>
      <x v="622"/>
      <x v="19"/>
      <x v="821"/>
      <x v="255"/>
    </i>
    <i>
      <x v="100"/>
      <x v="1197"/>
      <x v="20"/>
      <x v="1136"/>
      <x v="57"/>
      <x v="437"/>
      <x v="500"/>
    </i>
    <i>
      <x v="101"/>
      <x v="233"/>
      <x v="20"/>
      <x v="1135"/>
      <x v="49"/>
      <x v="751"/>
      <x v="499"/>
    </i>
    <i r="1">
      <x v="964"/>
      <x v="56"/>
      <x v="414"/>
      <x v="78"/>
      <x v="425"/>
      <x v="588"/>
    </i>
    <i r="1">
      <x v="1077"/>
      <x v="20"/>
      <x v="1029"/>
      <x v="51"/>
      <x v="989"/>
      <x v="811"/>
    </i>
    <i r="1">
      <x v="1257"/>
      <x v="158"/>
      <x v="1963"/>
      <x v="46"/>
      <x v="1166"/>
      <x v="373"/>
    </i>
    <i r="1">
      <x v="1391"/>
      <x v="58"/>
      <x v="532"/>
      <x v="8"/>
      <x v="737"/>
      <x v="618"/>
    </i>
    <i r="1">
      <x v="1477"/>
      <x v="44"/>
      <x v="2017"/>
      <x v="43"/>
      <x v="970"/>
      <x v="261"/>
    </i>
    <i>
      <x v="102"/>
      <x v="1272"/>
      <x v="54"/>
      <x v="368"/>
      <x v="62"/>
      <x v="462"/>
      <x v="685"/>
    </i>
    <i>
      <x v="103"/>
      <x v="333"/>
      <x v="91"/>
      <x v="680"/>
      <x v="57"/>
      <x v="596"/>
      <x v="1573"/>
    </i>
    <i r="1">
      <x v="614"/>
      <x v="126"/>
      <x v="1698"/>
      <x v="38"/>
      <x v="1047"/>
      <x v="1923"/>
    </i>
    <i r="1">
      <x v="1048"/>
      <x v="158"/>
      <x v="1966"/>
      <x v="56"/>
      <x v="1210"/>
      <x v="281"/>
    </i>
    <i>
      <x v="104"/>
      <x v="189"/>
      <x v="20"/>
      <x v="1067"/>
      <x v="38"/>
      <x v="1020"/>
      <x v="921"/>
    </i>
    <i r="1">
      <x v="800"/>
      <x v="75"/>
      <x v="823"/>
      <x v="50"/>
      <x v="378"/>
      <x v="141"/>
    </i>
    <i r="1">
      <x v="921"/>
      <x v="126"/>
      <x v="1656"/>
      <x v="48"/>
      <x v="1103"/>
      <x v="304"/>
    </i>
    <i r="1">
      <x v="1066"/>
      <x v="131"/>
      <x v="1747"/>
      <x v="52"/>
      <x v="1040"/>
      <x v="1728"/>
    </i>
    <i r="1">
      <x v="1510"/>
      <x v="12"/>
      <x v="93"/>
      <x v="47"/>
      <x v="849"/>
      <x v="1896"/>
    </i>
    <i r="1">
      <x v="1735"/>
      <x v="124"/>
      <x v="1630"/>
      <x v="19"/>
      <x v="808"/>
      <x v="1660"/>
    </i>
    <i>
      <x v="105"/>
      <x v="524"/>
      <x v="54"/>
      <x v="337"/>
      <x v="57"/>
      <x v="266"/>
      <x v="539"/>
    </i>
    <i r="1">
      <x v="685"/>
      <x v="58"/>
      <x v="159"/>
      <x v="57"/>
      <x v="398"/>
      <x v="1127"/>
    </i>
    <i r="1">
      <x v="1150"/>
      <x v="131"/>
      <x v="1748"/>
      <x v="50"/>
      <x v="234"/>
      <x v="1729"/>
    </i>
    <i>
      <x v="106"/>
      <x v="905"/>
      <x v="54"/>
      <x v="338"/>
      <x v="57"/>
      <x v="1074"/>
      <x v="540"/>
    </i>
    <i>
      <x v="107"/>
      <x v="1730"/>
      <x v="78"/>
      <x v="867"/>
      <x v="57"/>
      <x v="210"/>
      <x v="958"/>
    </i>
    <i>
      <x v="108"/>
      <x v="1325"/>
      <x v="8"/>
      <x v="56"/>
      <x v="111"/>
      <x v="377"/>
      <x v="1616"/>
    </i>
    <i>
      <x v="109"/>
      <x v="44"/>
      <x v="147"/>
      <x v="1892"/>
      <x v="7"/>
      <x v="671"/>
      <x v="1899"/>
    </i>
    <i r="1">
      <x v="55"/>
      <x v="20"/>
      <x v="1100"/>
      <x v="30"/>
      <x v="697"/>
      <x v="12"/>
    </i>
    <i r="1">
      <x v="155"/>
      <x v="20"/>
      <x v="1142"/>
      <x v="19"/>
      <x v="927"/>
      <x v="13"/>
    </i>
    <i r="1">
      <x v="219"/>
      <x v="56"/>
      <x v="393"/>
      <x v="85"/>
      <x v="594"/>
      <x v="706"/>
    </i>
    <i r="1">
      <x v="358"/>
      <x v="68"/>
      <x v="724"/>
      <x v="83"/>
      <x v="688"/>
      <x v="916"/>
    </i>
    <i r="1">
      <x v="454"/>
      <x v="126"/>
      <x v="1668"/>
      <x v="8"/>
      <x v="736"/>
      <x v="1650"/>
    </i>
    <i r="1">
      <x v="466"/>
      <x v="20"/>
      <x v="1140"/>
      <x v="47"/>
      <x v="441"/>
      <x v="1571"/>
    </i>
    <i r="1">
      <x v="576"/>
      <x v="36"/>
      <x v="177"/>
      <x v="61"/>
      <x v="569"/>
      <x v="364"/>
    </i>
    <i r="1">
      <x v="688"/>
      <x v="56"/>
      <x v="392"/>
      <x v="69"/>
      <x v="597"/>
      <x v="708"/>
    </i>
    <i r="1">
      <x v="797"/>
      <x v="20"/>
      <x v="1143"/>
      <x v="33"/>
      <x v="848"/>
      <x v="11"/>
    </i>
    <i r="1">
      <x v="837"/>
      <x v="3"/>
      <x v="13"/>
      <x v="114"/>
      <x v="309"/>
      <x v="361"/>
    </i>
    <i r="1">
      <x v="872"/>
      <x v="131"/>
      <x v="1746"/>
      <x v="48"/>
      <x v="915"/>
      <x v="1722"/>
    </i>
    <i r="1">
      <x v="900"/>
      <x v="114"/>
      <x v="1335"/>
      <x v="73"/>
      <x v="342"/>
      <x v="1684"/>
    </i>
    <i r="1">
      <x v="947"/>
      <x v="135"/>
      <x v="9"/>
      <x v="87"/>
      <x v="704"/>
      <x v="1053"/>
    </i>
    <i r="1">
      <x v="1007"/>
      <x v="114"/>
      <x v="1332"/>
      <x v="73"/>
      <x v="326"/>
      <x v="9"/>
    </i>
    <i r="1">
      <x v="1089"/>
      <x v="141"/>
      <x v="1759"/>
      <x v="92"/>
      <x v="826"/>
      <x v="1643"/>
    </i>
    <i r="1">
      <x v="1119"/>
      <x v="54"/>
      <x v="351"/>
      <x v="57"/>
      <x v="410"/>
      <x v="645"/>
    </i>
    <i r="1">
      <x v="1136"/>
      <x v="30"/>
      <x v="172"/>
      <x v="78"/>
      <x v="1024"/>
      <x v="1642"/>
    </i>
    <i r="1">
      <x v="1154"/>
      <x v="156"/>
      <x v="1941"/>
      <x v="108"/>
      <x v="1031"/>
      <x v="1918"/>
    </i>
    <i r="1">
      <x v="1163"/>
      <x v="156"/>
      <x v="1939"/>
      <x v="115"/>
      <x v="1002"/>
      <x v="1919"/>
    </i>
    <i r="1">
      <x v="1177"/>
      <x v="96"/>
      <x v="510"/>
      <x v="55"/>
      <x v="1001"/>
      <x v="58"/>
    </i>
    <i r="1">
      <x v="1191"/>
      <x v="72"/>
      <x v="738"/>
      <x v="49"/>
      <x v="455"/>
      <x v="1040"/>
    </i>
    <i r="1">
      <x v="1283"/>
      <x v="58"/>
      <x v="551"/>
      <x v="43"/>
      <x v="1172"/>
      <x v="630"/>
    </i>
    <i r="1">
      <x v="1330"/>
      <x v="67"/>
      <x v="1634"/>
      <x v="63"/>
      <x v="1122"/>
      <x v="313"/>
    </i>
    <i r="1">
      <x v="1331"/>
      <x v="85"/>
      <x v="494"/>
      <x v="73"/>
      <x v="676"/>
      <x v="1090"/>
    </i>
    <i r="1">
      <x v="1335"/>
      <x v="118"/>
      <x v="1362"/>
      <x v="93"/>
      <x v="1310"/>
      <x v="1180"/>
    </i>
    <i r="1">
      <x v="1371"/>
      <x v="58"/>
      <x v="157"/>
      <x v="58"/>
      <x v="943"/>
      <x v="2019"/>
    </i>
    <i r="1">
      <x v="1398"/>
      <x v="57"/>
      <x v="517"/>
      <x v="87"/>
      <x v="843"/>
      <x v="1095"/>
    </i>
    <i r="1">
      <x v="1400"/>
      <x v="158"/>
      <x v="1983"/>
      <x v="96"/>
      <x v="623"/>
      <x v="777"/>
    </i>
    <i r="1">
      <x v="1402"/>
      <x v="146"/>
      <x v="1821"/>
      <x v="50"/>
      <x v="756"/>
      <x v="1185"/>
    </i>
    <i r="1">
      <x v="1407"/>
      <x v="14"/>
      <x v="103"/>
      <x v="53"/>
      <x v="1310"/>
      <x v="241"/>
    </i>
    <i r="1">
      <x v="1435"/>
      <x v="58"/>
      <x v="552"/>
      <x v="33"/>
      <x v="1034"/>
      <x v="632"/>
    </i>
    <i r="1">
      <x v="1514"/>
      <x v="7"/>
      <x v="1793"/>
      <x v="58"/>
      <x v="230"/>
      <x v="1089"/>
    </i>
    <i r="1">
      <x v="1608"/>
      <x v="71"/>
      <x v="733"/>
      <x v="73"/>
      <x v="993"/>
      <x v="1572"/>
    </i>
    <i r="1">
      <x v="1612"/>
      <x v="93"/>
      <x v="1380"/>
      <x v="78"/>
      <x v="197"/>
      <x v="1876"/>
    </i>
    <i r="1">
      <x v="1634"/>
      <x v="120"/>
      <x v="1591"/>
      <x v="73"/>
      <x v="337"/>
      <x v="1195"/>
    </i>
    <i r="1">
      <x v="1638"/>
      <x v="151"/>
      <x v="736"/>
      <x v="78"/>
      <x v="1310"/>
      <x v="842"/>
    </i>
    <i r="1">
      <x v="1688"/>
      <x v="54"/>
      <x v="374"/>
      <x v="57"/>
      <x v="360"/>
      <x v="568"/>
    </i>
    <i>
      <x v="110"/>
      <x v="445"/>
      <x v="133"/>
      <x v="1367"/>
      <x v="83"/>
      <x v="1310"/>
      <x v="1742"/>
    </i>
    <i r="1">
      <x v="650"/>
      <x v="131"/>
      <x v="1745"/>
      <x v="55"/>
      <x v="248"/>
      <x v="1719"/>
    </i>
    <i r="1">
      <x v="725"/>
      <x v="58"/>
      <x v="156"/>
      <x v="51"/>
      <x v="363"/>
      <x v="177"/>
    </i>
    <i r="1">
      <x v="1103"/>
      <x v="54"/>
      <x v="345"/>
      <x v="57"/>
      <x v="137"/>
      <x v="589"/>
    </i>
    <i r="1">
      <x v="1189"/>
      <x v="5"/>
      <x v="518"/>
      <x v="67"/>
      <x v="633"/>
      <x v="585"/>
    </i>
    <i r="1">
      <x v="1441"/>
      <x v="158"/>
      <x v="1967"/>
      <x v="19"/>
      <x v="140"/>
      <x v="1321"/>
    </i>
    <i r="1">
      <x v="1495"/>
      <x v="6"/>
      <x v="35"/>
      <x v="53"/>
      <x v="146"/>
      <x v="62"/>
    </i>
    <i r="1">
      <x v="1594"/>
      <x v="97"/>
      <x v="1384"/>
      <x v="62"/>
      <x v="1071"/>
      <x v="1208"/>
    </i>
    <i r="1">
      <x v="1724"/>
      <x v="78"/>
      <x v="979"/>
      <x v="46"/>
      <x v="288"/>
      <x v="967"/>
    </i>
    <i>
      <x v="111"/>
      <x v="860"/>
      <x v="24"/>
      <x v="148"/>
      <x v="69"/>
      <x v="865"/>
      <x v="781"/>
    </i>
    <i r="1">
      <x v="1131"/>
      <x v="156"/>
      <x v="1940"/>
      <x v="115"/>
      <x v="794"/>
      <x v="1917"/>
    </i>
    <i r="1">
      <x v="1438"/>
      <x v="98"/>
      <x v="1796"/>
      <x v="78"/>
      <x v="1310"/>
      <x v="1825"/>
    </i>
    <i r="1">
      <x v="1541"/>
      <x v="55"/>
      <x v="521"/>
      <x v="47"/>
      <x v="1310"/>
      <x v="672"/>
    </i>
    <i>
      <x v="112"/>
      <x v="300"/>
      <x v="38"/>
      <x v="183"/>
      <x v="28"/>
      <x v="943"/>
      <x v="601"/>
    </i>
    <i r="1">
      <x v="316"/>
      <x v="56"/>
      <x v="428"/>
      <x v="68"/>
      <x v="1029"/>
      <x v="1245"/>
    </i>
    <i r="1">
      <x v="1210"/>
      <x v="49"/>
      <x v="291"/>
      <x v="73"/>
      <x v="250"/>
      <x v="1938"/>
    </i>
    <i>
      <x v="113"/>
      <x v="308"/>
      <x v="146"/>
      <x v="1799"/>
      <x v="54"/>
      <x v="855"/>
      <x v="1181"/>
    </i>
    <i r="1">
      <x v="984"/>
      <x v="20"/>
      <x v="1137"/>
      <x v="37"/>
      <x v="1141"/>
      <x v="1845"/>
    </i>
    <i r="1">
      <x v="1606"/>
      <x v="56"/>
      <x v="424"/>
      <x v="68"/>
      <x v="1124"/>
      <x v="690"/>
    </i>
    <i r="1">
      <x v="1618"/>
      <x v="91"/>
      <x v="608"/>
      <x v="48"/>
      <x v="229"/>
      <x v="1099"/>
    </i>
    <i r="1">
      <x v="1685"/>
      <x v="148"/>
      <x v="1901"/>
      <x v="73"/>
      <x v="1310"/>
      <x v="380"/>
    </i>
    <i r="1">
      <x v="1702"/>
      <x v="146"/>
      <x v="1809"/>
      <x v="67"/>
      <x v="1310"/>
      <x v="2024"/>
    </i>
    <i>
      <x v="114"/>
      <x v="198"/>
      <x v="144"/>
      <x v="1786"/>
      <x v="58"/>
      <x v="442"/>
      <x v="1016"/>
    </i>
    <i>
      <x v="115"/>
      <x/>
      <x v="109"/>
      <x v="1466"/>
      <x v="132"/>
      <x v="542"/>
      <x v="1294"/>
    </i>
    <i r="1">
      <x v="631"/>
      <x v="78"/>
      <x v="875"/>
      <x v="122"/>
      <x v="385"/>
      <x v="1369"/>
    </i>
    <i>
      <x v="116"/>
      <x v="999"/>
      <x v="56"/>
      <x v="457"/>
      <x v="68"/>
      <x v="850"/>
      <x v="180"/>
    </i>
    <i>
      <x v="117"/>
      <x v="496"/>
      <x v="146"/>
      <x v="1801"/>
      <x v="33"/>
      <x v="202"/>
      <x v="97"/>
    </i>
    <i>
      <x v="118"/>
      <x v="332"/>
      <x v="11"/>
      <x v="90"/>
      <x v="69"/>
      <x v="64"/>
      <x v="143"/>
    </i>
    <i r="1">
      <x v="675"/>
      <x v="124"/>
      <x v="1631"/>
      <x v="66"/>
      <x v="171"/>
      <x v="139"/>
    </i>
    <i r="1">
      <x v="784"/>
      <x v="56"/>
      <x v="426"/>
      <x v="63"/>
      <x v="807"/>
      <x v="1116"/>
    </i>
    <i r="1">
      <x v="944"/>
      <x v="91"/>
      <x v="611"/>
      <x v="48"/>
      <x v="14"/>
      <x v="128"/>
    </i>
    <i r="1">
      <x v="1653"/>
      <x v="78"/>
      <x v="829"/>
      <x v="58"/>
      <x v="75"/>
      <x v="142"/>
    </i>
    <i>
      <x v="119"/>
      <x v="673"/>
      <x v="146"/>
      <x v="1830"/>
      <x v="33"/>
      <x v="646"/>
      <x v="1518"/>
    </i>
    <i>
      <x v="120"/>
      <x v="660"/>
      <x v="64"/>
      <x v="701"/>
      <x v="73"/>
      <x v="187"/>
      <x v="776"/>
    </i>
    <i r="1">
      <x v="702"/>
      <x v="125"/>
      <x v="60"/>
      <x v="48"/>
      <x v="225"/>
      <x v="347"/>
    </i>
    <i r="1">
      <x v="1450"/>
      <x v="20"/>
      <x v="127"/>
      <x v="86"/>
      <x v="91"/>
      <x v="162"/>
    </i>
    <i>
      <x v="121"/>
      <x/>
      <x v="100"/>
      <x v="712"/>
      <x v="73"/>
      <x v="1310"/>
      <x v="918"/>
    </i>
    <i r="2">
      <x v="109"/>
      <x v="1472"/>
      <x v="43"/>
      <x v="291"/>
      <x v="45"/>
    </i>
    <i r="1">
      <x v="83"/>
      <x v="14"/>
      <x v="99"/>
      <x v="73"/>
      <x v="26"/>
      <x v="53"/>
    </i>
    <i r="1">
      <x v="266"/>
      <x v="126"/>
      <x v="1712"/>
      <x v="19"/>
      <x v="176"/>
      <x v="1094"/>
    </i>
    <i r="1">
      <x v="512"/>
      <x v="64"/>
      <x v="703"/>
      <x v="48"/>
      <x v="307"/>
      <x v="746"/>
    </i>
    <i r="1">
      <x v="643"/>
      <x v="141"/>
      <x v="1783"/>
      <x v="73"/>
      <x v="1310"/>
      <x v="1546"/>
    </i>
    <i r="1">
      <x v="953"/>
      <x v="91"/>
      <x v="684"/>
      <x v="48"/>
      <x v="97"/>
      <x v="786"/>
    </i>
    <i r="1">
      <x v="1051"/>
      <x v="89"/>
      <x v="1346"/>
      <x v="124"/>
      <x v="102"/>
      <x v="1738"/>
    </i>
    <i r="1">
      <x v="1068"/>
      <x v="54"/>
      <x v="365"/>
      <x v="57"/>
      <x v="814"/>
      <x v="649"/>
    </i>
    <i r="1">
      <x v="1485"/>
      <x v="11"/>
      <x v="89"/>
      <x v="47"/>
      <x v="138"/>
      <x v="1196"/>
    </i>
    <i r="1">
      <x v="1558"/>
      <x v="52"/>
      <x v="132"/>
      <x v="85"/>
      <x v="296"/>
      <x v="147"/>
    </i>
    <i r="1">
      <x v="1632"/>
      <x v="122"/>
      <x v="1732"/>
      <x v="73"/>
      <x v="448"/>
      <x v="1662"/>
    </i>
    <i r="1">
      <x v="1661"/>
      <x v="56"/>
      <x v="429"/>
      <x v="73"/>
      <x v="196"/>
      <x v="901"/>
    </i>
    <i r="1">
      <x v="1734"/>
      <x v="11"/>
      <x v="81"/>
      <x v="57"/>
      <x v="112"/>
      <x v="349"/>
    </i>
    <i r="1">
      <x v="1736"/>
      <x v="66"/>
      <x v="710"/>
      <x v="73"/>
      <x v="1310"/>
      <x v="764"/>
    </i>
    <i>
      <x v="122"/>
      <x v="410"/>
      <x v="51"/>
      <x v="301"/>
      <x v="73"/>
      <x v="51"/>
      <x v="1166"/>
    </i>
    <i r="1">
      <x v="792"/>
      <x v="3"/>
      <x v="23"/>
      <x v="74"/>
      <x v="41"/>
      <x v="2021"/>
    </i>
    <i r="1">
      <x v="1035"/>
      <x v="11"/>
      <x v="88"/>
      <x v="73"/>
      <x v="37"/>
      <x v="221"/>
    </i>
    <i r="1">
      <x v="1340"/>
      <x v="24"/>
      <x v="144"/>
      <x v="40"/>
      <x v="166"/>
      <x v="1748"/>
    </i>
    <i r="1">
      <x v="1670"/>
      <x v="16"/>
      <x v="151"/>
      <x v="77"/>
      <x v="30"/>
      <x v="164"/>
    </i>
    <i>
      <x v="123"/>
      <x v="651"/>
      <x v="120"/>
      <x v="1592"/>
      <x v="73"/>
      <x v="56"/>
      <x v="111"/>
    </i>
    <i r="1">
      <x v="954"/>
      <x v="146"/>
      <x v="1810"/>
      <x v="63"/>
      <x v="227"/>
      <x v="125"/>
    </i>
    <i r="1">
      <x v="1744"/>
      <x v="73"/>
      <x v="728"/>
      <x v="77"/>
      <x v="1310"/>
      <x v="840"/>
    </i>
    <i>
      <x v="124"/>
      <x v="645"/>
      <x v="20"/>
      <x v="1069"/>
      <x v="41"/>
      <x v="423"/>
      <x v="992"/>
    </i>
    <i>
      <x v="125"/>
      <x v="1507"/>
      <x v="56"/>
      <x v="415"/>
      <x v="68"/>
      <x v="799"/>
      <x v="627"/>
    </i>
    <i>
      <x v="126"/>
      <x/>
      <x v="109"/>
      <x v="1475"/>
      <x v="56"/>
      <x v="1310"/>
      <x v="2"/>
    </i>
    <i r="3">
      <x v="1477"/>
      <x v="48"/>
      <x v="194"/>
      <x v="1279"/>
    </i>
    <i r="1">
      <x v="1414"/>
      <x v="64"/>
      <x v="697"/>
      <x v="73"/>
      <x v="1310"/>
      <x v="731"/>
    </i>
    <i r="1">
      <x v="1547"/>
      <x v="45"/>
      <x v="285"/>
      <x v="58"/>
      <x v="431"/>
      <x v="1134"/>
    </i>
    <i r="1">
      <x v="1565"/>
      <x v="52"/>
      <x v="520"/>
      <x v="68"/>
      <x v="1310"/>
      <x v="1703"/>
    </i>
    <i r="1">
      <x v="1581"/>
      <x v="95"/>
      <x v="998"/>
      <x v="43"/>
      <x v="768"/>
      <x v="790"/>
    </i>
    <i r="1">
      <x v="1613"/>
      <x v="91"/>
      <x v="624"/>
      <x v="48"/>
      <x v="71"/>
      <x v="396"/>
    </i>
    <i r="1">
      <x v="1647"/>
      <x v="7"/>
      <x v="1756"/>
      <x v="58"/>
      <x v="1310"/>
      <x v="2027"/>
    </i>
    <i>
      <x v="127"/>
      <x v="532"/>
      <x v="20"/>
      <x v="1070"/>
      <x v="41"/>
      <x v="564"/>
      <x v="1533"/>
    </i>
    <i>
      <x v="128"/>
      <x v="313"/>
      <x v="20"/>
      <x v="1071"/>
      <x v="41"/>
      <x v="1223"/>
      <x v="1108"/>
    </i>
    <i>
      <x v="129"/>
      <x v="263"/>
      <x v="91"/>
      <x v="619"/>
      <x v="63"/>
      <x v="1151"/>
      <x v="226"/>
    </i>
    <i>
      <x v="130"/>
      <x v="159"/>
      <x v="56"/>
      <x v="455"/>
      <x v="58"/>
      <x v="306"/>
      <x v="209"/>
    </i>
    <i r="1">
      <x v="251"/>
      <x v="51"/>
      <x v="305"/>
      <x v="58"/>
      <x v="220"/>
      <x v="787"/>
    </i>
    <i r="1">
      <x v="321"/>
      <x v="91"/>
      <x v="620"/>
      <x v="48"/>
      <x v="259"/>
      <x v="170"/>
    </i>
    <i r="1">
      <x v="464"/>
      <x v="20"/>
      <x v="1032"/>
      <x v="45"/>
      <x v="274"/>
      <x v="885"/>
    </i>
    <i r="1">
      <x v="1484"/>
      <x v="121"/>
      <x v="1624"/>
      <x v="92"/>
      <x v="52"/>
      <x v="1839"/>
    </i>
    <i>
      <x v="131"/>
      <x v="610"/>
      <x v="91"/>
      <x v="678"/>
      <x v="63"/>
      <x v="98"/>
      <x v="1633"/>
    </i>
    <i r="1">
      <x v="793"/>
      <x v="91"/>
      <x v="623"/>
      <x v="48"/>
      <x v="123"/>
      <x v="382"/>
    </i>
    <i r="1">
      <x v="931"/>
      <x v="52"/>
      <x v="123"/>
      <x v="83"/>
      <x v="22"/>
      <x v="122"/>
    </i>
    <i r="1">
      <x v="1188"/>
      <x v="56"/>
      <x v="477"/>
      <x v="83"/>
      <x v="18"/>
      <x v="231"/>
    </i>
    <i r="1">
      <x v="1193"/>
      <x v="146"/>
      <x v="1805"/>
      <x v="48"/>
      <x v="6"/>
      <x v="251"/>
    </i>
    <i r="1">
      <x v="1370"/>
      <x v="58"/>
      <x v="522"/>
      <x v="48"/>
      <x v="29"/>
      <x v="173"/>
    </i>
    <i r="1">
      <x v="1442"/>
      <x v="135"/>
      <x v="1637"/>
      <x v="57"/>
      <x v="48"/>
      <x v="744"/>
    </i>
    <i r="1">
      <x v="1514"/>
      <x v="38"/>
      <x v="179"/>
      <x v="43"/>
      <x v="1310"/>
      <x v="1213"/>
    </i>
    <i r="1">
      <x v="1588"/>
      <x v="78"/>
      <x v="830"/>
      <x v="58"/>
      <x v="19"/>
      <x v="1547"/>
    </i>
    <i r="1">
      <x v="1625"/>
      <x v="152"/>
      <x v="1935"/>
      <x v="83"/>
      <x v="1310"/>
      <x v="160"/>
    </i>
    <i r="1">
      <x v="1740"/>
      <x v="11"/>
      <x v="83"/>
      <x v="57"/>
      <x v="172"/>
      <x v="119"/>
    </i>
    <i>
      <x v="132"/>
      <x v="343"/>
      <x v="51"/>
      <x v="307"/>
      <x v="73"/>
      <x v="111"/>
      <x v="923"/>
    </i>
    <i>
      <x v="133"/>
      <x v="329"/>
      <x v="146"/>
      <x v="1829"/>
      <x v="57"/>
      <x v="705"/>
      <x v="1471"/>
    </i>
    <i>
      <x v="134"/>
      <x v="271"/>
      <x v="20"/>
      <x v="1072"/>
      <x v="41"/>
      <x v="1264"/>
      <x v="988"/>
    </i>
    <i>
      <x v="135"/>
      <x v="523"/>
      <x v="78"/>
      <x v="890"/>
      <x v="53"/>
      <x v="308"/>
      <x v="464"/>
    </i>
    <i r="1">
      <x v="914"/>
      <x v="64"/>
      <x v="699"/>
      <x v="73"/>
      <x v="343"/>
      <x v="768"/>
    </i>
    <i r="1">
      <x v="915"/>
      <x v="91"/>
      <x v="616"/>
      <x v="48"/>
      <x v="72"/>
      <x v="239"/>
    </i>
    <i r="1">
      <x v="1018"/>
      <x v="146"/>
      <x v="1808"/>
      <x v="53"/>
      <x v="335"/>
      <x v="493"/>
    </i>
    <i r="1">
      <x v="1631"/>
      <x v="95"/>
      <x v="994"/>
      <x v="43"/>
      <x v="683"/>
      <x v="1249"/>
    </i>
    <i r="1">
      <x v="1639"/>
      <x v="78"/>
      <x v="889"/>
      <x v="37"/>
      <x v="561"/>
      <x v="729"/>
    </i>
    <i>
      <x v="136"/>
      <x/>
      <x v="151"/>
      <x v="1933"/>
      <x v="47"/>
      <x v="793"/>
      <x v="1910"/>
    </i>
    <i r="1">
      <x v="199"/>
      <x v="147"/>
      <x v="1861"/>
      <x v="25"/>
      <x v="1129"/>
      <x v="1915"/>
    </i>
    <i r="1">
      <x v="427"/>
      <x v="126"/>
      <x v="1705"/>
      <x v="43"/>
      <x v="1059"/>
      <x v="371"/>
    </i>
    <i r="1">
      <x v="700"/>
      <x v="28"/>
      <x v="1603"/>
      <x v="13"/>
      <x v="1165"/>
      <x v="1565"/>
    </i>
    <i r="1">
      <x v="1140"/>
      <x v="56"/>
      <x v="475"/>
      <x v="58"/>
      <x v="1081"/>
      <x v="592"/>
    </i>
    <i r="1">
      <x v="1298"/>
      <x v="44"/>
      <x v="2008"/>
      <x v="19"/>
      <x v="1197"/>
      <x v="793"/>
    </i>
    <i>
      <x v="137"/>
      <x v="876"/>
      <x v="75"/>
      <x v="824"/>
      <x v="78"/>
      <x v="298"/>
      <x v="1939"/>
    </i>
    <i r="1">
      <x v="1352"/>
      <x v="154"/>
      <x v="1937"/>
      <x v="63"/>
      <x v="1310"/>
      <x v="1797"/>
    </i>
    <i r="1">
      <x v="1549"/>
      <x v="86"/>
      <x v="1404"/>
      <x v="95"/>
      <x v="745"/>
      <x v="1269"/>
    </i>
    <i>
      <x v="138"/>
      <x v="96"/>
      <x v="147"/>
      <x v="1849"/>
      <x v="10"/>
      <x v="552"/>
      <x v="1898"/>
    </i>
    <i r="1">
      <x v="164"/>
      <x v="40"/>
      <x v="197"/>
      <x v="29"/>
      <x v="867"/>
      <x v="288"/>
    </i>
    <i>
      <x v="139"/>
      <x v="19"/>
      <x v="147"/>
      <x v="1890"/>
      <x v="7"/>
      <x v="752"/>
      <x v="1913"/>
    </i>
    <i r="1">
      <x v="28"/>
      <x v="147"/>
      <x v="1848"/>
      <x v="7"/>
      <x v="789"/>
      <x v="1847"/>
    </i>
    <i r="1">
      <x v="32"/>
      <x v="20"/>
      <x v="1014"/>
      <x v="8"/>
      <x v="733"/>
      <x v="994"/>
    </i>
    <i r="1">
      <x v="162"/>
      <x v="20"/>
      <x v="1101"/>
      <x v="30"/>
      <x v="751"/>
      <x v="14"/>
    </i>
    <i r="1">
      <x v="181"/>
      <x v="147"/>
      <x v="1860"/>
      <x v="19"/>
      <x v="678"/>
      <x v="1862"/>
    </i>
    <i r="1">
      <x v="204"/>
      <x v="147"/>
      <x v="1844"/>
      <x v="11"/>
      <x v="688"/>
      <x v="1894"/>
    </i>
    <i r="1">
      <x v="255"/>
      <x v="126"/>
      <x v="1657"/>
      <x v="28"/>
      <x v="830"/>
      <x v="247"/>
    </i>
    <i r="1">
      <x v="397"/>
      <x v="56"/>
      <x v="431"/>
      <x v="68"/>
      <x v="154"/>
      <x v="676"/>
    </i>
    <i r="1">
      <x v="420"/>
      <x v="78"/>
      <x v="882"/>
      <x v="54"/>
      <x v="1114"/>
      <x v="1308"/>
    </i>
    <i r="1">
      <x v="430"/>
      <x v="96"/>
      <x v="502"/>
      <x v="45"/>
      <x v="875"/>
      <x v="928"/>
    </i>
    <i r="1">
      <x v="467"/>
      <x v="158"/>
      <x v="1964"/>
      <x v="56"/>
      <x v="980"/>
      <x v="326"/>
    </i>
    <i r="1">
      <x v="506"/>
      <x v="150"/>
      <x v="1925"/>
      <x v="57"/>
      <x v="971"/>
      <x v="1860"/>
    </i>
    <i r="1">
      <x v="590"/>
      <x v="20"/>
      <x v="1086"/>
      <x v="14"/>
      <x v="1012"/>
      <x v="883"/>
    </i>
    <i r="1">
      <x v="672"/>
      <x v="10"/>
      <x v="74"/>
      <x v="37"/>
      <x v="689"/>
      <x v="1410"/>
    </i>
    <i r="1">
      <x v="678"/>
      <x v="56"/>
      <x v="394"/>
      <x v="102"/>
      <x v="718"/>
      <x v="878"/>
    </i>
    <i r="1">
      <x v="742"/>
      <x v="36"/>
      <x v="175"/>
      <x v="63"/>
      <x v="643"/>
      <x v="309"/>
    </i>
    <i r="1">
      <x v="810"/>
      <x v="44"/>
      <x v="2007"/>
      <x v="39"/>
      <x v="868"/>
      <x v="256"/>
    </i>
    <i r="1">
      <x v="839"/>
      <x v="20"/>
      <x v="1023"/>
      <x v="33"/>
      <x v="860"/>
      <x v="792"/>
    </i>
    <i r="1">
      <x v="853"/>
      <x v="13"/>
      <x v="826"/>
      <x v="63"/>
      <x v="710"/>
      <x v="853"/>
    </i>
    <i r="1">
      <x v="879"/>
      <x v="78"/>
      <x v="880"/>
      <x v="53"/>
      <x v="609"/>
      <x v="924"/>
    </i>
    <i r="1">
      <x v="983"/>
      <x v="96"/>
      <x v="501"/>
      <x v="45"/>
      <x v="994"/>
      <x v="930"/>
    </i>
    <i r="1">
      <x v="1026"/>
      <x v="96"/>
      <x v="500"/>
      <x v="45"/>
      <x v="957"/>
      <x v="927"/>
    </i>
    <i r="1">
      <x v="1040"/>
      <x v="146"/>
      <x v="1822"/>
      <x v="56"/>
      <x v="1055"/>
      <x v="1186"/>
    </i>
    <i r="1">
      <x v="1044"/>
      <x v="3"/>
      <x v="11"/>
      <x v="105"/>
      <x v="527"/>
      <x v="3"/>
    </i>
    <i r="1">
      <x v="1271"/>
      <x v="82"/>
      <x v="1281"/>
      <x v="24"/>
      <x v="876"/>
      <x v="1034"/>
    </i>
    <i r="1">
      <x v="1309"/>
      <x v="43"/>
      <x v="275"/>
      <x v="53"/>
      <x v="804"/>
      <x v="345"/>
    </i>
    <i r="1">
      <x v="1443"/>
      <x v="117"/>
      <x v="1576"/>
      <x v="78"/>
      <x v="134"/>
      <x v="926"/>
    </i>
    <i r="1">
      <x v="1444"/>
      <x v="15"/>
      <x v="104"/>
      <x v="120"/>
      <x v="663"/>
      <x v="362"/>
    </i>
    <i r="1">
      <x v="1609"/>
      <x v="132"/>
      <x v="716"/>
      <x v="27"/>
      <x v="1118"/>
      <x v="1503"/>
    </i>
    <i r="1">
      <x v="1677"/>
      <x v="39"/>
      <x v="187"/>
      <x v="48"/>
      <x v="859"/>
      <x v="323"/>
    </i>
    <i>
      <x v="140"/>
      <x v="1083"/>
      <x v="82"/>
      <x v="1301"/>
      <x v="53"/>
      <x v="316"/>
      <x v="1035"/>
    </i>
    <i>
      <x v="141"/>
      <x v="1204"/>
      <x v="80"/>
      <x v="1258"/>
      <x v="58"/>
      <x v="361"/>
      <x v="1711"/>
    </i>
    <i r="1">
      <x v="1275"/>
      <x v="47"/>
      <x v="290"/>
      <x v="73"/>
      <x v="162"/>
      <x v="463"/>
    </i>
    <i>
      <x v="142"/>
      <x v="1064"/>
      <x v="56"/>
      <x v="401"/>
      <x v="63"/>
      <x v="110"/>
      <x v="562"/>
    </i>
    <i>
      <x v="143"/>
      <x v="1589"/>
      <x v="11"/>
      <x v="84"/>
      <x v="67"/>
      <x v="59"/>
      <x v="1947"/>
    </i>
    <i>
      <x v="144"/>
      <x v="167"/>
      <x v="147"/>
      <x v="1854"/>
      <x v="11"/>
      <x v="712"/>
      <x v="1875"/>
    </i>
    <i r="1">
      <x v="392"/>
      <x v="126"/>
      <x v="1652"/>
      <x v="57"/>
      <x v="617"/>
      <x v="1531"/>
    </i>
    <i r="1">
      <x v="443"/>
      <x v="44"/>
      <x v="2004"/>
      <x v="9"/>
      <x v="709"/>
      <x v="791"/>
    </i>
    <i r="1">
      <x v="1081"/>
      <x v="158"/>
      <x v="1965"/>
      <x v="56"/>
      <x v="575"/>
      <x v="338"/>
    </i>
    <i>
      <x v="145"/>
      <x v="217"/>
      <x v="20"/>
      <x v="1073"/>
      <x v="41"/>
      <x v="906"/>
      <x v="989"/>
    </i>
    <i r="1">
      <x v="712"/>
      <x v="36"/>
      <x v="174"/>
      <x v="62"/>
      <x v="804"/>
      <x v="295"/>
    </i>
    <i>
      <x v="146"/>
      <x v="279"/>
      <x v="14"/>
      <x v="97"/>
      <x v="73"/>
      <x v="15"/>
      <x v="51"/>
    </i>
    <i r="1">
      <x v="1284"/>
      <x v="52"/>
      <x v="152"/>
      <x v="73"/>
      <x v="650"/>
      <x v="1092"/>
    </i>
    <i r="1">
      <x v="1717"/>
      <x v="121"/>
      <x v="1625"/>
      <x v="92"/>
      <x v="5"/>
      <x v="1849"/>
    </i>
    <i>
      <x v="147"/>
      <x v="188"/>
      <x v="14"/>
      <x v="98"/>
      <x v="73"/>
      <x v="32"/>
      <x v="52"/>
    </i>
    <i r="1">
      <x v="639"/>
      <x v="20"/>
      <x v="1066"/>
      <x v="45"/>
      <x v="65"/>
      <x v="855"/>
    </i>
    <i r="1">
      <x v="714"/>
      <x v="91"/>
      <x v="629"/>
      <x v="48"/>
      <x v="78"/>
      <x v="754"/>
    </i>
    <i r="1">
      <x v="1419"/>
      <x v="58"/>
      <x v="547"/>
      <x v="48"/>
      <x v="87"/>
      <x v="806"/>
    </i>
    <i>
      <x v="148"/>
      <x v="77"/>
      <x v="146"/>
      <x v="1811"/>
      <x v="50"/>
      <x v="903"/>
      <x v="735"/>
    </i>
    <i r="1">
      <x v="172"/>
      <x v="146"/>
      <x v="1816"/>
      <x v="51"/>
      <x v="649"/>
      <x v="737"/>
    </i>
    <i r="1">
      <x v="472"/>
      <x v="20"/>
      <x v="1139"/>
      <x v="37"/>
      <x v="1015"/>
      <x v="1491"/>
    </i>
    <i r="1">
      <x v="663"/>
      <x v="123"/>
      <x v="1733"/>
      <x v="48"/>
      <x v="907"/>
      <x v="1588"/>
    </i>
    <i r="1">
      <x v="855"/>
      <x v="123"/>
      <x v="1734"/>
      <x v="48"/>
      <x v="969"/>
      <x v="1587"/>
    </i>
    <i r="1">
      <x v="937"/>
      <x v="144"/>
      <x v="1785"/>
      <x v="58"/>
      <x v="864"/>
      <x v="756"/>
    </i>
    <i r="1">
      <x v="1127"/>
      <x v="91"/>
      <x v="630"/>
      <x v="63"/>
      <x v="764"/>
      <x v="757"/>
    </i>
    <i r="1">
      <x v="1727"/>
      <x v="11"/>
      <x v="87"/>
      <x v="47"/>
      <x v="589"/>
      <x v="1018"/>
    </i>
    <i>
      <x v="149"/>
      <x v="198"/>
      <x v="20"/>
      <x v="1074"/>
      <x v="41"/>
      <x v="833"/>
      <x v="990"/>
    </i>
    <i r="1">
      <x v="1554"/>
      <x v="20"/>
      <x v="125"/>
      <x v="83"/>
      <x v="244"/>
      <x v="146"/>
    </i>
    <i r="1">
      <x v="1693"/>
      <x v="116"/>
      <x v="92"/>
      <x v="88"/>
      <x v="575"/>
      <x v="47"/>
    </i>
    <i>
      <x v="150"/>
      <x/>
      <x v="56"/>
      <x v="427"/>
      <x v="68"/>
      <x v="285"/>
      <x v="1147"/>
    </i>
    <i>
      <x v="151"/>
      <x v="661"/>
      <x v="91"/>
      <x v="683"/>
      <x v="66"/>
      <x v="158"/>
      <x v="393"/>
    </i>
    <i r="1">
      <x v="1519"/>
      <x v="54"/>
      <x v="341"/>
      <x v="37"/>
      <x v="241"/>
      <x v="555"/>
    </i>
    <i>
      <x v="152"/>
      <x v="720"/>
      <x v="52"/>
      <x v="1584"/>
      <x v="66"/>
      <x v="177"/>
      <x v="830"/>
    </i>
    <i r="1">
      <x v="1365"/>
      <x v="64"/>
      <x v="698"/>
      <x v="73"/>
      <x v="1310"/>
      <x v="734"/>
    </i>
    <i>
      <x v="153"/>
      <x v="1289"/>
      <x v="38"/>
      <x v="180"/>
      <x v="43"/>
      <x v="640"/>
      <x v="232"/>
    </i>
    <i r="1">
      <x v="1508"/>
      <x v="135"/>
      <x v="1642"/>
      <x v="73"/>
      <x v="502"/>
      <x v="1762"/>
    </i>
    <i r="1">
      <x v="1577"/>
      <x v="125"/>
      <x v="63"/>
      <x v="63"/>
      <x v="535"/>
      <x v="1050"/>
    </i>
    <i>
      <x v="154"/>
      <x v="522"/>
      <x v="20"/>
      <x v="1075"/>
      <x v="41"/>
      <x v="780"/>
      <x v="526"/>
    </i>
    <i>
      <x v="155"/>
      <x/>
      <x v="109"/>
      <x v="1462"/>
      <x v="56"/>
      <x v="103"/>
      <x v="253"/>
    </i>
    <i r="1">
      <x v="154"/>
      <x v="20"/>
      <x v="1079"/>
      <x v="41"/>
      <x v="757"/>
      <x v="991"/>
    </i>
    <i r="1">
      <x v="187"/>
      <x v="20"/>
      <x v="1059"/>
      <x v="44"/>
      <x v="433"/>
      <x v="2002"/>
    </i>
    <i r="1">
      <x v="267"/>
      <x v="56"/>
      <x v="462"/>
      <x v="48"/>
      <x v="1093"/>
      <x v="1720"/>
    </i>
    <i r="1">
      <x v="330"/>
      <x v="91"/>
      <x v="617"/>
      <x v="66"/>
      <x v="73"/>
      <x v="218"/>
    </i>
    <i r="1">
      <x v="764"/>
      <x v="38"/>
      <x v="186"/>
      <x v="38"/>
      <x v="683"/>
      <x v="1441"/>
    </i>
    <i r="1">
      <x v="1046"/>
      <x v="74"/>
      <x v="763"/>
      <x v="68"/>
      <x v="251"/>
      <x v="1125"/>
    </i>
    <i r="1">
      <x v="1674"/>
      <x v="58"/>
      <x v="523"/>
      <x v="48"/>
      <x v="90"/>
      <x v="1951"/>
    </i>
    <i>
      <x v="156"/>
      <x/>
      <x v="109"/>
      <x v="1464"/>
      <x v="45"/>
      <x v="969"/>
      <x v="1749"/>
    </i>
    <i r="1">
      <x v="201"/>
      <x v="20"/>
      <x v="1076"/>
      <x v="41"/>
      <x v="991"/>
      <x v="880"/>
    </i>
    <i r="1">
      <x v="227"/>
      <x v="96"/>
      <x v="511"/>
      <x v="45"/>
      <x v="817"/>
      <x v="1211"/>
    </i>
    <i r="1">
      <x v="388"/>
      <x v="56"/>
      <x v="454"/>
      <x v="68"/>
      <x v="675"/>
      <x v="763"/>
    </i>
    <i r="1">
      <x v="498"/>
      <x v="126"/>
      <x v="1699"/>
      <x v="38"/>
      <x v="998"/>
      <x v="745"/>
    </i>
    <i r="1">
      <x v="1476"/>
      <x v="58"/>
      <x v="1336"/>
      <x v="38"/>
      <x v="1148"/>
      <x v="917"/>
    </i>
    <i r="1">
      <x v="1533"/>
      <x v="29"/>
      <x v="1329"/>
      <x v="77"/>
      <x v="972"/>
      <x v="1248"/>
    </i>
    <i r="1">
      <x v="1649"/>
      <x v="4"/>
      <x v="29"/>
      <x v="43"/>
      <x v="854"/>
      <x v="749"/>
    </i>
    <i>
      <x v="157"/>
      <x v="225"/>
      <x v="14"/>
      <x v="101"/>
      <x v="81"/>
      <x v="27"/>
      <x v="55"/>
    </i>
    <i r="1">
      <x v="354"/>
      <x v="120"/>
      <x v="1587"/>
      <x v="73"/>
      <x v="236"/>
      <x v="1152"/>
    </i>
    <i r="1">
      <x v="558"/>
      <x v="101"/>
      <x v="1403"/>
      <x v="46"/>
      <x v="63"/>
      <x v="1253"/>
    </i>
    <i r="1">
      <x v="1473"/>
      <x v="52"/>
      <x v="519"/>
      <x v="68"/>
      <x v="1310"/>
      <x v="1194"/>
    </i>
    <i r="1">
      <x v="1518"/>
      <x v="52"/>
      <x v="516"/>
      <x v="84"/>
      <x v="57"/>
      <x v="650"/>
    </i>
    <i>
      <x v="158"/>
      <x/>
      <x v="109"/>
      <x v="1468"/>
      <x v="63"/>
      <x v="70"/>
      <x v="215"/>
    </i>
    <i r="3">
      <x v="1476"/>
      <x v="56"/>
      <x v="61"/>
      <x v="1263"/>
    </i>
    <i r="1">
      <x v="490"/>
      <x v="11"/>
      <x v="86"/>
      <x v="63"/>
      <x v="35"/>
      <x v="841"/>
    </i>
    <i r="1">
      <x v="647"/>
      <x v="51"/>
      <x v="309"/>
      <x v="73"/>
      <x v="223"/>
      <x v="78"/>
    </i>
    <i>
      <x v="159"/>
      <x v="1185"/>
      <x v="51"/>
      <x v="1943"/>
      <x v="66"/>
      <x v="95"/>
      <x v="960"/>
    </i>
    <i r="1">
      <x v="1544"/>
      <x v="20"/>
      <x v="1005"/>
      <x v="45"/>
      <x v="985"/>
      <x v="847"/>
    </i>
    <i r="1">
      <x v="1714"/>
      <x v="120"/>
      <x v="1589"/>
      <x v="73"/>
      <x v="1310"/>
      <x v="175"/>
    </i>
    <i>
      <x v="160"/>
      <x v="297"/>
      <x v="20"/>
      <x v="1102"/>
      <x v="19"/>
      <x v="677"/>
      <x v="230"/>
    </i>
    <i r="1">
      <x v="629"/>
      <x v="146"/>
      <x v="1818"/>
      <x v="60"/>
      <x v="304"/>
      <x v="1630"/>
    </i>
    <i r="1">
      <x v="888"/>
      <x v="126"/>
      <x v="1658"/>
      <x v="19"/>
      <x v="699"/>
      <x v="1126"/>
    </i>
    <i r="1">
      <x v="1130"/>
      <x v="80"/>
      <x v="1259"/>
      <x v="58"/>
      <x v="877"/>
      <x v="1060"/>
    </i>
    <i r="1">
      <x v="1326"/>
      <x v="82"/>
      <x v="1294"/>
      <x v="47"/>
      <x v="1310"/>
      <x v="1726"/>
    </i>
    <i r="1">
      <x v="1635"/>
      <x v="20"/>
      <x v="124"/>
      <x v="68"/>
      <x v="574"/>
      <x v="108"/>
    </i>
    <i r="1">
      <x v="1707"/>
      <x v="71"/>
      <x v="731"/>
      <x v="28"/>
      <x v="1310"/>
      <x v="1228"/>
    </i>
    <i r="1">
      <x v="1721"/>
      <x v="135"/>
      <x v="730"/>
      <x v="63"/>
      <x v="264"/>
      <x v="216"/>
    </i>
    <i r="1">
      <x v="1739"/>
      <x v="127"/>
      <x v="1738"/>
      <x v="92"/>
      <x v="1310"/>
      <x v="1246"/>
    </i>
    <i>
      <x v="161"/>
      <x/>
      <x v="109"/>
      <x v="1502"/>
      <x v="56"/>
      <x v="1310"/>
      <x v="1734"/>
    </i>
    <i r="1">
      <x v="428"/>
      <x v="20"/>
      <x v="1077"/>
      <x v="41"/>
      <x v="1138"/>
      <x v="1200"/>
    </i>
    <i>
      <x v="162"/>
      <x v="1452"/>
      <x v="120"/>
      <x v="1593"/>
      <x v="73"/>
      <x v="86"/>
      <x v="1704"/>
    </i>
    <i r="1">
      <x v="1704"/>
      <x v="67"/>
      <x v="1632"/>
      <x v="66"/>
      <x v="97"/>
      <x v="1188"/>
    </i>
    <i r="1">
      <x v="1733"/>
      <x v="121"/>
      <x v="1626"/>
      <x v="92"/>
      <x v="99"/>
      <x v="1890"/>
    </i>
    <i>
      <x v="163"/>
      <x v="309"/>
      <x v="20"/>
      <x v="1141"/>
      <x v="37"/>
      <x v="1255"/>
      <x v="1307"/>
    </i>
    <i r="1">
      <x v="1415"/>
      <x v="146"/>
      <x v="1812"/>
      <x v="57"/>
      <x v="1310"/>
      <x v="752"/>
    </i>
    <i>
      <x v="164"/>
      <x v="912"/>
      <x v="107"/>
      <x v="1454"/>
      <x v="43"/>
      <x v="265"/>
      <x v="740"/>
    </i>
    <i>
      <x v="165"/>
      <x v="156"/>
      <x v="91"/>
      <x v="635"/>
      <x v="73"/>
      <x v="379"/>
      <x v="1121"/>
    </i>
    <i r="1">
      <x v="289"/>
      <x v="91"/>
      <x v="610"/>
      <x v="66"/>
      <x v="778"/>
      <x v="335"/>
    </i>
    <i r="1">
      <x v="433"/>
      <x v="20"/>
      <x v="1227"/>
      <x v="45"/>
      <x v="977"/>
      <x v="857"/>
    </i>
    <i r="1">
      <x v="582"/>
      <x v="29"/>
      <x v="1320"/>
      <x v="68"/>
      <x v="455"/>
      <x v="1063"/>
    </i>
    <i r="1">
      <x v="658"/>
      <x v="11"/>
      <x v="85"/>
      <x v="57"/>
      <x v="480"/>
      <x v="91"/>
    </i>
    <i r="1">
      <x v="1096"/>
      <x v="38"/>
      <x v="184"/>
      <x v="28"/>
      <x v="51"/>
      <x v="799"/>
    </i>
    <i r="1">
      <x v="1153"/>
      <x v="54"/>
      <x v="343"/>
      <x v="37"/>
      <x v="327"/>
      <x v="564"/>
    </i>
    <i r="1">
      <x v="1258"/>
      <x v="42"/>
      <x v="264"/>
      <x v="43"/>
      <x v="144"/>
      <x v="821"/>
    </i>
    <i r="1">
      <x v="1308"/>
      <x v="91"/>
      <x v="633"/>
      <x v="48"/>
      <x v="43"/>
      <x v="833"/>
    </i>
    <i r="1">
      <x v="1445"/>
      <x v="67"/>
      <x v="1635"/>
      <x v="66"/>
      <x v="614"/>
      <x v="1187"/>
    </i>
    <i r="1">
      <x v="1500"/>
      <x v="52"/>
      <x v="153"/>
      <x v="63"/>
      <x v="728"/>
      <x v="430"/>
    </i>
    <i r="1">
      <x v="1548"/>
      <x v="121"/>
      <x v="1627"/>
      <x v="92"/>
      <x v="1233"/>
      <x v="1837"/>
    </i>
    <i r="1">
      <x v="1600"/>
      <x v="95"/>
      <x v="995"/>
      <x v="43"/>
      <x v="752"/>
      <x v="217"/>
    </i>
    <i>
      <x v="166"/>
      <x v="127"/>
      <x v="96"/>
      <x v="505"/>
      <x v="44"/>
      <x v="1231"/>
      <x v="778"/>
    </i>
    <i r="1">
      <x v="229"/>
      <x v="126"/>
      <x v="1700"/>
      <x v="38"/>
      <x v="1226"/>
      <x v="755"/>
    </i>
    <i r="1">
      <x v="939"/>
      <x v="146"/>
      <x v="1825"/>
      <x v="47"/>
      <x v="1147"/>
      <x v="789"/>
    </i>
    <i r="1">
      <x v="1174"/>
      <x v="56"/>
      <x v="425"/>
      <x v="68"/>
      <x v="1288"/>
      <x v="696"/>
    </i>
    <i>
      <x v="167"/>
      <x v="304"/>
      <x v="91"/>
      <x v="686"/>
      <x v="67"/>
      <x v="128"/>
      <x v="1803"/>
    </i>
    <i r="1">
      <x v="413"/>
      <x v="52"/>
      <x v="1383"/>
      <x v="83"/>
      <x v="89"/>
      <x v="1805"/>
    </i>
    <i r="1">
      <x v="1215"/>
      <x v="146"/>
      <x v="1836"/>
      <x v="59"/>
      <x v="664"/>
      <x v="1218"/>
    </i>
    <i>
      <x v="168"/>
      <x v="1407"/>
      <x v="146"/>
      <x v="1826"/>
      <x v="58"/>
      <x v="546"/>
      <x v="229"/>
    </i>
    <i>
      <x v="169"/>
      <x v="952"/>
      <x v="20"/>
      <x v="1138"/>
      <x v="37"/>
      <x v="1229"/>
      <x v="597"/>
    </i>
    <i>
      <x v="170"/>
      <x v="1589"/>
      <x v="3"/>
      <x v="22"/>
      <x v="66"/>
      <x v="10"/>
      <x v="1362"/>
    </i>
    <i r="1">
      <x v="1683"/>
      <x v="42"/>
      <x v="267"/>
      <x v="63"/>
      <x v="1310"/>
      <x v="1189"/>
    </i>
    <i>
      <x v="171"/>
      <x v="545"/>
      <x v="146"/>
      <x v="1828"/>
      <x v="33"/>
      <x v="1090"/>
      <x v="1332"/>
    </i>
    <i>
      <x v="172"/>
      <x v="267"/>
      <x v="126"/>
      <x v="1650"/>
      <x v="48"/>
      <x v="931"/>
      <x v="1528"/>
    </i>
    <i r="1">
      <x v="504"/>
      <x v="96"/>
      <x v="499"/>
      <x v="43"/>
      <x v="997"/>
      <x v="759"/>
    </i>
    <i r="1">
      <x v="1343"/>
      <x v="10"/>
      <x v="112"/>
      <x v="16"/>
      <x v="903"/>
      <x v="74"/>
    </i>
    <i r="1">
      <x v="1347"/>
      <x v="54"/>
      <x v="367"/>
      <x v="57"/>
      <x v="999"/>
      <x v="673"/>
    </i>
    <i r="1">
      <x v="1361"/>
      <x v="24"/>
      <x v="147"/>
      <x v="57"/>
      <x v="1036"/>
      <x v="140"/>
    </i>
    <i r="1">
      <x v="1414"/>
      <x v="64"/>
      <x v="700"/>
      <x v="73"/>
      <x v="1310"/>
      <x v="760"/>
    </i>
    <i r="1">
      <x v="1708"/>
      <x v="51"/>
      <x v="308"/>
      <x v="73"/>
      <x v="94"/>
      <x v="817"/>
    </i>
    <i>
      <x v="173"/>
      <x v="195"/>
      <x v="20"/>
      <x v="1078"/>
      <x v="13"/>
      <x v="950"/>
      <x v="1465"/>
    </i>
    <i r="1">
      <x v="533"/>
      <x v="91"/>
      <x v="681"/>
      <x v="56"/>
      <x v="514"/>
      <x v="1687"/>
    </i>
    <i r="1">
      <x v="1290"/>
      <x v="135"/>
      <x v="1646"/>
      <x v="67"/>
      <x v="1160"/>
      <x v="1661"/>
    </i>
    <i>
      <x v="174"/>
      <x v="1604"/>
      <x v="20"/>
      <x v="1256"/>
      <x v="45"/>
      <x v="66"/>
      <x v="975"/>
    </i>
    <i>
      <x v="175"/>
      <x/>
      <x v="67"/>
      <x v="1636"/>
      <x v="136"/>
      <x v="1039"/>
      <x v="1705"/>
    </i>
    <i r="2">
      <x v="151"/>
      <x v="1927"/>
      <x v="57"/>
      <x v="164"/>
      <x v="1838"/>
    </i>
    <i r="1">
      <x v="166"/>
      <x v="20"/>
      <x v="1068"/>
      <x v="40"/>
      <x v="136"/>
      <x v="844"/>
    </i>
    <i r="1">
      <x v="248"/>
      <x v="78"/>
      <x v="980"/>
      <x v="67"/>
      <x v="69"/>
      <x v="1718"/>
    </i>
    <i r="1">
      <x v="307"/>
      <x v="78"/>
      <x v="983"/>
      <x v="59"/>
      <x v="55"/>
      <x v="1289"/>
    </i>
    <i r="1">
      <x v="598"/>
      <x v="56"/>
      <x v="416"/>
      <x v="60"/>
      <x v="291"/>
      <x v="534"/>
    </i>
    <i r="1">
      <x v="630"/>
      <x v="78"/>
      <x v="874"/>
      <x v="73"/>
      <x v="117"/>
      <x v="1280"/>
    </i>
    <i r="1">
      <x v="868"/>
      <x v="91"/>
      <x v="666"/>
      <x v="63"/>
      <x v="301"/>
      <x v="1498"/>
    </i>
    <i r="1">
      <x v="1358"/>
      <x v="54"/>
      <x v="339"/>
      <x v="37"/>
      <x v="126"/>
      <x v="681"/>
    </i>
    <i r="1">
      <x v="1561"/>
      <x v="91"/>
      <x v="679"/>
      <x v="48"/>
      <x v="116"/>
      <x v="1456"/>
    </i>
    <i r="1">
      <x v="1621"/>
      <x v="67"/>
      <x v="1636"/>
      <x v="77"/>
      <x v="1310"/>
      <x v="1635"/>
    </i>
    <i r="1">
      <x v="1652"/>
      <x v="91"/>
      <x v="688"/>
      <x v="48"/>
      <x v="224"/>
      <x v="1932"/>
    </i>
    <i r="1">
      <x v="1714"/>
      <x v="135"/>
      <x v="729"/>
      <x v="63"/>
      <x v="141"/>
      <x v="1591"/>
    </i>
    <i>
      <x v="176"/>
      <x v="265"/>
      <x v="52"/>
      <x v="1585"/>
      <x v="92"/>
      <x v="501"/>
      <x v="1501"/>
    </i>
    <i r="1">
      <x v="268"/>
      <x v="14"/>
      <x v="96"/>
      <x v="73"/>
      <x v="167"/>
      <x v="54"/>
    </i>
    <i r="1">
      <x v="556"/>
      <x v="20"/>
      <x v="1204"/>
      <x v="45"/>
      <x v="203"/>
      <x v="936"/>
    </i>
    <i r="1">
      <x v="594"/>
      <x v="14"/>
      <x v="2"/>
      <x v="64"/>
      <x v="173"/>
      <x v="1338"/>
    </i>
    <i r="1">
      <x v="626"/>
      <x v="56"/>
      <x v="451"/>
      <x v="63"/>
      <x v="334"/>
      <x v="1502"/>
    </i>
    <i r="1">
      <x v="1213"/>
      <x v="52"/>
      <x v="1583"/>
      <x v="66"/>
      <x v="199"/>
      <x v="1732"/>
    </i>
    <i r="1">
      <x v="1496"/>
      <x v="58"/>
      <x v="548"/>
      <x v="48"/>
      <x v="358"/>
      <x v="933"/>
    </i>
    <i r="1">
      <x v="1729"/>
      <x v="158"/>
      <x v="1945"/>
      <x v="43"/>
      <x v="1310"/>
      <x v="1936"/>
    </i>
    <i>
      <x v="177"/>
      <x v="113"/>
      <x v="146"/>
      <x v="1833"/>
      <x v="33"/>
      <x v="1111"/>
      <x v="1620"/>
    </i>
    <i>
      <x v="178"/>
      <x v="314"/>
      <x v="91"/>
      <x v="677"/>
      <x v="63"/>
      <x v="456"/>
      <x v="1595"/>
    </i>
    <i r="1">
      <x v="391"/>
      <x v="51"/>
      <x v="306"/>
      <x v="67"/>
      <x v="478"/>
      <x v="1596"/>
    </i>
    <i r="1">
      <x v="656"/>
      <x v="20"/>
      <x v="1144"/>
      <x v="37"/>
      <x v="459"/>
      <x v="1611"/>
    </i>
    <i>
      <x v="179"/>
      <x v="1401"/>
      <x v="54"/>
      <x v="340"/>
      <x v="37"/>
      <x v="161"/>
      <x v="546"/>
    </i>
    <i r="1">
      <x v="1687"/>
      <x v="38"/>
      <x v="182"/>
      <x v="43"/>
      <x v="47"/>
      <x v="120"/>
    </i>
    <i>
      <x v="180"/>
      <x v="542"/>
      <x v="14"/>
      <x v="102"/>
      <x v="73"/>
      <x v="189"/>
      <x v="56"/>
    </i>
    <i r="1">
      <x v="943"/>
      <x v="108"/>
      <x v="1461"/>
      <x v="73"/>
      <x v="168"/>
      <x v="1785"/>
    </i>
    <i>
      <x v="181"/>
      <x v="994"/>
      <x v="91"/>
      <x v="621"/>
      <x v="48"/>
      <x v="572"/>
      <x v="1889"/>
    </i>
    <i>
      <x v="182"/>
      <x v="907"/>
      <x v="146"/>
      <x v="1835"/>
      <x v="54"/>
      <x v="1079"/>
      <x v="1612"/>
    </i>
    <i>
      <x v="183"/>
      <x v="607"/>
      <x v="20"/>
      <x v="1080"/>
      <x v="41"/>
      <x v="1187"/>
      <x v="1934"/>
    </i>
    <i r="1">
      <x v="956"/>
      <x v="78"/>
      <x v="888"/>
      <x v="59"/>
      <x v="1055"/>
      <x v="244"/>
    </i>
    <i>
      <x v="184"/>
      <x v="1475"/>
      <x v="135"/>
      <x v="1643"/>
      <x v="67"/>
      <x v="1251"/>
      <x v="151"/>
    </i>
    <i>
      <x v="185"/>
      <x v="760"/>
      <x v="20"/>
      <x v="1081"/>
      <x v="41"/>
      <x v="1185"/>
      <x v="1059"/>
    </i>
    <i>
      <x v="186"/>
      <x v="462"/>
      <x v="146"/>
      <x v="1837"/>
      <x v="53"/>
      <x v="470"/>
      <x v="481"/>
    </i>
    <i r="1">
      <x v="563"/>
      <x v="91"/>
      <x v="687"/>
      <x v="48"/>
      <x v="412"/>
      <x v="809"/>
    </i>
    <i r="1">
      <x v="936"/>
      <x v="51"/>
      <x v="1944"/>
      <x v="73"/>
      <x v="509"/>
      <x v="725"/>
    </i>
    <i r="1">
      <x v="1080"/>
      <x v="120"/>
      <x v="1588"/>
      <x v="24"/>
      <x v="260"/>
      <x v="1209"/>
    </i>
    <i>
      <x v="187"/>
      <x v="306"/>
      <x v="78"/>
      <x v="944"/>
      <x v="55"/>
      <x v="618"/>
      <x v="192"/>
    </i>
    <i r="1">
      <x v="592"/>
      <x v="78"/>
      <x v="876"/>
      <x v="73"/>
      <x v="550"/>
      <x v="1313"/>
    </i>
    <i r="1">
      <x v="1552"/>
      <x v="91"/>
      <x v="615"/>
      <x v="48"/>
      <x v="735"/>
      <x v="49"/>
    </i>
    <i>
      <x v="188"/>
      <x v="833"/>
      <x v="91"/>
      <x v="652"/>
      <x v="56"/>
      <x v="1054"/>
      <x v="761"/>
    </i>
    <i>
      <x v="189"/>
      <x v="325"/>
      <x v="20"/>
      <x v="1145"/>
      <x v="49"/>
      <x v="1051"/>
      <x v="501"/>
    </i>
    <i r="1">
      <x v="1386"/>
      <x v="58"/>
      <x v="533"/>
      <x v="8"/>
      <x v="995"/>
      <x v="619"/>
    </i>
    <i>
      <x v="190"/>
      <x v="412"/>
      <x v="20"/>
      <x v="1082"/>
      <x v="88"/>
      <x v="721"/>
      <x v="915"/>
    </i>
    <i r="1">
      <x v="857"/>
      <x v="78"/>
      <x v="879"/>
      <x v="76"/>
      <x v="855"/>
      <x v="1311"/>
    </i>
    <i r="1">
      <x v="1070"/>
      <x v="56"/>
      <x v="422"/>
      <x v="78"/>
      <x v="766"/>
      <x v="1212"/>
    </i>
    <i>
      <x v="191"/>
      <x v="529"/>
      <x v="20"/>
      <x v="1147"/>
      <x v="79"/>
      <x v="917"/>
      <x v="1623"/>
    </i>
    <i>
      <x v="192"/>
      <x v="141"/>
      <x v="20"/>
      <x v="1146"/>
      <x v="67"/>
      <x v="888"/>
      <x v="911"/>
    </i>
    <i r="1">
      <x v="319"/>
      <x v="158"/>
      <x v="1968"/>
      <x v="82"/>
      <x v="763"/>
      <x v="450"/>
    </i>
    <i r="1">
      <x v="1126"/>
      <x v="58"/>
      <x v="534"/>
      <x v="18"/>
      <x v="823"/>
      <x v="620"/>
    </i>
    <i r="1">
      <x v="1574"/>
      <x v="158"/>
      <x v="1969"/>
      <x v="56"/>
      <x v="740"/>
      <x v="993"/>
    </i>
    <i>
      <x v="193"/>
      <x v="1012"/>
      <x v="146"/>
      <x v="1813"/>
      <x v="80"/>
      <x v="667"/>
      <x v="750"/>
    </i>
    <i>
      <x v="194"/>
      <x v="925"/>
      <x v="31"/>
      <x v="162"/>
      <x v="73"/>
      <x v="808"/>
      <x v="910"/>
    </i>
    <i>
      <x v="195"/>
      <x v="1539"/>
      <x v="52"/>
      <x v="1382"/>
      <x v="73"/>
      <x v="519"/>
      <x v="912"/>
    </i>
    <i>
      <x v="196"/>
      <x v="553"/>
      <x v="20"/>
      <x v="1148"/>
      <x v="57"/>
      <x v="767"/>
      <x v="424"/>
    </i>
    <i r="1">
      <x v="1014"/>
      <x v="146"/>
      <x v="1814"/>
      <x v="55"/>
      <x v="871"/>
      <x v="860"/>
    </i>
    <i>
      <x v="197"/>
      <x v="976"/>
      <x v="20"/>
      <x v="1155"/>
      <x v="49"/>
      <x v="557"/>
      <x v="426"/>
    </i>
    <i>
      <x v="198"/>
      <x v="705"/>
      <x v="20"/>
      <x v="1156"/>
      <x v="57"/>
      <x v="987"/>
      <x v="427"/>
    </i>
    <i r="1">
      <x v="1013"/>
      <x v="146"/>
      <x v="1815"/>
      <x v="60"/>
      <x v="408"/>
      <x v="944"/>
    </i>
    <i>
      <x v="199"/>
      <x v="747"/>
      <x v="14"/>
      <x v="100"/>
      <x v="47"/>
      <x v="210"/>
      <x v="1008"/>
    </i>
    <i r="1">
      <x v="791"/>
      <x v="51"/>
      <x v="133"/>
      <x v="73"/>
      <x v="131"/>
      <x v="950"/>
    </i>
    <i>
      <x v="200"/>
      <x v="415"/>
      <x v="20"/>
      <x v="1157"/>
      <x v="49"/>
      <x v="926"/>
      <x v="502"/>
    </i>
    <i r="1">
      <x v="1650"/>
      <x v="58"/>
      <x v="535"/>
      <x v="8"/>
      <x v="902"/>
      <x v="621"/>
    </i>
    <i>
      <x v="201"/>
      <x v="680"/>
      <x v="158"/>
      <x v="1982"/>
      <x v="56"/>
      <x v="638"/>
      <x v="293"/>
    </i>
    <i r="1">
      <x v="1021"/>
      <x v="20"/>
      <x v="1160"/>
      <x v="49"/>
      <x v="472"/>
      <x v="1566"/>
    </i>
    <i r="1">
      <x v="1232"/>
      <x v="158"/>
      <x v="1981"/>
      <x v="56"/>
      <x v="605"/>
      <x v="375"/>
    </i>
    <i>
      <x v="202"/>
      <x v="88"/>
      <x v="20"/>
      <x v="1159"/>
      <x v="49"/>
      <x v="769"/>
      <x v="503"/>
    </i>
    <i r="1">
      <x v="111"/>
      <x v="82"/>
      <x v="1288"/>
      <x v="18"/>
      <x v="577"/>
      <x v="99"/>
    </i>
    <i r="1">
      <x v="244"/>
      <x v="158"/>
      <x v="1980"/>
      <x v="46"/>
      <x v="1067"/>
      <x v="374"/>
    </i>
    <i r="1">
      <x v="373"/>
      <x v="58"/>
      <x v="536"/>
      <x v="8"/>
      <x v="748"/>
      <x v="623"/>
    </i>
    <i r="1">
      <x v="394"/>
      <x v="20"/>
      <x v="1030"/>
      <x v="48"/>
      <x v="742"/>
      <x v="812"/>
    </i>
    <i r="1">
      <x v="718"/>
      <x v="44"/>
      <x v="2018"/>
      <x v="44"/>
      <x v="746"/>
      <x v="263"/>
    </i>
    <i r="1">
      <x v="981"/>
      <x v="20"/>
      <x v="1088"/>
      <x v="46"/>
      <x v="724"/>
      <x v="1047"/>
    </i>
    <i r="1">
      <x v="1225"/>
      <x v="56"/>
      <x v="433"/>
      <x v="78"/>
      <x v="807"/>
      <x v="604"/>
    </i>
    <i r="1">
      <x v="1392"/>
      <x v="44"/>
      <x v="2005"/>
      <x v="8"/>
      <x v="718"/>
      <x v="1044"/>
    </i>
    <i r="1">
      <x v="1455"/>
      <x v="64"/>
      <x v="692"/>
      <x v="24"/>
      <x v="678"/>
      <x v="771"/>
    </i>
    <i r="1">
      <x v="1486"/>
      <x v="58"/>
      <x v="537"/>
      <x v="8"/>
      <x v="727"/>
      <x v="622"/>
    </i>
    <i r="1">
      <x v="1572"/>
      <x v="20"/>
      <x v="1158"/>
      <x v="14"/>
      <x v="601"/>
      <x v="504"/>
    </i>
    <i r="1">
      <x v="1672"/>
      <x v="20"/>
      <x v="1022"/>
      <x v="46"/>
      <x v="695"/>
      <x v="822"/>
    </i>
    <i>
      <x v="203"/>
      <x v="980"/>
      <x v="20"/>
      <x v="1161"/>
      <x v="14"/>
      <x v="1032"/>
      <x v="505"/>
    </i>
    <i>
      <x v="204"/>
      <x v="1364"/>
      <x v="20"/>
      <x v="1164"/>
      <x v="72"/>
      <x v="1234"/>
      <x v="1107"/>
    </i>
    <i>
      <x v="205"/>
      <x v="338"/>
      <x v="20"/>
      <x v="1089"/>
      <x v="46"/>
      <x v="1171"/>
      <x v="902"/>
    </i>
    <i>
      <x v="206"/>
      <x v="1554"/>
      <x v="56"/>
      <x v="438"/>
      <x v="78"/>
      <x v="1196"/>
      <x v="629"/>
    </i>
    <i r="1">
      <x v="1646"/>
      <x v="58"/>
      <x v="538"/>
      <x v="18"/>
      <x v="1224"/>
      <x v="625"/>
    </i>
    <i>
      <x v="207"/>
      <x v="649"/>
      <x v="20"/>
      <x v="1165"/>
      <x v="49"/>
      <x v="591"/>
      <x v="508"/>
    </i>
    <i>
      <x v="208"/>
      <x v="379"/>
      <x v="20"/>
      <x v="1166"/>
      <x v="49"/>
      <x v="1079"/>
      <x v="521"/>
    </i>
    <i r="1">
      <x v="1502"/>
      <x v="58"/>
      <x v="539"/>
      <x v="18"/>
      <x v="1035"/>
      <x v="628"/>
    </i>
    <i>
      <x v="209"/>
      <x v="528"/>
      <x v="20"/>
      <x v="1167"/>
      <x v="49"/>
      <x v="404"/>
      <x v="510"/>
    </i>
    <i>
      <x v="210"/>
      <x v="842"/>
      <x v="20"/>
      <x v="1168"/>
      <x v="49"/>
      <x v="315"/>
      <x v="447"/>
    </i>
    <i>
      <x v="211"/>
      <x v="1152"/>
      <x v="91"/>
      <x v="654"/>
      <x v="87"/>
      <x v="604"/>
      <x v="1214"/>
    </i>
    <i>
      <x v="212"/>
      <x v="1691"/>
      <x v="78"/>
      <x v="906"/>
      <x v="57"/>
      <x v="993"/>
      <x v="966"/>
    </i>
    <i>
      <x v="213"/>
      <x v="199"/>
      <x v="20"/>
      <x v="1057"/>
      <x v="41"/>
      <x v="353"/>
      <x v="881"/>
    </i>
    <i>
      <x v="214"/>
      <x/>
      <x v="98"/>
      <x v="1753"/>
      <x v="73"/>
      <x v="16"/>
      <x v="1730"/>
    </i>
    <i>
      <x v="215"/>
      <x v="827"/>
      <x v="20"/>
      <x v="1202"/>
      <x v="41"/>
      <x v="1068"/>
      <x v="882"/>
    </i>
    <i>
      <x v="216"/>
      <x v="1315"/>
      <x v="146"/>
      <x v="1807"/>
      <x v="43"/>
      <x v="777"/>
      <x v="425"/>
    </i>
    <i>
      <x v="217"/>
      <x v="237"/>
      <x v="82"/>
      <x v="1283"/>
      <x v="83"/>
      <x v="841"/>
      <x/>
    </i>
    <i r="1">
      <x v="242"/>
      <x v="56"/>
      <x v="468"/>
      <x v="93"/>
      <x v="954"/>
      <x v="437"/>
    </i>
    <i r="1">
      <x v="859"/>
      <x v="155"/>
      <x v="1794"/>
      <x v="83"/>
      <x v="777"/>
      <x v="1796"/>
    </i>
    <i>
      <x v="218"/>
      <x v="463"/>
      <x v="126"/>
      <x v="1716"/>
      <x v="33"/>
      <x v="1265"/>
      <x v="1205"/>
    </i>
    <i r="1">
      <x v="473"/>
      <x v="20"/>
      <x v="1201"/>
      <x v="41"/>
      <x v="1227"/>
      <x v="879"/>
    </i>
    <i>
      <x v="219"/>
      <x v="1543"/>
      <x v="38"/>
      <x v="181"/>
      <x v="73"/>
      <x v="11"/>
      <x v="1372"/>
    </i>
    <i>
      <x v="220"/>
      <x v="160"/>
      <x v="20"/>
      <x v="1058"/>
      <x v="41"/>
      <x v="139"/>
      <x v="884"/>
    </i>
    <i>
      <x v="221"/>
      <x v="1019"/>
      <x v="91"/>
      <x v="655"/>
      <x v="49"/>
      <x v="424"/>
      <x v="1221"/>
    </i>
    <i r="1">
      <x v="1104"/>
      <x v="20"/>
      <x v="1169"/>
      <x v="51"/>
      <x v="422"/>
      <x v="445"/>
    </i>
    <i>
      <x v="222"/>
      <x v="1372"/>
      <x v="91"/>
      <x v="656"/>
      <x v="88"/>
      <x v="717"/>
      <x v="1273"/>
    </i>
    <i>
      <x v="223"/>
      <x v="681"/>
      <x v="20"/>
      <x v="1171"/>
      <x v="57"/>
      <x v="1287"/>
      <x v="455"/>
    </i>
    <i>
      <x v="224"/>
      <x v="828"/>
      <x v="20"/>
      <x v="1172"/>
      <x v="57"/>
      <x v="758"/>
      <x v="449"/>
    </i>
    <i>
      <x v="225"/>
      <x v="619"/>
      <x v="20"/>
      <x v="1173"/>
      <x v="57"/>
      <x v="438"/>
      <x v="451"/>
    </i>
    <i>
      <x v="226"/>
      <x v="1530"/>
      <x v="91"/>
      <x v="657"/>
      <x v="56"/>
      <x v="399"/>
      <x v="1302"/>
    </i>
    <i>
      <x v="227"/>
      <x v="941"/>
      <x v="20"/>
      <x v="1174"/>
      <x v="57"/>
      <x v="1218"/>
      <x v="1398"/>
    </i>
    <i>
      <x v="228"/>
      <x v="1354"/>
      <x v="146"/>
      <x v="1832"/>
      <x v="75"/>
      <x v="118"/>
      <x v="1517"/>
    </i>
    <i>
      <x v="229"/>
      <x v="299"/>
      <x v="146"/>
      <x v="1831"/>
      <x v="65"/>
      <x v="113"/>
      <x v="1516"/>
    </i>
    <i r="1">
      <x v="480"/>
      <x v="20"/>
      <x v="1175"/>
      <x v="57"/>
      <x v="119"/>
      <x v="465"/>
    </i>
    <i r="1">
      <x v="1359"/>
      <x v="58"/>
      <x v="540"/>
      <x v="18"/>
      <x v="135"/>
      <x v="638"/>
    </i>
    <i>
      <x v="230"/>
      <x v="309"/>
      <x v="20"/>
      <x v="1176"/>
      <x v="72"/>
      <x v="1145"/>
      <x v="1100"/>
    </i>
    <i r="1">
      <x v="1655"/>
      <x v="58"/>
      <x v="541"/>
      <x v="37"/>
      <x v="1176"/>
      <x v="639"/>
    </i>
    <i>
      <x v="231"/>
      <x v="451"/>
      <x v="20"/>
      <x v="1177"/>
      <x v="49"/>
      <x v="513"/>
      <x v="515"/>
    </i>
    <i>
      <x v="232"/>
      <x v="586"/>
      <x v="20"/>
      <x v="1178"/>
      <x v="57"/>
      <x v="1179"/>
      <x v="528"/>
    </i>
    <i r="1">
      <x v="1617"/>
      <x v="58"/>
      <x v="542"/>
      <x v="18"/>
      <x v="1175"/>
      <x v="643"/>
    </i>
    <i>
      <x v="233"/>
      <x v="173"/>
      <x v="20"/>
      <x v="1179"/>
      <x v="57"/>
      <x v="623"/>
      <x v="523"/>
    </i>
    <i r="1">
      <x v="1062"/>
      <x v="58"/>
      <x v="543"/>
      <x v="8"/>
      <x v="558"/>
      <x v="624"/>
    </i>
    <i>
      <x v="234"/>
      <x v="1221"/>
      <x v="91"/>
      <x v="628"/>
      <x v="63"/>
      <x v="1073"/>
      <x v="57"/>
    </i>
    <i>
      <x v="235"/>
      <x v="449"/>
      <x v="20"/>
      <x v="1180"/>
      <x v="49"/>
      <x v="671"/>
      <x v="512"/>
    </i>
    <i>
      <x v="236"/>
      <x v="434"/>
      <x v="20"/>
      <x v="1181"/>
      <x v="49"/>
      <x v="420"/>
      <x v="497"/>
    </i>
    <i>
      <x v="237"/>
      <x v="266"/>
      <x v="20"/>
      <x v="1182"/>
      <x v="49"/>
      <x v="1101"/>
      <x v="507"/>
    </i>
    <i r="1">
      <x v="937"/>
      <x v="56"/>
      <x v="484"/>
      <x v="78"/>
      <x v="869"/>
      <x v="688"/>
    </i>
    <i r="1">
      <x v="1122"/>
      <x v="58"/>
      <x v="544"/>
      <x v="8"/>
      <x v="1110"/>
      <x v="640"/>
    </i>
    <i>
      <x v="238"/>
      <x v="120"/>
      <x v="20"/>
      <x v="1183"/>
      <x v="57"/>
      <x v="1252"/>
      <x v="517"/>
    </i>
    <i r="1">
      <x v="1109"/>
      <x v="58"/>
      <x v="545"/>
      <x v="18"/>
      <x v="1247"/>
      <x v="641"/>
    </i>
    <i>
      <x v="239"/>
      <x v="534"/>
      <x v="20"/>
      <x v="1184"/>
      <x v="57"/>
      <x v="1016"/>
      <x v="1731"/>
    </i>
    <i>
      <x v="240"/>
      <x v="608"/>
      <x v="20"/>
      <x v="1185"/>
      <x v="57"/>
      <x v="848"/>
      <x v="1768"/>
    </i>
    <i>
      <x v="241"/>
      <x v="928"/>
      <x v="20"/>
      <x v="1189"/>
      <x v="57"/>
      <x v="488"/>
      <x v="519"/>
    </i>
    <i>
      <x v="242"/>
      <x v="206"/>
      <x v="20"/>
      <x v="1188"/>
      <x v="49"/>
      <x v="1167"/>
      <x v="518"/>
    </i>
    <i r="1">
      <x v="431"/>
      <x v="58"/>
      <x v="546"/>
      <x v="8"/>
      <x v="1138"/>
      <x v="617"/>
    </i>
    <i r="1">
      <x v="958"/>
      <x v="56"/>
      <x v="489"/>
      <x v="78"/>
      <x v="882"/>
      <x v="607"/>
    </i>
    <i r="1">
      <x v="1462"/>
      <x v="20"/>
      <x v="1031"/>
      <x v="48"/>
      <x v="1222"/>
      <x v="813"/>
    </i>
    <i>
      <x v="243"/>
      <x v="63"/>
      <x v="147"/>
      <x v="1846"/>
      <x v="5"/>
      <x v="231"/>
      <x v="1912"/>
    </i>
    <i r="1">
      <x v="264"/>
      <x v="78"/>
      <x v="873"/>
      <x v="37"/>
      <x v="497"/>
      <x v="1336"/>
    </i>
    <i r="1">
      <x v="450"/>
      <x v="56"/>
      <x v="482"/>
      <x v="58"/>
      <x v="665"/>
      <x v="1578"/>
    </i>
    <i r="1">
      <x v="564"/>
      <x v="20"/>
      <x v="1211"/>
      <x v="14"/>
      <x v="340"/>
      <x v="1627"/>
    </i>
    <i r="1">
      <x v="878"/>
      <x v="75"/>
      <x v="825"/>
      <x v="55"/>
      <x v="334"/>
      <x v="943"/>
    </i>
    <i r="1">
      <x v="1031"/>
      <x v="54"/>
      <x v="369"/>
      <x v="27"/>
      <x v="601"/>
      <x v="684"/>
    </i>
    <i r="1">
      <x v="1129"/>
      <x v="77"/>
      <x v="120"/>
      <x v="105"/>
      <x v="603"/>
      <x v="1159"/>
    </i>
    <i r="1">
      <x v="1231"/>
      <x v="2"/>
      <x v="3"/>
      <x v="58"/>
      <x v="713"/>
      <x v="1622"/>
    </i>
    <i r="1">
      <x v="1399"/>
      <x v="133"/>
      <x v="1369"/>
      <x v="48"/>
      <x v="1310"/>
      <x v="1745"/>
    </i>
    <i r="1">
      <x v="1454"/>
      <x v="56"/>
      <x v="421"/>
      <x v="78"/>
      <x v="749"/>
      <x v="829"/>
    </i>
    <i r="1">
      <x v="1550"/>
      <x v="28"/>
      <x v="1595"/>
      <x v="57"/>
      <x v="1310"/>
      <x v="1545"/>
    </i>
    <i>
      <x v="244"/>
      <x v="753"/>
      <x v="80"/>
      <x v="1261"/>
      <x v="28"/>
      <x v="328"/>
      <x v="1051"/>
    </i>
    <i r="1">
      <x v="1482"/>
      <x v="20"/>
      <x v="126"/>
      <x v="78"/>
      <x v="38"/>
      <x v="115"/>
    </i>
    <i>
      <x v="245"/>
      <x v="130"/>
      <x v="40"/>
      <x v="196"/>
      <x v="32"/>
      <x v="757"/>
      <x v="286"/>
    </i>
    <i r="1">
      <x v="1100"/>
      <x v="52"/>
      <x v="1586"/>
      <x v="78"/>
      <x v="522"/>
      <x v="274"/>
    </i>
    <i>
      <x v="246"/>
      <x v="27"/>
      <x v="147"/>
      <x v="1857"/>
      <x v="5"/>
      <x v="1144"/>
      <x v="1914"/>
    </i>
    <i r="1">
      <x v="34"/>
      <x v="28"/>
      <x v="1607"/>
      <x v="5"/>
      <x v="1072"/>
      <x v="1556"/>
    </i>
    <i r="1">
      <x v="52"/>
      <x v="126"/>
      <x v="1694"/>
      <x v="33"/>
      <x v="1156"/>
      <x v="1579"/>
    </i>
    <i r="1">
      <x v="53"/>
      <x v="20"/>
      <x v="1226"/>
      <x v="37"/>
      <x v="1163"/>
      <x v="357"/>
    </i>
    <i r="1">
      <x v="79"/>
      <x v="56"/>
      <x v="492"/>
      <x v="68"/>
      <x v="1109"/>
      <x v="709"/>
    </i>
    <i r="1">
      <x v="110"/>
      <x v="20"/>
      <x v="1008"/>
      <x v="7"/>
      <x v="1221"/>
      <x v="800"/>
    </i>
    <i r="1">
      <x v="151"/>
      <x v="126"/>
      <x v="1673"/>
      <x v="6"/>
      <x v="1182"/>
      <x v="1680"/>
    </i>
    <i r="1">
      <x v="261"/>
      <x v="56"/>
      <x v="445"/>
      <x v="43"/>
      <x v="1262"/>
      <x v="557"/>
    </i>
    <i r="1">
      <x v="315"/>
      <x v="78"/>
      <x v="878"/>
      <x v="51"/>
      <x v="1190"/>
      <x v="1296"/>
    </i>
    <i r="1">
      <x v="349"/>
      <x v="158"/>
      <x v="1987"/>
      <x v="36"/>
      <x v="1249"/>
      <x v="305"/>
    </i>
    <i r="1">
      <x v="398"/>
      <x v="78"/>
      <x v="978"/>
      <x v="37"/>
      <x v="1203"/>
      <x v="1460"/>
    </i>
    <i r="1">
      <x v="408"/>
      <x v="91"/>
      <x v="682"/>
      <x v="43"/>
      <x v="1180"/>
      <x v="310"/>
    </i>
    <i r="1">
      <x v="830"/>
      <x v="134"/>
      <x v="1761"/>
      <x v="50"/>
      <x v="1121"/>
      <x v="1751"/>
    </i>
    <i r="1">
      <x v="1045"/>
      <x v="156"/>
      <x v="1942"/>
      <x v="68"/>
      <x v="1162"/>
      <x v="1920"/>
    </i>
    <i r="1">
      <x v="1128"/>
      <x v="134"/>
      <x v="1760"/>
      <x v="50"/>
      <x v="1119"/>
      <x v="1752"/>
    </i>
    <i r="1">
      <x v="1453"/>
      <x v="135"/>
      <x v="1644"/>
      <x v="43"/>
      <x v="1164"/>
      <x v="1569"/>
    </i>
    <i r="1">
      <x v="1616"/>
      <x v="52"/>
      <x v="1568"/>
      <x v="73"/>
      <x v="983"/>
      <x v="796"/>
    </i>
    <i r="1">
      <x v="1626"/>
      <x v="97"/>
      <x v="1385"/>
      <x v="24"/>
      <x v="1056"/>
      <x v="1230"/>
    </i>
    <i r="1">
      <x v="1689"/>
      <x v="63"/>
      <x v="604"/>
      <x v="27"/>
      <x v="1254"/>
      <x v="727"/>
    </i>
    <i>
      <x v="247"/>
      <x/>
      <x v="20"/>
      <x v="1061"/>
      <x v="24"/>
      <x v="1033"/>
      <x v="1697"/>
    </i>
    <i r="2">
      <x v="109"/>
      <x v="1465"/>
      <x v="33"/>
      <x v="835"/>
      <x v="460"/>
    </i>
    <i r="3">
      <x v="1467"/>
      <x v="44"/>
      <x v="878"/>
      <x v="237"/>
    </i>
    <i r="3">
      <x v="1474"/>
      <x v="56"/>
      <x v="269"/>
      <x v="1426"/>
    </i>
    <i r="3">
      <x v="1480"/>
      <x v="33"/>
      <x v="1116"/>
      <x v="1219"/>
    </i>
    <i r="3">
      <x v="1481"/>
      <x v="25"/>
      <x v="768"/>
      <x v="1670"/>
    </i>
    <i r="3">
      <x v="1482"/>
      <x v="25"/>
      <x v="805"/>
      <x v="1672"/>
    </i>
    <i r="3">
      <x v="1483"/>
      <x v="25"/>
      <x v="766"/>
      <x v="1676"/>
    </i>
    <i r="3">
      <x v="1484"/>
      <x v="25"/>
      <x v="791"/>
      <x v="1674"/>
    </i>
    <i r="2">
      <x v="139"/>
      <x v="1779"/>
      <x v="77"/>
      <x v="1219"/>
      <x v="1242"/>
    </i>
    <i r="2">
      <x v="142"/>
      <x v="328"/>
      <x v="43"/>
      <x v="1090"/>
      <x v="875"/>
    </i>
    <i r="2">
      <x v="151"/>
      <x v="1932"/>
      <x v="27"/>
      <x v="467"/>
      <x v="1039"/>
    </i>
    <i r="1">
      <x v="1"/>
      <x v="126"/>
      <x v="1684"/>
      <x v="8"/>
      <x v="779"/>
      <x v="1678"/>
    </i>
    <i r="1">
      <x v="2"/>
      <x v="20"/>
      <x v="1015"/>
      <x v="2"/>
      <x v="781"/>
      <x v="968"/>
    </i>
    <i r="1">
      <x v="4"/>
      <x v="147"/>
      <x v="1878"/>
      <x v="2"/>
      <x v="780"/>
      <x v="1882"/>
    </i>
    <i r="1">
      <x v="5"/>
      <x v="78"/>
      <x v="900"/>
      <x v="19"/>
      <x v="534"/>
      <x v="1425"/>
    </i>
    <i r="1">
      <x v="31"/>
      <x v="28"/>
      <x v="1608"/>
      <x v="2"/>
      <x v="643"/>
      <x v="1564"/>
    </i>
    <i r="1">
      <x v="33"/>
      <x v="78"/>
      <x v="920"/>
      <x v="19"/>
      <x v="798"/>
      <x v="1513"/>
    </i>
    <i r="1">
      <x v="36"/>
      <x v="20"/>
      <x v="1205"/>
      <x v="14"/>
      <x v="637"/>
      <x v="970"/>
    </i>
    <i r="1">
      <x v="37"/>
      <x v="126"/>
      <x v="1651"/>
      <x v="15"/>
      <x v="756"/>
      <x v="306"/>
    </i>
    <i r="1">
      <x v="42"/>
      <x v="147"/>
      <x v="1862"/>
      <x v="3"/>
      <x v="653"/>
      <x v="1909"/>
    </i>
    <i r="1">
      <x v="70"/>
      <x v="64"/>
      <x v="694"/>
      <x v="8"/>
      <x v="681"/>
      <x v="772"/>
    </i>
    <i r="1">
      <x v="76"/>
      <x v="126"/>
      <x v="1671"/>
      <x v="2"/>
      <x v="779"/>
      <x v="1655"/>
    </i>
    <i r="1">
      <x v="92"/>
      <x v="28"/>
      <x v="1601"/>
      <x v="24"/>
      <x v="1035"/>
      <x v="657"/>
    </i>
    <i r="1">
      <x v="97"/>
      <x v="78"/>
      <x v="932"/>
      <x v="24"/>
      <x v="1169"/>
      <x v="1656"/>
    </i>
    <i r="1">
      <x v="98"/>
      <x v="20"/>
      <x v="1219"/>
      <x v="19"/>
      <x v="804"/>
      <x v="1251"/>
    </i>
    <i r="1">
      <x v="99"/>
      <x v="56"/>
      <x v="383"/>
      <x v="54"/>
      <x v="921"/>
      <x v="692"/>
    </i>
    <i r="1">
      <x v="105"/>
      <x v="56"/>
      <x v="471"/>
      <x v="48"/>
      <x v="787"/>
      <x v="1463"/>
    </i>
    <i r="1">
      <x v="135"/>
      <x v="82"/>
      <x v="1300"/>
      <x v="33"/>
      <x v="966"/>
      <x v="1015"/>
    </i>
    <i r="1">
      <x v="138"/>
      <x v="91"/>
      <x v="663"/>
      <x v="58"/>
      <x v="511"/>
      <x v="1450"/>
    </i>
    <i r="1">
      <x v="146"/>
      <x v="78"/>
      <x v="872"/>
      <x v="37"/>
      <x v="1016"/>
      <x v="1335"/>
    </i>
    <i r="1">
      <x v="176"/>
      <x v="147"/>
      <x v="1864"/>
      <x v="6"/>
      <x v="724"/>
      <x v="1157"/>
    </i>
    <i r="1">
      <x v="190"/>
      <x v="78"/>
      <x v="891"/>
      <x v="14"/>
      <x v="536"/>
      <x v="1429"/>
    </i>
    <i r="1">
      <x v="194"/>
      <x v="78"/>
      <x v="937"/>
      <x v="14"/>
      <x v="760"/>
      <x v="1654"/>
    </i>
    <i r="1">
      <x v="203"/>
      <x v="158"/>
      <x v="1988"/>
      <x v="26"/>
      <x v="1146"/>
      <x v="319"/>
    </i>
    <i r="1">
      <x v="207"/>
      <x v="78"/>
      <x v="931"/>
      <x v="28"/>
      <x v="1211"/>
      <x v="1653"/>
    </i>
    <i r="1">
      <x v="215"/>
      <x v="97"/>
      <x v="1394"/>
      <x v="53"/>
      <x v="349"/>
      <x v="1232"/>
    </i>
    <i r="1">
      <x v="218"/>
      <x v="147"/>
      <x v="1871"/>
      <x v="7"/>
      <x v="645"/>
      <x v="1879"/>
    </i>
    <i r="1">
      <x v="234"/>
      <x v="78"/>
      <x v="940"/>
      <x v="19"/>
      <x v="790"/>
      <x v="1971"/>
    </i>
    <i r="1">
      <x v="241"/>
      <x v="28"/>
      <x v="1594"/>
      <x v="4"/>
      <x v="621"/>
      <x v="1561"/>
    </i>
    <i r="1">
      <x v="254"/>
      <x v="78"/>
      <x v="907"/>
      <x v="27"/>
      <x v="595"/>
      <x v="1257"/>
    </i>
    <i r="1">
      <x v="255"/>
      <x v="102"/>
      <x v="1440"/>
      <x v="58"/>
      <x v="785"/>
      <x v="1377"/>
    </i>
    <i r="1">
      <x v="274"/>
      <x v="102"/>
      <x v="1442"/>
      <x v="47"/>
      <x v="1071"/>
      <x v="227"/>
    </i>
    <i r="1">
      <x v="275"/>
      <x v="107"/>
      <x v="1457"/>
      <x v="11"/>
      <x v="918"/>
      <x v="1813"/>
    </i>
    <i r="1">
      <x v="295"/>
      <x v="126"/>
      <x v="1685"/>
      <x v="19"/>
      <x v="765"/>
      <x v="1683"/>
    </i>
    <i r="1">
      <x v="299"/>
      <x v="56"/>
      <x v="464"/>
      <x v="56"/>
      <x v="404"/>
      <x v="1421"/>
    </i>
    <i r="2">
      <x v="78"/>
      <x v="930"/>
      <x v="24"/>
      <x v="526"/>
      <x v="1652"/>
    </i>
    <i r="1">
      <x v="300"/>
      <x v="125"/>
      <x v="68"/>
      <x v="38"/>
      <x v="1161"/>
      <x v="1574"/>
    </i>
    <i r="1">
      <x v="304"/>
      <x v="149"/>
      <x v="1918"/>
      <x v="33"/>
      <x v="1177"/>
      <x v="185"/>
    </i>
    <i r="1">
      <x v="305"/>
      <x v="56"/>
      <x v="434"/>
      <x v="57"/>
      <x v="613"/>
      <x v="580"/>
    </i>
    <i r="1">
      <x v="307"/>
      <x v="78"/>
      <x v="939"/>
      <x v="37"/>
      <x v="1064"/>
      <x v="1526"/>
    </i>
    <i r="1">
      <x v="316"/>
      <x v="78"/>
      <x v="894"/>
      <x v="14"/>
      <x v="226"/>
      <x v="1428"/>
    </i>
    <i r="2">
      <x v="89"/>
      <x v="1345"/>
      <x v="76"/>
      <x v="761"/>
      <x v="1580"/>
    </i>
    <i r="1">
      <x v="318"/>
      <x v="149"/>
      <x v="1912"/>
      <x v="33"/>
      <x v="772"/>
      <x v="191"/>
    </i>
    <i r="1">
      <x v="324"/>
      <x v="91"/>
      <x v="672"/>
      <x v="58"/>
      <x v="848"/>
      <x v="2013"/>
    </i>
    <i r="1">
      <x v="326"/>
      <x v="20"/>
      <x v="1216"/>
      <x v="14"/>
      <x v="773"/>
      <x v="977"/>
    </i>
    <i r="1">
      <x v="328"/>
      <x v="11"/>
      <x v="82"/>
      <x v="53"/>
      <x v="1049"/>
      <x v="312"/>
    </i>
    <i r="1">
      <x v="337"/>
      <x v="58"/>
      <x v="554"/>
      <x v="14"/>
      <x v="1012"/>
      <x v="634"/>
    </i>
    <i r="1">
      <x v="339"/>
      <x v="92"/>
      <x v="1373"/>
      <x v="66"/>
      <x v="522"/>
      <x v="1241"/>
    </i>
    <i r="1">
      <x v="355"/>
      <x v="64"/>
      <x v="696"/>
      <x v="8"/>
      <x v="485"/>
      <x v="767"/>
    </i>
    <i r="1">
      <x v="365"/>
      <x v="44"/>
      <x v="2023"/>
      <x v="9"/>
      <x v="897"/>
      <x v="1631"/>
    </i>
    <i r="1">
      <x v="377"/>
      <x v="101"/>
      <x v="1399"/>
      <x v="46"/>
      <x v="1066"/>
      <x v="1267"/>
    </i>
    <i r="1">
      <x v="381"/>
      <x v="78"/>
      <x v="938"/>
      <x v="10"/>
      <x v="884"/>
      <x v="1446"/>
    </i>
    <i r="1">
      <x v="389"/>
      <x v="81"/>
      <x v="1272"/>
      <x v="27"/>
      <x v="701"/>
      <x v="1028"/>
    </i>
    <i r="1">
      <x v="393"/>
      <x v="102"/>
      <x v="1436"/>
      <x v="63"/>
      <x v="731"/>
      <x v="1379"/>
    </i>
    <i r="1">
      <x v="399"/>
      <x v="126"/>
      <x v="1678"/>
      <x v="19"/>
      <x v="1062"/>
      <x v="1262"/>
    </i>
    <i r="1">
      <x v="407"/>
      <x v="158"/>
      <x v="1989"/>
      <x v="7"/>
      <x v="872"/>
      <x v="454"/>
    </i>
    <i r="1">
      <x v="416"/>
      <x v="82"/>
      <x v="1297"/>
      <x v="17"/>
      <x v="1007"/>
      <x v="1046"/>
    </i>
    <i r="1">
      <x v="418"/>
      <x v="78"/>
      <x v="909"/>
      <x v="19"/>
      <x v="570"/>
      <x v="457"/>
    </i>
    <i r="1">
      <x v="422"/>
      <x v="149"/>
      <x v="1917"/>
      <x v="33"/>
      <x v="774"/>
      <x v="189"/>
    </i>
    <i r="1">
      <x v="426"/>
      <x v="126"/>
      <x v="1729"/>
      <x v="11"/>
      <x v="915"/>
      <x v="1120"/>
    </i>
    <i r="1">
      <x v="435"/>
      <x v="56"/>
      <x v="561"/>
      <x v="101"/>
      <x v="914"/>
      <x v="168"/>
    </i>
    <i r="1">
      <x v="437"/>
      <x v="91"/>
      <x v="669"/>
      <x v="27"/>
      <x v="726"/>
      <x v="181"/>
    </i>
    <i r="1">
      <x v="438"/>
      <x v="43"/>
      <x v="276"/>
      <x v="37"/>
      <x v="1107"/>
      <x v="344"/>
    </i>
    <i r="1">
      <x v="439"/>
      <x v="126"/>
      <x v="1676"/>
      <x v="19"/>
      <x v="911"/>
      <x v="1261"/>
    </i>
    <i r="1">
      <x v="447"/>
      <x v="56"/>
      <x v="439"/>
      <x v="63"/>
      <x v="310"/>
      <x v="549"/>
    </i>
    <i r="1">
      <x v="478"/>
      <x v="74"/>
      <x v="799"/>
      <x v="77"/>
      <x v="771"/>
      <x v="1315"/>
    </i>
    <i r="1">
      <x v="491"/>
      <x v="121"/>
      <x v="1621"/>
      <x v="27"/>
      <x v="808"/>
      <x v="1644"/>
    </i>
    <i r="1">
      <x v="495"/>
      <x v="17"/>
      <x v="987"/>
      <x v="43"/>
      <x v="789"/>
      <x v="179"/>
    </i>
    <i r="1">
      <x v="500"/>
      <x v="54"/>
      <x v="350"/>
      <x v="27"/>
      <x v="761"/>
      <x v="558"/>
    </i>
    <i r="1">
      <x v="509"/>
      <x v="22"/>
      <x v="140"/>
      <x/>
      <x v="685"/>
      <x v="135"/>
    </i>
    <i r="1">
      <x v="519"/>
      <x v="126"/>
      <x v="1683"/>
      <x v="9"/>
      <x v="894"/>
      <x v="416"/>
    </i>
    <i r="1">
      <x v="520"/>
      <x v="102"/>
      <x v="1418"/>
      <x v="58"/>
      <x v="1200"/>
      <x v="36"/>
    </i>
    <i r="1">
      <x v="527"/>
      <x v="56"/>
      <x v="571"/>
      <x v="73"/>
      <x v="1106"/>
      <x v="1088"/>
    </i>
    <i r="1">
      <x v="538"/>
      <x v="82"/>
      <x v="1305"/>
      <x v="11"/>
      <x v="783"/>
      <x v="1048"/>
    </i>
    <i r="1">
      <x v="543"/>
      <x v="20"/>
      <x v="1046"/>
      <x v="7"/>
      <x v="763"/>
      <x v="2011"/>
    </i>
    <i r="1">
      <x v="549"/>
      <x v="42"/>
      <x v="269"/>
      <x v="33"/>
      <x v="406"/>
      <x v="1427"/>
    </i>
    <i r="1">
      <x v="552"/>
      <x v="37"/>
      <x v="178"/>
      <x v="79"/>
      <x v="922"/>
      <x v="1696"/>
    </i>
    <i r="1">
      <x v="561"/>
      <x v="36"/>
      <x v="176"/>
      <x v="60"/>
      <x v="658"/>
      <x v="352"/>
    </i>
    <i r="1">
      <x v="567"/>
      <x v="13"/>
      <x v="94"/>
      <x v="77"/>
      <x v="940"/>
      <x v="7"/>
    </i>
    <i r="1">
      <x v="568"/>
      <x v="132"/>
      <x v="719"/>
      <x v="18"/>
      <x v="904"/>
      <x v="1510"/>
    </i>
    <i r="1">
      <x v="574"/>
      <x v="87"/>
      <x v="1341"/>
      <x v="109"/>
      <x v="776"/>
      <x v="1191"/>
    </i>
    <i r="1">
      <x v="578"/>
      <x v="69"/>
      <x v="722"/>
      <x v="109"/>
      <x v="673"/>
      <x v="1119"/>
    </i>
    <i r="1">
      <x v="579"/>
      <x v="56"/>
      <x v="562"/>
      <x v="101"/>
      <x v="950"/>
      <x v="165"/>
    </i>
    <i r="1">
      <x v="583"/>
      <x v="13"/>
      <x v="95"/>
      <x v="77"/>
      <x v="847"/>
      <x v="16"/>
    </i>
    <i r="1">
      <x v="584"/>
      <x v="149"/>
      <x v="1904"/>
      <x v="33"/>
      <x v="989"/>
      <x v="1893"/>
    </i>
    <i r="1">
      <x v="585"/>
      <x v="78"/>
      <x v="914"/>
      <x v="38"/>
      <x v="1078"/>
      <x v="1305"/>
    </i>
    <i r="1">
      <x v="595"/>
      <x v="95"/>
      <x v="992"/>
      <x v="24"/>
      <x v="673"/>
      <x v="219"/>
    </i>
    <i r="1">
      <x v="605"/>
      <x v="126"/>
      <x v="1677"/>
      <x v="19"/>
      <x v="594"/>
      <x v="1259"/>
    </i>
    <i r="1">
      <x v="611"/>
      <x v="75"/>
      <x v="820"/>
      <x v="33"/>
      <x v="428"/>
      <x v="117"/>
    </i>
    <i r="1">
      <x v="612"/>
      <x v="78"/>
      <x v="834"/>
      <x v="51"/>
      <x v="1022"/>
      <x v="275"/>
    </i>
    <i r="1">
      <x v="621"/>
      <x v="56"/>
      <x v="581"/>
      <x v="83"/>
      <x v="734"/>
      <x v="665"/>
    </i>
    <i r="1">
      <x v="624"/>
      <x v="46"/>
      <x v="288"/>
      <x v="4"/>
      <x v="670"/>
      <x v="1886"/>
    </i>
    <i r="1">
      <x v="625"/>
      <x v="64"/>
      <x v="704"/>
      <x v="19"/>
      <x v="678"/>
      <x v="1057"/>
    </i>
    <i r="1">
      <x v="633"/>
      <x v="74"/>
      <x v="805"/>
      <x v="77"/>
      <x v="924"/>
      <x v="1354"/>
    </i>
    <i r="1">
      <x v="634"/>
      <x v="135"/>
      <x v="708"/>
      <x v="48"/>
      <x v="851"/>
      <x v="773"/>
    </i>
    <i r="1">
      <x v="635"/>
      <x v="54"/>
      <x v="366"/>
      <x v="27"/>
      <x v="839"/>
      <x v="677"/>
    </i>
    <i r="1">
      <x v="637"/>
      <x v="126"/>
      <x v="1728"/>
      <x v="19"/>
      <x v="270"/>
      <x v="1590"/>
    </i>
    <i r="1">
      <x v="638"/>
      <x v="52"/>
      <x v="292"/>
      <x v="85"/>
      <x v="1038"/>
      <x v="1601"/>
    </i>
    <i r="1">
      <x v="641"/>
      <x v="56"/>
      <x v="587"/>
      <x v="83"/>
      <x v="1025"/>
      <x v="290"/>
    </i>
    <i r="1">
      <x v="644"/>
      <x v="149"/>
      <x v="1914"/>
      <x v="33"/>
      <x v="1182"/>
      <x v="186"/>
    </i>
    <i r="1">
      <x v="648"/>
      <x v="86"/>
      <x v="1406"/>
      <x v="78"/>
      <x v="672"/>
      <x v="1270"/>
    </i>
    <i r="1">
      <x v="654"/>
      <x v="56"/>
      <x v="575"/>
      <x v="83"/>
      <x v="975"/>
      <x v="582"/>
    </i>
    <i r="1">
      <x v="655"/>
      <x v="82"/>
      <x v="1304"/>
      <x v="11"/>
      <x v="405"/>
      <x v="1037"/>
    </i>
    <i r="1">
      <x v="682"/>
      <x v="74"/>
      <x v="797"/>
      <x v="77"/>
      <x v="960"/>
      <x v="1290"/>
    </i>
    <i r="1">
      <x v="686"/>
      <x v="74"/>
      <x v="803"/>
      <x v="77"/>
      <x v="986"/>
      <x v="1326"/>
    </i>
    <i r="1">
      <x v="689"/>
      <x v="125"/>
      <x v="62"/>
      <x v="26"/>
      <x v="992"/>
      <x v="458"/>
    </i>
    <i r="1">
      <x v="699"/>
      <x v="102"/>
      <x v="1419"/>
      <x v="58"/>
      <x v="690"/>
      <x v="1274"/>
    </i>
    <i r="1">
      <x v="704"/>
      <x v="74"/>
      <x v="767"/>
      <x v="77"/>
      <x v="867"/>
      <x v="1327"/>
    </i>
    <i r="1">
      <x v="710"/>
      <x v="56"/>
      <x v="573"/>
      <x v="83"/>
      <x v="897"/>
      <x v="537"/>
    </i>
    <i r="1">
      <x v="711"/>
      <x v="74"/>
      <x v="795"/>
      <x v="77"/>
      <x v="1014"/>
      <x v="1276"/>
    </i>
    <i r="1">
      <x v="715"/>
      <x v="78"/>
      <x v="903"/>
      <x v="18"/>
      <x v="1054"/>
      <x v="952"/>
    </i>
    <i r="1">
      <x v="716"/>
      <x v="74"/>
      <x v="784"/>
      <x v="77"/>
      <x v="696"/>
      <x v="124"/>
    </i>
    <i r="1">
      <x v="719"/>
      <x v="74"/>
      <x v="800"/>
      <x v="77"/>
      <x v="980"/>
      <x v="1317"/>
    </i>
    <i r="1">
      <x v="729"/>
      <x v="74"/>
      <x v="804"/>
      <x v="77"/>
      <x v="936"/>
      <x v="1329"/>
    </i>
    <i r="1">
      <x v="744"/>
      <x v="78"/>
      <x v="836"/>
      <x v="6"/>
      <x v="1149"/>
      <x v="316"/>
    </i>
    <i r="1">
      <x v="751"/>
      <x v="74"/>
      <x v="796"/>
      <x v="77"/>
      <x v="952"/>
      <x v="1277"/>
    </i>
    <i r="1">
      <x v="754"/>
      <x v="56"/>
      <x v="574"/>
      <x v="83"/>
      <x v="858"/>
      <x v="551"/>
    </i>
    <i r="1">
      <x v="759"/>
      <x v="78"/>
      <x v="913"/>
      <x v="47"/>
      <x v="837"/>
      <x v="1285"/>
    </i>
    <i r="1">
      <x v="762"/>
      <x v="44"/>
      <x v="2022"/>
      <x v="16"/>
      <x v="715"/>
      <x v="280"/>
    </i>
    <i r="1">
      <x v="765"/>
      <x v="52"/>
      <x v="294"/>
      <x v="84"/>
      <x v="1047"/>
      <x v="1600"/>
    </i>
    <i r="1">
      <x v="769"/>
      <x v="128"/>
      <x v="1739"/>
      <x v="85"/>
      <x v="908"/>
      <x v="805"/>
    </i>
    <i r="1">
      <x v="775"/>
      <x v="56"/>
      <x v="582"/>
      <x v="83"/>
      <x v="876"/>
      <x v="669"/>
    </i>
    <i r="1">
      <x v="778"/>
      <x v="134"/>
      <x v="1764"/>
      <x v="50"/>
      <x v="726"/>
      <x v="1754"/>
    </i>
    <i r="1">
      <x v="782"/>
      <x v="10"/>
      <x v="77"/>
      <x v="37"/>
      <x v="701"/>
      <x v="469"/>
    </i>
    <i r="1">
      <x v="790"/>
      <x v="74"/>
      <x v="794"/>
      <x v="77"/>
      <x v="856"/>
      <x v="159"/>
    </i>
    <i r="1">
      <x v="795"/>
      <x v="56"/>
      <x v="576"/>
      <x v="83"/>
      <x v="1119"/>
      <x v="603"/>
    </i>
    <i r="1">
      <x v="796"/>
      <x v="56"/>
      <x v="399"/>
      <x v="48"/>
      <x v="906"/>
      <x v="395"/>
    </i>
    <i r="1">
      <x v="799"/>
      <x v="56"/>
      <x v="572"/>
      <x v="83"/>
      <x v="939"/>
      <x v="535"/>
    </i>
    <i r="1">
      <x v="804"/>
      <x v="74"/>
      <x v="801"/>
      <x v="77"/>
      <x v="990"/>
      <x v="1318"/>
    </i>
    <i r="1">
      <x v="805"/>
      <x v="56"/>
      <x v="577"/>
      <x v="83"/>
      <x v="898"/>
      <x v="605"/>
    </i>
    <i r="1">
      <x v="809"/>
      <x v="56"/>
      <x v="586"/>
      <x v="83"/>
      <x v="930"/>
      <x v="254"/>
    </i>
    <i r="1">
      <x v="812"/>
      <x v="56"/>
      <x v="593"/>
      <x v="83"/>
      <x v="838"/>
      <x v="327"/>
    </i>
    <i r="1">
      <x v="815"/>
      <x v="96"/>
      <x v="514"/>
      <x v="30"/>
      <x v="866"/>
      <x v="1412"/>
    </i>
    <i r="1">
      <x v="823"/>
      <x v="56"/>
      <x v="583"/>
      <x v="83"/>
      <x v="879"/>
      <x v="683"/>
    </i>
    <i r="1">
      <x v="824"/>
      <x v="107"/>
      <x v="1456"/>
      <x v="14"/>
      <x v="684"/>
      <x v="1323"/>
    </i>
    <i r="1">
      <x v="836"/>
      <x v="149"/>
      <x v="1908"/>
      <x v="17"/>
      <x v="221"/>
      <x v="1430"/>
    </i>
    <i r="1">
      <x v="838"/>
      <x v="135"/>
      <x v="1645"/>
      <x v="47"/>
      <x v="905"/>
      <x v="1666"/>
    </i>
    <i r="1">
      <x v="843"/>
      <x v="56"/>
      <x v="420"/>
      <x v="68"/>
      <x v="1128"/>
      <x v="831"/>
    </i>
    <i r="1">
      <x v="844"/>
      <x v="65"/>
      <x v="709"/>
      <x v="58"/>
      <x v="508"/>
      <x v="1987"/>
    </i>
    <i r="1">
      <x v="849"/>
      <x v="114"/>
      <x v="1334"/>
      <x v="73"/>
      <x v="665"/>
      <x v="1130"/>
    </i>
    <i r="1">
      <x v="850"/>
      <x v="74"/>
      <x v="798"/>
      <x v="77"/>
      <x v="1078"/>
      <x v="1298"/>
    </i>
    <i r="1">
      <x v="852"/>
      <x v="56"/>
      <x v="465"/>
      <x v="58"/>
      <x v="449"/>
      <x v="1431"/>
    </i>
    <i r="1">
      <x v="865"/>
      <x v="74"/>
      <x v="754"/>
      <x v="77"/>
      <x v="642"/>
      <x v="1216"/>
    </i>
    <i r="1">
      <x v="867"/>
      <x v="92"/>
      <x v="1375"/>
      <x v="28"/>
      <x v="797"/>
      <x v="1458"/>
    </i>
    <i r="1">
      <x v="873"/>
      <x v="56"/>
      <x v="580"/>
      <x v="83"/>
      <x v="945"/>
      <x v="648"/>
    </i>
    <i r="1">
      <x v="874"/>
      <x v="26"/>
      <x v="154"/>
      <x v="47"/>
      <x v="479"/>
      <x v="196"/>
    </i>
    <i r="1">
      <x v="875"/>
      <x v="78"/>
      <x v="912"/>
      <x v="24"/>
      <x v="947"/>
      <x v="462"/>
    </i>
    <i r="1">
      <x v="881"/>
      <x v="54"/>
      <x v="352"/>
      <x v="27"/>
      <x v="549"/>
      <x v="560"/>
    </i>
    <i r="1">
      <x v="885"/>
      <x v="74"/>
      <x v="785"/>
      <x v="77"/>
      <x v="957"/>
      <x v="90"/>
    </i>
    <i r="1">
      <x v="887"/>
      <x v="116"/>
      <x v="91"/>
      <x v="123"/>
      <x v="366"/>
      <x v="18"/>
    </i>
    <i r="1">
      <x v="891"/>
      <x v="56"/>
      <x v="578"/>
      <x v="83"/>
      <x v="943"/>
      <x v="606"/>
    </i>
    <i r="1">
      <x v="893"/>
      <x v="74"/>
      <x v="793"/>
      <x v="77"/>
      <x v="888"/>
      <x v="152"/>
    </i>
    <i r="1">
      <x v="894"/>
      <x v="32"/>
      <x v="170"/>
      <x v="48"/>
      <x v="967"/>
      <x v="704"/>
    </i>
    <i r="1">
      <x v="901"/>
      <x v="121"/>
      <x v="1620"/>
      <x v="27"/>
      <x v="728"/>
      <x v="1679"/>
    </i>
    <i r="1">
      <x v="903"/>
      <x v="56"/>
      <x v="585"/>
      <x v="83"/>
      <x v="974"/>
      <x v="252"/>
    </i>
    <i r="1">
      <x v="904"/>
      <x v="74"/>
      <x v="802"/>
      <x v="77"/>
      <x v="1028"/>
      <x v="1325"/>
    </i>
    <i r="1">
      <x v="911"/>
      <x v="130"/>
      <x v="1740"/>
      <x v="28"/>
      <x v="905"/>
      <x v="1695"/>
    </i>
    <i r="1">
      <x v="913"/>
      <x v="74"/>
      <x v="810"/>
      <x v="77"/>
      <x v="828"/>
      <x v="1789"/>
    </i>
    <i r="1">
      <x v="917"/>
      <x v="107"/>
      <x v="1455"/>
      <x v="14"/>
      <x v="744"/>
      <x v="1355"/>
    </i>
    <i r="1">
      <x v="922"/>
      <x v="56"/>
      <x v="595"/>
      <x v="83"/>
      <x v="913"/>
      <x v="266"/>
    </i>
    <i r="1">
      <x v="933"/>
      <x v="104"/>
      <x v="44"/>
      <x v="72"/>
      <x v="827"/>
      <x v="85"/>
    </i>
    <i r="1">
      <x v="934"/>
      <x v="74"/>
      <x v="789"/>
      <x v="77"/>
      <x v="919"/>
      <x v="126"/>
    </i>
    <i r="1">
      <x v="935"/>
      <x v="56"/>
      <x v="591"/>
      <x v="83"/>
      <x v="1004"/>
      <x v="321"/>
    </i>
    <i r="1">
      <x v="938"/>
      <x v="3"/>
      <x v="14"/>
      <x v="105"/>
      <x v="656"/>
      <x v="370"/>
    </i>
    <i r="1">
      <x v="940"/>
      <x v="56"/>
      <x v="560"/>
      <x v="101"/>
      <x v="1310"/>
      <x v="167"/>
    </i>
    <i r="1">
      <x v="946"/>
      <x v="135"/>
      <x v="8"/>
      <x v="81"/>
      <x v="749"/>
      <x v="2010"/>
    </i>
    <i r="1">
      <x v="950"/>
      <x v="56"/>
      <x v="584"/>
      <x v="83"/>
      <x v="929"/>
      <x v="328"/>
    </i>
    <i r="1">
      <x v="957"/>
      <x v="78"/>
      <x v="934"/>
      <x v="12"/>
      <x v="506"/>
      <x v="1658"/>
    </i>
    <i r="1">
      <x v="958"/>
      <x v="56"/>
      <x v="568"/>
      <x v="88"/>
      <x v="717"/>
      <x v="1401"/>
    </i>
    <i r="1">
      <x v="961"/>
      <x v="102"/>
      <x v="1413"/>
      <x v="58"/>
      <x v="713"/>
      <x v="1715"/>
    </i>
    <i r="1">
      <x v="967"/>
      <x v="74"/>
      <x v="762"/>
      <x v="96"/>
      <x v="1039"/>
      <x v="166"/>
    </i>
    <i r="1">
      <x v="970"/>
      <x v="56"/>
      <x v="579"/>
      <x v="83"/>
      <x v="991"/>
      <x v="646"/>
    </i>
    <i r="1">
      <x v="978"/>
      <x v="74"/>
      <x v="766"/>
      <x v="77"/>
      <x v="797"/>
      <x v="150"/>
    </i>
    <i r="1">
      <x v="982"/>
      <x v="56"/>
      <x v="592"/>
      <x v="83"/>
      <x v="953"/>
      <x v="322"/>
    </i>
    <i r="1">
      <x v="992"/>
      <x v="158"/>
      <x v="1947"/>
      <x v="42"/>
      <x v="877"/>
      <x v="1381"/>
    </i>
    <i r="1">
      <x v="996"/>
      <x v="74"/>
      <x v="786"/>
      <x v="77"/>
      <x v="880"/>
      <x v="92"/>
    </i>
    <i r="1">
      <x v="997"/>
      <x v="74"/>
      <x v="787"/>
      <x v="77"/>
      <x v="894"/>
      <x v="107"/>
    </i>
    <i r="1">
      <x v="1001"/>
      <x v="53"/>
      <x v="80"/>
      <x v="64"/>
      <x v="584"/>
      <x v="8"/>
    </i>
    <i r="1">
      <x v="1003"/>
      <x v="52"/>
      <x v="1902"/>
      <x v="73"/>
      <x v="740"/>
      <x v="1823"/>
    </i>
    <i r="1">
      <x v="1009"/>
      <x v="74"/>
      <x v="739"/>
      <x v="67"/>
      <x v="979"/>
      <x v="89"/>
    </i>
    <i r="1">
      <x v="1016"/>
      <x v="102"/>
      <x v="1431"/>
      <x v="91"/>
      <x v="891"/>
      <x v="1357"/>
    </i>
    <i r="1">
      <x v="1028"/>
      <x v="56"/>
      <x v="589"/>
      <x v="83"/>
      <x v="958"/>
      <x v="317"/>
    </i>
    <i r="1">
      <x v="1034"/>
      <x v="74"/>
      <x v="815"/>
      <x v="77"/>
      <x v="952"/>
      <x v="1799"/>
    </i>
    <i r="1">
      <x v="1041"/>
      <x v="56"/>
      <x v="590"/>
      <x v="83"/>
      <x v="962"/>
      <x v="318"/>
    </i>
    <i r="1">
      <x v="1043"/>
      <x v="74"/>
      <x v="792"/>
      <x v="77"/>
      <x v="911"/>
      <x v="145"/>
    </i>
    <i r="1">
      <x v="1049"/>
      <x v="56"/>
      <x v="588"/>
      <x v="83"/>
      <x v="1078"/>
      <x v="315"/>
    </i>
    <i r="2">
      <x v="134"/>
      <x v="1763"/>
      <x v="50"/>
      <x v="745"/>
      <x v="1755"/>
    </i>
    <i r="1">
      <x v="1054"/>
      <x v="56"/>
      <x v="594"/>
      <x v="83"/>
      <x v="933"/>
      <x v="339"/>
    </i>
    <i r="1">
      <x v="1055"/>
      <x v="74"/>
      <x v="788"/>
      <x v="77"/>
      <x v="1061"/>
      <x v="112"/>
    </i>
    <i r="1">
      <x v="1058"/>
      <x v="74"/>
      <x v="790"/>
      <x v="77"/>
      <x v="922"/>
      <x v="127"/>
    </i>
    <i r="1">
      <x v="1059"/>
      <x v="74"/>
      <x v="816"/>
      <x v="77"/>
      <x v="937"/>
      <x v="1810"/>
    </i>
    <i r="1">
      <x v="1067"/>
      <x v="74"/>
      <x v="764"/>
      <x v="79"/>
      <x v="801"/>
      <x v="1220"/>
    </i>
    <i r="1">
      <x v="1069"/>
      <x v="56"/>
      <x v="559"/>
      <x v="101"/>
      <x v="1310"/>
      <x v="169"/>
    </i>
    <i r="1">
      <x v="1078"/>
      <x v="74"/>
      <x v="791"/>
      <x v="77"/>
      <x v="984"/>
      <x v="144"/>
    </i>
    <i r="1">
      <x v="1082"/>
      <x v="78"/>
      <x v="928"/>
      <x v="24"/>
      <x v="1055"/>
      <x v="1991"/>
    </i>
    <i r="1">
      <x v="1084"/>
      <x v="124"/>
      <x v="1629"/>
      <x v="41"/>
      <x v="896"/>
      <x v="1115"/>
    </i>
    <i r="1">
      <x v="1088"/>
      <x v="3"/>
      <x v="12"/>
      <x v="93"/>
      <x v="183"/>
      <x v="363"/>
    </i>
    <i r="1">
      <x v="1091"/>
      <x v="99"/>
      <x v="1401"/>
      <x v="74"/>
      <x v="1310"/>
      <x v="1247"/>
    </i>
    <i r="1">
      <x v="1095"/>
      <x v="82"/>
      <x v="1302"/>
      <x v="11"/>
      <x v="1141"/>
      <x v="1012"/>
    </i>
    <i r="1">
      <x v="1105"/>
      <x v="91"/>
      <x v="662"/>
      <x v="58"/>
      <x v="531"/>
      <x v="1451"/>
    </i>
    <i r="1">
      <x v="1111"/>
      <x v="104"/>
      <x v="40"/>
      <x v="72"/>
      <x v="700"/>
      <x v="81"/>
    </i>
    <i r="1">
      <x v="1139"/>
      <x v="74"/>
      <x v="755"/>
      <x v="77"/>
      <x v="836"/>
      <x v="1217"/>
    </i>
    <i r="1">
      <x v="1142"/>
      <x v="74"/>
      <x v="811"/>
      <x v="77"/>
      <x v="977"/>
      <x v="1790"/>
    </i>
    <i r="1">
      <x v="1144"/>
      <x v="29"/>
      <x v="1310"/>
      <x v="40"/>
      <x v="846"/>
      <x v="1084"/>
    </i>
    <i r="1">
      <x v="1161"/>
      <x v="104"/>
      <x v="42"/>
      <x v="72"/>
      <x v="905"/>
      <x v="83"/>
    </i>
    <i r="1">
      <x v="1162"/>
      <x v="74"/>
      <x v="806"/>
      <x v="77"/>
      <x v="1007"/>
      <x v="1774"/>
    </i>
    <i r="1">
      <x v="1164"/>
      <x v="146"/>
      <x v="1817"/>
      <x v="56"/>
      <x v="785"/>
      <x v="1117"/>
    </i>
    <i r="1">
      <x v="1166"/>
      <x v="74"/>
      <x v="814"/>
      <x v="77"/>
      <x v="967"/>
      <x v="1794"/>
    </i>
    <i r="1">
      <x v="1169"/>
      <x v="74"/>
      <x v="808"/>
      <x v="77"/>
      <x v="973"/>
      <x v="1781"/>
    </i>
    <i r="1">
      <x v="1194"/>
      <x v="113"/>
      <x v="1735"/>
      <x v="83"/>
      <x v="955"/>
      <x v="1701"/>
    </i>
    <i r="1">
      <x v="1195"/>
      <x v="91"/>
      <x v="671"/>
      <x v="58"/>
      <x v="826"/>
      <x v="2014"/>
    </i>
    <i r="1">
      <x v="1201"/>
      <x v="74"/>
      <x v="768"/>
      <x v="77"/>
      <x v="899"/>
      <x v="1798"/>
    </i>
    <i r="2">
      <x v="104"/>
      <x v="46"/>
      <x v="72"/>
      <x v="964"/>
      <x v="87"/>
    </i>
    <i r="1">
      <x v="1203"/>
      <x v="74"/>
      <x v="753"/>
      <x v="77"/>
      <x v="944"/>
      <x v="1206"/>
    </i>
    <i r="1">
      <x v="1207"/>
      <x v="124"/>
      <x v="1628"/>
      <x v="125"/>
      <x v="803"/>
      <x v="294"/>
    </i>
    <i r="1">
      <x v="1209"/>
      <x v="104"/>
      <x v="37"/>
      <x v="72"/>
      <x v="987"/>
      <x v="1604"/>
    </i>
    <i r="1">
      <x v="1223"/>
      <x v="75"/>
      <x v="821"/>
      <x v="83"/>
      <x v="228"/>
      <x v="579"/>
    </i>
    <i r="1">
      <x v="1235"/>
      <x v="94"/>
      <x v="118"/>
      <x v="58"/>
      <x v="446"/>
      <x v="68"/>
    </i>
    <i r="1">
      <x v="1242"/>
      <x v="74"/>
      <x v="807"/>
      <x v="77"/>
      <x v="933"/>
      <x v="1775"/>
    </i>
    <i r="1">
      <x v="1243"/>
      <x v="119"/>
      <x v="79"/>
      <x v="73"/>
      <x v="797"/>
      <x v="10"/>
    </i>
    <i r="1">
      <x v="1263"/>
      <x v="84"/>
      <x v="1363"/>
      <x v="115"/>
      <x v="381"/>
      <x v="1143"/>
    </i>
    <i r="1">
      <x v="1267"/>
      <x v="56"/>
      <x v="436"/>
      <x v="58"/>
      <x v="888"/>
      <x v="1496"/>
    </i>
    <i r="1">
      <x v="1276"/>
      <x v="97"/>
      <x v="1388"/>
      <x v="19"/>
      <x v="554"/>
      <x v="1234"/>
    </i>
    <i r="1">
      <x v="1281"/>
      <x v="56"/>
      <x v="570"/>
      <x v="88"/>
      <x v="710"/>
      <x v="1434"/>
    </i>
    <i r="1">
      <x v="1282"/>
      <x v="74"/>
      <x v="813"/>
      <x v="77"/>
      <x v="1044"/>
      <x v="1793"/>
    </i>
    <i r="1">
      <x v="1283"/>
      <x v="82"/>
      <x v="1282"/>
      <x v="16"/>
      <x v="755"/>
      <x v="1056"/>
    </i>
    <i r="1">
      <x v="1288"/>
      <x v="78"/>
      <x v="933"/>
      <x v="9"/>
      <x v="1049"/>
      <x v="1659"/>
    </i>
    <i r="1">
      <x v="1294"/>
      <x v="92"/>
      <x v="1371"/>
      <x v="66"/>
      <x v="1310"/>
      <x v="1207"/>
    </i>
    <i r="1">
      <x v="1297"/>
      <x v="91"/>
      <x v="673"/>
      <x v="19"/>
      <x v="1116"/>
      <x v="1404"/>
    </i>
    <i r="1">
      <x v="1300"/>
      <x v="102"/>
      <x v="1429"/>
      <x v="73"/>
      <x v="885"/>
      <x v="1356"/>
    </i>
    <i r="1">
      <x v="1306"/>
      <x v="56"/>
      <x v="596"/>
      <x v="83"/>
      <x v="1310"/>
      <x v="1952"/>
    </i>
    <i r="1">
      <x v="1311"/>
      <x v="74"/>
      <x v="809"/>
      <x v="77"/>
      <x v="1073"/>
      <x v="1784"/>
    </i>
    <i r="1">
      <x v="1317"/>
      <x v="104"/>
      <x v="38"/>
      <x v="72"/>
      <x v="1310"/>
      <x v="1602"/>
    </i>
    <i r="1">
      <x v="1319"/>
      <x v="139"/>
      <x v="1781"/>
      <x v="77"/>
      <x v="862"/>
      <x v="1583"/>
    </i>
    <i r="1">
      <x v="1320"/>
      <x v="15"/>
      <x v="105"/>
      <x v="27"/>
      <x v="770"/>
      <x v="2022"/>
    </i>
    <i r="1">
      <x v="1342"/>
      <x v="52"/>
      <x v="1570"/>
      <x v="73"/>
      <x v="157"/>
      <x v="41"/>
    </i>
    <i r="1">
      <x v="1344"/>
      <x v="56"/>
      <x v="569"/>
      <x v="88"/>
      <x v="788"/>
      <x v="1411"/>
    </i>
    <i r="1">
      <x v="1349"/>
      <x v="31"/>
      <x v="163"/>
      <x v="14"/>
      <x v="975"/>
      <x v="1464"/>
    </i>
    <i r="1">
      <x v="1373"/>
      <x v="44"/>
      <x v="2021"/>
      <x v="18"/>
      <x v="869"/>
      <x v="1397"/>
    </i>
    <i r="1">
      <x v="1375"/>
      <x v="86"/>
      <x v="1405"/>
      <x v="81"/>
      <x v="779"/>
      <x v="1271"/>
    </i>
    <i r="1">
      <x v="1376"/>
      <x v="74"/>
      <x v="771"/>
      <x v="77"/>
      <x v="1017"/>
      <x v="1942"/>
    </i>
    <i r="1">
      <x v="1377"/>
      <x v="82"/>
      <x v="1303"/>
      <x v="11"/>
      <x v="1097"/>
      <x v="1036"/>
    </i>
    <i r="1">
      <x v="1381"/>
      <x v="104"/>
      <x v="45"/>
      <x v="72"/>
      <x v="982"/>
      <x v="86"/>
    </i>
    <i r="1">
      <x v="1387"/>
      <x v="92"/>
      <x v="1377"/>
      <x v="66"/>
      <x v="1310"/>
      <x v="1226"/>
    </i>
    <i r="1">
      <x v="1389"/>
      <x v="121"/>
      <x v="1622"/>
      <x v="27"/>
      <x v="595"/>
      <x v="1665"/>
    </i>
    <i r="1">
      <x v="1393"/>
      <x v="74"/>
      <x v="812"/>
      <x v="77"/>
      <x v="961"/>
      <x v="1791"/>
    </i>
    <i r="1">
      <x v="1396"/>
      <x v="74"/>
      <x v="752"/>
      <x v="77"/>
      <x v="817"/>
      <x v="1435"/>
    </i>
    <i r="1">
      <x v="1397"/>
      <x v="52"/>
      <x v="1569"/>
      <x v="73"/>
      <x v="482"/>
      <x v="1432"/>
    </i>
    <i r="1">
      <x v="1405"/>
      <x v="121"/>
      <x v="1619"/>
      <x v="43"/>
      <x v="577"/>
      <x v="1420"/>
    </i>
    <i r="1">
      <x v="1406"/>
      <x v="56"/>
      <x v="490"/>
      <x v="48"/>
      <x v="1045"/>
      <x v="1494"/>
    </i>
    <i r="1">
      <x v="1409"/>
      <x v="104"/>
      <x v="41"/>
      <x v="72"/>
      <x v="923"/>
      <x v="82"/>
    </i>
    <i r="1">
      <x v="1410"/>
      <x v="102"/>
      <x v="1434"/>
      <x v="73"/>
      <x v="883"/>
      <x v="1365"/>
    </i>
    <i r="1">
      <x v="1413"/>
      <x v="139"/>
      <x v="1771"/>
      <x v="77"/>
      <x v="857"/>
      <x v="64"/>
    </i>
    <i r="1">
      <x v="1417"/>
      <x v="91"/>
      <x v="674"/>
      <x v="58"/>
      <x v="797"/>
      <x v="1992"/>
    </i>
    <i r="1">
      <x v="1428"/>
      <x v="54"/>
      <x v="372"/>
      <x v="27"/>
      <x v="942"/>
      <x v="637"/>
    </i>
    <i r="1">
      <x v="1432"/>
      <x v="56"/>
      <x v="563"/>
      <x v="88"/>
      <x v="880"/>
      <x v="1417"/>
    </i>
    <i r="1">
      <x v="1439"/>
      <x v="91"/>
      <x v="664"/>
      <x v="58"/>
      <x v="575"/>
      <x v="1433"/>
    </i>
    <i r="1">
      <x v="1449"/>
      <x v="115"/>
      <x v="188"/>
      <x v="43"/>
      <x v="599"/>
      <x v="278"/>
    </i>
    <i r="1">
      <x v="1451"/>
      <x v="102"/>
      <x v="1435"/>
      <x v="73"/>
      <x v="943"/>
      <x v="1367"/>
    </i>
    <i r="1">
      <x v="1457"/>
      <x v="139"/>
      <x v="1775"/>
      <x v="77"/>
      <x v="843"/>
      <x v="1054"/>
    </i>
    <i r="1">
      <x v="1459"/>
      <x v="121"/>
      <x v="1618"/>
      <x v="43"/>
      <x v="556"/>
      <x v="1419"/>
    </i>
    <i r="1">
      <x v="1463"/>
      <x v="74"/>
      <x v="748"/>
      <x v="77"/>
      <x v="447"/>
      <x v="1957"/>
    </i>
    <i r="1">
      <x v="1467"/>
      <x v="139"/>
      <x v="1779"/>
      <x v="77"/>
      <x v="871"/>
      <x v="1222"/>
    </i>
    <i r="1">
      <x v="1468"/>
      <x v="121"/>
      <x v="1617"/>
      <x v="51"/>
      <x v="1310"/>
      <x v="807"/>
    </i>
    <i r="1">
      <x v="1469"/>
      <x v="105"/>
      <x v="1451"/>
      <x v="70"/>
      <x v="984"/>
      <x v="1139"/>
    </i>
    <i r="1">
      <x v="1479"/>
      <x v="104"/>
      <x v="39"/>
      <x v="72"/>
      <x v="968"/>
      <x v="80"/>
    </i>
    <i r="1">
      <x v="1481"/>
      <x v="104"/>
      <x v="43"/>
      <x v="72"/>
      <x v="1018"/>
      <x v="84"/>
    </i>
    <i r="1">
      <x v="1489"/>
      <x v="56"/>
      <x v="597"/>
      <x v="83"/>
      <x v="967"/>
      <x v="1966"/>
    </i>
    <i r="1">
      <x v="1496"/>
      <x v="102"/>
      <x v="1432"/>
      <x v="73"/>
      <x v="980"/>
      <x v="1366"/>
    </i>
    <i r="1">
      <x v="1497"/>
      <x v="56"/>
      <x v="398"/>
      <x v="58"/>
      <x v="737"/>
      <x v="368"/>
    </i>
    <i r="1">
      <x v="1499"/>
      <x v="74"/>
      <x v="773"/>
      <x v="77"/>
      <x v="946"/>
      <x v="1945"/>
    </i>
    <i r="1">
      <x v="1509"/>
      <x v="74"/>
      <x v="772"/>
      <x v="77"/>
      <x v="1310"/>
      <x v="1944"/>
    </i>
    <i r="1">
      <x v="1517"/>
      <x v="78"/>
      <x v="910"/>
      <x v="33"/>
      <x v="1098"/>
      <x v="1812"/>
    </i>
    <i r="1">
      <x v="1531"/>
      <x v="78"/>
      <x v="864"/>
      <x v="19"/>
      <x v="1310"/>
      <x v="1424"/>
    </i>
    <i r="1">
      <x v="1533"/>
      <x v="139"/>
      <x v="1768"/>
      <x v="56"/>
      <x v="446"/>
      <x v="389"/>
    </i>
    <i r="1">
      <x v="1534"/>
      <x v="74"/>
      <x v="783"/>
      <x v="77"/>
      <x v="868"/>
      <x v="2005"/>
    </i>
    <i r="1">
      <x v="1545"/>
      <x v="56"/>
      <x v="418"/>
      <x v="83"/>
      <x v="852"/>
      <x v="695"/>
    </i>
    <i r="1">
      <x v="1548"/>
      <x v="74"/>
      <x v="750"/>
      <x v="77"/>
      <x v="617"/>
      <x v="1438"/>
    </i>
    <i r="1">
      <x v="1556"/>
      <x v="102"/>
      <x v="1428"/>
      <x v="73"/>
      <x v="930"/>
      <x v="1359"/>
    </i>
    <i r="1">
      <x v="1560"/>
      <x v="139"/>
      <x v="1780"/>
      <x v="77"/>
      <x v="845"/>
      <x v="1250"/>
    </i>
    <i r="1">
      <x v="1561"/>
      <x v="74"/>
      <x v="776"/>
      <x v="77"/>
      <x v="958"/>
      <x v="1950"/>
    </i>
    <i r="1">
      <x v="1562"/>
      <x v="74"/>
      <x v="781"/>
      <x v="77"/>
      <x v="979"/>
      <x v="2003"/>
    </i>
    <i r="1">
      <x v="1568"/>
      <x v="64"/>
      <x v="693"/>
      <x v="19"/>
      <x v="1310"/>
      <x v="758"/>
    </i>
    <i r="2">
      <x v="157"/>
      <x v="1934"/>
      <x v="63"/>
      <x v="397"/>
      <x v="1895"/>
    </i>
    <i r="1">
      <x v="1570"/>
      <x v="141"/>
      <x v="1578"/>
      <x v="101"/>
      <x v="726"/>
      <x v="1515"/>
    </i>
    <i r="1">
      <x v="1573"/>
      <x v="139"/>
      <x v="1772"/>
      <x v="77"/>
      <x v="799"/>
      <x v="272"/>
    </i>
    <i r="1">
      <x v="1575"/>
      <x v="102"/>
      <x v="1423"/>
      <x v="73"/>
      <x v="905"/>
      <x v="1352"/>
    </i>
    <i r="1">
      <x v="1576"/>
      <x v="102"/>
      <x v="1433"/>
      <x v="73"/>
      <x v="989"/>
      <x v="1368"/>
    </i>
    <i r="1">
      <x v="1582"/>
      <x v="74"/>
      <x v="749"/>
      <x v="77"/>
      <x v="1310"/>
      <x v="1437"/>
    </i>
    <i r="1">
      <x v="1586"/>
      <x v="102"/>
      <x v="1422"/>
      <x v="58"/>
      <x v="1164"/>
      <x v="1132"/>
    </i>
    <i r="1">
      <x v="1587"/>
      <x v="78"/>
      <x v="981"/>
      <x v="46"/>
      <x v="606"/>
      <x v="961"/>
    </i>
    <i r="1">
      <x v="1592"/>
      <x v="74"/>
      <x v="782"/>
      <x v="77"/>
      <x v="1310"/>
      <x v="2004"/>
    </i>
    <i r="1">
      <x v="1593"/>
      <x v="102"/>
      <x v="1430"/>
      <x v="73"/>
      <x v="905"/>
      <x v="1360"/>
    </i>
    <i r="1">
      <x v="1601"/>
      <x v="74"/>
      <x v="751"/>
      <x v="77"/>
      <x v="620"/>
      <x v="1439"/>
    </i>
    <i r="2">
      <x v="139"/>
      <x v="1770"/>
      <x v="77"/>
      <x v="841"/>
      <x v="46"/>
    </i>
    <i r="1">
      <x v="1603"/>
      <x v="95"/>
      <x v="996"/>
      <x v="43"/>
      <x v="670"/>
      <x v="461"/>
    </i>
    <i r="1">
      <x v="1614"/>
      <x v="74"/>
      <x v="774"/>
      <x v="77"/>
      <x v="918"/>
      <x v="1946"/>
    </i>
    <i r="1">
      <x v="1616"/>
      <x v="102"/>
      <x v="1421"/>
      <x v="58"/>
      <x v="223"/>
      <x v="1610"/>
    </i>
    <i r="1">
      <x v="1619"/>
      <x v="139"/>
      <x v="1777"/>
      <x v="77"/>
      <x v="765"/>
      <x v="1141"/>
    </i>
    <i r="1">
      <x v="1622"/>
      <x v="74"/>
      <x v="778"/>
      <x v="77"/>
      <x v="852"/>
      <x v="1954"/>
    </i>
    <i r="1">
      <x v="1623"/>
      <x v="102"/>
      <x v="1427"/>
      <x v="73"/>
      <x v="955"/>
      <x v="1358"/>
    </i>
    <i r="1">
      <x v="1627"/>
      <x v="139"/>
      <x v="1778"/>
      <x v="77"/>
      <x v="838"/>
      <x v="1142"/>
    </i>
    <i r="1">
      <x v="1630"/>
      <x v="74"/>
      <x v="780"/>
      <x v="77"/>
      <x v="1310"/>
      <x v="2008"/>
    </i>
    <i r="1">
      <x v="1633"/>
      <x v="78"/>
      <x v="866"/>
      <x v="19"/>
      <x v="1310"/>
      <x v="1514"/>
    </i>
    <i r="1">
      <x v="1648"/>
      <x v="139"/>
      <x v="1774"/>
      <x v="77"/>
      <x v="862"/>
      <x v="1009"/>
    </i>
    <i r="1">
      <x v="1653"/>
      <x v="139"/>
      <x v="1776"/>
      <x v="77"/>
      <x v="847"/>
      <x v="1055"/>
    </i>
    <i r="1">
      <x v="1654"/>
      <x v="56"/>
      <x v="376"/>
      <x v="53"/>
      <x v="773"/>
      <x v="20"/>
    </i>
    <i r="1">
      <x v="1658"/>
      <x v="91"/>
      <x v="665"/>
      <x v="58"/>
      <x v="605"/>
      <x v="1440"/>
    </i>
    <i r="1">
      <x v="1662"/>
      <x v="102"/>
      <x v="1426"/>
      <x v="73"/>
      <x v="941"/>
      <x v="1348"/>
    </i>
    <i r="1">
      <x v="1667"/>
      <x v="139"/>
      <x v="1773"/>
      <x v="77"/>
      <x v="813"/>
      <x v="569"/>
    </i>
    <i r="1">
      <x v="1671"/>
      <x v="91"/>
      <x v="670"/>
      <x v="58"/>
      <x v="860"/>
      <x v="1949"/>
    </i>
    <i r="1">
      <x v="1673"/>
      <x v="108"/>
      <x v="1340"/>
      <x v="73"/>
      <x v="725"/>
      <x v="1118"/>
    </i>
    <i r="1">
      <x v="1675"/>
      <x v="102"/>
      <x v="1425"/>
      <x v="73"/>
      <x v="988"/>
      <x v="1351"/>
    </i>
    <i r="1">
      <x v="1677"/>
      <x v="7"/>
      <x v="1647"/>
      <x v="48"/>
      <x v="615"/>
      <x v="948"/>
    </i>
    <i r="1">
      <x v="1679"/>
      <x v="91"/>
      <x v="675"/>
      <x v="58"/>
      <x v="816"/>
      <x v="2009"/>
    </i>
    <i r="1">
      <x v="1680"/>
      <x v="91"/>
      <x v="661"/>
      <x v="58"/>
      <x v="742"/>
      <x v="1400"/>
    </i>
    <i r="1">
      <x v="1681"/>
      <x v="102"/>
      <x v="1424"/>
      <x v="73"/>
      <x v="965"/>
      <x v="1346"/>
    </i>
    <i r="1">
      <x v="1682"/>
      <x v="94"/>
      <x v="117"/>
      <x v="88"/>
      <x v="626"/>
      <x v="67"/>
    </i>
    <i r="1">
      <x v="1692"/>
      <x v="78"/>
      <x v="908"/>
      <x v="27"/>
      <x v="777"/>
      <x v="1811"/>
    </i>
    <i r="1">
      <x v="1694"/>
      <x v="17"/>
      <x v="121"/>
      <x v="43"/>
      <x v="1000"/>
      <x v="1504"/>
    </i>
    <i r="1">
      <x v="1697"/>
      <x v="96"/>
      <x v="498"/>
      <x v="8"/>
      <x v="787"/>
      <x v="577"/>
    </i>
    <i r="1">
      <x v="1705"/>
      <x v="78"/>
      <x v="865"/>
      <x v="19"/>
      <x v="1310"/>
      <x v="1423"/>
    </i>
    <i r="1">
      <x v="1711"/>
      <x v="74"/>
      <x v="775"/>
      <x v="77"/>
      <x v="845"/>
      <x v="1956"/>
    </i>
    <i r="1">
      <x v="1718"/>
      <x v="129"/>
      <x v="281"/>
      <x v="73"/>
      <x v="693"/>
      <x v="398"/>
    </i>
    <i r="1">
      <x v="1723"/>
      <x v="63"/>
      <x v="602"/>
      <x v="27"/>
      <x v="1239"/>
      <x v="730"/>
    </i>
    <i r="1">
      <x v="1726"/>
      <x v="74"/>
      <x v="777"/>
      <x v="77"/>
      <x v="1310"/>
      <x v="1953"/>
    </i>
    <i r="1">
      <x v="1728"/>
      <x v="19"/>
      <x v="1788"/>
      <x v="73"/>
      <x v="1310"/>
      <x v="1776"/>
    </i>
    <i r="1">
      <x v="1745"/>
      <x v="9"/>
      <x v="69"/>
      <x v="65"/>
      <x v="1310"/>
      <x v="953"/>
    </i>
    <i>
      <x v="248"/>
      <x/>
      <x v="42"/>
      <x v="263"/>
      <x v="38"/>
      <x v="1033"/>
      <x v="820"/>
    </i>
    <i r="1">
      <x v="10"/>
      <x v="147"/>
      <x v="1855"/>
      <x v="3"/>
      <x v="414"/>
      <x v="1907"/>
    </i>
    <i r="1">
      <x v="13"/>
      <x v="20"/>
      <x v="1206"/>
      <x v="18"/>
      <x v="460"/>
      <x v="974"/>
    </i>
    <i r="1">
      <x v="29"/>
      <x v="20"/>
      <x v="1220"/>
      <x v="17"/>
      <x v="568"/>
      <x v="969"/>
    </i>
    <i r="1">
      <x v="61"/>
      <x v="28"/>
      <x v="1609"/>
      <x v="3"/>
      <x v="407"/>
      <x v="1559"/>
    </i>
    <i r="1">
      <x v="72"/>
      <x v="126"/>
      <x v="1672"/>
      <x v="3"/>
      <x v="576"/>
      <x v="1681"/>
    </i>
    <i r="1">
      <x v="78"/>
      <x v="147"/>
      <x v="1865"/>
      <x v="6"/>
      <x v="453"/>
      <x v="1158"/>
    </i>
    <i r="1">
      <x v="117"/>
      <x v="147"/>
      <x v="1872"/>
      <x v="7"/>
      <x v="460"/>
      <x v="1880"/>
    </i>
    <i r="1">
      <x v="119"/>
      <x v="147"/>
      <x v="1879"/>
      <x v="9"/>
      <x v="573"/>
      <x v="1883"/>
    </i>
    <i r="1">
      <x v="171"/>
      <x v="20"/>
      <x v="1217"/>
      <x v="19"/>
      <x v="598"/>
      <x v="987"/>
    </i>
    <i r="1">
      <x v="214"/>
      <x v="78"/>
      <x v="935"/>
      <x v="33"/>
      <x v="312"/>
      <x v="1511"/>
    </i>
    <i r="1">
      <x v="312"/>
      <x v="56"/>
      <x v="435"/>
      <x v="58"/>
      <x v="305"/>
      <x v="691"/>
    </i>
    <i r="1">
      <x v="360"/>
      <x v="78"/>
      <x v="929"/>
      <x v="34"/>
      <x v="834"/>
      <x v="1651"/>
    </i>
    <i r="1">
      <x v="363"/>
      <x v="97"/>
      <x v="1389"/>
      <x v="24"/>
      <x v="355"/>
      <x v="1235"/>
    </i>
    <i r="1">
      <x v="400"/>
      <x v="78"/>
      <x v="854"/>
      <x v="54"/>
      <x v="400"/>
      <x v="1383"/>
    </i>
    <i r="1">
      <x v="562"/>
      <x v="135"/>
      <x v="1639"/>
      <x/>
      <x v="581"/>
      <x v="1584"/>
    </i>
    <i r="1">
      <x v="869"/>
      <x v="56"/>
      <x v="448"/>
      <x v="83"/>
      <x v="165"/>
      <x v="1175"/>
    </i>
    <i r="1">
      <x v="1023"/>
      <x v="132"/>
      <x v="713"/>
      <x v="57"/>
      <x v="1310"/>
      <x v="815"/>
    </i>
    <i r="1">
      <x v="1071"/>
      <x v="140"/>
      <x v="1737"/>
      <x v="57"/>
      <x v="216"/>
      <x v="1111"/>
    </i>
    <i r="1">
      <x v="1427"/>
      <x v="42"/>
      <x v="270"/>
      <x v="61"/>
      <x v="341"/>
      <x v="1523"/>
    </i>
    <i r="1">
      <x v="1526"/>
      <x v="106"/>
      <x v="1564"/>
      <x v="53"/>
      <x v="386"/>
      <x v="1304"/>
    </i>
    <i r="1">
      <x v="1588"/>
      <x v="10"/>
      <x v="78"/>
      <x v="37"/>
      <x v="555"/>
      <x v="477"/>
    </i>
    <i r="1">
      <x v="1620"/>
      <x v="20"/>
      <x v="1060"/>
      <x v="24"/>
      <x v="504"/>
      <x v="1698"/>
    </i>
    <i r="1">
      <x v="1624"/>
      <x v="97"/>
      <x v="1397"/>
      <x v="62"/>
      <x v="331"/>
      <x v="1244"/>
    </i>
    <i r="1">
      <x v="1737"/>
      <x v="35"/>
      <x v="53"/>
      <x v="83"/>
      <x v="1310"/>
      <x v="29"/>
    </i>
    <i>
      <x v="249"/>
      <x v="8"/>
      <x v="147"/>
      <x v="1900"/>
      <x v="3"/>
      <x v="1099"/>
      <x v="1903"/>
    </i>
    <i r="1">
      <x v="17"/>
      <x v="20"/>
      <x v="1207"/>
      <x v="18"/>
      <x v="916"/>
      <x v="972"/>
    </i>
    <i r="1">
      <x v="45"/>
      <x v="20"/>
      <x v="1221"/>
      <x v="17"/>
      <x v="1023"/>
      <x v="959"/>
    </i>
    <i r="1">
      <x v="73"/>
      <x v="126"/>
      <x v="1674"/>
      <x v="3"/>
      <x v="1030"/>
      <x v="1682"/>
    </i>
    <i r="1">
      <x v="90"/>
      <x v="28"/>
      <x v="1610"/>
      <x v="3"/>
      <x v="985"/>
      <x v="1563"/>
    </i>
    <i r="1">
      <x v="123"/>
      <x v="147"/>
      <x v="1873"/>
      <x v="7"/>
      <x v="919"/>
      <x v="1881"/>
    </i>
    <i r="1">
      <x v="160"/>
      <x v="147"/>
      <x v="1866"/>
      <x v="6"/>
      <x v="1137"/>
      <x v="1160"/>
    </i>
    <i r="1">
      <x v="209"/>
      <x v="78"/>
      <x v="936"/>
      <x v="33"/>
      <x v="1092"/>
      <x v="1512"/>
    </i>
    <i r="1">
      <x v="225"/>
      <x v="147"/>
      <x v="1880"/>
      <x v="9"/>
      <x v="1027"/>
      <x v="1884"/>
    </i>
    <i r="1">
      <x v="296"/>
      <x v="97"/>
      <x v="1390"/>
      <x v="24"/>
      <x v="939"/>
      <x v="1236"/>
    </i>
    <i r="1">
      <x v="301"/>
      <x v="20"/>
      <x v="1218"/>
      <x v="19"/>
      <x v="1019"/>
      <x v="986"/>
    </i>
    <i r="1">
      <x v="303"/>
      <x v="56"/>
      <x v="437"/>
      <x v="58"/>
      <x v="1112"/>
      <x v="689"/>
    </i>
    <i r="1">
      <x v="369"/>
      <x v="78"/>
      <x v="855"/>
      <x v="56"/>
      <x v="1161"/>
      <x v="1385"/>
    </i>
    <i r="1">
      <x v="484"/>
      <x v="82"/>
      <x v="1306"/>
      <x v="11"/>
      <x v="937"/>
      <x v="1058"/>
    </i>
    <i r="1">
      <x v="501"/>
      <x v="54"/>
      <x v="373"/>
      <x v="27"/>
      <x v="979"/>
      <x v="707"/>
    </i>
    <i r="1">
      <x v="662"/>
      <x v="10"/>
      <x v="71"/>
      <x v="40"/>
      <x v="1046"/>
      <x v="642"/>
    </i>
    <i r="1">
      <x v="774"/>
      <x v="78"/>
      <x v="915"/>
      <x v="12"/>
      <x v="1142"/>
      <x v="1669"/>
    </i>
    <i r="1">
      <x v="841"/>
      <x v="10"/>
      <x v="114"/>
      <x v="14"/>
      <x v="809"/>
      <x v="73"/>
    </i>
    <i r="1">
      <x v="1101"/>
      <x v="2"/>
      <x v="4"/>
      <x v="27"/>
      <x v="1115"/>
      <x v="1646"/>
    </i>
    <i r="1">
      <x v="1147"/>
      <x v="50"/>
      <x v="1751"/>
      <x v="87"/>
      <x v="960"/>
      <x v="2028"/>
    </i>
    <i r="1">
      <x v="1179"/>
      <x v="78"/>
      <x v="941"/>
      <x v="37"/>
      <x v="1016"/>
      <x v="1668"/>
    </i>
    <i r="1">
      <x v="1224"/>
      <x v="42"/>
      <x v="271"/>
      <x v="62"/>
      <x v="1059"/>
      <x v="1530"/>
    </i>
    <i r="1">
      <x v="1237"/>
      <x v="142"/>
      <x v="321"/>
      <x v="92"/>
      <x v="729"/>
      <x v="973"/>
    </i>
    <i r="1">
      <x v="1262"/>
      <x v="29"/>
      <x v="1312"/>
      <x v="54"/>
      <x v="1104"/>
      <x v="1105"/>
    </i>
    <i r="1">
      <x v="1265"/>
      <x v="82"/>
      <x v="1279"/>
      <x v="42"/>
      <x v="1076"/>
      <x v="1010"/>
    </i>
    <i r="1">
      <x v="1338"/>
      <x v="31"/>
      <x v="164"/>
      <x v="18"/>
      <x v="920"/>
      <x v="1477"/>
    </i>
    <i r="1">
      <x v="1349"/>
      <x v="106"/>
      <x v="1565"/>
      <x v="53"/>
      <x v="881"/>
      <x v="1382"/>
    </i>
    <i r="1">
      <x v="1571"/>
      <x v="20"/>
      <x v="1064"/>
      <x v="24"/>
      <x v="838"/>
      <x v="1699"/>
    </i>
    <i r="1">
      <x v="1612"/>
      <x v="125"/>
      <x v="64"/>
      <x v="53"/>
      <x v="772"/>
      <x v="832"/>
    </i>
    <i r="1">
      <x v="1666"/>
      <x v="58"/>
      <x v="158"/>
      <x v="47"/>
      <x v="528"/>
      <x v="190"/>
    </i>
    <i r="1">
      <x v="1742"/>
      <x v="35"/>
      <x v="54"/>
      <x v="83"/>
      <x v="1310"/>
      <x v="30"/>
    </i>
    <i>
      <x v="250"/>
      <x v="311"/>
      <x v="20"/>
      <x v="1090"/>
      <x v="58"/>
      <x v="247"/>
      <x v="971"/>
    </i>
    <i r="1">
      <x v="756"/>
      <x v="56"/>
      <x v="403"/>
      <x v="58"/>
      <x v="686"/>
      <x v="559"/>
    </i>
    <i r="1">
      <x v="1580"/>
      <x v="3"/>
      <x v="15"/>
      <x v="116"/>
      <x v="353"/>
      <x v="366"/>
    </i>
    <i>
      <x v="251"/>
      <x/>
      <x v="20"/>
      <x v="1062"/>
      <x v="28"/>
      <x v="1033"/>
      <x v="1700"/>
    </i>
    <i r="2">
      <x v="109"/>
      <x v="1487"/>
      <x v="39"/>
      <x v="1001"/>
      <x v="1466"/>
    </i>
    <i r="1">
      <x v="15"/>
      <x v="20"/>
      <x v="1016"/>
      <x v="4"/>
      <x v="522"/>
      <x v="891"/>
    </i>
    <i r="1">
      <x v="20"/>
      <x v="147"/>
      <x v="1867"/>
      <x v="3"/>
      <x v="429"/>
      <x v="1877"/>
    </i>
    <i r="1">
      <x v="40"/>
      <x v="20"/>
      <x v="1213"/>
      <x v="18"/>
      <x v="411"/>
      <x v="983"/>
    </i>
    <i r="1">
      <x v="54"/>
      <x v="126"/>
      <x v="1715"/>
      <x v="22"/>
      <x v="517"/>
      <x v="1148"/>
    </i>
    <i r="1">
      <x v="95"/>
      <x v="28"/>
      <x v="1611"/>
      <x v="3"/>
      <x v="403"/>
      <x v="1562"/>
    </i>
    <i r="1">
      <x v="161"/>
      <x v="126"/>
      <x v="1670"/>
      <x v="4"/>
      <x v="521"/>
      <x v="1657"/>
    </i>
    <i r="1">
      <x v="211"/>
      <x v="158"/>
      <x v="1990"/>
      <x v="36"/>
      <x v="863"/>
      <x v="331"/>
    </i>
    <i r="1">
      <x v="231"/>
      <x v="81"/>
      <x v="1275"/>
      <x v="39"/>
      <x v="519"/>
      <x v="1029"/>
    </i>
    <i r="1">
      <x v="283"/>
      <x v="147"/>
      <x v="1881"/>
      <x v="9"/>
      <x v="520"/>
      <x v="964"/>
    </i>
    <i r="1">
      <x v="287"/>
      <x v="82"/>
      <x v="1291"/>
      <x v="6"/>
      <x v="333"/>
      <x v="100"/>
    </i>
    <i r="1">
      <x v="296"/>
      <x v="78"/>
      <x v="954"/>
      <x v="24"/>
      <x v="976"/>
      <x v="1982"/>
    </i>
    <i r="1">
      <x v="322"/>
      <x v="56"/>
      <x v="441"/>
      <x v="58"/>
      <x v="465"/>
      <x v="667"/>
    </i>
    <i r="1">
      <x v="356"/>
      <x v="78"/>
      <x v="955"/>
      <x v="31"/>
      <x v="402"/>
      <x v="1983"/>
    </i>
    <i r="1">
      <x v="368"/>
      <x v="20"/>
      <x v="1091"/>
      <x v="3"/>
      <x v="475"/>
      <x v="903"/>
    </i>
    <i r="1">
      <x v="375"/>
      <x v="158"/>
      <x v="1991"/>
      <x v="36"/>
      <x v="681"/>
      <x v="530"/>
    </i>
    <i r="1">
      <x v="517"/>
      <x v="102"/>
      <x v="1441"/>
      <x v="58"/>
      <x v="712"/>
      <x v="1378"/>
    </i>
    <i r="1">
      <x v="551"/>
      <x v="78"/>
      <x v="953"/>
      <x v="37"/>
      <x v="658"/>
      <x v="1525"/>
    </i>
    <i r="1">
      <x v="604"/>
      <x v="78"/>
      <x v="956"/>
      <x v="24"/>
      <x v="464"/>
      <x v="1981"/>
    </i>
    <i r="1">
      <x v="674"/>
      <x v="82"/>
      <x v="1298"/>
      <x v="23"/>
      <x v="787"/>
      <x v="1043"/>
    </i>
    <i r="1">
      <x v="684"/>
      <x v="78"/>
      <x v="984"/>
      <x v="67"/>
      <x v="774"/>
      <x v="250"/>
    </i>
    <i r="1">
      <x v="713"/>
      <x v="78"/>
      <x v="952"/>
      <x v="14"/>
      <x v="565"/>
      <x v="1447"/>
    </i>
    <i r="1">
      <x v="848"/>
      <x v="78"/>
      <x v="949"/>
      <x v="38"/>
      <x v="607"/>
      <x v="509"/>
    </i>
    <i r="1">
      <x v="899"/>
      <x v="22"/>
      <x v="141"/>
      <x v="3"/>
      <x v="463"/>
      <x v="136"/>
    </i>
    <i r="1">
      <x v="1052"/>
      <x v="20"/>
      <x v="1047"/>
      <x v="11"/>
      <x v="529"/>
      <x v="1964"/>
    </i>
    <i r="1">
      <x v="1098"/>
      <x v="58"/>
      <x v="555"/>
      <x v="28"/>
      <x v="670"/>
      <x v="635"/>
    </i>
    <i r="1">
      <x v="1216"/>
      <x v="102"/>
      <x v="1420"/>
      <x v="58"/>
      <x v="473"/>
      <x v="1275"/>
    </i>
    <i r="1">
      <x v="1303"/>
      <x v="75"/>
      <x v="822"/>
      <x v="83"/>
      <x v="211"/>
      <x v="751"/>
    </i>
    <i r="1">
      <x v="1360"/>
      <x v="56"/>
      <x v="443"/>
      <x v="58"/>
      <x v="679"/>
      <x v="1497"/>
    </i>
    <i r="1">
      <x v="1513"/>
      <x v="44"/>
      <x v="2024"/>
      <x v="14"/>
      <x v="580"/>
      <x v="1162"/>
    </i>
    <i r="1">
      <x v="1532"/>
      <x v="130"/>
      <x v="1741"/>
      <x v="33"/>
      <x v="530"/>
      <x v="1619"/>
    </i>
    <i r="1">
      <x v="1542"/>
      <x v="93"/>
      <x v="1379"/>
      <x v="83"/>
      <x v="313"/>
      <x v="1873"/>
    </i>
    <i r="1">
      <x v="1564"/>
      <x v="20"/>
      <x v="1191"/>
      <x v="24"/>
      <x v="788"/>
      <x v="1163"/>
    </i>
    <i r="1">
      <x v="1699"/>
      <x v="56"/>
      <x v="377"/>
      <x v="63"/>
      <x v="507"/>
      <x v="21"/>
    </i>
    <i r="2">
      <x v="149"/>
      <x v="1910"/>
      <x v="53"/>
      <x v="1091"/>
      <x v="1146"/>
    </i>
    <i>
      <x v="252"/>
      <x/>
      <x v="10"/>
      <x v="73"/>
      <x v="43"/>
      <x v="133"/>
      <x v="1161"/>
    </i>
    <i r="1">
      <x v="71"/>
      <x v="20"/>
      <x v="1214"/>
      <x v="22"/>
      <x v="193"/>
      <x v="982"/>
    </i>
    <i r="1">
      <x v="89"/>
      <x v="147"/>
      <x v="1868"/>
      <x v="6"/>
      <x v="253"/>
      <x v="1885"/>
    </i>
    <i r="1">
      <x v="115"/>
      <x v="20"/>
      <x v="1222"/>
      <x v="16"/>
      <x v="355"/>
      <x v="893"/>
    </i>
    <i r="1">
      <x v="277"/>
      <x v="126"/>
      <x v="1681"/>
      <x v="14"/>
      <x v="359"/>
      <x v="1149"/>
    </i>
    <i r="1">
      <x v="304"/>
      <x v="20"/>
      <x v="1092"/>
      <x v="5"/>
      <x v="280"/>
      <x v="904"/>
    </i>
    <i r="1">
      <x v="361"/>
      <x v="147"/>
      <x v="1882"/>
      <x v="14"/>
      <x v="370"/>
      <x v="963"/>
    </i>
    <i r="1">
      <x v="560"/>
      <x v="56"/>
      <x v="442"/>
      <x v="68"/>
      <x v="258"/>
      <x v="668"/>
    </i>
    <i r="1">
      <x v="577"/>
      <x v="97"/>
      <x v="1391"/>
      <x v="28"/>
      <x v="202"/>
      <x v="1237"/>
    </i>
    <i r="1">
      <x v="581"/>
      <x v="78"/>
      <x v="950"/>
      <x v="33"/>
      <x v="256"/>
      <x v="1485"/>
    </i>
    <i r="1">
      <x v="632"/>
      <x v="133"/>
      <x v="1368"/>
      <x v="83"/>
      <x v="1310"/>
      <x v="1743"/>
    </i>
    <i r="1">
      <x v="1143"/>
      <x v="135"/>
      <x v="1638"/>
      <x/>
      <x v="271"/>
      <x v="1586"/>
    </i>
    <i r="1">
      <x v="1229"/>
      <x v="6"/>
      <x v="36"/>
      <x v="58"/>
      <x v="125"/>
      <x v="682"/>
    </i>
    <i>
      <x v="253"/>
      <x v="59"/>
      <x v="147"/>
      <x v="1869"/>
      <x v="6"/>
      <x v="912"/>
      <x v="1878"/>
    </i>
    <i r="1">
      <x v="66"/>
      <x v="20"/>
      <x v="1215"/>
      <x v="22"/>
      <x v="734"/>
      <x v="984"/>
    </i>
    <i r="1">
      <x v="103"/>
      <x v="20"/>
      <x v="1223"/>
      <x v="17"/>
      <x v="809"/>
      <x v="892"/>
    </i>
    <i r="1">
      <x v="281"/>
      <x v="126"/>
      <x v="1682"/>
      <x v="14"/>
      <x v="807"/>
      <x v="1150"/>
    </i>
    <i r="1">
      <x v="374"/>
      <x v="147"/>
      <x v="1883"/>
      <x v="14"/>
      <x v="802"/>
      <x v="965"/>
    </i>
    <i r="1">
      <x v="493"/>
      <x v="20"/>
      <x v="1093"/>
      <x v="5"/>
      <x v="966"/>
      <x v="905"/>
    </i>
    <i r="1">
      <x v="622"/>
      <x v="97"/>
      <x v="1392"/>
      <x v="28"/>
      <x v="781"/>
      <x v="1238"/>
    </i>
    <i r="1">
      <x v="690"/>
      <x v="56"/>
      <x v="444"/>
      <x v="68"/>
      <x v="782"/>
      <x v="664"/>
    </i>
    <i r="1">
      <x v="691"/>
      <x v="78"/>
      <x v="957"/>
      <x v="37"/>
      <x v="850"/>
      <x v="1984"/>
    </i>
    <i r="1">
      <x v="767"/>
      <x v="78"/>
      <x v="951"/>
      <x v="33"/>
      <x v="881"/>
      <x v="1486"/>
    </i>
    <i>
      <x v="254"/>
      <x/>
      <x v="20"/>
      <x v="1063"/>
      <x v="33"/>
      <x v="1033"/>
      <x v="1702"/>
    </i>
    <i r="2">
      <x v="109"/>
      <x v="1478"/>
      <x v="39"/>
      <x v="1021"/>
      <x v="1618"/>
    </i>
    <i r="1">
      <x v="12"/>
      <x v="20"/>
      <x v="1017"/>
      <x v="5"/>
      <x v="515"/>
      <x v="894"/>
    </i>
    <i r="1">
      <x v="16"/>
      <x v="20"/>
      <x v="1208"/>
      <x v="18"/>
      <x v="300"/>
      <x v="978"/>
    </i>
    <i r="1">
      <x v="25"/>
      <x v="147"/>
      <x v="1887"/>
      <x v="4"/>
      <x v="350"/>
      <x v="1833"/>
    </i>
    <i r="1">
      <x v="62"/>
      <x v="28"/>
      <x v="1613"/>
      <x v="3"/>
      <x v="325"/>
      <x v="1553"/>
    </i>
    <i r="1">
      <x v="134"/>
      <x v="147"/>
      <x v="1874"/>
      <x v="9"/>
      <x v="303"/>
      <x v="1905"/>
    </i>
    <i r="1">
      <x v="168"/>
      <x v="28"/>
      <x v="1602"/>
      <x v="24"/>
      <x v="582"/>
      <x v="652"/>
    </i>
    <i r="1">
      <x v="176"/>
      <x v="126"/>
      <x v="1675"/>
      <x v="4"/>
      <x v="525"/>
      <x v="1663"/>
    </i>
    <i r="1">
      <x v="178"/>
      <x v="40"/>
      <x v="195"/>
      <x v="32"/>
      <x v="538"/>
      <x v="285"/>
    </i>
    <i r="1">
      <x v="259"/>
      <x v="147"/>
      <x v="1884"/>
      <x v="9"/>
      <x v="530"/>
      <x v="1864"/>
    </i>
    <i r="1">
      <x v="260"/>
      <x v="158"/>
      <x v="1993"/>
      <x v="36"/>
      <x v="892"/>
      <x v="279"/>
    </i>
    <i r="1">
      <x v="269"/>
      <x v="126"/>
      <x v="1686"/>
      <x v="14"/>
      <x v="528"/>
      <x v="1613"/>
    </i>
    <i r="1">
      <x v="294"/>
      <x v="20"/>
      <x v="1042"/>
      <x v="16"/>
      <x v="368"/>
      <x v="479"/>
    </i>
    <i r="1">
      <x v="312"/>
      <x v="78"/>
      <x v="971"/>
      <x v="24"/>
      <x v="1011"/>
      <x v="1997"/>
    </i>
    <i r="1">
      <x v="315"/>
      <x v="20"/>
      <x v="1198"/>
      <x v="28"/>
      <x v="500"/>
      <x v="1625"/>
    </i>
    <i r="2">
      <x v="97"/>
      <x v="1393"/>
      <x v="28"/>
      <x v="394"/>
      <x v="1240"/>
    </i>
    <i r="1">
      <x v="342"/>
      <x v="56"/>
      <x v="478"/>
      <x v="61"/>
      <x v="518"/>
      <x v="724"/>
    </i>
    <i r="1">
      <x v="350"/>
      <x v="91"/>
      <x v="668"/>
      <x v="58"/>
      <x v="445"/>
      <x v="1539"/>
    </i>
    <i r="1">
      <x v="372"/>
      <x v="107"/>
      <x v="1459"/>
      <x v="36"/>
      <x v="478"/>
      <x v="1339"/>
    </i>
    <i r="1">
      <x v="380"/>
      <x v="20"/>
      <x v="1197"/>
      <x v="19"/>
      <x v="624"/>
      <x v="1628"/>
    </i>
    <i r="1">
      <x v="401"/>
      <x v="78"/>
      <x v="962"/>
      <x v="37"/>
      <x v="581"/>
      <x v="1524"/>
    </i>
    <i r="1">
      <x v="423"/>
      <x v="158"/>
      <x v="1994"/>
      <x v="36"/>
      <x v="632"/>
      <x v="407"/>
    </i>
    <i r="1">
      <x v="424"/>
      <x v="102"/>
      <x v="1444"/>
      <x v="57"/>
      <x v="457"/>
      <x v="178"/>
    </i>
    <i r="1">
      <x v="508"/>
      <x v="64"/>
      <x v="695"/>
      <x v="19"/>
      <x v="426"/>
      <x v="774"/>
    </i>
    <i r="1">
      <x v="537"/>
      <x v="81"/>
      <x v="1276"/>
      <x v="40"/>
      <x v="450"/>
      <x v="1033"/>
    </i>
    <i r="1">
      <x v="546"/>
      <x v="78"/>
      <x v="847"/>
      <x v="58"/>
      <x v="239"/>
      <x v="360"/>
    </i>
    <i r="1">
      <x v="548"/>
      <x v="82"/>
      <x v="1292"/>
      <x v="8"/>
      <x v="314"/>
      <x v="103"/>
    </i>
    <i r="1">
      <x v="627"/>
      <x v="149"/>
      <x v="1922"/>
      <x v="24"/>
      <x v="450"/>
      <x v="1819"/>
    </i>
    <i r="1">
      <x v="646"/>
      <x v="149"/>
      <x v="1916"/>
      <x v="33"/>
      <x v="1013"/>
      <x v="234"/>
    </i>
    <i r="1">
      <x v="683"/>
      <x v="20"/>
      <x v="1095"/>
      <x v="3"/>
      <x v="333"/>
      <x v="937"/>
    </i>
    <i r="1">
      <x v="694"/>
      <x v="158"/>
      <x v="1995"/>
      <x v="36"/>
      <x v="824"/>
      <x v="301"/>
    </i>
    <i r="1">
      <x v="697"/>
      <x v="126"/>
      <x v="1731"/>
      <x v="11"/>
      <x v="875"/>
      <x v="1626"/>
    </i>
    <i r="1">
      <x v="708"/>
      <x v="95"/>
      <x v="993"/>
      <x v="33"/>
      <x v="532"/>
      <x v="238"/>
    </i>
    <i r="1">
      <x v="726"/>
      <x v="78"/>
      <x v="911"/>
      <x v="37"/>
      <x v="483"/>
      <x v="1258"/>
    </i>
    <i r="1">
      <x v="749"/>
      <x v="82"/>
      <x v="1299"/>
      <x v="27"/>
      <x v="508"/>
      <x v="1045"/>
    </i>
    <i r="1">
      <x v="783"/>
      <x v="101"/>
      <x v="1400"/>
      <x v="46"/>
      <x v="684"/>
      <x v="1268"/>
    </i>
    <i r="1">
      <x v="786"/>
      <x v="78"/>
      <x v="973"/>
      <x v="37"/>
      <x v="392"/>
      <x v="1998"/>
    </i>
    <i r="1">
      <x v="889"/>
      <x v="74"/>
      <x v="818"/>
      <x v="77"/>
      <x v="734"/>
      <x v="1082"/>
    </i>
    <i r="1">
      <x v="955"/>
      <x v="78"/>
      <x v="958"/>
      <x v="38"/>
      <x v="551"/>
      <x v="516"/>
    </i>
    <i r="1">
      <x v="969"/>
      <x v="74"/>
      <x v="817"/>
      <x v="77"/>
      <x v="571"/>
      <x v="1062"/>
    </i>
    <i r="1">
      <x v="979"/>
      <x v="22"/>
      <x v="142"/>
      <x v="3"/>
      <x v="354"/>
      <x v="137"/>
    </i>
    <i r="1">
      <x v="998"/>
      <x v="149"/>
      <x v="1913"/>
      <x v="33"/>
      <x v="804"/>
      <x v="236"/>
    </i>
    <i r="1">
      <x v="1053"/>
      <x v="74"/>
      <x v="819"/>
      <x v="77"/>
      <x v="564"/>
      <x v="1083"/>
    </i>
    <i r="1">
      <x v="1057"/>
      <x v="52"/>
      <x v="296"/>
      <x v="97"/>
      <x v="705"/>
      <x v="1605"/>
    </i>
    <i r="1">
      <x v="1099"/>
      <x v="134"/>
      <x v="1765"/>
      <x v="50"/>
      <x v="705"/>
      <x v="1757"/>
    </i>
    <i r="1">
      <x v="1120"/>
      <x v="78"/>
      <x v="961"/>
      <x v="14"/>
      <x v="622"/>
      <x v="1448"/>
    </i>
    <i r="1">
      <x v="1141"/>
      <x v="78"/>
      <x v="904"/>
      <x v="22"/>
      <x v="435"/>
      <x v="955"/>
    </i>
    <i r="1">
      <x v="1170"/>
      <x v="74"/>
      <x v="765"/>
      <x v="77"/>
      <x v="554"/>
      <x v="1091"/>
    </i>
    <i r="1">
      <x v="1211"/>
      <x v="29"/>
      <x v="1311"/>
      <x v="49"/>
      <x v="1007"/>
      <x v="1101"/>
    </i>
    <i r="1">
      <x v="1234"/>
      <x v="78"/>
      <x v="899"/>
      <x v="5"/>
      <x v="375"/>
      <x v="1287"/>
    </i>
    <i r="1">
      <x v="1297"/>
      <x v="132"/>
      <x v="718"/>
      <x v="32"/>
      <x v="664"/>
      <x v="1509"/>
    </i>
    <i r="1">
      <x v="1302"/>
      <x v="149"/>
      <x v="1919"/>
      <x v="33"/>
      <x v="766"/>
      <x v="233"/>
    </i>
    <i r="1">
      <x v="1314"/>
      <x v="78"/>
      <x v="974"/>
      <x v="27"/>
      <x v="730"/>
      <x v="1996"/>
    </i>
    <i r="1">
      <x v="1322"/>
      <x v="20"/>
      <x v="1048"/>
      <x v="11"/>
      <x v="553"/>
      <x v="1965"/>
    </i>
    <i r="1">
      <x v="1383"/>
      <x v="56"/>
      <x v="480"/>
      <x v="58"/>
      <x v="795"/>
      <x v="1499"/>
    </i>
    <i r="1">
      <x v="1385"/>
      <x v="130"/>
      <x v="1742"/>
      <x v="38"/>
      <x v="458"/>
      <x v="1692"/>
    </i>
    <i r="1">
      <x v="1390"/>
      <x v="135"/>
      <x v="1582"/>
      <x v="48"/>
      <x v="1118"/>
      <x v="1641"/>
    </i>
    <i r="1">
      <x v="1404"/>
      <x v="78"/>
      <x v="968"/>
      <x v="28"/>
      <x v="778"/>
      <x v="1995"/>
    </i>
    <i r="1">
      <x v="1426"/>
      <x v="92"/>
      <x v="1376"/>
      <x v="66"/>
      <x v="1310"/>
      <x v="1227"/>
    </i>
    <i r="1">
      <x v="1436"/>
      <x v="58"/>
      <x v="556"/>
      <x v="33"/>
      <x v="426"/>
      <x v="636"/>
    </i>
    <i r="1">
      <x v="1516"/>
      <x v="44"/>
      <x v="2025"/>
      <x v="14"/>
      <x v="569"/>
      <x v="1624"/>
    </i>
    <i r="1">
      <x v="1584"/>
      <x v="86"/>
      <x v="1407"/>
      <x v="81"/>
      <x v="456"/>
      <x v="1272"/>
    </i>
    <i r="1">
      <x v="1599"/>
      <x v="107"/>
      <x v="1458"/>
      <x v="18"/>
      <x v="657"/>
      <x v="1324"/>
    </i>
    <i r="1">
      <x v="1600"/>
      <x v="97"/>
      <x v="1396"/>
      <x v="83"/>
      <x v="389"/>
      <x v="1225"/>
    </i>
    <i r="1">
      <x v="1690"/>
      <x v="126"/>
      <x v="1724"/>
      <x v="11"/>
      <x v="1310"/>
      <x v="478"/>
    </i>
    <i r="1">
      <x v="1698"/>
      <x v="56"/>
      <x v="378"/>
      <x v="75"/>
      <x v="415"/>
      <x v="22"/>
    </i>
    <i r="1">
      <x v="1701"/>
      <x v="121"/>
      <x v="1623"/>
      <x v="42"/>
      <x v="1310"/>
      <x v="1520"/>
    </i>
    <i>
      <x v="255"/>
      <x v="69"/>
      <x v="147"/>
      <x v="1888"/>
      <x v="6"/>
      <x v="198"/>
      <x v="1835"/>
    </i>
    <i r="1">
      <x v="91"/>
      <x v="20"/>
      <x v="1209"/>
      <x v="23"/>
      <x v="186"/>
      <x v="981"/>
    </i>
    <i r="1">
      <x v="148"/>
      <x v="20"/>
      <x v="1224"/>
      <x v="17"/>
      <x v="429"/>
      <x v="896"/>
    </i>
    <i r="1">
      <x v="241"/>
      <x v="126"/>
      <x v="1687"/>
      <x v="14"/>
      <x v="439"/>
      <x v="1614"/>
    </i>
    <i r="1">
      <x v="436"/>
      <x v="147"/>
      <x v="1875"/>
      <x v="14"/>
      <x v="192"/>
      <x v="1904"/>
    </i>
    <i r="1">
      <x v="460"/>
      <x v="147"/>
      <x v="1885"/>
      <x v="15"/>
      <x v="440"/>
      <x v="1863"/>
    </i>
    <i r="1">
      <x v="565"/>
      <x v="20"/>
      <x v="1096"/>
      <x v="5"/>
      <x v="226"/>
      <x v="939"/>
    </i>
    <i r="1">
      <x v="603"/>
      <x v="56"/>
      <x v="479"/>
      <x v="69"/>
      <x v="299"/>
      <x v="721"/>
    </i>
    <i r="1">
      <x v="834"/>
      <x v="133"/>
      <x v="1370"/>
      <x v="83"/>
      <x v="174"/>
      <x v="1744"/>
    </i>
    <i r="1">
      <x v="870"/>
      <x v="78"/>
      <x v="959"/>
      <x v="33"/>
      <x v="295"/>
      <x v="1542"/>
    </i>
    <i r="1">
      <x v="883"/>
      <x v="80"/>
      <x v="1260"/>
      <x v="28"/>
      <x v="212"/>
      <x v="1052"/>
    </i>
    <i r="1">
      <x v="1715"/>
      <x v="56"/>
      <x v="449"/>
      <x v="92"/>
      <x v="185"/>
      <x v="1176"/>
    </i>
    <i>
      <x v="256"/>
      <x v="43"/>
      <x v="147"/>
      <x v="1889"/>
      <x v="6"/>
      <x v="633"/>
      <x v="1836"/>
    </i>
    <i r="1">
      <x v="64"/>
      <x v="20"/>
      <x v="1210"/>
      <x v="23"/>
      <x v="501"/>
      <x v="980"/>
    </i>
    <i r="1">
      <x v="104"/>
      <x v="20"/>
      <x v="1225"/>
      <x v="17"/>
      <x v="626"/>
      <x v="895"/>
    </i>
    <i r="1">
      <x v="179"/>
      <x v="126"/>
      <x v="1688"/>
      <x v="14"/>
      <x v="635"/>
      <x v="1615"/>
    </i>
    <i r="1">
      <x v="235"/>
      <x v="10"/>
      <x v="116"/>
      <x v="24"/>
      <x v="699"/>
      <x v="77"/>
    </i>
    <i r="1">
      <x v="291"/>
      <x v="147"/>
      <x v="1876"/>
      <x v="14"/>
      <x v="505"/>
      <x v="1906"/>
    </i>
    <i r="1">
      <x v="298"/>
      <x v="147"/>
      <x v="1886"/>
      <x v="14"/>
      <x v="637"/>
      <x v="1865"/>
    </i>
    <i r="1">
      <x v="448"/>
      <x v="78"/>
      <x v="976"/>
      <x v="37"/>
      <x v="786"/>
      <x v="2000"/>
    </i>
    <i r="1">
      <x v="535"/>
      <x v="20"/>
      <x v="1094"/>
      <x v="5"/>
      <x v="664"/>
      <x v="940"/>
    </i>
    <i r="1">
      <x v="626"/>
      <x v="78"/>
      <x v="960"/>
      <x v="33"/>
      <x v="565"/>
      <x v="1543"/>
    </i>
    <i r="1">
      <x v="668"/>
      <x v="56"/>
      <x v="481"/>
      <x v="70"/>
      <x v="792"/>
      <x v="723"/>
    </i>
    <i r="1">
      <x v="731"/>
      <x v="13"/>
      <x v="1402"/>
      <x v="77"/>
      <x v="641"/>
      <x v="1266"/>
    </i>
    <i r="1">
      <x v="788"/>
      <x v="20"/>
      <x v="1251"/>
      <x v="19"/>
      <x v="867"/>
      <x v="1708"/>
    </i>
    <i r="1">
      <x v="1395"/>
      <x v="58"/>
      <x v="1339"/>
      <x v="59"/>
      <x v="687"/>
      <x v="1685"/>
    </i>
    <i r="1">
      <x v="1720"/>
      <x v="10"/>
      <x v="115"/>
      <x v="24"/>
      <x v="1310"/>
      <x v="75"/>
    </i>
    <i>
      <x v="257"/>
      <x/>
      <x v="109"/>
      <x v="1479"/>
      <x v="34"/>
      <x v="1123"/>
      <x v="1739"/>
    </i>
    <i r="2">
      <x v="141"/>
      <x v="1752"/>
      <x v="127"/>
      <x/>
      <x v="1717"/>
    </i>
    <i r="2">
      <x v="149"/>
      <x v="1911"/>
      <x v="58"/>
      <x v="1041"/>
      <x v="1902"/>
    </i>
    <i r="2">
      <x v="151"/>
      <x v="1930"/>
      <x v="53"/>
      <x v="855"/>
      <x v="1892"/>
    </i>
    <i r="1">
      <x v="3"/>
      <x v="147"/>
      <x v="1891"/>
      <x v="2"/>
      <x v="593"/>
      <x v="1901"/>
    </i>
    <i r="1">
      <x v="14"/>
      <x v="147"/>
      <x v="1842"/>
      <x v="5"/>
      <x v="910"/>
      <x v="1861"/>
    </i>
    <i r="1">
      <x v="26"/>
      <x v="20"/>
      <x v="1018"/>
      <x v="2"/>
      <x v="596"/>
      <x v="951"/>
    </i>
    <i r="1">
      <x v="41"/>
      <x v="20"/>
      <x v="1192"/>
      <x v="14"/>
      <x v="846"/>
      <x v="1816"/>
    </i>
    <i r="1">
      <x v="46"/>
      <x v="20"/>
      <x v="1041"/>
      <x v="14"/>
      <x v="637"/>
      <x v="475"/>
    </i>
    <i r="1">
      <x v="47"/>
      <x v="20"/>
      <x v="1007"/>
      <x v="7"/>
      <x v="1064"/>
      <x v="300"/>
    </i>
    <i r="1">
      <x v="48"/>
      <x v="20"/>
      <x v="1195"/>
      <x v="14"/>
      <x v="563"/>
      <x v="1442"/>
    </i>
    <i r="1">
      <x v="49"/>
      <x v="28"/>
      <x v="1606"/>
      <x v="2"/>
      <x v="600"/>
      <x v="1554"/>
    </i>
    <i r="1">
      <x v="68"/>
      <x v="40"/>
      <x v="192"/>
      <x v="18"/>
      <x v="702"/>
      <x v="282"/>
    </i>
    <i r="1">
      <x v="82"/>
      <x v="20"/>
      <x v="1193"/>
      <x v="14"/>
      <x v="281"/>
      <x v="1193"/>
    </i>
    <i r="1">
      <x v="85"/>
      <x v="20"/>
      <x v="1212"/>
      <x v="19"/>
      <x v="602"/>
      <x v="985"/>
    </i>
    <i r="1">
      <x v="122"/>
      <x v="146"/>
      <x v="1823"/>
      <x v="45"/>
      <x v="709"/>
      <x v="1179"/>
    </i>
    <i r="1">
      <x v="126"/>
      <x v="158"/>
      <x v="1998"/>
      <x v="26"/>
      <x v="1126"/>
      <x v="302"/>
    </i>
    <i r="1">
      <x v="139"/>
      <x v="147"/>
      <x v="1845"/>
      <x v="8"/>
      <x v="566"/>
      <x v="476"/>
    </i>
    <i r="1">
      <x v="143"/>
      <x v="40"/>
      <x v="194"/>
      <x v="10"/>
      <x v="679"/>
      <x v="298"/>
    </i>
    <i r="1">
      <x v="144"/>
      <x v="126"/>
      <x v="1669"/>
      <x v="2"/>
      <x v="759"/>
      <x v="1664"/>
    </i>
    <i r="1">
      <x v="174"/>
      <x v="54"/>
      <x v="364"/>
      <x v="20"/>
      <x v="418"/>
      <x v="1260"/>
    </i>
    <i r="1">
      <x v="179"/>
      <x v="20"/>
      <x v="1190"/>
      <x v="24"/>
      <x v="648"/>
      <x v="1706"/>
    </i>
    <i r="1">
      <x v="185"/>
      <x v="20"/>
      <x v="1162"/>
      <x v="24"/>
      <x v="711"/>
      <x v="340"/>
    </i>
    <i r="1">
      <x v="191"/>
      <x v="20"/>
      <x v="1044"/>
      <x v="9"/>
      <x v="735"/>
      <x v="1707"/>
    </i>
    <i r="1">
      <x v="204"/>
      <x v="44"/>
      <x v="2020"/>
      <x v="9"/>
      <x v="755"/>
      <x v="1818"/>
    </i>
    <i r="1">
      <x v="224"/>
      <x v="78"/>
      <x v="898"/>
      <x v="3"/>
      <x v="676"/>
      <x v="1288"/>
    </i>
    <i r="1">
      <x v="262"/>
      <x v="10"/>
      <x v="113"/>
      <x v="14"/>
      <x v="685"/>
      <x v="76"/>
    </i>
    <i r="1">
      <x v="269"/>
      <x v="20"/>
      <x v="1033"/>
      <x v="19"/>
      <x v="622"/>
      <x v="1006"/>
    </i>
    <i r="1">
      <x v="272"/>
      <x v="40"/>
      <x v="193"/>
      <x v="11"/>
      <x v="708"/>
      <x v="287"/>
    </i>
    <i r="1">
      <x v="273"/>
      <x v="96"/>
      <x v="509"/>
      <x v="35"/>
      <x v="951"/>
      <x v="1403"/>
    </i>
    <i r="1">
      <x v="276"/>
      <x v="96"/>
      <x v="506"/>
      <x v="24"/>
      <x v="633"/>
      <x v="1733"/>
    </i>
    <i r="1">
      <x v="280"/>
      <x v="56"/>
      <x v="488"/>
      <x v="55"/>
      <x v="149"/>
      <x v="674"/>
    </i>
    <i r="1">
      <x v="281"/>
      <x v="78"/>
      <x v="832"/>
      <x v="62"/>
      <x v="579"/>
      <x v="1320"/>
    </i>
    <i r="1">
      <x v="284"/>
      <x v="78"/>
      <x v="846"/>
      <x v="60"/>
      <x v="232"/>
      <x v="1292"/>
    </i>
    <i r="1">
      <x v="304"/>
      <x v="147"/>
      <x v="1877"/>
      <x v="9"/>
      <x v="603"/>
      <x v="1900"/>
    </i>
    <i r="1">
      <x v="305"/>
      <x v="20"/>
      <x v="1194"/>
      <x v="19"/>
      <x v="764"/>
      <x v="1128"/>
    </i>
    <i r="1">
      <x v="317"/>
      <x v="158"/>
      <x v="1996"/>
      <x v="26"/>
      <x v="1140"/>
      <x v="346"/>
    </i>
    <i r="1">
      <x v="320"/>
      <x v="126"/>
      <x v="1663"/>
      <x v="14"/>
      <x v="820"/>
      <x v="1444"/>
    </i>
    <i r="1">
      <x v="341"/>
      <x v="82"/>
      <x v="1290"/>
      <x v="1"/>
      <x v="666"/>
      <x v="104"/>
    </i>
    <i r="1">
      <x v="351"/>
      <x v="20"/>
      <x v="1097"/>
      <x v="2"/>
      <x v="644"/>
      <x v="898"/>
    </i>
    <i r="1">
      <x v="390"/>
      <x v="58"/>
      <x v="1338"/>
      <x v="25"/>
      <x v="1242"/>
      <x v="1135"/>
    </i>
    <i r="1">
      <x v="411"/>
      <x v="78"/>
      <x v="835"/>
      <x v="51"/>
      <x v="1001"/>
      <x v="1300"/>
    </i>
    <i r="1">
      <x v="417"/>
      <x v="91"/>
      <x v="618"/>
      <x v="41"/>
      <x v="737"/>
      <x v="1098"/>
    </i>
    <i r="1">
      <x v="459"/>
      <x v="20"/>
      <x v="1038"/>
      <x v="9"/>
      <x v="524"/>
      <x v="1821"/>
    </i>
    <i r="1">
      <x v="471"/>
      <x v="133"/>
      <x v="1365"/>
      <x v="48"/>
      <x v="490"/>
      <x v="1740"/>
    </i>
    <i r="1">
      <x v="476"/>
      <x v="20"/>
      <x v="1196"/>
      <x v="14"/>
      <x v="573"/>
      <x v="1606"/>
    </i>
    <i r="1">
      <x v="488"/>
      <x v="20"/>
      <x v="1186"/>
      <x v="8"/>
      <x v="547"/>
      <x v="490"/>
    </i>
    <i r="1">
      <x v="497"/>
      <x v="95"/>
      <x v="991"/>
      <x v="8"/>
      <x v="753"/>
      <x v="935"/>
    </i>
    <i r="1">
      <x v="505"/>
      <x v="150"/>
      <x v="1924"/>
      <x v="46"/>
      <x v="786"/>
      <x v="1908"/>
    </i>
    <i r="1">
      <x v="511"/>
      <x v="64"/>
      <x v="707"/>
      <x v="6"/>
      <x v="661"/>
      <x v="775"/>
    </i>
    <i r="1">
      <x v="515"/>
      <x v="96"/>
      <x v="507"/>
      <x v="35"/>
      <x v="979"/>
      <x v="1402"/>
    </i>
    <i r="1">
      <x v="521"/>
      <x v="28"/>
      <x v="1600"/>
      <x v="24"/>
      <x v="1006"/>
      <x v="653"/>
    </i>
    <i r="1">
      <x v="557"/>
      <x v="24"/>
      <x v="149"/>
      <x v="57"/>
      <x v="748"/>
      <x v="1712"/>
    </i>
    <i r="1">
      <x v="588"/>
      <x v="149"/>
      <x v="1923"/>
      <x v="19"/>
      <x v="775"/>
      <x v="1792"/>
    </i>
    <i r="1">
      <x v="618"/>
      <x v="117"/>
      <x v="1577"/>
      <x v="58"/>
      <x v="39"/>
      <x v="925"/>
    </i>
    <i r="1">
      <x v="677"/>
      <x v="10"/>
      <x v="75"/>
      <x v="27"/>
      <x v="326"/>
      <x v="1408"/>
    </i>
    <i r="1">
      <x v="687"/>
      <x v="20"/>
      <x v="1235"/>
      <x v="24"/>
      <x v="1026"/>
      <x v="311"/>
    </i>
    <i r="1">
      <x v="709"/>
      <x v="10"/>
      <x v="76"/>
      <x v="27"/>
      <x v="1001"/>
      <x v="1830"/>
    </i>
    <i r="1">
      <x v="717"/>
      <x v="137"/>
      <x v="336"/>
      <x v="57"/>
      <x v="730"/>
      <x v="1766"/>
    </i>
    <i r="1">
      <x v="721"/>
      <x v="64"/>
      <x v="702"/>
      <x v="43"/>
      <x v="287"/>
      <x v="782"/>
    </i>
    <i r="1">
      <x v="722"/>
      <x v="74"/>
      <x v="756"/>
      <x v="78"/>
      <x v="115"/>
      <x v="586"/>
    </i>
    <i r="1">
      <x v="724"/>
      <x v="96"/>
      <x v="513"/>
      <x v="30"/>
      <x v="821"/>
      <x v="468"/>
    </i>
    <i r="1">
      <x v="732"/>
      <x v="126"/>
      <x v="1730"/>
      <x v="68"/>
      <x v="847"/>
      <x v="1976"/>
    </i>
    <i r="1">
      <x v="735"/>
      <x v="51"/>
      <x v="312"/>
      <x v="46"/>
      <x v="434"/>
      <x v="483"/>
    </i>
    <i r="1">
      <x v="740"/>
      <x v="147"/>
      <x v="1897"/>
      <x v="12"/>
      <x v="503"/>
      <x v="1854"/>
    </i>
    <i r="1">
      <x v="745"/>
      <x v="147"/>
      <x v="1895"/>
      <x v="12"/>
      <x v="307"/>
      <x v="1852"/>
    </i>
    <i r="1">
      <x v="746"/>
      <x v="91"/>
      <x v="605"/>
      <x v="25"/>
      <x v="968"/>
      <x v="65"/>
    </i>
    <i r="1">
      <x v="768"/>
      <x v="154"/>
      <x v="1938"/>
      <x v="48"/>
      <x v="1075"/>
      <x v="824"/>
    </i>
    <i r="1">
      <x v="773"/>
      <x v="96"/>
      <x v="515"/>
      <x v="21"/>
      <x v="865"/>
      <x v="1414"/>
    </i>
    <i r="1">
      <x v="779"/>
      <x v="149"/>
      <x v="1915"/>
      <x v="33"/>
      <x v="1025"/>
      <x v="1897"/>
    </i>
    <i r="1">
      <x v="780"/>
      <x v="54"/>
      <x v="370"/>
      <x v="27"/>
      <x v="976"/>
      <x v="548"/>
    </i>
    <i r="1">
      <x v="781"/>
      <x v="158"/>
      <x v="1992"/>
      <x v="26"/>
      <x v="793"/>
      <x v="1814"/>
    </i>
    <i r="1">
      <x v="802"/>
      <x v="51"/>
      <x v="30"/>
      <x v="78"/>
      <x v="245"/>
      <x v="27"/>
    </i>
    <i r="1">
      <x v="806"/>
      <x v="125"/>
      <x v="58"/>
      <x v="68"/>
      <x v="562"/>
      <x v="114"/>
    </i>
    <i r="1">
      <x v="814"/>
      <x v="52"/>
      <x v="293"/>
      <x v="86"/>
      <x v="818"/>
      <x v="1603"/>
    </i>
    <i r="1">
      <x v="821"/>
      <x v="58"/>
      <x v="549"/>
      <x v="27"/>
      <x v="932"/>
      <x v="626"/>
    </i>
    <i r="1">
      <x v="822"/>
      <x v="114"/>
      <x v="1333"/>
      <x v="96"/>
      <x v="665"/>
      <x v="1131"/>
    </i>
    <i r="1">
      <x v="825"/>
      <x v="147"/>
      <x v="1896"/>
      <x v="18"/>
      <x v="690"/>
      <x v="1851"/>
    </i>
    <i r="1">
      <x v="846"/>
      <x v="78"/>
      <x v="905"/>
      <x v="73"/>
      <x v="465"/>
      <x v="1538"/>
    </i>
    <i r="1">
      <x v="851"/>
      <x v="20"/>
      <x v="130"/>
      <x v="28"/>
      <x v="444"/>
      <x v="376"/>
    </i>
    <i r="1">
      <x v="862"/>
      <x v="125"/>
      <x v="1580"/>
      <x v="50"/>
      <x v="1150"/>
      <x v="1480"/>
    </i>
    <i r="1">
      <x v="864"/>
      <x v="56"/>
      <x v="396"/>
      <x v="58"/>
      <x v="675"/>
      <x v="356"/>
    </i>
    <i r="1">
      <x v="880"/>
      <x v="146"/>
      <x v="1834"/>
      <x v="73"/>
      <x v="93"/>
      <x v="174"/>
    </i>
    <i r="1">
      <x v="884"/>
      <x v="78"/>
      <x v="857"/>
      <x v="58"/>
      <x v="357"/>
      <x v="1384"/>
    </i>
    <i r="1">
      <x v="902"/>
      <x v="70"/>
      <x v="727"/>
      <x v="10"/>
      <x v="1012"/>
      <x v="823"/>
    </i>
    <i r="1">
      <x v="918"/>
      <x v="92"/>
      <x v="1372"/>
      <x v="32"/>
      <x v="361"/>
      <x v="1199"/>
    </i>
    <i r="1">
      <x v="923"/>
      <x v="158"/>
      <x v="1985"/>
      <x v="26"/>
      <x v="774"/>
      <x v="1475"/>
    </i>
    <i r="1">
      <x v="926"/>
      <x v="158"/>
      <x v="1997"/>
      <x v="11"/>
      <x v="749"/>
      <x v="1937"/>
    </i>
    <i r="1">
      <x v="927"/>
      <x v="140"/>
      <x v="1736"/>
      <x v="63"/>
      <x v="1310"/>
      <x v="276"/>
    </i>
    <i r="1">
      <x v="959"/>
      <x v="126"/>
      <x v="1679"/>
      <x v="11"/>
      <x v="734"/>
      <x v="1177"/>
    </i>
    <i r="1">
      <x v="975"/>
      <x v="104"/>
      <x v="1449"/>
      <x v="28"/>
      <x v="860"/>
      <x v="1156"/>
    </i>
    <i r="1">
      <x v="989"/>
      <x v="7"/>
      <x v="49"/>
      <x v="47"/>
      <x v="282"/>
      <x v="1418"/>
    </i>
    <i r="1">
      <x v="991"/>
      <x v="137"/>
      <x v="277"/>
      <x v="67"/>
      <x v="252"/>
      <x v="296"/>
    </i>
    <i r="1">
      <x v="1017"/>
      <x v="62"/>
      <x v="52"/>
      <x v="88"/>
      <x v="321"/>
      <x v="1521"/>
    </i>
    <i r="1">
      <x v="1037"/>
      <x v="78"/>
      <x v="977"/>
      <x v="63"/>
      <x v="371"/>
      <x v="235"/>
    </i>
    <i r="1">
      <x v="1047"/>
      <x v="3"/>
      <x v="10"/>
      <x v="104"/>
      <x v="319"/>
      <x v="1582"/>
    </i>
    <i r="1">
      <x v="1056"/>
      <x v="91"/>
      <x v="631"/>
      <x v="73"/>
      <x v="208"/>
      <x v="779"/>
    </i>
    <i r="1">
      <x v="1060"/>
      <x v="25"/>
      <x v="32"/>
      <x v="94"/>
      <x v="1310"/>
      <x v="48"/>
    </i>
    <i r="1">
      <x v="1061"/>
      <x v="137"/>
      <x v="278"/>
      <x v="67"/>
      <x v="1310"/>
      <x v="297"/>
    </i>
    <i r="1">
      <x v="1100"/>
      <x v="146"/>
      <x v="1819"/>
      <x v="27"/>
      <x v="1157"/>
      <x v="351"/>
    </i>
    <i r="1">
      <x v="1115"/>
      <x v="56"/>
      <x v="395"/>
      <x v="58"/>
      <x v="822"/>
      <x v="268"/>
    </i>
    <i r="1">
      <x v="1117"/>
      <x v="147"/>
      <x v="1894"/>
      <x v="12"/>
      <x v="1018"/>
      <x v="1853"/>
    </i>
    <i r="1">
      <x v="1125"/>
      <x v="147"/>
      <x v="1893"/>
      <x v="12"/>
      <x v="409"/>
      <x v="1850"/>
    </i>
    <i r="1">
      <x v="1135"/>
      <x v="56"/>
      <x v="382"/>
      <x v="83"/>
      <x v="804"/>
      <x v="694"/>
    </i>
    <i r="1">
      <x v="1137"/>
      <x v="139"/>
      <x v="1769"/>
      <x v="63"/>
      <x v="1131"/>
      <x v="314"/>
    </i>
    <i r="1">
      <x v="1148"/>
      <x v="130"/>
      <x v="1744"/>
      <x v="63"/>
      <x v="842"/>
      <x v="1593"/>
    </i>
    <i r="1">
      <x v="1159"/>
      <x v="125"/>
      <x v="1579"/>
      <x v="50"/>
      <x v="762"/>
      <x v="1484"/>
    </i>
    <i r="1">
      <x v="1186"/>
      <x v="71"/>
      <x v="732"/>
      <x v="47"/>
      <x v="867"/>
      <x v="1203"/>
    </i>
    <i r="1">
      <x v="1205"/>
      <x v="71"/>
      <x v="734"/>
      <x v="73"/>
      <x v="839"/>
      <x v="1933"/>
    </i>
    <i r="1">
      <x v="1219"/>
      <x v="7"/>
      <x v="558"/>
      <x v="37"/>
      <x v="1083"/>
      <x v="1144"/>
    </i>
    <i r="1">
      <x v="1233"/>
      <x v="7"/>
      <x v="711"/>
      <x v="63"/>
      <x v="1310"/>
      <x v="742"/>
    </i>
    <i r="1">
      <x v="1246"/>
      <x v="3"/>
      <x v="18"/>
      <x v="64"/>
      <x v="1089"/>
      <x v="248"/>
    </i>
    <i r="1">
      <x v="1252"/>
      <x v="143"/>
      <x v="1792"/>
      <x v="63"/>
      <x v="606"/>
      <x v="1786"/>
    </i>
    <i r="1">
      <x v="1291"/>
      <x v="52"/>
      <x v="55"/>
      <x v="63"/>
      <x v="121"/>
      <x v="35"/>
    </i>
    <i r="1">
      <x v="1292"/>
      <x v="31"/>
      <x v="166"/>
      <x v="33"/>
      <x v="1117"/>
      <x v="474"/>
    </i>
    <i r="1">
      <x v="1293"/>
      <x v="52"/>
      <x v="295"/>
      <x v="97"/>
      <x v="329"/>
      <x v="1710"/>
    </i>
    <i r="1">
      <x v="1296"/>
      <x v="104"/>
      <x v="1450"/>
      <x v="28"/>
      <x v="1043"/>
      <x v="1452"/>
    </i>
    <i r="1">
      <x v="1308"/>
      <x/>
      <x v="1"/>
      <x v="73"/>
      <x v="598"/>
      <x v="422"/>
    </i>
    <i r="1">
      <x v="1321"/>
      <x v="56"/>
      <x v="397"/>
      <x v="58"/>
      <x v="841"/>
      <x v="355"/>
    </i>
    <i r="1">
      <x v="1332"/>
      <x v="38"/>
      <x v="185"/>
      <x v="43"/>
      <x v="170"/>
      <x v="1640"/>
    </i>
    <i r="1">
      <x v="1333"/>
      <x v="56"/>
      <x v="487"/>
      <x v="68"/>
      <x v="634"/>
      <x v="1769"/>
    </i>
    <i r="1">
      <x v="1338"/>
      <x v="24"/>
      <x v="150"/>
      <x v="62"/>
      <x v="669"/>
      <x v="1831"/>
    </i>
    <i r="1">
      <x v="1346"/>
      <x v="135"/>
      <x v="1640"/>
      <x v="27"/>
      <x v="188"/>
      <x v="1585"/>
    </i>
    <i r="1">
      <x v="1353"/>
      <x v="131"/>
      <x v="1749"/>
      <x v="32"/>
      <x v="750"/>
      <x v="1765"/>
    </i>
    <i r="1">
      <x v="1356"/>
      <x v="96"/>
      <x v="508"/>
      <x v="35"/>
      <x v="981"/>
      <x v="1405"/>
    </i>
    <i r="1">
      <x v="1421"/>
      <x/>
      <x/>
      <x v="73"/>
      <x v="754"/>
      <x v="1138"/>
    </i>
    <i r="1">
      <x v="1434"/>
      <x v="130"/>
      <x v="1743"/>
      <x v="33"/>
      <x v="716"/>
      <x v="1713"/>
    </i>
    <i r="1">
      <x v="1446"/>
      <x v="74"/>
      <x v="757"/>
      <x v="82"/>
      <x v="644"/>
      <x v="155"/>
    </i>
    <i r="1">
      <x v="1465"/>
      <x v="91"/>
      <x v="627"/>
      <x v="43"/>
      <x v="163"/>
      <x v="153"/>
    </i>
    <i r="1">
      <x v="1490"/>
      <x v="74"/>
      <x v="779"/>
      <x v="77"/>
      <x v="601"/>
      <x v="1958"/>
    </i>
    <i r="1">
      <x v="1498"/>
      <x v="159"/>
      <x v="2026"/>
      <x v="53"/>
      <x v="904"/>
      <x v="2026"/>
    </i>
    <i r="1">
      <x v="1501"/>
      <x v="60"/>
      <x v="600"/>
      <x v="88"/>
      <x v="469"/>
      <x v="1123"/>
    </i>
    <i r="1">
      <x v="1517"/>
      <x v="93"/>
      <x v="1378"/>
      <x v="88"/>
      <x v="349"/>
      <x v="459"/>
    </i>
    <i r="1">
      <x v="1525"/>
      <x v="132"/>
      <x v="720"/>
      <x v="37"/>
      <x v="799"/>
      <x v="803"/>
    </i>
    <i r="1">
      <x v="1527"/>
      <x v="90"/>
      <x v="1364"/>
      <x v="97"/>
      <x v="104"/>
      <x v="1677"/>
    </i>
    <i r="1">
      <x v="1535"/>
      <x v="22"/>
      <x v="139"/>
      <x v="58"/>
      <x v="1310"/>
      <x v="138"/>
    </i>
    <i r="1">
      <x v="1551"/>
      <x v="27"/>
      <x v="155"/>
      <x v="83"/>
      <x v="220"/>
      <x v="182"/>
    </i>
    <i r="1">
      <x v="1558"/>
      <x v="102"/>
      <x v="1411"/>
      <x v="68"/>
      <x v="487"/>
      <x v="1866"/>
    </i>
    <i r="1">
      <x v="1567"/>
      <x v="106"/>
      <x v="1566"/>
      <x v="62"/>
      <x v="122"/>
      <x v="1301"/>
    </i>
    <i r="1">
      <x v="1579"/>
      <x v="106"/>
      <x v="1567"/>
      <x v="57"/>
      <x v="441"/>
      <x v="1322"/>
    </i>
    <i r="1">
      <x v="1583"/>
      <x v="10"/>
      <x v="72"/>
      <x v="27"/>
      <x v="675"/>
      <x v="1137"/>
    </i>
    <i r="2">
      <x v="61"/>
      <x v="601"/>
      <x v="97"/>
      <x v="1310"/>
      <x v="732"/>
    </i>
    <i r="1">
      <x v="1602"/>
      <x v="20"/>
      <x v="1045"/>
      <x v="17"/>
      <x v="1310"/>
      <x v="480"/>
    </i>
    <i r="1">
      <x v="1610"/>
      <x v="54"/>
      <x v="371"/>
      <x v="57"/>
      <x v="573"/>
      <x v="686"/>
    </i>
    <i r="1">
      <x v="1637"/>
      <x v="20"/>
      <x v="128"/>
      <x v="58"/>
      <x v="1310"/>
      <x v="163"/>
    </i>
    <i r="1">
      <x v="1644"/>
      <x v="45"/>
      <x v="286"/>
      <x v="47"/>
      <x v="418"/>
      <x v="37"/>
    </i>
    <i r="1">
      <x v="1646"/>
      <x v="102"/>
      <x v="1443"/>
      <x v="58"/>
      <x v="698"/>
      <x v="1295"/>
    </i>
    <i r="1">
      <x v="1651"/>
      <x v="17"/>
      <x v="122"/>
      <x v="43"/>
      <x v="714"/>
      <x v="1929"/>
    </i>
    <i r="1">
      <x v="1656"/>
      <x v="42"/>
      <x v="262"/>
      <x v="48"/>
      <x v="92"/>
      <x v="1215"/>
    </i>
    <i r="1">
      <x v="1659"/>
      <x v="42"/>
      <x v="265"/>
      <x v="48"/>
      <x v="67"/>
      <x v="1124"/>
    </i>
    <i r="1">
      <x v="1686"/>
      <x v="138"/>
      <x v="1581"/>
      <x v="68"/>
      <x v="1310"/>
      <x v="613"/>
    </i>
    <i r="1">
      <x v="1706"/>
      <x v="141"/>
      <x v="1754"/>
      <x v="73"/>
      <x v="31"/>
      <x v="343"/>
    </i>
    <i r="1">
      <x v="1709"/>
      <x v="146"/>
      <x v="1820"/>
      <x v="47"/>
      <x v="545"/>
      <x v="1184"/>
    </i>
    <i r="1">
      <x v="1712"/>
      <x v="45"/>
      <x v="284"/>
      <x v="58"/>
      <x v="182"/>
      <x v="572"/>
    </i>
    <i r="1">
      <x v="1713"/>
      <x v="133"/>
      <x v="1366"/>
      <x v="48"/>
      <x v="1310"/>
      <x v="1741"/>
    </i>
    <i r="1">
      <x v="1716"/>
      <x v="120"/>
      <x v="1590"/>
      <x v="67"/>
      <x v="1310"/>
      <x v="1151"/>
    </i>
    <i r="1">
      <x v="1725"/>
      <x v="153"/>
      <x v="1936"/>
      <x v="27"/>
      <x v="1310"/>
      <x v="1843"/>
    </i>
    <i r="1">
      <x v="1731"/>
      <x v="56"/>
      <x v="485"/>
      <x v="83"/>
      <x v="431"/>
      <x v="453"/>
    </i>
    <i>
      <x v="258"/>
      <x/>
      <x v="141"/>
      <x v="1767"/>
      <x v="128"/>
      <x v="1070"/>
      <x v="1716"/>
    </i>
    <i r="1">
      <x v="84"/>
      <x v="20"/>
      <x v="1019"/>
      <x v="3"/>
      <x v="563"/>
      <x v="954"/>
    </i>
    <i r="1">
      <x v="253"/>
      <x v="20"/>
      <x v="1000"/>
      <x v="3"/>
      <x v="387"/>
      <x v="899"/>
    </i>
    <i r="1">
      <x v="669"/>
      <x v="56"/>
      <x v="446"/>
      <x v="61"/>
      <x v="297"/>
      <x v="533"/>
    </i>
    <i r="1">
      <x v="738"/>
      <x v="10"/>
      <x v="70"/>
      <x v="43"/>
      <x v="160"/>
      <x v="554"/>
    </i>
    <i r="1">
      <x v="1208"/>
      <x v="102"/>
      <x v="1445"/>
      <x v="58"/>
      <x v="724"/>
      <x v="171"/>
    </i>
    <i r="1">
      <x v="1561"/>
      <x v="23"/>
      <x v="143"/>
      <x v="73"/>
      <x v="21"/>
      <x v="183"/>
    </i>
    <i r="1">
      <x v="1640"/>
      <x v="158"/>
      <x v="1986"/>
      <x v="53"/>
      <x v="204"/>
      <x v="1928"/>
    </i>
    <i r="1">
      <x v="1671"/>
      <x v="60"/>
      <x v="599"/>
      <x v="88"/>
      <x v="175"/>
      <x v="743"/>
    </i>
    <i>
      <x v="259"/>
      <x v="60"/>
      <x v="20"/>
      <x v="1199"/>
      <x v="14"/>
      <x v="1153"/>
      <x v="1869"/>
    </i>
    <i r="1">
      <x v="87"/>
      <x v="20"/>
      <x v="1020"/>
      <x v="3"/>
      <x v="1019"/>
      <x v="956"/>
    </i>
    <i r="1">
      <x v="376"/>
      <x v="20"/>
      <x v="1098"/>
      <x v="3"/>
      <x v="1053"/>
      <x v="900"/>
    </i>
    <i r="1">
      <x v="465"/>
      <x v="158"/>
      <x v="1984"/>
      <x v="36"/>
      <x v="1125"/>
      <x v="34"/>
    </i>
    <i r="1">
      <x v="482"/>
      <x v="147"/>
      <x v="1898"/>
      <x v="13"/>
      <x v="938"/>
      <x v="1855"/>
    </i>
    <i r="1">
      <x v="636"/>
      <x v="126"/>
      <x v="1680"/>
      <x v="11"/>
      <x v="990"/>
      <x v="1868"/>
    </i>
    <i r="1">
      <x v="679"/>
      <x v="7"/>
      <x v="50"/>
      <x v="47"/>
      <x v="543"/>
      <x v="1445"/>
    </i>
    <i r="1">
      <x v="776"/>
      <x v="56"/>
      <x v="447"/>
      <x v="68"/>
      <x v="992"/>
      <x v="532"/>
    </i>
    <i r="1">
      <x v="949"/>
      <x v="107"/>
      <x v="1460"/>
      <x v="14"/>
      <x v="923"/>
      <x v="1393"/>
    </i>
    <i r="1">
      <x v="1090"/>
      <x v="1"/>
      <x v="7"/>
      <x v="83"/>
      <x v="1095"/>
      <x v="5"/>
    </i>
    <i r="1">
      <x v="1132"/>
      <x v="3"/>
      <x v="17"/>
      <x v="89"/>
      <x v="967"/>
      <x v="264"/>
    </i>
    <i r="1">
      <x v="1156"/>
      <x v="20"/>
      <x v="1065"/>
      <x v="24"/>
      <x v="941"/>
      <x v="670"/>
    </i>
    <i r="1">
      <x v="1348"/>
      <x v="34"/>
      <x v="173"/>
      <x v="85"/>
      <x v="1310"/>
      <x v="245"/>
    </i>
    <i r="1">
      <x v="1611"/>
      <x v="52"/>
      <x v="1571"/>
      <x v="73"/>
      <x v="1052"/>
      <x v="1243"/>
    </i>
    <i r="1">
      <x v="1676"/>
      <x v="88"/>
      <x v="1344"/>
      <x v="47"/>
      <x v="948"/>
      <x v="1820"/>
    </i>
    <i>
      <x v="260"/>
      <x/>
      <x v="149"/>
      <x v="1909"/>
      <x v="58"/>
      <x v="1009"/>
      <x v="1592"/>
    </i>
    <i r="1">
      <x v="232"/>
      <x v="20"/>
      <x v="1230"/>
      <x v="40"/>
      <x v="592"/>
      <x v="947"/>
    </i>
    <i r="1">
      <x v="313"/>
      <x v="126"/>
      <x v="1689"/>
      <x v="33"/>
      <x v="421"/>
      <x v="1941"/>
    </i>
    <i r="1">
      <x v="419"/>
      <x v="78"/>
      <x v="828"/>
      <x v="59"/>
      <x v="616"/>
      <x v="1331"/>
    </i>
    <i>
      <x v="261"/>
      <x v="1030"/>
      <x v="18"/>
      <x v="1787"/>
      <x v="58"/>
      <x v="523"/>
      <x v="1846"/>
    </i>
    <i>
      <x v="262"/>
      <x v="458"/>
      <x v="146"/>
      <x v="1800"/>
      <x v="135"/>
      <x v="980"/>
      <x v="123"/>
    </i>
    <i r="1">
      <x v="1085"/>
      <x v="142"/>
      <x v="329"/>
      <x v="83"/>
      <x v="964"/>
      <x v="106"/>
    </i>
    <i>
      <x v="263"/>
      <x v="208"/>
      <x v="78"/>
      <x v="883"/>
      <x v="33"/>
      <x v="604"/>
      <x v="1067"/>
    </i>
    <i r="1">
      <x v="595"/>
      <x v="56"/>
      <x v="452"/>
      <x v="58"/>
      <x v="717"/>
      <x v="702"/>
    </i>
    <i>
      <x v="264"/>
      <x v="1033"/>
      <x v="21"/>
      <x v="1350"/>
      <x v="56"/>
      <x v="287"/>
      <x v="661"/>
    </i>
    <i>
      <x v="265"/>
      <x/>
      <x v="151"/>
      <x v="1929"/>
      <x v="77"/>
      <x v="194"/>
      <x v="101"/>
    </i>
    <i r="1">
      <x v="101"/>
      <x v="20"/>
      <x v="1003"/>
      <x v="43"/>
      <x v="191"/>
      <x v="838"/>
    </i>
    <i r="1">
      <x v="149"/>
      <x v="126"/>
      <x v="1691"/>
      <x v="33"/>
      <x v="82"/>
      <x v="1943"/>
    </i>
    <i r="1">
      <x v="280"/>
      <x v="56"/>
      <x v="469"/>
      <x v="53"/>
      <x v="320"/>
      <x v="542"/>
    </i>
    <i r="1">
      <x v="665"/>
      <x v="78"/>
      <x v="850"/>
      <x v="57"/>
      <x v="156"/>
      <x v="1282"/>
    </i>
    <i r="1">
      <x v="798"/>
      <x v="125"/>
      <x v="66"/>
      <x v="48"/>
      <x v="97"/>
      <x v="1549"/>
    </i>
    <i>
      <x v="266"/>
      <x v="503"/>
      <x v="126"/>
      <x v="1722"/>
      <x v="33"/>
      <x v="219"/>
      <x v="1993"/>
    </i>
    <i r="1">
      <x v="1280"/>
      <x v="56"/>
      <x v="460"/>
      <x v="58"/>
      <x v="416"/>
      <x v="697"/>
    </i>
    <i>
      <x v="267"/>
      <x v="555"/>
      <x v="20"/>
      <x v="1252"/>
      <x v="38"/>
      <x v="242"/>
      <x v="1723"/>
    </i>
    <i r="1">
      <x v="1422"/>
      <x v="56"/>
      <x v="411"/>
      <x v="63"/>
      <x v="466"/>
      <x v="1989"/>
    </i>
    <i r="1">
      <x v="1708"/>
      <x v="42"/>
      <x v="268"/>
      <x v="63"/>
      <x v="1310"/>
      <x v="1771"/>
    </i>
    <i>
      <x v="268"/>
      <x v="1008"/>
      <x v="42"/>
      <x v="266"/>
      <x v="63"/>
      <x v="25"/>
      <x v="1182"/>
    </i>
    <i r="1">
      <x v="1063"/>
      <x v="47"/>
      <x v="289"/>
      <x v="47"/>
      <x v="108"/>
      <x v="446"/>
    </i>
    <i r="1">
      <x v="1171"/>
      <x v="80"/>
      <x v="1263"/>
      <x v="53"/>
      <x v="382"/>
      <x v="1694"/>
    </i>
    <i r="1">
      <x v="1305"/>
      <x v="126"/>
      <x v="1710"/>
      <x v="43"/>
      <x v="367"/>
      <x v="599"/>
    </i>
    <i r="1">
      <x v="1330"/>
      <x v="3"/>
      <x v="19"/>
      <x v="79"/>
      <x v="249"/>
      <x v="747"/>
    </i>
    <i r="1">
      <x v="1472"/>
      <x v="59"/>
      <x v="1755"/>
      <x v="98"/>
      <x v="145"/>
      <x v="583"/>
    </i>
    <i r="1">
      <x v="1631"/>
      <x v="42"/>
      <x v="274"/>
      <x v="48"/>
      <x v="129"/>
      <x v="1940"/>
    </i>
    <i>
      <x v="269"/>
      <x v="323"/>
      <x v="3"/>
      <x v="24"/>
      <x v="71"/>
      <x v="84"/>
      <x v="1190"/>
    </i>
    <i r="1">
      <x v="1605"/>
      <x v="51"/>
      <x v="311"/>
      <x v="73"/>
      <x v="62"/>
      <x v="1168"/>
    </i>
    <i>
      <x v="270"/>
      <x v="334"/>
      <x v="20"/>
      <x v="1232"/>
      <x v="39"/>
      <x v="494"/>
      <x v="834"/>
    </i>
    <i r="1">
      <x v="572"/>
      <x v="126"/>
      <x v="1692"/>
      <x v="33"/>
      <x v="364"/>
      <x v="1072"/>
    </i>
    <i>
      <x v="271"/>
      <x v="81"/>
      <x v="126"/>
      <x v="167"/>
      <x v="11"/>
      <x v="330"/>
      <x v="1968"/>
    </i>
    <i r="1">
      <x v="184"/>
      <x v="147"/>
      <x v="1839"/>
      <x v="9"/>
      <x v="283"/>
      <x v="1887"/>
    </i>
    <i r="1">
      <x v="384"/>
      <x v="54"/>
      <x v="353"/>
      <x v="7"/>
      <x v="284"/>
      <x v="547"/>
    </i>
    <i r="1">
      <x v="1168"/>
      <x v="78"/>
      <x v="916"/>
      <x v="38"/>
      <x v="356"/>
      <x v="496"/>
    </i>
    <i r="1">
      <x v="1277"/>
      <x v="78"/>
      <x v="975"/>
      <x v="27"/>
      <x v="675"/>
      <x v="1350"/>
    </i>
    <i r="1">
      <x v="1409"/>
      <x v="81"/>
      <x v="1274"/>
      <x v="38"/>
      <x v="263"/>
      <x v="1019"/>
    </i>
    <i>
      <x v="272"/>
      <x v="642"/>
      <x v="78"/>
      <x v="851"/>
      <x v="58"/>
      <x v="519"/>
      <x v="1319"/>
    </i>
    <i>
      <x v="273"/>
      <x/>
      <x v="42"/>
      <x v="198"/>
      <x v="43"/>
      <x v="1033"/>
      <x v="184"/>
    </i>
    <i r="1">
      <x v="1313"/>
      <x v="132"/>
      <x v="714"/>
      <x v="42"/>
      <x v="641"/>
      <x v="825"/>
    </i>
    <i r="1">
      <x v="1505"/>
      <x v="3"/>
      <x v="27"/>
      <x v="96"/>
      <x v="367"/>
      <x v="1859"/>
    </i>
    <i r="1">
      <x v="1553"/>
      <x v="51"/>
      <x v="119"/>
      <x v="73"/>
      <x v="1310"/>
      <x v="88"/>
    </i>
    <i r="1">
      <x v="1686"/>
      <x v="45"/>
      <x v="283"/>
      <x v="47"/>
      <x v="180"/>
      <x v="1122"/>
    </i>
    <i>
      <x v="274"/>
      <x v="51"/>
      <x v="126"/>
      <x v="168"/>
      <x v="11"/>
      <x v="540"/>
      <x v="1979"/>
    </i>
    <i r="1">
      <x v="133"/>
      <x v="147"/>
      <x v="1840"/>
      <x v="9"/>
      <x v="401"/>
      <x v="1840"/>
    </i>
    <i r="1">
      <x v="270"/>
      <x v="56"/>
      <x v="387"/>
      <x v="61"/>
      <x v="380"/>
      <x v="710"/>
    </i>
    <i r="1">
      <x v="277"/>
      <x v="54"/>
      <x v="354"/>
      <x v="7"/>
      <x v="404"/>
      <x v="556"/>
    </i>
    <i r="1">
      <x v="288"/>
      <x v="20"/>
      <x v="1233"/>
      <x v="41"/>
      <x v="383"/>
      <x v="995"/>
    </i>
    <i r="1">
      <x v="518"/>
      <x v="78"/>
      <x v="917"/>
      <x v="38"/>
      <x v="471"/>
      <x v="1459"/>
    </i>
    <i r="1">
      <x v="861"/>
      <x v="78"/>
      <x v="838"/>
      <x v="58"/>
      <x v="238"/>
      <x v="1297"/>
    </i>
    <i r="1">
      <x v="1146"/>
      <x v="78"/>
      <x v="963"/>
      <x v="27"/>
      <x v="317"/>
      <x v="1341"/>
    </i>
    <i r="1">
      <x v="1301"/>
      <x v="20"/>
      <x v="1051"/>
      <x v="17"/>
      <x v="484"/>
      <x v="862"/>
    </i>
    <i r="1">
      <x v="1369"/>
      <x v="81"/>
      <x v="1264"/>
      <x v="38"/>
      <x v="372"/>
      <x v="1022"/>
    </i>
    <i>
      <x v="275"/>
      <x v="65"/>
      <x v="126"/>
      <x v="169"/>
      <x v="11"/>
      <x v="1270"/>
      <x v="1974"/>
    </i>
    <i r="1">
      <x v="129"/>
      <x v="147"/>
      <x v="1841"/>
      <x v="9"/>
      <x v="1258"/>
      <x v="1841"/>
    </i>
    <i r="1">
      <x v="331"/>
      <x v="54"/>
      <x v="355"/>
      <x v="7"/>
      <x v="1256"/>
      <x v="687"/>
    </i>
    <i r="1">
      <x v="364"/>
      <x v="20"/>
      <x v="1234"/>
      <x v="41"/>
      <x v="1278"/>
      <x v="1001"/>
    </i>
    <i r="1">
      <x v="479"/>
      <x v="78"/>
      <x v="918"/>
      <x v="38"/>
      <x v="1276"/>
      <x v="1488"/>
    </i>
    <i r="1">
      <x v="596"/>
      <x v="56"/>
      <x v="388"/>
      <x v="61"/>
      <x v="1269"/>
      <x v="711"/>
    </i>
    <i r="1">
      <x v="835"/>
      <x v="78"/>
      <x v="853"/>
      <x v="61"/>
      <x v="1209"/>
      <x v="1284"/>
    </i>
    <i r="1">
      <x v="920"/>
      <x v="78"/>
      <x v="839"/>
      <x v="58"/>
      <x v="477"/>
      <x v="1364"/>
    </i>
    <i r="1">
      <x v="1114"/>
      <x v="78"/>
      <x v="964"/>
      <x v="27"/>
      <x v="1097"/>
      <x v="1340"/>
    </i>
    <i r="1">
      <x v="1316"/>
      <x v="81"/>
      <x v="1265"/>
      <x v="38"/>
      <x v="1263"/>
      <x v="1030"/>
    </i>
    <i r="1">
      <x v="1416"/>
      <x v="20"/>
      <x v="1050"/>
      <x v="17"/>
      <x v="1236"/>
      <x v="861"/>
    </i>
    <i>
      <x v="276"/>
      <x v="1743"/>
      <x v="145"/>
      <x v="1797"/>
      <x v="73"/>
      <x v="1310"/>
      <x v="1834"/>
    </i>
    <i>
      <x v="277"/>
      <x v="35"/>
      <x v="126"/>
      <x v="287"/>
      <x v="11"/>
      <x v="1277"/>
      <x v="1969"/>
    </i>
    <i r="1">
      <x v="125"/>
      <x v="147"/>
      <x v="1843"/>
      <x v="9"/>
      <x v="1266"/>
      <x v="1842"/>
    </i>
    <i r="1">
      <x v="216"/>
      <x v="20"/>
      <x v="1236"/>
      <x v="40"/>
      <x v="1261"/>
      <x v="996"/>
    </i>
    <i r="1">
      <x v="305"/>
      <x v="54"/>
      <x v="356"/>
      <x v="7"/>
      <x v="1268"/>
      <x v="575"/>
    </i>
    <i r="1">
      <x v="311"/>
      <x v="56"/>
      <x v="458"/>
      <x v="58"/>
      <x v="1162"/>
      <x v="701"/>
    </i>
    <i r="1">
      <x v="477"/>
      <x v="56"/>
      <x v="408"/>
      <x v="62"/>
      <x v="1060"/>
      <x v="715"/>
    </i>
    <i r="1">
      <x v="570"/>
      <x v="78"/>
      <x v="919"/>
      <x v="38"/>
      <x v="1257"/>
      <x v="1535"/>
    </i>
    <i r="1">
      <x v="789"/>
      <x v="78"/>
      <x v="842"/>
      <x v="58"/>
      <x v="829"/>
      <x v="1389"/>
    </i>
    <i r="1">
      <x v="877"/>
      <x v="78"/>
      <x v="965"/>
      <x v="27"/>
      <x v="345"/>
      <x v="1342"/>
    </i>
    <i r="1">
      <x v="1287"/>
      <x v="102"/>
      <x v="1408"/>
      <x v="73"/>
      <x v="625"/>
      <x v="1808"/>
    </i>
    <i r="1">
      <x v="1362"/>
      <x v="81"/>
      <x v="1268"/>
      <x v="38"/>
      <x v="1246"/>
      <x v="1024"/>
    </i>
    <i>
      <x v="278"/>
      <x v="232"/>
      <x v="146"/>
      <x v="1827"/>
      <x v="33"/>
      <x v="821"/>
      <x v="1254"/>
    </i>
    <i r="1">
      <x v="807"/>
      <x v="126"/>
      <x v="1718"/>
      <x v="33"/>
      <x v="454"/>
      <x v="1959"/>
    </i>
    <i r="1">
      <x v="1323"/>
      <x v="78"/>
      <x v="860"/>
      <x v="61"/>
      <x v="480"/>
      <x v="1390"/>
    </i>
    <i>
      <x v="279"/>
      <x v="24"/>
      <x v="126"/>
      <x v="375"/>
      <x v="11"/>
      <x v="694"/>
      <x v="1970"/>
    </i>
    <i r="1">
      <x v="86"/>
      <x v="147"/>
      <x v="1847"/>
      <x v="9"/>
      <x v="634"/>
      <x v="1848"/>
    </i>
    <i r="1">
      <x v="193"/>
      <x v="126"/>
      <x v="1690"/>
      <x v="33"/>
      <x v="885"/>
      <x v="1065"/>
    </i>
    <i r="1">
      <x v="228"/>
      <x v="20"/>
      <x v="1238"/>
      <x v="40"/>
      <x v="661"/>
      <x v="997"/>
    </i>
    <i r="1">
      <x v="229"/>
      <x v="20"/>
      <x v="1237"/>
      <x v="40"/>
      <x v="517"/>
      <x v="998"/>
    </i>
    <i r="1">
      <x v="256"/>
      <x v="54"/>
      <x v="357"/>
      <x v="7"/>
      <x v="630"/>
      <x v="651"/>
    </i>
    <i r="1">
      <x v="282"/>
      <x v="56"/>
      <x v="412"/>
      <x v="60"/>
      <x v="612"/>
      <x v="716"/>
    </i>
    <i r="1">
      <x v="470"/>
      <x v="78"/>
      <x v="921"/>
      <x v="38"/>
      <x v="696"/>
      <x v="1536"/>
    </i>
    <i r="1">
      <x v="485"/>
      <x v="78"/>
      <x v="884"/>
      <x v="114"/>
      <x v="588"/>
      <x v="1068"/>
    </i>
    <i r="1">
      <x v="924"/>
      <x v="78"/>
      <x v="843"/>
      <x v="58"/>
      <x v="268"/>
      <x v="1299"/>
    </i>
    <i r="1">
      <x v="1131"/>
      <x v="78"/>
      <x v="966"/>
      <x v="27"/>
      <x v="703"/>
      <x v="1343"/>
    </i>
    <i r="1">
      <x v="1269"/>
      <x v="81"/>
      <x v="1269"/>
      <x v="38"/>
      <x v="561"/>
      <x v="1025"/>
    </i>
    <i r="1">
      <x v="1523"/>
      <x v="20"/>
      <x v="1052"/>
      <x v="17"/>
      <x v="769"/>
      <x v="864"/>
    </i>
    <i>
      <x v="280"/>
      <x v="1555"/>
      <x v="56"/>
      <x v="456"/>
      <x v="58"/>
      <x v="1243"/>
      <x v="698"/>
    </i>
    <i>
      <x v="281"/>
      <x v="30"/>
      <x v="126"/>
      <x v="723"/>
      <x v="11"/>
      <x v="965"/>
      <x v="1978"/>
    </i>
    <i r="1">
      <x v="58"/>
      <x v="147"/>
      <x v="1856"/>
      <x v="9"/>
      <x v="651"/>
      <x v="1858"/>
    </i>
    <i r="1">
      <x v="213"/>
      <x v="20"/>
      <x v="1239"/>
      <x v="41"/>
      <x v="732"/>
      <x v="999"/>
    </i>
    <i r="1">
      <x v="218"/>
      <x v="54"/>
      <x v="358"/>
      <x v="7"/>
      <x v="639"/>
      <x v="590"/>
    </i>
    <i r="1">
      <x v="285"/>
      <x v="56"/>
      <x v="417"/>
      <x v="59"/>
      <x v="430"/>
      <x v="712"/>
    </i>
    <i r="1">
      <x v="335"/>
      <x v="78"/>
      <x v="922"/>
      <x v="38"/>
      <x v="713"/>
      <x v="1537"/>
    </i>
    <i r="1">
      <x v="531"/>
      <x v="78"/>
      <x v="967"/>
      <x v="27"/>
      <x v="272"/>
      <x v="1344"/>
    </i>
    <i r="1">
      <x v="591"/>
      <x v="78"/>
      <x v="844"/>
      <x v="58"/>
      <x v="155"/>
      <x v="1375"/>
    </i>
    <i r="1">
      <x v="1020"/>
      <x v="107"/>
      <x v="1452"/>
      <x v="40"/>
      <x v="68"/>
      <x v="161"/>
    </i>
    <i r="1">
      <x v="1155"/>
      <x v="81"/>
      <x v="1270"/>
      <x v="38"/>
      <x v="666"/>
      <x v="1026"/>
    </i>
    <i r="1">
      <x v="1175"/>
      <x v="121"/>
      <x v="1616"/>
      <x v="48"/>
      <x v="747"/>
      <x v="1312"/>
    </i>
    <i r="1">
      <x v="1187"/>
      <x v="20"/>
      <x v="1054"/>
      <x v="17"/>
      <x v="548"/>
      <x v="866"/>
    </i>
    <i>
      <x v="282"/>
      <x v="106"/>
      <x v="20"/>
      <x v="1245"/>
      <x v="39"/>
      <x v="436"/>
      <x v="889"/>
    </i>
    <i>
      <x v="283"/>
      <x v="1181"/>
      <x v="20"/>
      <x v="1053"/>
      <x v="17"/>
      <x v="662"/>
      <x v="865"/>
    </i>
    <i>
      <x v="284"/>
      <x v="456"/>
      <x v="126"/>
      <x v="1701"/>
      <x v="33"/>
      <x v="215"/>
      <x v="1961"/>
    </i>
    <i>
      <x v="285"/>
      <x v="300"/>
      <x v="20"/>
      <x v="1240"/>
      <x v="40"/>
      <x v="707"/>
      <x v="888"/>
    </i>
    <i r="1">
      <x v="895"/>
      <x v="126"/>
      <x v="1702"/>
      <x v="33"/>
      <x v="257"/>
      <x v="1962"/>
    </i>
    <i>
      <x v="286"/>
      <x v="1536"/>
      <x v="3"/>
      <x v="20"/>
      <x v="96"/>
      <x v="389"/>
      <x v="109"/>
    </i>
    <i r="1">
      <x v="1629"/>
      <x v="42"/>
      <x v="259"/>
      <x v="103"/>
      <x v="184"/>
      <x v="1265"/>
    </i>
    <i>
      <x v="287"/>
      <x v="301"/>
      <x v="78"/>
      <x v="856"/>
      <x v="53"/>
      <x v="323"/>
      <x v="1293"/>
    </i>
    <i>
      <x v="288"/>
      <x v="223"/>
      <x v="20"/>
      <x v="1241"/>
      <x v="39"/>
      <x v="796"/>
      <x v="949"/>
    </i>
    <i r="1">
      <x v="245"/>
      <x v="126"/>
      <x v="1703"/>
      <x v="33"/>
      <x v="619"/>
      <x v="1960"/>
    </i>
    <i r="1">
      <x v="1002"/>
      <x v="103"/>
      <x v="726"/>
      <x v="28"/>
      <x v="708"/>
      <x v="826"/>
    </i>
    <i>
      <x v="289"/>
      <x v="513"/>
      <x v="102"/>
      <x v="1410"/>
      <x v="58"/>
      <x v="1134"/>
      <x v="914"/>
    </i>
    <i>
      <x v="290"/>
      <x/>
      <x v="109"/>
      <x v="1486"/>
      <x v="56"/>
      <x v="286"/>
      <x v="1140"/>
    </i>
    <i r="1">
      <x v="56"/>
      <x v="126"/>
      <x v="735"/>
      <x v="11"/>
      <x v="812"/>
      <x v="1972"/>
    </i>
    <i r="1">
      <x v="163"/>
      <x v="147"/>
      <x v="1858"/>
      <x v="9"/>
      <x v="672"/>
      <x v="1867"/>
    </i>
    <i r="1">
      <x v="262"/>
      <x v="56"/>
      <x v="423"/>
      <x v="62"/>
      <x v="627"/>
      <x v="718"/>
    </i>
    <i r="1">
      <x v="273"/>
      <x v="20"/>
      <x v="1242"/>
      <x v="40"/>
      <x v="544"/>
      <x v="1000"/>
    </i>
    <i r="1">
      <x v="353"/>
      <x v="54"/>
      <x v="359"/>
      <x v="7"/>
      <x v="673"/>
      <x v="594"/>
    </i>
    <i r="1">
      <x v="487"/>
      <x v="78"/>
      <x v="923"/>
      <x v="38"/>
      <x v="711"/>
      <x v="1487"/>
    </i>
    <i r="1">
      <x v="657"/>
      <x v="56"/>
      <x v="470"/>
      <x v="68"/>
      <x v="618"/>
      <x v="32"/>
    </i>
    <i r="1">
      <x v="666"/>
      <x v="78"/>
      <x v="845"/>
      <x v="58"/>
      <x v="495"/>
      <x v="1337"/>
    </i>
    <i r="1">
      <x v="896"/>
      <x v="78"/>
      <x v="969"/>
      <x v="27"/>
      <x v="656"/>
      <x v="1345"/>
    </i>
    <i r="1">
      <x v="1411"/>
      <x v="81"/>
      <x v="1271"/>
      <x v="38"/>
      <x v="720"/>
      <x v="1027"/>
    </i>
    <i>
      <x v="291"/>
      <x/>
      <x v="109"/>
      <x v="1488"/>
      <x v="44"/>
      <x v="805"/>
      <x v="1721"/>
    </i>
    <i r="1">
      <x v="21"/>
      <x v="147"/>
      <x v="1859"/>
      <x v="9"/>
      <x v="576"/>
      <x v="1857"/>
    </i>
    <i r="1">
      <x v="23"/>
      <x v="126"/>
      <x v="1750"/>
      <x v="11"/>
      <x v="811"/>
      <x v="1973"/>
    </i>
    <i r="1">
      <x v="102"/>
      <x v="20"/>
      <x v="1253"/>
      <x v="41"/>
      <x v="498"/>
      <x v="1005"/>
    </i>
    <i r="1">
      <x v="131"/>
      <x v="54"/>
      <x v="360"/>
      <x v="7"/>
      <x v="577"/>
      <x v="693"/>
    </i>
    <i r="1">
      <x v="197"/>
      <x v="56"/>
      <x v="466"/>
      <x v="55"/>
      <x v="362"/>
      <x v="1436"/>
    </i>
    <i r="1">
      <x v="226"/>
      <x v="78"/>
      <x v="926"/>
      <x v="38"/>
      <x v="587"/>
      <x v="1540"/>
    </i>
    <i r="1">
      <x v="278"/>
      <x v="56"/>
      <x v="486"/>
      <x v="59"/>
      <x v="293"/>
      <x v="714"/>
    </i>
    <i r="1">
      <x v="432"/>
      <x v="126"/>
      <x v="1717"/>
      <x v="33"/>
      <x v="289"/>
      <x v="1985"/>
    </i>
    <i r="1">
      <x v="494"/>
      <x v="78"/>
      <x v="970"/>
      <x v="27"/>
      <x v="703"/>
      <x v="1349"/>
    </i>
    <i r="1">
      <x v="569"/>
      <x v="69"/>
      <x v="721"/>
      <x v="106"/>
      <x v="436"/>
      <x v="1422"/>
    </i>
    <i r="1">
      <x v="617"/>
      <x v="78"/>
      <x v="848"/>
      <x v="58"/>
      <x v="188"/>
      <x v="1374"/>
    </i>
    <i r="1">
      <x v="695"/>
      <x v="126"/>
      <x v="1655"/>
      <x v="43"/>
      <x v="50"/>
      <x v="1963"/>
    </i>
    <i r="1">
      <x v="813"/>
      <x v="20"/>
      <x v="1056"/>
      <x v="17"/>
      <x v="419"/>
      <x v="870"/>
    </i>
    <i r="1">
      <x v="1022"/>
      <x v="81"/>
      <x v="1277"/>
      <x v="38"/>
      <x v="465"/>
      <x v="1031"/>
    </i>
    <i r="1">
      <x v="1124"/>
      <x v="78"/>
      <x v="859"/>
      <x v="61"/>
      <x v="346"/>
      <x v="1391"/>
    </i>
    <i r="1">
      <x v="1635"/>
      <x v="79"/>
      <x v="1257"/>
      <x v="73"/>
      <x v="36"/>
      <x v="1017"/>
    </i>
    <i r="1">
      <x v="1730"/>
      <x v="63"/>
      <x v="603"/>
      <x v="27"/>
      <x v="292"/>
      <x v="728"/>
    </i>
    <i>
      <x v="292"/>
      <x v="158"/>
      <x v="91"/>
      <x v="685"/>
      <x v="45"/>
      <x v="738"/>
      <x v="1278"/>
    </i>
    <i r="1">
      <x v="383"/>
      <x v="20"/>
      <x v="1243"/>
      <x v="28"/>
      <x v="1036"/>
      <x v="877"/>
    </i>
    <i r="1">
      <x v="1134"/>
      <x v="126"/>
      <x v="1711"/>
      <x v="43"/>
      <x v="276"/>
      <x v="1598"/>
    </i>
    <i>
      <x v="293"/>
      <x v="514"/>
      <x v="126"/>
      <x v="1704"/>
      <x v="33"/>
      <x v="673"/>
      <x v="1081"/>
    </i>
    <i r="1">
      <x v="929"/>
      <x v="20"/>
      <x v="1244"/>
      <x v="40"/>
      <x v="1026"/>
      <x v="835"/>
    </i>
    <i>
      <x v="294"/>
      <x v="107"/>
      <x v="56"/>
      <x v="402"/>
      <x v="49"/>
      <x v="127"/>
      <x v="561"/>
    </i>
    <i r="1">
      <x v="396"/>
      <x v="78"/>
      <x v="893"/>
      <x v="58"/>
      <x v="79"/>
      <x v="1328"/>
    </i>
    <i r="1">
      <x v="1178"/>
      <x v="126"/>
      <x v="1707"/>
      <x v="33"/>
      <x v="60"/>
      <x v="2012"/>
    </i>
    <i>
      <x v="295"/>
      <x/>
      <x v="151"/>
      <x v="1928"/>
      <x v="77"/>
      <x v="45"/>
      <x v="94"/>
    </i>
    <i r="1">
      <x v="1199"/>
      <x v="51"/>
      <x v="310"/>
      <x v="66"/>
      <x v="76"/>
      <x v="741"/>
    </i>
    <i>
      <x v="296"/>
      <x v="280"/>
      <x v="20"/>
      <x v="129"/>
      <x v="13"/>
      <x v="719"/>
      <x v="1113"/>
    </i>
    <i r="1">
      <x v="1324"/>
      <x v="82"/>
      <x v="1293"/>
      <x v="14"/>
      <x v="837"/>
      <x v="1011"/>
    </i>
    <i>
      <x v="297"/>
      <x v="108"/>
      <x v="126"/>
      <x v="1347"/>
      <x v="11"/>
      <x v="991"/>
      <x v="1967"/>
    </i>
    <i r="1">
      <x v="182"/>
      <x v="147"/>
      <x v="1863"/>
      <x v="9"/>
      <x v="925"/>
      <x v="1832"/>
    </i>
    <i r="1">
      <x v="405"/>
      <x v="20"/>
      <x v="1231"/>
      <x v="41"/>
      <x v="927"/>
      <x v="1002"/>
    </i>
    <i r="1">
      <x v="469"/>
      <x v="54"/>
      <x v="361"/>
      <x v="7"/>
      <x v="930"/>
      <x v="647"/>
    </i>
    <i r="1">
      <x v="481"/>
      <x v="56"/>
      <x v="440"/>
      <x v="65"/>
      <x v="851"/>
      <x v="720"/>
    </i>
    <i r="1">
      <x v="502"/>
      <x v="78"/>
      <x v="924"/>
      <x v="38"/>
      <x v="1044"/>
      <x v="1519"/>
    </i>
    <i r="1">
      <x v="820"/>
      <x v="78"/>
      <x v="837"/>
      <x v="58"/>
      <x v="626"/>
      <x v="1395"/>
    </i>
    <i r="1">
      <x v="1350"/>
      <x v="78"/>
      <x v="972"/>
      <x v="27"/>
      <x v="1004"/>
      <x v="1347"/>
    </i>
    <i r="1">
      <x v="1420"/>
      <x v="81"/>
      <x v="1273"/>
      <x v="38"/>
      <x v="912"/>
      <x v="1021"/>
    </i>
    <i>
      <x v="298"/>
      <x v="1093"/>
      <x v="78"/>
      <x v="858"/>
      <x v="61"/>
      <x v="205"/>
      <x v="1286"/>
    </i>
    <i r="1">
      <x v="1440"/>
      <x v="20"/>
      <x v="1055"/>
      <x v="17"/>
      <x v="261"/>
      <x v="867"/>
    </i>
    <i>
      <x v="299"/>
      <x v="252"/>
      <x v="126"/>
      <x v="1714"/>
      <x v="33"/>
      <x v="735"/>
      <x v="1980"/>
    </i>
    <i>
      <x v="300"/>
      <x v="737"/>
      <x v="91"/>
      <x v="636"/>
      <x v="48"/>
      <x v="190"/>
      <x v="1165"/>
    </i>
    <i>
      <x v="301"/>
      <x/>
      <x v="151"/>
      <x v="737"/>
      <x v="131"/>
      <x v="683"/>
      <x v="44"/>
    </i>
    <i r="1">
      <x v="147"/>
      <x v="125"/>
      <x v="34"/>
      <x v="88"/>
      <x v="842"/>
      <x v="38"/>
    </i>
    <i r="1">
      <x v="316"/>
      <x v="91"/>
      <x v="638"/>
      <x v="44"/>
      <x v="959"/>
      <x v="1170"/>
    </i>
    <i r="1">
      <x v="366"/>
      <x v="91"/>
      <x v="637"/>
      <x v="43"/>
      <x v="765"/>
      <x v="1174"/>
    </i>
    <i r="1">
      <x v="499"/>
      <x v="136"/>
      <x v="1766"/>
      <x v="38"/>
      <x v="909"/>
      <x v="1758"/>
    </i>
    <i r="1">
      <x v="707"/>
      <x v="142"/>
      <x v="327"/>
      <x v="83"/>
      <x v="844"/>
      <x v="1171"/>
    </i>
    <i r="1">
      <x v="734"/>
      <x v="17"/>
      <x v="986"/>
      <x v="92"/>
      <x v="815"/>
      <x v="63"/>
    </i>
    <i r="1">
      <x v="985"/>
      <x v="142"/>
      <x v="326"/>
      <x v="78"/>
      <x v="861"/>
      <x v="43"/>
    </i>
    <i r="1">
      <x v="1016"/>
      <x v="125"/>
      <x v="33"/>
      <x v="33"/>
      <x v="712"/>
      <x v="444"/>
    </i>
    <i r="1">
      <x v="1039"/>
      <x v="142"/>
      <x v="324"/>
      <x v="73"/>
      <x v="779"/>
      <x v="39"/>
    </i>
    <i r="1">
      <x v="1113"/>
      <x v="142"/>
      <x v="325"/>
      <x v="73"/>
      <x v="783"/>
      <x v="42"/>
    </i>
    <i r="1">
      <x v="1217"/>
      <x v="142"/>
      <x v="323"/>
      <x v="73"/>
      <x v="859"/>
      <x v="40"/>
    </i>
    <i r="1">
      <x v="1318"/>
      <x v="33"/>
      <x v="171"/>
      <x v="92"/>
      <x v="1271"/>
      <x v="1172"/>
    </i>
    <i r="1">
      <x v="1388"/>
      <x v="142"/>
      <x v="332"/>
      <x v="83"/>
      <x v="858"/>
      <x v="1394"/>
    </i>
    <i r="1">
      <x v="1494"/>
      <x v="17"/>
      <x v="985"/>
      <x v="78"/>
      <x v="949"/>
      <x v="907"/>
    </i>
    <i>
      <x v="302"/>
      <x v="814"/>
      <x v="126"/>
      <x v="1713"/>
      <x v="43"/>
      <x v="214"/>
      <x v="788"/>
    </i>
    <i>
      <x v="303"/>
      <x v="300"/>
      <x v="20"/>
      <x v="1099"/>
      <x v="46"/>
      <x v="373"/>
      <x v="1469"/>
    </i>
    <i r="1">
      <x v="615"/>
      <x v="146"/>
      <x v="1824"/>
      <x v="38"/>
      <x v="369"/>
      <x v="1183"/>
    </i>
    <i>
      <x v="304"/>
      <x v="871"/>
      <x v="20"/>
      <x v="1247"/>
      <x v="39"/>
      <x v="953"/>
      <x v="874"/>
    </i>
    <i>
      <x v="305"/>
      <x v="525"/>
      <x v="20"/>
      <x v="1246"/>
      <x v="40"/>
      <x v="1216"/>
      <x v="869"/>
    </i>
    <i>
      <x v="306"/>
      <x v="179"/>
      <x v="126"/>
      <x v="1719"/>
      <x v="33"/>
      <x v="683"/>
      <x v="1986"/>
    </i>
    <i r="1">
      <x v="486"/>
      <x v="56"/>
      <x v="467"/>
      <x v="58"/>
      <x v="1028"/>
      <x v="545"/>
    </i>
    <i r="1">
      <x v="766"/>
      <x v="78"/>
      <x v="852"/>
      <x v="61"/>
      <x v="1159"/>
      <x v="1386"/>
    </i>
    <i>
      <x v="307"/>
      <x v="1299"/>
      <x v="52"/>
      <x v="1342"/>
      <x v="77"/>
      <x v="74"/>
      <x v="222"/>
    </i>
    <i r="1">
      <x v="1327"/>
      <x v="78"/>
      <x v="892"/>
      <x/>
      <x v="209"/>
      <x v="839"/>
    </i>
    <i>
      <x v="308"/>
      <x v="547"/>
      <x v="20"/>
      <x v="1248"/>
      <x v="40"/>
      <x v="1069"/>
      <x v="887"/>
    </i>
    <i r="1">
      <x v="580"/>
      <x v="78"/>
      <x v="861"/>
      <x v="56"/>
      <x v="798"/>
      <x v="1316"/>
    </i>
    <i r="1">
      <x v="703"/>
      <x v="126"/>
      <x v="1720"/>
      <x v="33"/>
      <x v="324"/>
      <x v="1988"/>
    </i>
    <i r="1">
      <x v="1430"/>
      <x v="56"/>
      <x v="459"/>
      <x v="58"/>
      <x v="852"/>
      <x v="699"/>
    </i>
    <i>
      <x v="309"/>
      <x v="1000"/>
      <x v="78"/>
      <x v="886"/>
      <x v="33"/>
      <x v="1076"/>
      <x v="1069"/>
    </i>
    <i>
      <x v="310"/>
      <x v="22"/>
      <x v="147"/>
      <x v="1870"/>
      <x v="11"/>
      <x v="860"/>
      <x v="1874"/>
    </i>
    <i r="1">
      <x v="121"/>
      <x v="20"/>
      <x v="1249"/>
      <x v="39"/>
      <x v="811"/>
      <x v="1003"/>
    </i>
    <i r="1">
      <x v="137"/>
      <x v="126"/>
      <x v="1575"/>
      <x v="11"/>
      <x v="1027"/>
      <x v="1975"/>
    </i>
    <i r="1">
      <x v="243"/>
      <x v="54"/>
      <x v="362"/>
      <x v="8"/>
      <x v="860"/>
      <x v="679"/>
    </i>
    <i r="1">
      <x v="306"/>
      <x v="20"/>
      <x v="1203"/>
      <x v="46"/>
      <x v="1152"/>
      <x v="1479"/>
    </i>
    <i r="1">
      <x v="777"/>
      <x v="78"/>
      <x v="925"/>
      <x v="38"/>
      <x v="1077"/>
      <x v="514"/>
    </i>
    <i r="1">
      <x v="785"/>
      <x v="150"/>
      <x v="1784"/>
      <x v="47"/>
      <x v="970"/>
      <x v="1333"/>
    </i>
    <i r="1">
      <x v="831"/>
      <x v="78"/>
      <x v="827"/>
      <x v="33"/>
      <x v="980"/>
      <x v="1371"/>
    </i>
    <i r="1">
      <x v="847"/>
      <x v="52"/>
      <x v="1381"/>
      <x v="58"/>
      <x v="476"/>
      <x v="1210"/>
    </i>
    <i r="1">
      <x v="1149"/>
      <x v="95"/>
      <x v="999"/>
      <x v="68"/>
      <x v="510"/>
      <x v="1508"/>
    </i>
    <i r="1">
      <x v="1329"/>
      <x v="125"/>
      <x v="57"/>
      <x v="66"/>
      <x v="955"/>
      <x v="1467"/>
    </i>
    <i r="1">
      <x v="1366"/>
      <x v="103"/>
      <x v="725"/>
      <x v="24"/>
      <x v="715"/>
      <x v="1489"/>
    </i>
    <i r="1">
      <x v="1491"/>
      <x v="80"/>
      <x v="1262"/>
      <x v="63"/>
      <x v="890"/>
      <x v="1049"/>
    </i>
    <i>
      <x v="311"/>
      <x v="150"/>
      <x v="126"/>
      <x v="1721"/>
      <x v="33"/>
      <x v="1035"/>
      <x v="1097"/>
    </i>
    <i r="1">
      <x v="284"/>
      <x v="20"/>
      <x v="1250"/>
      <x v="39"/>
      <x v="684"/>
      <x v="837"/>
    </i>
    <i r="1">
      <x v="858"/>
      <x v="56"/>
      <x v="450"/>
      <x v="58"/>
      <x v="1130"/>
      <x v="1396"/>
    </i>
    <i r="1">
      <x v="977"/>
      <x v="78"/>
      <x v="887"/>
      <x v="33"/>
      <x v="1129"/>
      <x v="1070"/>
    </i>
    <i>
      <x v="312"/>
      <x v="128"/>
      <x v="28"/>
      <x v="1612"/>
      <x v="6"/>
      <x v="955"/>
      <x v="1560"/>
    </i>
    <i r="1">
      <x v="220"/>
      <x v="20"/>
      <x v="1006"/>
      <x v="31"/>
      <x v="1020"/>
      <x v="843"/>
    </i>
    <i r="1">
      <x v="230"/>
      <x v="20"/>
      <x v="1021"/>
      <x v="7"/>
      <x v="1048"/>
      <x v="1817"/>
    </i>
    <i r="1">
      <x v="249"/>
      <x v="126"/>
      <x v="1653"/>
      <x v="24"/>
      <x v="1088"/>
      <x v="1529"/>
    </i>
    <i r="1">
      <x v="284"/>
      <x v="82"/>
      <x v="1289"/>
      <x v="10"/>
      <x v="1036"/>
      <x v="102"/>
    </i>
    <i r="1">
      <x v="600"/>
      <x v="78"/>
      <x v="885"/>
      <x v="33"/>
      <x v="1094"/>
      <x v="1071"/>
    </i>
    <i r="1">
      <x v="664"/>
      <x v="56"/>
      <x v="476"/>
      <x v="48"/>
      <x v="1037"/>
      <x v="1"/>
    </i>
    <i r="1">
      <x v="863"/>
      <x v="97"/>
      <x v="1395"/>
      <x v="33"/>
      <x v="1086"/>
      <x v="1239"/>
    </i>
    <i r="1">
      <x v="1285"/>
      <x v="125"/>
      <x v="67"/>
      <x v="33"/>
      <x v="904"/>
      <x v="1462"/>
    </i>
    <i>
      <x v="313"/>
      <x v="963"/>
      <x v="42"/>
      <x v="273"/>
      <x v="43"/>
      <x v="243"/>
      <x v="1927"/>
    </i>
    <i>
      <x v="314"/>
      <x/>
      <x v="109"/>
      <x v="1485"/>
      <x v="56"/>
      <x v="54"/>
      <x v="240"/>
    </i>
    <i r="1">
      <x v="238"/>
      <x v="56"/>
      <x v="453"/>
      <x v="58"/>
      <x v="179"/>
      <x v="1399"/>
    </i>
    <i r="1">
      <x v="402"/>
      <x v="125"/>
      <x v="59"/>
      <x v="53"/>
      <x v="77"/>
      <x v="6"/>
    </i>
    <i r="1">
      <x v="609"/>
      <x v="126"/>
      <x v="1708"/>
      <x v="43"/>
      <x v="132"/>
      <x v="223"/>
    </i>
    <i>
      <x v="315"/>
      <x v="1660"/>
      <x v="3"/>
      <x v="26"/>
      <x v="96"/>
      <x v="489"/>
      <x v="381"/>
    </i>
    <i>
      <x v="316"/>
      <x/>
      <x v="60"/>
      <x v="598"/>
      <x v="88"/>
      <x v="1310"/>
      <x v="726"/>
    </i>
    <i r="1">
      <x v="1244"/>
      <x v="139"/>
      <x v="1782"/>
      <x v="66"/>
      <x v="81"/>
      <x v="1129"/>
    </i>
    <i>
      <x v="317"/>
      <x v="100"/>
      <x v="20"/>
      <x v="1228"/>
      <x v="41"/>
      <x v="1112"/>
      <x v="1639"/>
    </i>
    <i r="1">
      <x v="291"/>
      <x v="126"/>
      <x v="1723"/>
      <x v="33"/>
      <x v="611"/>
      <x v="1994"/>
    </i>
    <i r="1">
      <x v="386"/>
      <x v="78"/>
      <x v="862"/>
      <x v="54"/>
      <x v="819"/>
      <x v="1361"/>
    </i>
    <i r="1">
      <x v="910"/>
      <x v="56"/>
      <x v="461"/>
      <x v="58"/>
      <x v="1008"/>
      <x v="700"/>
    </i>
    <i r="1">
      <x v="1108"/>
      <x v="78"/>
      <x v="895"/>
      <x/>
      <x v="1080"/>
      <x v="1637"/>
    </i>
    <i>
      <x v="318"/>
      <x v="620"/>
      <x v="78"/>
      <x v="863"/>
      <x v="54"/>
      <x v="96"/>
      <x v="1363"/>
    </i>
    <i>
      <x v="319"/>
      <x v="157"/>
      <x v="56"/>
      <x v="386"/>
      <x v="58"/>
      <x v="142"/>
      <x v="1609"/>
    </i>
    <i r="1">
      <x v="345"/>
      <x v="158"/>
      <x v="1949"/>
      <x v="43"/>
      <x v="44"/>
      <x v="1922"/>
    </i>
    <i r="1">
      <x v="597"/>
      <x v="126"/>
      <x v="1725"/>
      <x v="33"/>
      <x v="147"/>
      <x v="2001"/>
    </i>
    <i>
      <x v="320"/>
      <x v="1379"/>
      <x v="126"/>
      <x v="1709"/>
      <x v="43"/>
      <x v="462"/>
      <x v="1506"/>
    </i>
    <i>
      <x v="321"/>
      <x v="289"/>
      <x v="102"/>
      <x v="1409"/>
      <x v="58"/>
      <x v="457"/>
      <x v="1690"/>
    </i>
    <i>
      <x v="322"/>
      <x v="468"/>
      <x v="20"/>
      <x v="1254"/>
      <x v="40"/>
      <x v="588"/>
      <x v="1007"/>
    </i>
    <i r="1">
      <x v="1024"/>
      <x v="126"/>
      <x v="1726"/>
      <x v="33"/>
      <x v="495"/>
      <x v="2006"/>
    </i>
    <i>
      <x v="323"/>
      <x v="270"/>
      <x v="20"/>
      <x v="1229"/>
      <x v="40"/>
      <x v="798"/>
      <x v="1004"/>
    </i>
    <i r="1">
      <x v="304"/>
      <x v="56"/>
      <x v="463"/>
      <x v="58"/>
      <x v="775"/>
      <x v="703"/>
    </i>
    <i r="1">
      <x v="378"/>
      <x v="126"/>
      <x v="1727"/>
      <x v="33"/>
      <x v="542"/>
      <x v="2007"/>
    </i>
    <i>
      <x v="324"/>
      <x/>
      <x v="151"/>
      <x v="1931"/>
      <x v="47"/>
      <x v="1192"/>
      <x v="1822"/>
    </i>
    <i r="1">
      <x v="74"/>
      <x v="126"/>
      <x v="1795"/>
      <x v="11"/>
      <x v="1198"/>
      <x v="1977"/>
    </i>
    <i r="1">
      <x v="152"/>
      <x v="147"/>
      <x v="1899"/>
      <x v="9"/>
      <x v="1189"/>
      <x v="1891"/>
    </i>
    <i r="1">
      <x v="301"/>
      <x v="54"/>
      <x v="363"/>
      <x v="7"/>
      <x v="1191"/>
      <x v="705"/>
    </i>
    <i r="1">
      <x v="359"/>
      <x v="20"/>
      <x v="1255"/>
      <x v="41"/>
      <x v="1146"/>
      <x v="858"/>
    </i>
    <i r="1">
      <x v="670"/>
      <x v="78"/>
      <x v="927"/>
      <x v="38"/>
      <x v="1225"/>
      <x v="1541"/>
    </i>
    <i r="1">
      <x v="723"/>
      <x v="56"/>
      <x v="491"/>
      <x v="60"/>
      <x v="1178"/>
      <x v="719"/>
    </i>
    <i r="1">
      <x v="1145"/>
      <x v="78"/>
      <x v="849"/>
      <x v="58"/>
      <x v="1102"/>
      <x v="1380"/>
    </i>
    <i r="1">
      <x v="1407"/>
      <x v="81"/>
      <x v="1278"/>
      <x v="38"/>
      <x v="1213"/>
      <x v="1032"/>
    </i>
    <i>
      <x v="325"/>
      <x v="257"/>
      <x v="78"/>
      <x v="982"/>
      <x v="58"/>
      <x v="505"/>
      <x v="1306"/>
    </i>
    <i r="1">
      <x v="286"/>
      <x v="56"/>
      <x v="493"/>
      <x v="52"/>
      <x v="544"/>
      <x v="602"/>
    </i>
    <i>
      <x v="326"/>
      <x v="1228"/>
      <x v="20"/>
      <x v="1187"/>
      <x v="57"/>
      <x v="1292"/>
      <x v="1773"/>
    </i>
    <i>
      <x v="327"/>
      <x v="453"/>
      <x v="146"/>
      <x v="1838"/>
      <x v="64"/>
      <x v="1137"/>
      <x v="1872"/>
    </i>
    <i r="1">
      <x v="1664"/>
      <x v="91"/>
      <x v="660"/>
      <x v="48"/>
      <x v="1310"/>
      <x v="1871"/>
    </i>
    <i>
      <x v="328"/>
      <x v="1722"/>
      <x v="112"/>
      <x v="1307"/>
      <x v="76"/>
      <x v="1310"/>
      <x v="1955"/>
    </i>
    <i>
      <x v="329"/>
      <x/>
      <x v="109"/>
      <x v="1550"/>
      <x v="92"/>
      <x v="200"/>
      <x v="176"/>
    </i>
    <i>
      <x v="330"/>
      <x/>
      <x v="109"/>
      <x v="1492"/>
      <x v="92"/>
      <x v="1248"/>
      <x v="2025"/>
    </i>
    <i r="3">
      <x v="1545"/>
      <x v="92"/>
      <x v="1285"/>
      <x v="717"/>
    </i>
    <i r="1">
      <x v="1087"/>
      <x v="42"/>
      <x v="214"/>
      <x v="103"/>
      <x v="1295"/>
      <x v="2015"/>
    </i>
    <i>
      <x v="331"/>
      <x v="832"/>
      <x v="42"/>
      <x v="204"/>
      <x v="83"/>
      <x v="1090"/>
      <x v="193"/>
    </i>
    <i>
      <x v="332"/>
      <x/>
      <x v="109"/>
      <x v="1546"/>
      <x v="92"/>
      <x v="1179"/>
      <x v="456"/>
    </i>
    <i>
      <x v="333"/>
      <x/>
      <x v="109"/>
      <x v="1494"/>
      <x v="92"/>
      <x v="1138"/>
      <x v="421"/>
    </i>
    <i r="3">
      <x v="1551"/>
      <x v="92"/>
      <x v="1195"/>
      <x v="419"/>
    </i>
    <i>
      <x v="334"/>
      <x/>
      <x v="109"/>
      <x v="1495"/>
      <x v="92"/>
      <x v="1201"/>
      <x v="487"/>
    </i>
    <i r="3">
      <x v="1552"/>
      <x v="92"/>
      <x v="1260"/>
      <x v="409"/>
    </i>
    <i r="1">
      <x v="1270"/>
      <x v="42"/>
      <x v="228"/>
      <x v="104"/>
      <x v="1282"/>
      <x v="397"/>
    </i>
    <i>
      <x v="335"/>
      <x v="1732"/>
      <x v="51"/>
      <x v="299"/>
      <x v="92"/>
      <x v="1306"/>
      <x v="1167"/>
    </i>
    <i>
      <x v="336"/>
      <x v="1038"/>
      <x v="42"/>
      <x v="223"/>
      <x v="105"/>
      <x v="1127"/>
      <x v="1013"/>
    </i>
    <i r="1">
      <x v="1092"/>
      <x v="42"/>
      <x v="218"/>
      <x v="103"/>
      <x v="776"/>
      <x v="354"/>
    </i>
    <i r="1">
      <x v="1412"/>
      <x v="21"/>
      <x v="1354"/>
      <x v="92"/>
      <x v="443"/>
      <x v="736"/>
    </i>
    <i>
      <x v="337"/>
      <x v="1746"/>
      <x v="51"/>
      <x v="303"/>
      <x v="92"/>
      <x v="1094"/>
      <x v="1599"/>
    </i>
    <i>
      <x v="338"/>
      <x/>
      <x v="109"/>
      <x v="1553"/>
      <x v="92"/>
      <x v="1217"/>
      <x v="520"/>
    </i>
    <i>
      <x v="339"/>
      <x/>
      <x v="109"/>
      <x v="1490"/>
      <x v="92"/>
      <x v="1170"/>
      <x v="329"/>
    </i>
    <i r="3">
      <x v="1497"/>
      <x v="92"/>
      <x v="1235"/>
      <x v="1370"/>
    </i>
    <i r="3">
      <x v="1500"/>
      <x v="88"/>
      <x v="1154"/>
      <x v="1589"/>
    </i>
    <i r="3">
      <x v="1535"/>
      <x v="92"/>
      <x v="1267"/>
      <x v="1575"/>
    </i>
    <i r="3">
      <x v="1537"/>
      <x v="92"/>
      <x v="1291"/>
      <x v="1686"/>
    </i>
    <i r="3">
      <x v="1539"/>
      <x v="91"/>
      <x v="1245"/>
      <x v="1675"/>
    </i>
    <i r="3">
      <x v="1543"/>
      <x v="92"/>
      <x v="1230"/>
      <x v="372"/>
    </i>
    <i r="3">
      <x v="1556"/>
      <x v="92"/>
      <x v="1280"/>
      <x v="1409"/>
    </i>
    <i r="3">
      <x v="1559"/>
      <x v="89"/>
      <x v="1215"/>
      <x v="1577"/>
    </i>
    <i r="1">
      <x v="540"/>
      <x v="42"/>
      <x v="241"/>
      <x v="103"/>
      <x v="1241"/>
      <x v="1673"/>
    </i>
    <i r="1">
      <x v="743"/>
      <x v="42"/>
      <x v="240"/>
      <x v="48"/>
      <x v="1161"/>
      <x v="1645"/>
    </i>
    <i r="1">
      <x v="1151"/>
      <x v="42"/>
      <x v="244"/>
      <x v="100"/>
      <x v="1284"/>
      <x v="819"/>
    </i>
    <i r="1">
      <x v="1238"/>
      <x v="3"/>
      <x v="16"/>
      <x v="133"/>
      <x v="1139"/>
      <x v="369"/>
    </i>
    <i>
      <x v="340"/>
      <x/>
      <x v="109"/>
      <x v="1493"/>
      <x v="92"/>
      <x v="1244"/>
      <x v="1201"/>
    </i>
    <i r="3">
      <x v="1536"/>
      <x v="92"/>
      <x v="1296"/>
      <x v="1617"/>
    </i>
    <i r="3">
      <x v="1549"/>
      <x v="92"/>
      <x v="1285"/>
      <x v="1202"/>
    </i>
    <i>
      <x v="341"/>
      <x/>
      <x v="109"/>
      <x v="1499"/>
      <x v="92"/>
      <x v="1289"/>
      <x v="1527"/>
    </i>
    <i r="3">
      <x v="1501"/>
      <x v="92"/>
      <x v="1232"/>
      <x v="1548"/>
    </i>
    <i r="3">
      <x v="1538"/>
      <x v="92"/>
      <x v="1302"/>
      <x v="1689"/>
    </i>
    <i r="3">
      <x v="1558"/>
      <x v="92"/>
      <x v="1298"/>
      <x v="1770"/>
    </i>
    <i r="3">
      <x v="1561"/>
      <x v="92"/>
      <x v="1279"/>
      <x v="1568"/>
    </i>
    <i r="1">
      <x v="530"/>
      <x v="42"/>
      <x v="253"/>
      <x v="103"/>
      <x v="1303"/>
      <x v="1772"/>
    </i>
    <i>
      <x v="342"/>
      <x v="993"/>
      <x v="3"/>
      <x v="25"/>
      <x v="134"/>
      <x v="1206"/>
      <x v="795"/>
    </i>
    <i r="1">
      <x v="1248"/>
      <x v="141"/>
      <x v="1758"/>
      <x v="92"/>
      <x v="1305"/>
      <x v="1634"/>
    </i>
    <i>
      <x v="343"/>
      <x v="960"/>
      <x v="21"/>
      <x v="1352"/>
      <x v="92"/>
      <x v="1301"/>
      <x v="658"/>
    </i>
    <i r="1">
      <x v="1643"/>
      <x v="21"/>
      <x v="1348"/>
      <x v="92"/>
      <x v="1300"/>
      <x v="110"/>
    </i>
    <i>
      <x v="344"/>
      <x v="1075"/>
      <x v="42"/>
      <x v="246"/>
      <x v="102"/>
      <x v="1309"/>
      <x v="1109"/>
    </i>
    <i>
      <x v="345"/>
      <x/>
      <x v="109"/>
      <x v="1542"/>
      <x v="92"/>
      <x v="1299"/>
      <x v="1551"/>
    </i>
    <i>
      <x v="346"/>
      <x/>
      <x v="109"/>
      <x v="1541"/>
      <x v="92"/>
      <x v="409"/>
      <x v="1714"/>
    </i>
    <i>
      <x v="347"/>
      <x v="1264"/>
      <x v="42"/>
      <x v="209"/>
      <x v="97"/>
      <x v="143"/>
      <x v="467"/>
    </i>
    <i>
      <x v="348"/>
      <x/>
      <x v="109"/>
      <x v="1491"/>
      <x v="92"/>
      <x v="1188"/>
      <x v="1581"/>
    </i>
    <i r="3">
      <x v="1544"/>
      <x v="92"/>
      <x v="1250"/>
      <x v="1607"/>
    </i>
    <i r="1">
      <x v="866"/>
      <x v="42"/>
      <x v="211"/>
      <x v="103"/>
      <x v="1272"/>
      <x v="538"/>
    </i>
    <i r="1">
      <x v="1642"/>
      <x v="21"/>
      <x v="1358"/>
      <x v="92"/>
      <x v="1202"/>
      <x v="148"/>
    </i>
    <i>
      <x v="349"/>
      <x/>
      <x v="109"/>
      <x v="1547"/>
      <x v="92"/>
      <x v="1237"/>
      <x v="1532"/>
    </i>
    <i>
      <x v="350"/>
      <x/>
      <x v="109"/>
      <x v="1548"/>
      <x v="92"/>
      <x v="1283"/>
      <x v="1594"/>
    </i>
    <i>
      <x v="351"/>
      <x/>
      <x v="109"/>
      <x v="1562"/>
      <x v="92"/>
      <x v="1274"/>
      <x v="1478"/>
    </i>
    <i r="1">
      <x v="966"/>
      <x v="42"/>
      <x v="256"/>
      <x v="104"/>
      <x v="1068"/>
      <x v="1725"/>
    </i>
    <i>
      <x v="352"/>
      <x v="1480"/>
      <x v="42"/>
      <x v="207"/>
      <x v="103"/>
      <x v="1308"/>
      <x v="1926"/>
    </i>
    <i>
      <x v="353"/>
      <x/>
      <x v="109"/>
      <x v="1489"/>
      <x v="92"/>
      <x v="946"/>
      <x v="1550"/>
    </i>
    <i r="3">
      <x v="1540"/>
      <x v="92"/>
      <x v="787"/>
      <x v="1629"/>
    </i>
    <i>
      <x v="354"/>
      <x/>
      <x v="109"/>
      <x v="1496"/>
      <x v="92"/>
      <x v="389"/>
      <x v="267"/>
    </i>
    <i r="3">
      <x v="1555"/>
      <x v="92"/>
      <x v="178"/>
      <x v="350"/>
    </i>
    <i r="1">
      <x v="962"/>
      <x v="42"/>
      <x v="248"/>
      <x v="102"/>
      <x v="629"/>
      <x v="334"/>
    </i>
    <i r="1">
      <x v="1121"/>
      <x v="21"/>
      <x v="1360"/>
      <x v="92"/>
      <x v="53"/>
      <x v="1223"/>
    </i>
    <i r="1">
      <x v="1684"/>
      <x v="21"/>
      <x v="1356"/>
      <x v="92"/>
      <x v="1310"/>
      <x v="1255"/>
    </i>
    <i>
      <x v="355"/>
      <x/>
      <x v="109"/>
      <x v="1554"/>
      <x v="92"/>
      <x v="1304"/>
      <x v="121"/>
    </i>
    <i>
      <x v="356"/>
      <x/>
      <x v="109"/>
      <x v="1498"/>
      <x v="92"/>
      <x v="1118"/>
      <x v="1468"/>
    </i>
    <i r="3">
      <x v="1557"/>
      <x v="92"/>
      <x v="1174"/>
      <x v="1688"/>
    </i>
    <i r="1">
      <x v="1339"/>
      <x v="42"/>
      <x v="232"/>
      <x v="104"/>
      <x v="1135"/>
      <x v="337"/>
    </i>
    <i>
      <x v="357"/>
      <x/>
      <x v="109"/>
      <x v="1560"/>
      <x v="92"/>
      <x v="336"/>
      <x v="1691"/>
    </i>
    <i r="1">
      <x v="840"/>
      <x v="42"/>
      <x v="251"/>
      <x v="104"/>
      <x v="207"/>
      <x v="1638"/>
    </i>
    <i>
      <x v="358"/>
      <x v="1418"/>
      <x v="42"/>
      <x v="201"/>
      <x v="103"/>
      <x v="1307"/>
      <x v="214"/>
    </i>
    <i>
      <x v="359"/>
      <x/>
      <x v="109"/>
      <x v="1563"/>
      <x v="92"/>
      <x v="427"/>
      <x v="1576"/>
    </i>
    <i>
      <x v="360"/>
      <x/>
      <x v="109"/>
      <x v="1463"/>
      <x v="64"/>
      <x v="1193"/>
      <x v="441"/>
    </i>
    <i>
      <x v="361"/>
      <x/>
      <x v="109"/>
      <x v="1513"/>
      <x v="92"/>
      <x v="1281"/>
      <x v="1778"/>
    </i>
    <i r="1">
      <x v="698"/>
      <x v="42"/>
      <x v="227"/>
      <x v="117"/>
      <x v="1240"/>
      <x v="157"/>
    </i>
    <i>
      <x v="362"/>
      <x/>
      <x v="109"/>
      <x v="1508"/>
      <x v="92"/>
      <x v="221"/>
      <x v="1990"/>
    </i>
    <i r="1">
      <x v="474"/>
      <x v="42"/>
      <x v="215"/>
      <x v="121"/>
      <x v="88"/>
      <x v="2017"/>
    </i>
    <i>
      <x v="363"/>
      <x v="945"/>
      <x v="42"/>
      <x v="205"/>
      <x v="112"/>
      <x v="937"/>
      <x v="194"/>
    </i>
    <i>
      <x v="364"/>
      <x v="575"/>
      <x v="42"/>
      <x v="206"/>
      <x v="118"/>
      <x v="7"/>
      <x v="246"/>
    </i>
    <i>
      <x v="365"/>
      <x v="1429"/>
      <x v="142"/>
      <x v="1789"/>
      <x v="130"/>
      <x v="1140"/>
      <x v="595"/>
    </i>
    <i>
      <x v="366"/>
      <x/>
      <x v="109"/>
      <x v="1509"/>
      <x v="92"/>
      <x v="585"/>
      <x v="1801"/>
    </i>
    <i r="1">
      <x v="1173"/>
      <x v="42"/>
      <x v="216"/>
      <x v="103"/>
      <x v="395"/>
      <x v="488"/>
    </i>
    <i>
      <x v="367"/>
      <x v="1251"/>
      <x v="142"/>
      <x v="1790"/>
      <x v="126"/>
      <x v="1253"/>
      <x v="596"/>
    </i>
    <i>
      <x v="368"/>
      <x/>
      <x v="109"/>
      <x v="1514"/>
      <x v="92"/>
      <x v="543"/>
      <x v="418"/>
    </i>
    <i>
      <x v="369"/>
      <x/>
      <x v="109"/>
      <x v="1515"/>
      <x v="92"/>
      <x v="390"/>
      <x v="408"/>
    </i>
    <i r="1">
      <x v="752"/>
      <x v="42"/>
      <x v="229"/>
      <x v="119"/>
      <x v="254"/>
      <x v="390"/>
    </i>
    <i>
      <x v="370"/>
      <x v="1607"/>
      <x v="3"/>
      <x v="21"/>
      <x v="90"/>
      <x v="1310"/>
      <x v="1353"/>
    </i>
    <i r="1">
      <x v="1738"/>
      <x v="51"/>
      <x v="298"/>
      <x v="92"/>
      <x v="3"/>
      <x v="1169"/>
    </i>
    <i>
      <x v="371"/>
      <x/>
      <x v="109"/>
      <x v="1519"/>
      <x v="95"/>
      <x v="124"/>
      <x v="1780"/>
    </i>
    <i>
      <x v="372"/>
      <x v="403"/>
      <x v="42"/>
      <x v="219"/>
      <x v="110"/>
      <x v="588"/>
      <x v="1233"/>
    </i>
    <i r="1">
      <x v="510"/>
      <x v="42"/>
      <x v="224"/>
      <x v="107"/>
      <x v="329"/>
      <x v="1038"/>
    </i>
    <i r="1">
      <x v="1160"/>
      <x v="21"/>
      <x v="1355"/>
      <x v="92"/>
      <x v="255"/>
      <x v="738"/>
    </i>
    <i>
      <x v="373"/>
      <x v="1741"/>
      <x v="51"/>
      <x v="300"/>
      <x v="92"/>
      <x v="58"/>
      <x v="79"/>
    </i>
    <i>
      <x v="374"/>
      <x v="1615"/>
      <x v="42"/>
      <x v="217"/>
      <x v="103"/>
      <x v="17"/>
      <x v="1086"/>
    </i>
    <i>
      <x v="375"/>
      <x v="1286"/>
      <x v="42"/>
      <x v="238"/>
      <x v="117"/>
      <x v="40"/>
      <x v="1777"/>
    </i>
    <i>
      <x v="376"/>
      <x v="1725"/>
      <x v="51"/>
      <x v="304"/>
      <x v="92"/>
      <x v="213"/>
      <x v="1597"/>
    </i>
    <i>
      <x v="377"/>
      <x v="973"/>
      <x v="42"/>
      <x v="230"/>
      <x v="119"/>
      <x v="499"/>
      <x v="913"/>
    </i>
    <i>
      <x v="378"/>
      <x/>
      <x v="109"/>
      <x v="1516"/>
      <x v="92"/>
      <x v="496"/>
      <x v="529"/>
    </i>
    <i>
      <x v="379"/>
      <x v="1433"/>
      <x v="42"/>
      <x v="231"/>
      <x v="112"/>
      <x v="1012"/>
      <x v="1153"/>
    </i>
    <i>
      <x v="380"/>
      <x v="1667"/>
      <x v="42"/>
      <x v="255"/>
      <x v="103"/>
      <x v="1310"/>
      <x v="1709"/>
    </i>
    <i>
      <x v="381"/>
      <x v="1107"/>
      <x v="42"/>
      <x v="239"/>
      <x v="113"/>
      <x v="12"/>
      <x v="1522"/>
    </i>
    <i>
      <x v="382"/>
      <x v="1200"/>
      <x v="42"/>
      <x v="234"/>
      <x v="117"/>
      <x v="201"/>
      <x v="1096"/>
    </i>
    <i>
      <x v="383"/>
      <x v="1214"/>
      <x v="142"/>
      <x v="318"/>
      <x v="92"/>
      <x v="1050"/>
      <x v="1552"/>
    </i>
    <i>
      <x v="384"/>
      <x/>
      <x v="42"/>
      <x v="272"/>
      <x v="113"/>
      <x v="1310"/>
      <x v="492"/>
    </i>
    <i r="2">
      <x v="109"/>
      <x v="1506"/>
      <x v="92"/>
      <x v="493"/>
      <x v="270"/>
    </i>
    <i r="3">
      <x v="1521"/>
      <x v="92"/>
      <x v="279"/>
      <x v="1413"/>
    </i>
    <i r="3">
      <x v="1524"/>
      <x v="89"/>
      <x v="508"/>
      <x v="1693"/>
    </i>
    <i r="3">
      <x v="1530"/>
      <x v="92"/>
      <x v="339"/>
      <x v="1782"/>
    </i>
    <i r="3">
      <x v="1532"/>
      <x v="92"/>
      <x v="150"/>
      <x v="1759"/>
    </i>
    <i r="3">
      <x v="1534"/>
      <x v="91"/>
      <x v="354"/>
      <x v="1800"/>
    </i>
    <i r="2">
      <x v="142"/>
      <x v="313"/>
      <x/>
      <x v="1042"/>
      <x v="570"/>
    </i>
    <i r="1">
      <x v="212"/>
      <x v="42"/>
      <x v="243"/>
      <x v="98"/>
      <x v="352"/>
      <x v="1671"/>
    </i>
    <i r="1">
      <x v="968"/>
      <x v="42"/>
      <x v="245"/>
      <x v="95"/>
      <x v="130"/>
      <x v="818"/>
    </i>
    <i r="1">
      <x v="1097"/>
      <x v="42"/>
      <x v="242"/>
      <x v="62"/>
      <x v="413"/>
      <x v="1667"/>
    </i>
    <i r="1">
      <x v="1373"/>
      <x v="74"/>
      <x v="741"/>
      <x v="77"/>
      <x v="889"/>
      <x v="265"/>
    </i>
    <i r="1">
      <x v="1431"/>
      <x v="142"/>
      <x v="331"/>
      <x v="126"/>
      <x v="1286"/>
      <x v="797"/>
    </i>
    <i r="1">
      <x v="1447"/>
      <x v="74"/>
      <x v="740"/>
      <x v="77"/>
      <x v="658"/>
      <x v="262"/>
    </i>
    <i r="1">
      <x v="1543"/>
      <x v="74"/>
      <x v="742"/>
      <x v="78"/>
      <x v="800"/>
      <x v="342"/>
    </i>
    <i r="1">
      <x v="1595"/>
      <x v="74"/>
      <x v="743"/>
      <x v="77"/>
      <x v="533"/>
      <x v="341"/>
    </i>
    <i>
      <x v="385"/>
      <x v="771"/>
      <x v="142"/>
      <x v="1791"/>
      <x v="117"/>
      <x v="222"/>
      <x v="541"/>
    </i>
    <i r="1">
      <x v="1123"/>
      <x v="64"/>
      <x v="1331"/>
      <x v="123"/>
      <x v="308"/>
      <x v="680"/>
    </i>
    <i r="1">
      <x v="1278"/>
      <x v="142"/>
      <x v="320"/>
      <x v="92"/>
      <x v="235"/>
      <x v="976"/>
    </i>
    <i>
      <x v="386"/>
      <x/>
      <x v="109"/>
      <x v="1512"/>
      <x v="92"/>
      <x v="277"/>
      <x v="1198"/>
    </i>
    <i r="3">
      <x v="1531"/>
      <x v="92"/>
      <x v="152"/>
      <x v="1795"/>
    </i>
    <i r="1">
      <x v="1015"/>
      <x v="42"/>
      <x v="226"/>
      <x v="100"/>
      <x v="151"/>
      <x v="1164"/>
    </i>
    <i>
      <x v="387"/>
      <x/>
      <x v="109"/>
      <x v="1523"/>
      <x v="92"/>
      <x v="100"/>
      <x v="1826"/>
    </i>
    <i r="3">
      <x v="1526"/>
      <x v="92"/>
      <x v="286"/>
      <x v="1544"/>
    </i>
    <i r="3">
      <x v="1533"/>
      <x v="92"/>
      <x v="34"/>
      <x v="1807"/>
    </i>
    <i r="1">
      <x v="280"/>
      <x v="42"/>
      <x v="254"/>
      <x v="107"/>
      <x v="33"/>
      <x v="1746"/>
    </i>
    <i r="1">
      <x v="1170"/>
      <x v="142"/>
      <x v="322"/>
      <x v="83"/>
      <x v="376"/>
      <x v="1621"/>
    </i>
    <i r="1">
      <x v="1380"/>
      <x v="142"/>
      <x v="319"/>
      <x v="92"/>
      <x v="109"/>
      <x v="979"/>
    </i>
    <i>
      <x v="388"/>
      <x/>
      <x v="142"/>
      <x v="317"/>
      <x v="92"/>
      <x v="374"/>
      <x v="482"/>
    </i>
    <i r="1">
      <x v="1254"/>
      <x v="142"/>
      <x v="314"/>
      <x v="92"/>
      <x v="636"/>
      <x v="1815"/>
    </i>
    <i r="1">
      <x v="1255"/>
      <x v="142"/>
      <x v="316"/>
      <x v="92"/>
      <x v="318"/>
      <x v="1443"/>
    </i>
    <i r="1">
      <x v="1268"/>
      <x v="74"/>
      <x v="769"/>
      <x v="77"/>
      <x v="520"/>
      <x v="1763"/>
    </i>
    <i r="1">
      <x v="1368"/>
      <x v="142"/>
      <x v="315"/>
      <x v="92"/>
      <x v="80"/>
      <x v="1192"/>
    </i>
    <i r="1">
      <x v="1437"/>
      <x v="74"/>
      <x v="770"/>
      <x v="77"/>
      <x v="717"/>
      <x v="1764"/>
    </i>
    <i>
      <x v="389"/>
      <x v="1312"/>
      <x v="42"/>
      <x v="199"/>
      <x v="103"/>
      <x v="741"/>
      <x v="1727"/>
    </i>
    <i>
      <x v="390"/>
      <x v="640"/>
      <x v="42"/>
      <x v="200"/>
      <x v="96"/>
      <x v="181"/>
      <x v="291"/>
    </i>
    <i>
      <x v="391"/>
      <x v="1190"/>
      <x v="142"/>
      <x v="334"/>
      <x v="92"/>
      <x v="927"/>
      <x v="105"/>
    </i>
    <i>
      <x v="392"/>
      <x v="293"/>
      <x v="21"/>
      <x v="1353"/>
      <x v="92"/>
      <x v="23"/>
      <x v="662"/>
    </i>
    <i r="1">
      <x v="623"/>
      <x v="21"/>
      <x v="1349"/>
      <x v="92"/>
      <x v="24"/>
      <x v="172"/>
    </i>
    <i r="1">
      <x v="728"/>
      <x v="21"/>
      <x v="1351"/>
      <x v="92"/>
      <x v="81"/>
      <x v="660"/>
    </i>
    <i r="1">
      <x v="1585"/>
      <x v="42"/>
      <x v="250"/>
      <x v="103"/>
      <x v="8"/>
      <x v="659"/>
    </i>
    <i>
      <x v="393"/>
      <x v="387"/>
      <x v="42"/>
      <x v="247"/>
      <x v="99"/>
      <x v="1"/>
      <x v="1110"/>
    </i>
    <i>
      <x v="394"/>
      <x v="951"/>
      <x v="42"/>
      <x v="237"/>
      <x v="97"/>
      <x v="9"/>
      <x v="1476"/>
    </i>
    <i>
      <x v="395"/>
      <x/>
      <x v="109"/>
      <x v="1505"/>
      <x v="92"/>
      <x v="114"/>
      <x v="1779"/>
    </i>
    <i r="1">
      <x v="1165"/>
      <x v="42"/>
      <x v="203"/>
      <x v="95"/>
      <x v="136"/>
      <x v="1916"/>
    </i>
    <i>
      <x v="396"/>
      <x/>
      <x v="109"/>
      <x v="1504"/>
      <x v="92"/>
      <x v="1228"/>
      <x v="1787"/>
    </i>
    <i>
      <x v="397"/>
      <x v="441"/>
      <x v="42"/>
      <x v="210"/>
      <x v="97"/>
      <x v="1297"/>
      <x v="466"/>
    </i>
    <i>
      <x v="398"/>
      <x/>
      <x v="109"/>
      <x v="1507"/>
      <x v="92"/>
      <x v="290"/>
      <x v="1828"/>
    </i>
    <i r="1">
      <x v="210"/>
      <x v="42"/>
      <x v="212"/>
      <x v="96"/>
      <x v="246"/>
      <x v="536"/>
    </i>
    <i r="1">
      <x v="817"/>
      <x v="21"/>
      <x v="1359"/>
      <x v="92"/>
      <x v="217"/>
      <x v="149"/>
    </i>
    <i>
      <x v="399"/>
      <x/>
      <x v="109"/>
      <x v="1510"/>
      <x v="92"/>
      <x v="452"/>
      <x v="1534"/>
    </i>
    <i r="1">
      <x v="671"/>
      <x v="42"/>
      <x v="220"/>
      <x v="104"/>
      <x v="691"/>
      <x v="243"/>
    </i>
    <i>
      <x v="400"/>
      <x v="653"/>
      <x v="42"/>
      <x v="221"/>
      <x v="97"/>
      <x v="294"/>
      <x v="1204"/>
    </i>
    <i>
      <x v="401"/>
      <x/>
      <x v="109"/>
      <x v="1511"/>
      <x v="92"/>
      <x v="307"/>
      <x v="1827"/>
    </i>
    <i r="1">
      <x v="1157"/>
      <x v="42"/>
      <x v="222"/>
      <x v="98"/>
      <x v="388"/>
      <x v="353"/>
    </i>
    <i>
      <x v="402"/>
      <x/>
      <x v="109"/>
      <x v="1527"/>
      <x v="92"/>
      <x v="273"/>
      <x v="1507"/>
    </i>
    <i r="1">
      <x v="222"/>
      <x v="42"/>
      <x v="257"/>
      <x v="104"/>
      <x v="417"/>
      <x v="1724"/>
    </i>
    <i>
      <x v="403"/>
      <x v="1598"/>
      <x v="42"/>
      <x v="260"/>
      <x v="103"/>
      <x v="344"/>
      <x v="332"/>
    </i>
    <i>
      <x v="404"/>
      <x v="794"/>
      <x v="42"/>
      <x v="208"/>
      <x v="95"/>
      <x v="2"/>
      <x v="1925"/>
    </i>
    <i>
      <x v="405"/>
      <x/>
      <x v="109"/>
      <x v="1503"/>
      <x v="92"/>
      <x v="934"/>
      <x v="1829"/>
    </i>
    <i>
      <x v="406"/>
      <x v="1590"/>
      <x v="42"/>
      <x v="225"/>
      <x v="103"/>
      <x v="1310"/>
      <x v="1178"/>
    </i>
    <i>
      <x v="407"/>
      <x v="1226"/>
      <x v="142"/>
      <x v="333"/>
      <x v="92"/>
      <x v="776"/>
      <x v="1173"/>
    </i>
    <i>
      <x v="408"/>
      <x v="1183"/>
      <x v="142"/>
      <x v="330"/>
      <x v="92"/>
      <x v="237"/>
      <x v="1197"/>
    </i>
    <i>
      <x v="409"/>
      <x/>
      <x v="109"/>
      <x v="1520"/>
      <x v="92"/>
      <x v="1293"/>
      <x v="307"/>
    </i>
    <i r="1">
      <x v="352"/>
      <x v="21"/>
      <x v="1361"/>
      <x v="92"/>
      <x v="1294"/>
      <x v="1224"/>
    </i>
    <i r="1">
      <x v="395"/>
      <x v="42"/>
      <x v="249"/>
      <x v="110"/>
      <x v="305"/>
      <x v="780"/>
    </i>
    <i r="1">
      <x v="1641"/>
      <x v="21"/>
      <x v="1357"/>
      <x v="92"/>
      <x v="1310"/>
      <x v="1256"/>
    </i>
    <i>
      <x v="410"/>
      <x/>
      <x v="109"/>
      <x v="1517"/>
      <x v="92"/>
      <x v="46"/>
      <x v="116"/>
    </i>
    <i>
      <x v="411"/>
      <x v="1341"/>
      <x v="42"/>
      <x v="235"/>
      <x v="95"/>
      <x v="42"/>
      <x v="1310"/>
    </i>
    <i>
      <x v="412"/>
      <x/>
      <x v="109"/>
      <x v="1522"/>
      <x v="92"/>
      <x v="559"/>
      <x v="1804"/>
    </i>
    <i r="1">
      <x v="882"/>
      <x v="42"/>
      <x v="233"/>
      <x v="96"/>
      <x v="437"/>
      <x v="336"/>
    </i>
    <i>
      <x v="413"/>
      <x v="536"/>
      <x v="42"/>
      <x v="236"/>
      <x v="96"/>
      <x v="541"/>
      <x v="333"/>
    </i>
    <i>
      <x v="414"/>
      <x/>
      <x v="109"/>
      <x v="1525"/>
      <x v="92"/>
      <x v="900"/>
      <x v="1809"/>
    </i>
    <i r="1">
      <x v="165"/>
      <x v="42"/>
      <x v="252"/>
      <x v="93"/>
      <x v="698"/>
      <x v="1636"/>
    </i>
    <i>
      <x v="415"/>
      <x/>
      <x v="109"/>
      <x v="1518"/>
      <x v="92"/>
      <x v="20"/>
      <x v="1608"/>
    </i>
    <i r="1">
      <x v="1483"/>
      <x v="42"/>
      <x v="202"/>
      <x v="103"/>
      <x v="4"/>
      <x v="213"/>
    </i>
    <i>
      <x v="416"/>
      <x/>
      <x v="109"/>
      <x v="1528"/>
      <x v="92"/>
      <x v="996"/>
      <x v="1133"/>
    </i>
    <i>
      <x v="417"/>
      <x v="1076"/>
      <x v="42"/>
      <x v="258"/>
      <x v="98"/>
      <x v="388"/>
      <x v="1756"/>
    </i>
    <i>
      <x v="418"/>
      <x/>
      <x v="109"/>
      <x v="1529"/>
      <x v="92"/>
      <x v="1259"/>
      <x v="1802"/>
    </i>
    <i r="1">
      <x v="1337"/>
      <x v="42"/>
      <x v="261"/>
      <x v="97"/>
      <x v="1273"/>
      <x v="1824"/>
    </i>
    <i>
      <x v="419"/>
      <x/>
      <x v="42"/>
      <x v="213"/>
      <x v="103"/>
      <x v="1310"/>
      <x v="66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33"/>
  <sheetViews>
    <sheetView topLeftCell="A1388" workbookViewId="0">
      <selection activeCell="C1405" sqref="C1405"/>
    </sheetView>
  </sheetViews>
  <sheetFormatPr defaultRowHeight="16.5" x14ac:dyDescent="0.3"/>
  <cols>
    <col min="1" max="1" width="69.25" bestFit="1" customWidth="1"/>
    <col min="2" max="2" width="35.875" customWidth="1"/>
    <col min="3" max="3" width="23.625" customWidth="1"/>
    <col min="4" max="4" width="10.875" bestFit="1" customWidth="1"/>
    <col min="5" max="6" width="13.5" bestFit="1" customWidth="1"/>
  </cols>
  <sheetData>
    <row r="3" spans="1:7" x14ac:dyDescent="0.3">
      <c r="A3" s="3" t="s">
        <v>5</v>
      </c>
      <c r="B3" s="3" t="s">
        <v>6390</v>
      </c>
      <c r="C3" s="3" t="s">
        <v>0</v>
      </c>
      <c r="D3" s="3" t="s">
        <v>1</v>
      </c>
      <c r="E3" s="3" t="s">
        <v>4</v>
      </c>
      <c r="F3" s="3" t="s">
        <v>3</v>
      </c>
      <c r="G3" s="3" t="s">
        <v>6</v>
      </c>
    </row>
    <row r="4" spans="1:7" x14ac:dyDescent="0.3">
      <c r="A4" t="s">
        <v>662</v>
      </c>
      <c r="B4">
        <v>1.84</v>
      </c>
      <c r="C4" t="s">
        <v>5960</v>
      </c>
      <c r="D4" t="s">
        <v>5961</v>
      </c>
      <c r="E4">
        <v>0.01</v>
      </c>
      <c r="F4" t="s">
        <v>662</v>
      </c>
      <c r="G4" t="s">
        <v>5963</v>
      </c>
    </row>
    <row r="5" spans="1:7" x14ac:dyDescent="0.3">
      <c r="A5" t="s">
        <v>3143</v>
      </c>
      <c r="B5">
        <v>114.44</v>
      </c>
      <c r="C5" t="s">
        <v>486</v>
      </c>
      <c r="D5" t="s">
        <v>3142</v>
      </c>
      <c r="E5">
        <v>3.8999999999999998E-3</v>
      </c>
      <c r="F5">
        <v>-4.2500000000000003E-2</v>
      </c>
      <c r="G5" t="s">
        <v>3144</v>
      </c>
    </row>
    <row r="6" spans="1:7" x14ac:dyDescent="0.3">
      <c r="A6" t="s">
        <v>3748</v>
      </c>
      <c r="B6">
        <v>60.6</v>
      </c>
      <c r="C6" t="s">
        <v>272</v>
      </c>
      <c r="D6" t="s">
        <v>3746</v>
      </c>
      <c r="E6">
        <v>7.9000000000000008E-3</v>
      </c>
      <c r="F6">
        <v>-1.83E-2</v>
      </c>
    </row>
    <row r="7" spans="1:7" x14ac:dyDescent="0.3">
      <c r="A7" t="s">
        <v>4452</v>
      </c>
      <c r="B7">
        <v>28.25</v>
      </c>
      <c r="C7" t="s">
        <v>486</v>
      </c>
      <c r="D7" t="s">
        <v>4450</v>
      </c>
      <c r="E7">
        <v>6.0000000000000001E-3</v>
      </c>
      <c r="F7">
        <v>-0.1439</v>
      </c>
      <c r="G7" t="s">
        <v>4453</v>
      </c>
    </row>
    <row r="8" spans="1:7" x14ac:dyDescent="0.3">
      <c r="B8">
        <v>6.2</v>
      </c>
      <c r="C8" t="s">
        <v>12</v>
      </c>
      <c r="D8" t="s">
        <v>5560</v>
      </c>
      <c r="E8">
        <v>5.8999999999999999E-3</v>
      </c>
      <c r="F8">
        <v>-0.14369999999999999</v>
      </c>
      <c r="G8" t="s">
        <v>5562</v>
      </c>
    </row>
    <row r="9" spans="1:7" x14ac:dyDescent="0.3">
      <c r="A9" t="s">
        <v>3988</v>
      </c>
      <c r="B9">
        <v>46.4</v>
      </c>
      <c r="C9" t="s">
        <v>12</v>
      </c>
      <c r="D9" t="s">
        <v>3986</v>
      </c>
      <c r="E9">
        <v>4.8999999999999998E-3</v>
      </c>
      <c r="F9">
        <v>2.3099999999999999E-2</v>
      </c>
      <c r="G9" t="s">
        <v>3989</v>
      </c>
    </row>
    <row r="10" spans="1:7" x14ac:dyDescent="0.3">
      <c r="A10" t="s">
        <v>5125</v>
      </c>
      <c r="B10">
        <v>12.99</v>
      </c>
      <c r="C10" t="s">
        <v>979</v>
      </c>
      <c r="D10" t="s">
        <v>5123</v>
      </c>
      <c r="E10">
        <v>9.9000000000000008E-3</v>
      </c>
      <c r="F10">
        <v>-4.4400000000000002E-2</v>
      </c>
      <c r="G10" t="s">
        <v>5126</v>
      </c>
    </row>
    <row r="11" spans="1:7" x14ac:dyDescent="0.3">
      <c r="A11" t="s">
        <v>883</v>
      </c>
      <c r="B11">
        <v>2190</v>
      </c>
      <c r="C11" t="s">
        <v>12</v>
      </c>
      <c r="D11" t="s">
        <v>881</v>
      </c>
      <c r="E11">
        <v>5.0000000000000001E-3</v>
      </c>
      <c r="F11">
        <v>-5.0299999999999997E-2</v>
      </c>
      <c r="G11" t="s">
        <v>884</v>
      </c>
    </row>
    <row r="12" spans="1:7" x14ac:dyDescent="0.3">
      <c r="A12" t="s">
        <v>606</v>
      </c>
      <c r="B12">
        <v>4670</v>
      </c>
      <c r="C12" t="s">
        <v>12</v>
      </c>
      <c r="D12" t="s">
        <v>604</v>
      </c>
      <c r="E12">
        <v>7.0000000000000001E-3</v>
      </c>
      <c r="F12">
        <v>-4.6699999999999998E-2</v>
      </c>
      <c r="G12" t="s">
        <v>607</v>
      </c>
    </row>
    <row r="13" spans="1:7" x14ac:dyDescent="0.3">
      <c r="B13">
        <v>31.64</v>
      </c>
      <c r="C13" t="s">
        <v>1340</v>
      </c>
      <c r="D13" t="s">
        <v>4363</v>
      </c>
      <c r="E13">
        <v>1.9E-3</v>
      </c>
      <c r="F13">
        <v>-4.2000000000000003E-2</v>
      </c>
      <c r="G13" t="s">
        <v>4365</v>
      </c>
    </row>
    <row r="14" spans="1:7" x14ac:dyDescent="0.3">
      <c r="B14">
        <v>4.21</v>
      </c>
      <c r="C14" t="s">
        <v>4636</v>
      </c>
      <c r="D14" t="s">
        <v>5729</v>
      </c>
      <c r="E14">
        <v>7.7999999999999996E-3</v>
      </c>
      <c r="F14">
        <v>3.8300000000000001E-2</v>
      </c>
      <c r="G14" t="s">
        <v>5731</v>
      </c>
    </row>
    <row r="15" spans="1:7" x14ac:dyDescent="0.3">
      <c r="A15" t="s">
        <v>1099</v>
      </c>
      <c r="B15">
        <v>1390</v>
      </c>
      <c r="C15" t="s">
        <v>12</v>
      </c>
      <c r="D15" t="s">
        <v>1098</v>
      </c>
      <c r="E15">
        <v>5.1000000000000004E-3</v>
      </c>
      <c r="F15">
        <v>-7.9100000000000004E-2</v>
      </c>
      <c r="G15" t="s">
        <v>1100</v>
      </c>
    </row>
    <row r="16" spans="1:7" x14ac:dyDescent="0.3">
      <c r="B16">
        <v>25.41</v>
      </c>
      <c r="C16" t="s">
        <v>1340</v>
      </c>
      <c r="D16" t="s">
        <v>4547</v>
      </c>
      <c r="E16">
        <v>8.9999999999999998E-4</v>
      </c>
      <c r="F16">
        <v>-7.22E-2</v>
      </c>
      <c r="G16" t="s">
        <v>4549</v>
      </c>
    </row>
    <row r="17" spans="1:7" x14ac:dyDescent="0.3">
      <c r="A17" t="s">
        <v>3443</v>
      </c>
      <c r="B17">
        <v>83.68</v>
      </c>
      <c r="C17" t="s">
        <v>12</v>
      </c>
      <c r="D17" t="s">
        <v>3441</v>
      </c>
      <c r="E17">
        <v>5.1000000000000004E-3</v>
      </c>
      <c r="F17">
        <v>-0.01</v>
      </c>
      <c r="G17" t="s">
        <v>3444</v>
      </c>
    </row>
    <row r="18" spans="1:7" x14ac:dyDescent="0.3">
      <c r="A18" t="s">
        <v>4352</v>
      </c>
      <c r="B18">
        <v>31.8</v>
      </c>
      <c r="C18" t="s">
        <v>12</v>
      </c>
      <c r="D18" t="s">
        <v>4350</v>
      </c>
      <c r="E18">
        <v>5.1000000000000004E-3</v>
      </c>
      <c r="F18">
        <v>-4.5999999999999999E-3</v>
      </c>
      <c r="G18" t="s">
        <v>4353</v>
      </c>
    </row>
    <row r="19" spans="1:7" x14ac:dyDescent="0.3">
      <c r="A19" t="s">
        <v>3221</v>
      </c>
      <c r="B19">
        <v>103.9</v>
      </c>
      <c r="C19" t="s">
        <v>12</v>
      </c>
      <c r="D19" t="s">
        <v>3219</v>
      </c>
      <c r="E19">
        <v>5.8999999999999999E-3</v>
      </c>
      <c r="F19">
        <v>-4.3499999999999997E-2</v>
      </c>
      <c r="G19" t="s">
        <v>3222</v>
      </c>
    </row>
    <row r="20" spans="1:7" x14ac:dyDescent="0.3">
      <c r="B20">
        <v>31.73</v>
      </c>
      <c r="C20" t="s">
        <v>272</v>
      </c>
      <c r="D20" t="s">
        <v>4360</v>
      </c>
      <c r="E20">
        <v>6.3E-3</v>
      </c>
      <c r="F20">
        <v>-3.6999999999999998E-2</v>
      </c>
      <c r="G20" t="s">
        <v>4362</v>
      </c>
    </row>
    <row r="21" spans="1:7" x14ac:dyDescent="0.3">
      <c r="A21" t="s">
        <v>569</v>
      </c>
      <c r="B21">
        <v>5050</v>
      </c>
      <c r="C21" t="s">
        <v>12</v>
      </c>
      <c r="D21" t="s">
        <v>567</v>
      </c>
      <c r="E21">
        <v>5.8999999999999999E-3</v>
      </c>
      <c r="F21">
        <v>6.9599999999999995E-2</v>
      </c>
      <c r="G21" t="s">
        <v>570</v>
      </c>
    </row>
    <row r="22" spans="1:7" x14ac:dyDescent="0.3">
      <c r="B22">
        <v>292.81</v>
      </c>
      <c r="C22" t="s">
        <v>1340</v>
      </c>
      <c r="D22" t="s">
        <v>2253</v>
      </c>
      <c r="E22">
        <v>1.9E-3</v>
      </c>
      <c r="F22">
        <v>5.91E-2</v>
      </c>
      <c r="G22" t="s">
        <v>2255</v>
      </c>
    </row>
    <row r="23" spans="1:7" x14ac:dyDescent="0.3">
      <c r="B23">
        <v>12.1</v>
      </c>
      <c r="C23" t="s">
        <v>280</v>
      </c>
      <c r="D23" t="s">
        <v>5171</v>
      </c>
      <c r="E23">
        <v>8.0000000000000002E-3</v>
      </c>
      <c r="F23">
        <v>7.4000000000000003E-3</v>
      </c>
      <c r="G23" t="s">
        <v>5173</v>
      </c>
    </row>
    <row r="24" spans="1:7" x14ac:dyDescent="0.3">
      <c r="A24" t="s">
        <v>481</v>
      </c>
      <c r="B24">
        <v>6100</v>
      </c>
      <c r="C24" t="s">
        <v>332</v>
      </c>
      <c r="D24" t="s">
        <v>479</v>
      </c>
      <c r="E24">
        <v>1.9E-3</v>
      </c>
      <c r="F24">
        <v>-3.1899999999999998E-2</v>
      </c>
      <c r="G24" t="s">
        <v>482</v>
      </c>
    </row>
    <row r="25" spans="1:7" x14ac:dyDescent="0.3">
      <c r="B25">
        <v>4040</v>
      </c>
      <c r="C25" t="s">
        <v>12</v>
      </c>
      <c r="D25" t="s">
        <v>651</v>
      </c>
      <c r="E25">
        <v>5.1000000000000004E-3</v>
      </c>
      <c r="F25">
        <v>-3.5799999999999998E-2</v>
      </c>
      <c r="G25" t="s">
        <v>653</v>
      </c>
    </row>
    <row r="26" spans="1:7" x14ac:dyDescent="0.3">
      <c r="B26">
        <v>32.24</v>
      </c>
      <c r="C26" t="s">
        <v>1340</v>
      </c>
      <c r="D26" t="s">
        <v>4329</v>
      </c>
      <c r="E26">
        <v>8.9999999999999998E-4</v>
      </c>
      <c r="F26">
        <v>-2.23E-2</v>
      </c>
      <c r="G26" t="s">
        <v>4331</v>
      </c>
    </row>
    <row r="27" spans="1:7" x14ac:dyDescent="0.3">
      <c r="B27">
        <v>18.079999999999998</v>
      </c>
      <c r="C27" t="s">
        <v>12</v>
      </c>
      <c r="D27" t="s">
        <v>4882</v>
      </c>
      <c r="E27">
        <v>5.3E-3</v>
      </c>
      <c r="F27">
        <v>-1.9099999999999999E-2</v>
      </c>
      <c r="G27" t="s">
        <v>4884</v>
      </c>
    </row>
    <row r="28" spans="1:7" x14ac:dyDescent="0.3">
      <c r="A28" t="s">
        <v>1817</v>
      </c>
      <c r="B28">
        <v>490.09</v>
      </c>
      <c r="C28" t="s">
        <v>12</v>
      </c>
      <c r="D28" t="s">
        <v>1815</v>
      </c>
      <c r="E28">
        <v>5.8999999999999999E-3</v>
      </c>
      <c r="F28">
        <v>0.1391</v>
      </c>
      <c r="G28" t="s">
        <v>1818</v>
      </c>
    </row>
    <row r="29" spans="1:7" x14ac:dyDescent="0.3">
      <c r="A29" t="s">
        <v>512</v>
      </c>
      <c r="B29">
        <v>5710</v>
      </c>
      <c r="C29" t="s">
        <v>12</v>
      </c>
      <c r="D29" t="s">
        <v>510</v>
      </c>
      <c r="E29">
        <v>7.4000000000000003E-3</v>
      </c>
      <c r="F29">
        <v>-8.1900000000000001E-2</v>
      </c>
      <c r="G29" t="s">
        <v>513</v>
      </c>
    </row>
    <row r="30" spans="1:7" x14ac:dyDescent="0.3">
      <c r="B30">
        <v>35.26</v>
      </c>
      <c r="C30" t="s">
        <v>272</v>
      </c>
      <c r="D30" t="s">
        <v>4253</v>
      </c>
      <c r="E30">
        <v>6.4999999999999997E-3</v>
      </c>
      <c r="F30">
        <v>-7.4300000000000005E-2</v>
      </c>
      <c r="G30" t="s">
        <v>4255</v>
      </c>
    </row>
    <row r="31" spans="1:7" x14ac:dyDescent="0.3">
      <c r="B31">
        <v>8.4</v>
      </c>
      <c r="C31" t="s">
        <v>941</v>
      </c>
      <c r="D31" t="s">
        <v>5375</v>
      </c>
      <c r="E31">
        <v>7.0000000000000001E-3</v>
      </c>
      <c r="F31">
        <v>-3.04E-2</v>
      </c>
      <c r="G31" t="s">
        <v>5377</v>
      </c>
    </row>
    <row r="32" spans="1:7" x14ac:dyDescent="0.3">
      <c r="A32" t="s">
        <v>3622</v>
      </c>
      <c r="B32">
        <v>70.75</v>
      </c>
      <c r="C32" t="s">
        <v>12</v>
      </c>
      <c r="D32" t="s">
        <v>3620</v>
      </c>
      <c r="E32">
        <v>5.8999999999999999E-3</v>
      </c>
      <c r="F32">
        <v>-4.7800000000000002E-2</v>
      </c>
      <c r="G32" t="s">
        <v>3623</v>
      </c>
    </row>
    <row r="33" spans="1:7" x14ac:dyDescent="0.3">
      <c r="B33">
        <v>37.68</v>
      </c>
      <c r="C33" t="s">
        <v>618</v>
      </c>
      <c r="D33" t="s">
        <v>4186</v>
      </c>
      <c r="E33">
        <v>6.4999999999999997E-3</v>
      </c>
      <c r="F33">
        <v>-1.2999999999999999E-2</v>
      </c>
      <c r="G33" t="s">
        <v>4188</v>
      </c>
    </row>
    <row r="34" spans="1:7" x14ac:dyDescent="0.3">
      <c r="A34" t="s">
        <v>466</v>
      </c>
      <c r="B34">
        <v>6360</v>
      </c>
      <c r="C34" t="s">
        <v>12</v>
      </c>
      <c r="D34" t="s">
        <v>464</v>
      </c>
      <c r="E34">
        <v>5.8999999999999999E-3</v>
      </c>
      <c r="F34">
        <v>-0.11700000000000001</v>
      </c>
      <c r="G34" t="s">
        <v>467</v>
      </c>
    </row>
    <row r="35" spans="1:7" x14ac:dyDescent="0.3">
      <c r="B35">
        <v>3250</v>
      </c>
      <c r="C35" t="s">
        <v>618</v>
      </c>
      <c r="D35" t="s">
        <v>735</v>
      </c>
      <c r="E35">
        <v>6.4999999999999997E-3</v>
      </c>
      <c r="F35">
        <v>-2.35E-2</v>
      </c>
      <c r="G35" t="s">
        <v>737</v>
      </c>
    </row>
    <row r="36" spans="1:7" x14ac:dyDescent="0.3">
      <c r="B36">
        <v>1500</v>
      </c>
      <c r="C36" t="s">
        <v>7</v>
      </c>
      <c r="D36" t="s">
        <v>1060</v>
      </c>
      <c r="E36">
        <v>5.8999999999999999E-3</v>
      </c>
      <c r="F36">
        <v>-0.1026</v>
      </c>
      <c r="G36" t="s">
        <v>1061</v>
      </c>
    </row>
    <row r="37" spans="1:7" x14ac:dyDescent="0.3">
      <c r="B37">
        <v>1030</v>
      </c>
      <c r="C37" t="s">
        <v>440</v>
      </c>
      <c r="D37" t="s">
        <v>1255</v>
      </c>
      <c r="E37">
        <v>3.2000000000000002E-3</v>
      </c>
      <c r="F37">
        <v>-0.14460000000000001</v>
      </c>
      <c r="G37" t="s">
        <v>1256</v>
      </c>
    </row>
    <row r="38" spans="1:7" x14ac:dyDescent="0.3">
      <c r="B38">
        <v>927.23</v>
      </c>
      <c r="C38" t="s">
        <v>12</v>
      </c>
      <c r="D38" t="s">
        <v>1337</v>
      </c>
      <c r="E38">
        <v>6.0000000000000001E-3</v>
      </c>
      <c r="F38">
        <v>-2.9000000000000001E-2</v>
      </c>
      <c r="G38" t="s">
        <v>1339</v>
      </c>
    </row>
    <row r="39" spans="1:7" x14ac:dyDescent="0.3">
      <c r="B39">
        <v>705</v>
      </c>
      <c r="C39" t="s">
        <v>400</v>
      </c>
      <c r="D39" t="s">
        <v>1563</v>
      </c>
      <c r="E39">
        <v>6.0000000000000001E-3</v>
      </c>
      <c r="F39">
        <v>-2.46E-2</v>
      </c>
      <c r="G39" t="s">
        <v>1565</v>
      </c>
    </row>
    <row r="40" spans="1:7" x14ac:dyDescent="0.3">
      <c r="B40">
        <v>207.69</v>
      </c>
      <c r="C40" t="s">
        <v>24</v>
      </c>
      <c r="D40" t="s">
        <v>2529</v>
      </c>
      <c r="E40">
        <v>6.8999999999999999E-3</v>
      </c>
      <c r="F40">
        <v>-0.27050000000000002</v>
      </c>
      <c r="G40" t="s">
        <v>2531</v>
      </c>
    </row>
    <row r="41" spans="1:7" x14ac:dyDescent="0.3">
      <c r="B41">
        <v>173.91</v>
      </c>
      <c r="C41" t="s">
        <v>400</v>
      </c>
      <c r="D41" t="s">
        <v>2693</v>
      </c>
      <c r="E41">
        <v>7.9000000000000008E-3</v>
      </c>
      <c r="F41">
        <v>-0.1237</v>
      </c>
      <c r="G41" t="s">
        <v>2695</v>
      </c>
    </row>
    <row r="42" spans="1:7" x14ac:dyDescent="0.3">
      <c r="B42">
        <v>122.64</v>
      </c>
      <c r="C42" t="s">
        <v>1340</v>
      </c>
      <c r="D42" t="s">
        <v>3078</v>
      </c>
      <c r="E42">
        <v>1.9E-3</v>
      </c>
      <c r="F42">
        <v>-0.1053</v>
      </c>
      <c r="G42" t="s">
        <v>3079</v>
      </c>
    </row>
    <row r="43" spans="1:7" x14ac:dyDescent="0.3">
      <c r="B43">
        <v>86.35</v>
      </c>
      <c r="C43" t="s">
        <v>400</v>
      </c>
      <c r="D43" t="s">
        <v>3412</v>
      </c>
      <c r="E43">
        <v>8.8000000000000005E-3</v>
      </c>
      <c r="F43">
        <v>-5.3100000000000001E-2</v>
      </c>
      <c r="G43" t="s">
        <v>3414</v>
      </c>
    </row>
    <row r="44" spans="1:7" x14ac:dyDescent="0.3">
      <c r="B44">
        <v>50.1</v>
      </c>
      <c r="C44" t="s">
        <v>3896</v>
      </c>
      <c r="D44" t="s">
        <v>3897</v>
      </c>
      <c r="E44">
        <v>8.0000000000000002E-3</v>
      </c>
      <c r="F44">
        <v>-3.4500000000000003E-2</v>
      </c>
      <c r="G44" t="s">
        <v>3899</v>
      </c>
    </row>
    <row r="45" spans="1:7" x14ac:dyDescent="0.3">
      <c r="B45">
        <v>20.29</v>
      </c>
      <c r="C45" t="s">
        <v>400</v>
      </c>
      <c r="D45" t="s">
        <v>4789</v>
      </c>
      <c r="E45">
        <v>4.8999999999999998E-3</v>
      </c>
      <c r="F45">
        <v>-7.9600000000000004E-2</v>
      </c>
      <c r="G45" t="s">
        <v>4791</v>
      </c>
    </row>
    <row r="46" spans="1:7" x14ac:dyDescent="0.3">
      <c r="B46">
        <v>13.51</v>
      </c>
      <c r="C46" t="s">
        <v>618</v>
      </c>
      <c r="D46" t="s">
        <v>5091</v>
      </c>
      <c r="E46">
        <v>5.0000000000000001E-3</v>
      </c>
      <c r="F46">
        <v>-8.7300000000000003E-2</v>
      </c>
      <c r="G46" t="s">
        <v>5093</v>
      </c>
    </row>
    <row r="47" spans="1:7" x14ac:dyDescent="0.3">
      <c r="B47">
        <v>10.5</v>
      </c>
      <c r="C47" t="s">
        <v>400</v>
      </c>
      <c r="D47" t="s">
        <v>5251</v>
      </c>
      <c r="E47">
        <v>7.0000000000000001E-3</v>
      </c>
      <c r="F47">
        <v>3.8899999999999997E-2</v>
      </c>
      <c r="G47" t="s">
        <v>5253</v>
      </c>
    </row>
    <row r="48" spans="1:7" x14ac:dyDescent="0.3">
      <c r="B48">
        <v>9.92</v>
      </c>
      <c r="C48" t="s">
        <v>280</v>
      </c>
      <c r="D48" t="s">
        <v>5284</v>
      </c>
      <c r="E48">
        <v>8.0000000000000002E-3</v>
      </c>
      <c r="F48">
        <v>-4.4499999999999998E-2</v>
      </c>
      <c r="G48" t="s">
        <v>5286</v>
      </c>
    </row>
    <row r="49" spans="1:7" x14ac:dyDescent="0.3">
      <c r="B49">
        <v>9.5500000000000007</v>
      </c>
      <c r="C49" t="s">
        <v>400</v>
      </c>
      <c r="D49" t="s">
        <v>5309</v>
      </c>
      <c r="E49">
        <v>5.8999999999999999E-3</v>
      </c>
      <c r="F49">
        <v>-0.1104</v>
      </c>
      <c r="G49" t="s">
        <v>5311</v>
      </c>
    </row>
    <row r="50" spans="1:7" x14ac:dyDescent="0.3">
      <c r="B50">
        <v>8.7100000000000009</v>
      </c>
      <c r="C50" t="s">
        <v>618</v>
      </c>
      <c r="D50" t="s">
        <v>5350</v>
      </c>
      <c r="E50">
        <v>6.0000000000000001E-3</v>
      </c>
      <c r="F50">
        <v>-3.5999999999999997E-2</v>
      </c>
      <c r="G50" t="s">
        <v>5352</v>
      </c>
    </row>
    <row r="51" spans="1:7" x14ac:dyDescent="0.3">
      <c r="B51">
        <v>3.48</v>
      </c>
      <c r="C51" t="s">
        <v>486</v>
      </c>
      <c r="D51" t="s">
        <v>5809</v>
      </c>
      <c r="E51">
        <v>7.4999999999999997E-3</v>
      </c>
      <c r="F51">
        <v>-0.1149</v>
      </c>
      <c r="G51" t="s">
        <v>5811</v>
      </c>
    </row>
    <row r="52" spans="1:7" x14ac:dyDescent="0.3">
      <c r="A52" t="s">
        <v>4570</v>
      </c>
      <c r="B52">
        <v>25.21</v>
      </c>
      <c r="C52" t="s">
        <v>272</v>
      </c>
      <c r="D52" t="s">
        <v>4568</v>
      </c>
      <c r="E52">
        <v>6.0000000000000001E-3</v>
      </c>
      <c r="F52">
        <v>-7.5899999999999995E-2</v>
      </c>
      <c r="G52" t="s">
        <v>4571</v>
      </c>
    </row>
    <row r="53" spans="1:7" x14ac:dyDescent="0.3">
      <c r="A53" t="s">
        <v>5798</v>
      </c>
      <c r="B53">
        <v>3.54</v>
      </c>
      <c r="C53" t="s">
        <v>486</v>
      </c>
      <c r="D53" t="s">
        <v>5796</v>
      </c>
      <c r="E53">
        <v>6.7000000000000002E-3</v>
      </c>
      <c r="F53">
        <v>-0.17649999999999999</v>
      </c>
      <c r="G53" t="s">
        <v>5799</v>
      </c>
    </row>
    <row r="54" spans="1:7" x14ac:dyDescent="0.3">
      <c r="A54" t="s">
        <v>5546</v>
      </c>
      <c r="B54">
        <v>6.35</v>
      </c>
      <c r="C54" t="s">
        <v>400</v>
      </c>
      <c r="D54" t="s">
        <v>5544</v>
      </c>
      <c r="E54">
        <v>6.8999999999999999E-3</v>
      </c>
      <c r="F54">
        <v>-0.14760000000000001</v>
      </c>
      <c r="G54" t="s">
        <v>5547</v>
      </c>
    </row>
    <row r="55" spans="1:7" x14ac:dyDescent="0.3">
      <c r="A55" t="s">
        <v>5933</v>
      </c>
      <c r="B55">
        <v>2.27</v>
      </c>
      <c r="C55" t="s">
        <v>400</v>
      </c>
      <c r="D55" t="s">
        <v>5931</v>
      </c>
      <c r="E55">
        <v>7.0000000000000001E-3</v>
      </c>
      <c r="F55">
        <v>-0.15040000000000001</v>
      </c>
      <c r="G55" t="s">
        <v>5934</v>
      </c>
    </row>
    <row r="56" spans="1:7" x14ac:dyDescent="0.3">
      <c r="A56" t="s">
        <v>5187</v>
      </c>
      <c r="B56">
        <v>11.78</v>
      </c>
      <c r="C56" t="s">
        <v>486</v>
      </c>
      <c r="D56" t="s">
        <v>5185</v>
      </c>
      <c r="E56">
        <v>6.4999999999999997E-3</v>
      </c>
      <c r="F56">
        <v>-0.1075</v>
      </c>
      <c r="G56" t="s">
        <v>5188</v>
      </c>
    </row>
    <row r="57" spans="1:7" x14ac:dyDescent="0.3">
      <c r="A57" t="s">
        <v>3817</v>
      </c>
      <c r="B57">
        <v>56.06</v>
      </c>
      <c r="C57" t="s">
        <v>400</v>
      </c>
      <c r="D57" t="s">
        <v>3815</v>
      </c>
      <c r="E57">
        <v>6.8999999999999999E-3</v>
      </c>
      <c r="F57">
        <v>-1.5699999999999999E-2</v>
      </c>
      <c r="G57" t="s">
        <v>3818</v>
      </c>
    </row>
    <row r="58" spans="1:7" x14ac:dyDescent="0.3">
      <c r="A58" t="s">
        <v>1964</v>
      </c>
      <c r="B58">
        <v>410.38</v>
      </c>
      <c r="C58" t="s">
        <v>486</v>
      </c>
      <c r="D58" t="s">
        <v>1962</v>
      </c>
      <c r="E58">
        <v>6.4999999999999997E-3</v>
      </c>
      <c r="F58">
        <v>-0.18229999999999999</v>
      </c>
      <c r="G58" t="s">
        <v>1965</v>
      </c>
    </row>
    <row r="59" spans="1:7" x14ac:dyDescent="0.3">
      <c r="A59" t="s">
        <v>5139</v>
      </c>
      <c r="B59">
        <v>12.86</v>
      </c>
      <c r="C59" t="s">
        <v>486</v>
      </c>
      <c r="D59" t="s">
        <v>5137</v>
      </c>
      <c r="E59">
        <v>6.4999999999999997E-3</v>
      </c>
      <c r="F59">
        <v>-1.06E-2</v>
      </c>
      <c r="G59" t="s">
        <v>5140</v>
      </c>
    </row>
    <row r="60" spans="1:7" x14ac:dyDescent="0.3">
      <c r="A60" t="s">
        <v>5191</v>
      </c>
      <c r="B60">
        <v>11.65</v>
      </c>
      <c r="C60" t="s">
        <v>486</v>
      </c>
      <c r="D60" t="s">
        <v>5189</v>
      </c>
      <c r="E60">
        <v>6.6E-3</v>
      </c>
      <c r="F60">
        <v>-1.5599999999999999E-2</v>
      </c>
      <c r="G60" t="s">
        <v>5192</v>
      </c>
    </row>
    <row r="61" spans="1:7" x14ac:dyDescent="0.3">
      <c r="A61" t="s">
        <v>3294</v>
      </c>
      <c r="B61">
        <v>95.74</v>
      </c>
      <c r="C61" t="s">
        <v>486</v>
      </c>
      <c r="D61" t="s">
        <v>3292</v>
      </c>
      <c r="E61">
        <v>6.4999999999999997E-3</v>
      </c>
      <c r="F61">
        <v>3.9100000000000003E-2</v>
      </c>
      <c r="G61" t="s">
        <v>3295</v>
      </c>
    </row>
    <row r="62" spans="1:7" x14ac:dyDescent="0.3">
      <c r="A62" t="s">
        <v>2920</v>
      </c>
      <c r="B62">
        <v>137.84</v>
      </c>
      <c r="C62" t="s">
        <v>400</v>
      </c>
      <c r="D62" t="s">
        <v>2918</v>
      </c>
      <c r="E62">
        <v>6.4999999999999997E-3</v>
      </c>
      <c r="F62">
        <v>-0.16589999999999999</v>
      </c>
      <c r="G62" t="s">
        <v>2921</v>
      </c>
    </row>
    <row r="63" spans="1:7" x14ac:dyDescent="0.3">
      <c r="B63">
        <v>13.43</v>
      </c>
      <c r="C63" t="s">
        <v>486</v>
      </c>
      <c r="D63" t="s">
        <v>5097</v>
      </c>
      <c r="E63">
        <v>6.4999999999999997E-3</v>
      </c>
      <c r="F63">
        <v>-0.21260000000000001</v>
      </c>
      <c r="G63" t="s">
        <v>5099</v>
      </c>
    </row>
    <row r="64" spans="1:7" x14ac:dyDescent="0.3">
      <c r="A64" t="s">
        <v>4386</v>
      </c>
      <c r="B64">
        <v>30.74</v>
      </c>
      <c r="C64" t="s">
        <v>486</v>
      </c>
      <c r="D64" t="s">
        <v>4384</v>
      </c>
      <c r="E64">
        <v>6.6E-3</v>
      </c>
      <c r="F64">
        <v>-1.6299999999999999E-2</v>
      </c>
      <c r="G64" t="s">
        <v>4387</v>
      </c>
    </row>
    <row r="65" spans="1:7" x14ac:dyDescent="0.3">
      <c r="A65" t="s">
        <v>1079</v>
      </c>
      <c r="B65">
        <v>1430</v>
      </c>
      <c r="C65" t="s">
        <v>24</v>
      </c>
      <c r="D65" t="s">
        <v>1078</v>
      </c>
      <c r="E65">
        <v>7.0000000000000001E-3</v>
      </c>
      <c r="F65">
        <v>-0.16250000000000001</v>
      </c>
      <c r="G65" t="s">
        <v>1080</v>
      </c>
    </row>
    <row r="66" spans="1:7" x14ac:dyDescent="0.3">
      <c r="B66">
        <v>31.4</v>
      </c>
      <c r="C66" t="s">
        <v>486</v>
      </c>
      <c r="D66" t="s">
        <v>4374</v>
      </c>
      <c r="E66">
        <v>6.4999999999999997E-3</v>
      </c>
      <c r="F66">
        <v>-0.1108</v>
      </c>
      <c r="G66" t="s">
        <v>4376</v>
      </c>
    </row>
    <row r="67" spans="1:7" x14ac:dyDescent="0.3">
      <c r="B67">
        <v>28.27</v>
      </c>
      <c r="C67" t="s">
        <v>400</v>
      </c>
      <c r="D67" t="s">
        <v>4447</v>
      </c>
      <c r="E67">
        <v>6.4999999999999997E-3</v>
      </c>
      <c r="F67">
        <v>8.9999999999999998E-4</v>
      </c>
      <c r="G67" t="s">
        <v>4449</v>
      </c>
    </row>
    <row r="68" spans="1:7" x14ac:dyDescent="0.3">
      <c r="A68" t="s">
        <v>403</v>
      </c>
      <c r="B68">
        <v>7410</v>
      </c>
      <c r="C68" t="s">
        <v>400</v>
      </c>
      <c r="D68" t="s">
        <v>401</v>
      </c>
      <c r="E68">
        <v>7.6E-3</v>
      </c>
      <c r="F68">
        <v>-0.25690000000000002</v>
      </c>
      <c r="G68" t="s">
        <v>404</v>
      </c>
    </row>
    <row r="69" spans="1:7" x14ac:dyDescent="0.3">
      <c r="A69" t="s">
        <v>5169</v>
      </c>
      <c r="B69">
        <v>12.11</v>
      </c>
      <c r="C69" t="s">
        <v>486</v>
      </c>
      <c r="D69" t="s">
        <v>5167</v>
      </c>
      <c r="E69">
        <v>6.6E-3</v>
      </c>
      <c r="F69">
        <v>-9.8100000000000007E-2</v>
      </c>
      <c r="G69" t="s">
        <v>5170</v>
      </c>
    </row>
    <row r="70" spans="1:7" x14ac:dyDescent="0.3">
      <c r="A70" t="s">
        <v>5354</v>
      </c>
      <c r="B70">
        <v>8.7100000000000009</v>
      </c>
      <c r="C70" t="s">
        <v>979</v>
      </c>
      <c r="D70" t="s">
        <v>5353</v>
      </c>
      <c r="E70">
        <v>7.9000000000000008E-3</v>
      </c>
      <c r="F70">
        <v>-0.217</v>
      </c>
      <c r="G70" t="s">
        <v>5355</v>
      </c>
    </row>
    <row r="71" spans="1:7" x14ac:dyDescent="0.3">
      <c r="A71" t="s">
        <v>5496</v>
      </c>
      <c r="B71">
        <v>7.07</v>
      </c>
      <c r="C71" t="s">
        <v>486</v>
      </c>
      <c r="D71" t="s">
        <v>5494</v>
      </c>
      <c r="E71">
        <v>6.6E-3</v>
      </c>
      <c r="F71">
        <v>-6.1699999999999998E-2</v>
      </c>
      <c r="G71" t="s">
        <v>5497</v>
      </c>
    </row>
    <row r="72" spans="1:7" x14ac:dyDescent="0.3">
      <c r="A72" t="s">
        <v>5980</v>
      </c>
      <c r="B72">
        <v>1.68</v>
      </c>
      <c r="C72" t="s">
        <v>486</v>
      </c>
      <c r="D72" t="s">
        <v>5978</v>
      </c>
      <c r="E72">
        <v>6.6E-3</v>
      </c>
      <c r="F72">
        <v>1.43E-2</v>
      </c>
      <c r="G72" t="s">
        <v>5981</v>
      </c>
    </row>
    <row r="73" spans="1:7" x14ac:dyDescent="0.3">
      <c r="A73" t="s">
        <v>4097</v>
      </c>
      <c r="B73">
        <v>40.96</v>
      </c>
      <c r="C73" t="s">
        <v>486</v>
      </c>
      <c r="D73" t="s">
        <v>4095</v>
      </c>
      <c r="E73">
        <v>6.1999999999999998E-3</v>
      </c>
      <c r="F73">
        <v>9.1000000000000004E-3</v>
      </c>
      <c r="G73" t="s">
        <v>4098</v>
      </c>
    </row>
    <row r="74" spans="1:7" x14ac:dyDescent="0.3">
      <c r="B74">
        <v>37.9</v>
      </c>
      <c r="C74" t="s">
        <v>12</v>
      </c>
      <c r="D74" t="s">
        <v>4179</v>
      </c>
      <c r="E74">
        <v>6.1000000000000004E-3</v>
      </c>
      <c r="F74">
        <v>-2.0999999999999999E-3</v>
      </c>
      <c r="G74" t="s">
        <v>4181</v>
      </c>
    </row>
    <row r="75" spans="1:7" x14ac:dyDescent="0.3">
      <c r="A75" t="s">
        <v>2775</v>
      </c>
      <c r="B75">
        <v>160.09</v>
      </c>
      <c r="C75" t="s">
        <v>12</v>
      </c>
      <c r="D75" t="s">
        <v>2773</v>
      </c>
      <c r="E75">
        <v>5.3E-3</v>
      </c>
      <c r="F75">
        <v>-0.1119</v>
      </c>
      <c r="G75" t="s">
        <v>2776</v>
      </c>
    </row>
    <row r="76" spans="1:7" x14ac:dyDescent="0.3">
      <c r="A76" t="s">
        <v>502</v>
      </c>
      <c r="B76">
        <v>5800</v>
      </c>
      <c r="C76" t="s">
        <v>16</v>
      </c>
      <c r="D76" t="s">
        <v>500</v>
      </c>
      <c r="E76">
        <v>8.0000000000000004E-4</v>
      </c>
      <c r="F76">
        <v>-4.2200000000000001E-2</v>
      </c>
      <c r="G76" t="s">
        <v>503</v>
      </c>
    </row>
    <row r="77" spans="1:7" x14ac:dyDescent="0.3">
      <c r="B77">
        <v>1040</v>
      </c>
      <c r="C77" t="s">
        <v>12</v>
      </c>
      <c r="D77" t="s">
        <v>1244</v>
      </c>
      <c r="E77">
        <v>8.9999999999999998E-4</v>
      </c>
      <c r="F77">
        <v>-4.53E-2</v>
      </c>
      <c r="G77" t="s">
        <v>1246</v>
      </c>
    </row>
    <row r="78" spans="1:7" x14ac:dyDescent="0.3">
      <c r="A78" t="s">
        <v>638</v>
      </c>
      <c r="B78">
        <v>4100</v>
      </c>
      <c r="C78" t="s">
        <v>332</v>
      </c>
      <c r="D78" t="s">
        <v>636</v>
      </c>
      <c r="E78">
        <v>1.9E-3</v>
      </c>
      <c r="F78">
        <v>-4.9200000000000001E-2</v>
      </c>
      <c r="G78" t="s">
        <v>639</v>
      </c>
    </row>
    <row r="79" spans="1:7" x14ac:dyDescent="0.3">
      <c r="B79">
        <v>2200</v>
      </c>
      <c r="C79" t="s">
        <v>12</v>
      </c>
      <c r="D79" t="s">
        <v>878</v>
      </c>
      <c r="E79">
        <v>4.7999999999999996E-3</v>
      </c>
      <c r="F79">
        <v>-5.79E-2</v>
      </c>
      <c r="G79" t="s">
        <v>880</v>
      </c>
    </row>
    <row r="80" spans="1:7" x14ac:dyDescent="0.3">
      <c r="B80">
        <v>15.37</v>
      </c>
      <c r="C80" t="s">
        <v>280</v>
      </c>
      <c r="D80" t="s">
        <v>5040</v>
      </c>
      <c r="E80">
        <v>8.0000000000000002E-3</v>
      </c>
      <c r="F80">
        <v>-3.9399999999999998E-2</v>
      </c>
      <c r="G80" t="s">
        <v>5042</v>
      </c>
    </row>
    <row r="81" spans="1:7" x14ac:dyDescent="0.3">
      <c r="A81" t="s">
        <v>2264</v>
      </c>
      <c r="B81">
        <v>291.7</v>
      </c>
      <c r="C81" t="s">
        <v>280</v>
      </c>
      <c r="D81" t="s">
        <v>2262</v>
      </c>
      <c r="E81">
        <v>5.7999999999999996E-3</v>
      </c>
      <c r="F81">
        <v>2.3E-2</v>
      </c>
      <c r="G81" t="s">
        <v>2265</v>
      </c>
    </row>
    <row r="82" spans="1:7" x14ac:dyDescent="0.3">
      <c r="A82" t="s">
        <v>861</v>
      </c>
      <c r="B82">
        <v>2350</v>
      </c>
      <c r="C82" t="s">
        <v>7</v>
      </c>
      <c r="D82" t="s">
        <v>860</v>
      </c>
      <c r="E82">
        <v>2.8999999999999998E-3</v>
      </c>
      <c r="F82">
        <v>-1.8499999999999999E-2</v>
      </c>
      <c r="G82" t="s">
        <v>862</v>
      </c>
    </row>
    <row r="83" spans="1:7" x14ac:dyDescent="0.3">
      <c r="B83">
        <v>2080</v>
      </c>
      <c r="C83" t="s">
        <v>12</v>
      </c>
      <c r="D83" t="s">
        <v>908</v>
      </c>
      <c r="E83">
        <v>5.8999999999999999E-3</v>
      </c>
      <c r="F83">
        <v>-1.8499999999999999E-2</v>
      </c>
      <c r="G83" t="s">
        <v>910</v>
      </c>
    </row>
    <row r="84" spans="1:7" x14ac:dyDescent="0.3">
      <c r="B84">
        <v>49.68</v>
      </c>
      <c r="C84" t="s">
        <v>1471</v>
      </c>
      <c r="D84" t="s">
        <v>3903</v>
      </c>
      <c r="E84">
        <v>4.7999999999999996E-3</v>
      </c>
      <c r="F84">
        <v>-2.5499999999999998E-2</v>
      </c>
      <c r="G84" t="s">
        <v>3905</v>
      </c>
    </row>
    <row r="85" spans="1:7" x14ac:dyDescent="0.3">
      <c r="A85" t="s">
        <v>2170</v>
      </c>
      <c r="B85">
        <v>329.84</v>
      </c>
      <c r="C85" t="s">
        <v>12</v>
      </c>
      <c r="D85" t="s">
        <v>2168</v>
      </c>
      <c r="E85">
        <v>4.0000000000000001E-3</v>
      </c>
      <c r="F85">
        <v>-8.0199999999999994E-2</v>
      </c>
      <c r="G85" t="s">
        <v>2171</v>
      </c>
    </row>
    <row r="86" spans="1:7" x14ac:dyDescent="0.3">
      <c r="B86">
        <v>310.87</v>
      </c>
      <c r="C86" t="s">
        <v>440</v>
      </c>
      <c r="D86" t="s">
        <v>2216</v>
      </c>
      <c r="E86">
        <v>5.7999999999999996E-3</v>
      </c>
      <c r="F86">
        <v>-6.0699999999999997E-2</v>
      </c>
      <c r="G86" t="s">
        <v>2218</v>
      </c>
    </row>
    <row r="87" spans="1:7" x14ac:dyDescent="0.3">
      <c r="B87">
        <v>58.48</v>
      </c>
      <c r="C87" t="s">
        <v>440</v>
      </c>
      <c r="D87" t="s">
        <v>3776</v>
      </c>
      <c r="E87">
        <v>5.7999999999999996E-3</v>
      </c>
      <c r="F87">
        <v>-3.3E-3</v>
      </c>
      <c r="G87" t="s">
        <v>3778</v>
      </c>
    </row>
    <row r="88" spans="1:7" x14ac:dyDescent="0.3">
      <c r="A88" t="s">
        <v>179</v>
      </c>
      <c r="B88" t="s">
        <v>662</v>
      </c>
      <c r="C88" t="s">
        <v>6113</v>
      </c>
      <c r="D88" t="s">
        <v>6205</v>
      </c>
      <c r="E88">
        <v>5.5999999999999999E-3</v>
      </c>
      <c r="F88">
        <v>-6.3E-2</v>
      </c>
      <c r="G88" t="s">
        <v>6206</v>
      </c>
    </row>
    <row r="89" spans="1:7" x14ac:dyDescent="0.3">
      <c r="B89">
        <v>21740</v>
      </c>
      <c r="C89" t="s">
        <v>16</v>
      </c>
      <c r="D89" t="s">
        <v>177</v>
      </c>
      <c r="E89">
        <v>8.0000000000000004E-4</v>
      </c>
      <c r="F89">
        <v>-2.6800000000000001E-2</v>
      </c>
      <c r="G89" t="s">
        <v>180</v>
      </c>
    </row>
    <row r="90" spans="1:7" x14ac:dyDescent="0.3">
      <c r="B90">
        <v>9550</v>
      </c>
      <c r="C90" t="s">
        <v>332</v>
      </c>
      <c r="D90" t="s">
        <v>333</v>
      </c>
      <c r="E90">
        <v>8.9999999999999998E-4</v>
      </c>
      <c r="F90">
        <v>-1.8599999999999998E-2</v>
      </c>
      <c r="G90" t="s">
        <v>335</v>
      </c>
    </row>
    <row r="91" spans="1:7" x14ac:dyDescent="0.3">
      <c r="B91">
        <v>7210</v>
      </c>
      <c r="C91" t="s">
        <v>12</v>
      </c>
      <c r="D91" t="s">
        <v>415</v>
      </c>
      <c r="E91">
        <v>5.1000000000000004E-3</v>
      </c>
      <c r="F91">
        <v>-3.0599999999999999E-2</v>
      </c>
      <c r="G91" t="s">
        <v>417</v>
      </c>
    </row>
    <row r="92" spans="1:7" x14ac:dyDescent="0.3">
      <c r="B92">
        <v>5360</v>
      </c>
      <c r="C92" t="s">
        <v>12</v>
      </c>
      <c r="D92" t="s">
        <v>538</v>
      </c>
      <c r="E92">
        <v>8.9999999999999998E-4</v>
      </c>
      <c r="F92">
        <v>-2.5000000000000001E-2</v>
      </c>
      <c r="G92" t="s">
        <v>540</v>
      </c>
    </row>
    <row r="93" spans="1:7" x14ac:dyDescent="0.3">
      <c r="B93">
        <v>2090</v>
      </c>
      <c r="C93" t="s">
        <v>440</v>
      </c>
      <c r="D93" t="s">
        <v>905</v>
      </c>
      <c r="E93">
        <v>5.7999999999999996E-3</v>
      </c>
      <c r="F93">
        <v>1.24E-2</v>
      </c>
      <c r="G93" t="s">
        <v>907</v>
      </c>
    </row>
    <row r="94" spans="1:7" x14ac:dyDescent="0.3">
      <c r="B94">
        <v>595.47</v>
      </c>
      <c r="C94" t="s">
        <v>618</v>
      </c>
      <c r="D94" t="s">
        <v>1671</v>
      </c>
      <c r="E94">
        <v>4.5999999999999999E-3</v>
      </c>
      <c r="F94">
        <v>5.7000000000000002E-3</v>
      </c>
      <c r="G94" t="s">
        <v>1673</v>
      </c>
    </row>
    <row r="95" spans="1:7" x14ac:dyDescent="0.3">
      <c r="B95">
        <v>572.03</v>
      </c>
      <c r="C95" t="s">
        <v>12</v>
      </c>
      <c r="D95" t="s">
        <v>1684</v>
      </c>
      <c r="E95">
        <v>5.3E-3</v>
      </c>
      <c r="F95">
        <v>-1.9E-3</v>
      </c>
      <c r="G95" t="s">
        <v>1686</v>
      </c>
    </row>
    <row r="96" spans="1:7" x14ac:dyDescent="0.3">
      <c r="B96">
        <v>545.26</v>
      </c>
      <c r="C96" t="s">
        <v>280</v>
      </c>
      <c r="D96" t="s">
        <v>1723</v>
      </c>
      <c r="E96">
        <v>8.0000000000000002E-3</v>
      </c>
      <c r="F96">
        <v>-4.4299999999999999E-2</v>
      </c>
      <c r="G96" t="s">
        <v>1725</v>
      </c>
    </row>
    <row r="97" spans="1:7" x14ac:dyDescent="0.3">
      <c r="B97">
        <v>395.1</v>
      </c>
      <c r="C97" t="s">
        <v>7</v>
      </c>
      <c r="D97" t="s">
        <v>2008</v>
      </c>
      <c r="E97">
        <v>8.9999999999999998E-4</v>
      </c>
      <c r="F97">
        <v>-3.04E-2</v>
      </c>
      <c r="G97" t="s">
        <v>2010</v>
      </c>
    </row>
    <row r="98" spans="1:7" x14ac:dyDescent="0.3">
      <c r="B98">
        <v>206.42</v>
      </c>
      <c r="C98" t="s">
        <v>1340</v>
      </c>
      <c r="D98" t="s">
        <v>2545</v>
      </c>
      <c r="E98">
        <v>8.9999999999999998E-4</v>
      </c>
      <c r="F98">
        <v>-1.9699999999999999E-2</v>
      </c>
      <c r="G98" t="s">
        <v>2547</v>
      </c>
    </row>
    <row r="99" spans="1:7" x14ac:dyDescent="0.3">
      <c r="B99">
        <v>76.28</v>
      </c>
      <c r="C99" t="s">
        <v>280</v>
      </c>
      <c r="D99" t="s">
        <v>3550</v>
      </c>
      <c r="E99">
        <v>8.0000000000000002E-3</v>
      </c>
      <c r="F99">
        <v>-4.3200000000000002E-2</v>
      </c>
      <c r="G99" t="s">
        <v>3552</v>
      </c>
    </row>
    <row r="100" spans="1:7" x14ac:dyDescent="0.3">
      <c r="B100">
        <v>71.400000000000006</v>
      </c>
      <c r="C100" t="s">
        <v>440</v>
      </c>
      <c r="D100" t="s">
        <v>3614</v>
      </c>
      <c r="E100">
        <v>5.7999999999999996E-3</v>
      </c>
      <c r="F100">
        <v>-1E-3</v>
      </c>
      <c r="G100" t="s">
        <v>3616</v>
      </c>
    </row>
    <row r="101" spans="1:7" x14ac:dyDescent="0.3">
      <c r="B101">
        <v>49.38</v>
      </c>
      <c r="C101" t="s">
        <v>941</v>
      </c>
      <c r="D101" t="s">
        <v>3915</v>
      </c>
      <c r="E101">
        <v>6.4999999999999997E-3</v>
      </c>
      <c r="F101">
        <v>-3.27E-2</v>
      </c>
      <c r="G101" t="s">
        <v>3917</v>
      </c>
    </row>
    <row r="102" spans="1:7" x14ac:dyDescent="0.3">
      <c r="B102">
        <v>22.4</v>
      </c>
      <c r="C102" t="s">
        <v>1340</v>
      </c>
      <c r="D102" t="s">
        <v>4692</v>
      </c>
      <c r="E102">
        <v>8.9999999999999998E-4</v>
      </c>
      <c r="F102">
        <v>4.1000000000000003E-3</v>
      </c>
      <c r="G102" t="s">
        <v>4694</v>
      </c>
    </row>
    <row r="103" spans="1:7" x14ac:dyDescent="0.3">
      <c r="B103">
        <v>21.95</v>
      </c>
      <c r="C103" t="s">
        <v>280</v>
      </c>
      <c r="D103" t="s">
        <v>4714</v>
      </c>
      <c r="E103">
        <v>8.3000000000000001E-3</v>
      </c>
      <c r="F103">
        <v>-3.1899999999999998E-2</v>
      </c>
      <c r="G103" t="s">
        <v>4716</v>
      </c>
    </row>
    <row r="104" spans="1:7" x14ac:dyDescent="0.3">
      <c r="B104">
        <v>19.93</v>
      </c>
      <c r="C104" t="s">
        <v>248</v>
      </c>
      <c r="D104" t="s">
        <v>4815</v>
      </c>
      <c r="E104">
        <v>2.5000000000000001E-3</v>
      </c>
      <c r="F104">
        <v>-2.81E-2</v>
      </c>
      <c r="G104" t="s">
        <v>4817</v>
      </c>
    </row>
    <row r="105" spans="1:7" x14ac:dyDescent="0.3">
      <c r="B105">
        <v>15.66</v>
      </c>
      <c r="C105" t="s">
        <v>618</v>
      </c>
      <c r="D105" t="s">
        <v>5020</v>
      </c>
      <c r="E105">
        <v>4.7000000000000002E-3</v>
      </c>
      <c r="F105">
        <v>-4.8999999999999998E-3</v>
      </c>
      <c r="G105" t="s">
        <v>5022</v>
      </c>
    </row>
    <row r="106" spans="1:7" x14ac:dyDescent="0.3">
      <c r="B106">
        <v>10.85</v>
      </c>
      <c r="C106" t="s">
        <v>280</v>
      </c>
      <c r="D106" t="s">
        <v>5227</v>
      </c>
      <c r="E106">
        <v>7.0000000000000001E-3</v>
      </c>
      <c r="F106">
        <v>-0.16750000000000001</v>
      </c>
      <c r="G106" t="s">
        <v>5229</v>
      </c>
    </row>
    <row r="107" spans="1:7" x14ac:dyDescent="0.3">
      <c r="B107">
        <v>2.64</v>
      </c>
      <c r="C107" t="s">
        <v>618</v>
      </c>
      <c r="D107" t="s">
        <v>5905</v>
      </c>
      <c r="E107">
        <v>8.9999999999999998E-4</v>
      </c>
      <c r="F107">
        <v>-2.8500000000000001E-2</v>
      </c>
      <c r="G107" t="s">
        <v>5907</v>
      </c>
    </row>
    <row r="108" spans="1:7" x14ac:dyDescent="0.3">
      <c r="A108" t="s">
        <v>953</v>
      </c>
      <c r="B108">
        <v>1850</v>
      </c>
      <c r="C108" t="s">
        <v>12</v>
      </c>
      <c r="D108" t="s">
        <v>951</v>
      </c>
      <c r="E108">
        <v>4.7999999999999996E-3</v>
      </c>
      <c r="F108">
        <v>8.8999999999999999E-3</v>
      </c>
      <c r="G108" t="s">
        <v>954</v>
      </c>
    </row>
    <row r="109" spans="1:7" x14ac:dyDescent="0.3">
      <c r="A109" t="s">
        <v>1240</v>
      </c>
      <c r="B109">
        <v>1060</v>
      </c>
      <c r="C109" t="s">
        <v>460</v>
      </c>
      <c r="D109" t="s">
        <v>1239</v>
      </c>
      <c r="E109">
        <v>2.8999999999999998E-3</v>
      </c>
      <c r="F109">
        <v>1.3299999999999999E-2</v>
      </c>
      <c r="G109" t="s">
        <v>1241</v>
      </c>
    </row>
    <row r="110" spans="1:7" x14ac:dyDescent="0.3">
      <c r="B110">
        <v>543.37</v>
      </c>
      <c r="C110" t="s">
        <v>280</v>
      </c>
      <c r="D110" t="s">
        <v>1730</v>
      </c>
      <c r="E110">
        <v>5.8999999999999999E-3</v>
      </c>
      <c r="F110">
        <v>1.8700000000000001E-2</v>
      </c>
      <c r="G110" t="s">
        <v>1732</v>
      </c>
    </row>
    <row r="111" spans="1:7" x14ac:dyDescent="0.3">
      <c r="B111">
        <v>8.92</v>
      </c>
      <c r="C111" t="s">
        <v>2087</v>
      </c>
      <c r="D111" t="s">
        <v>5343</v>
      </c>
      <c r="E111">
        <v>4.8999999999999998E-3</v>
      </c>
      <c r="F111">
        <v>1.7899999999999999E-2</v>
      </c>
      <c r="G111" t="s">
        <v>5345</v>
      </c>
    </row>
    <row r="112" spans="1:7" x14ac:dyDescent="0.3">
      <c r="A112" t="s">
        <v>2767</v>
      </c>
      <c r="B112">
        <v>160.9</v>
      </c>
      <c r="C112" t="s">
        <v>941</v>
      </c>
      <c r="D112" t="s">
        <v>2765</v>
      </c>
      <c r="E112">
        <v>6.0000000000000001E-3</v>
      </c>
      <c r="F112">
        <v>9.3799999999999994E-2</v>
      </c>
      <c r="G112" t="s">
        <v>2768</v>
      </c>
    </row>
    <row r="113" spans="1:7" x14ac:dyDescent="0.3">
      <c r="A113" t="s">
        <v>919</v>
      </c>
      <c r="B113">
        <v>1970</v>
      </c>
      <c r="C113" t="s">
        <v>12</v>
      </c>
      <c r="D113" t="s">
        <v>917</v>
      </c>
      <c r="E113">
        <v>2.3999999999999998E-3</v>
      </c>
      <c r="F113">
        <v>-4.1300000000000003E-2</v>
      </c>
      <c r="G113" t="s">
        <v>920</v>
      </c>
    </row>
    <row r="114" spans="1:7" x14ac:dyDescent="0.3">
      <c r="B114">
        <v>574.36</v>
      </c>
      <c r="C114" t="s">
        <v>460</v>
      </c>
      <c r="D114" t="s">
        <v>1678</v>
      </c>
      <c r="E114">
        <v>2.8999999999999998E-3</v>
      </c>
      <c r="F114">
        <v>3.7000000000000002E-3</v>
      </c>
      <c r="G114" t="s">
        <v>1680</v>
      </c>
    </row>
    <row r="115" spans="1:7" x14ac:dyDescent="0.3">
      <c r="B115">
        <v>209.08</v>
      </c>
      <c r="C115" t="s">
        <v>1864</v>
      </c>
      <c r="D115" t="s">
        <v>2517</v>
      </c>
      <c r="E115">
        <v>1.5E-3</v>
      </c>
      <c r="F115">
        <v>-3.7999999999999999E-2</v>
      </c>
      <c r="G115" t="s">
        <v>2519</v>
      </c>
    </row>
    <row r="116" spans="1:7" x14ac:dyDescent="0.3">
      <c r="B116">
        <v>185.01</v>
      </c>
      <c r="C116" t="s">
        <v>2645</v>
      </c>
      <c r="D116" t="s">
        <v>2646</v>
      </c>
      <c r="E116">
        <v>7.4999999999999997E-3</v>
      </c>
      <c r="F116">
        <v>-7.9100000000000004E-2</v>
      </c>
      <c r="G116" t="s">
        <v>2648</v>
      </c>
    </row>
    <row r="117" spans="1:7" x14ac:dyDescent="0.3">
      <c r="B117">
        <v>178.16</v>
      </c>
      <c r="C117" t="s">
        <v>444</v>
      </c>
      <c r="D117" t="s">
        <v>2665</v>
      </c>
      <c r="E117">
        <v>4.1999999999999997E-3</v>
      </c>
      <c r="F117">
        <v>-2.8400000000000002E-2</v>
      </c>
      <c r="G117" t="s">
        <v>2667</v>
      </c>
    </row>
    <row r="118" spans="1:7" x14ac:dyDescent="0.3">
      <c r="B118">
        <v>75.28</v>
      </c>
      <c r="C118" t="s">
        <v>280</v>
      </c>
      <c r="D118" t="s">
        <v>3563</v>
      </c>
      <c r="E118">
        <v>8.0000000000000002E-3</v>
      </c>
      <c r="F118">
        <v>-3.8999999999999998E-3</v>
      </c>
      <c r="G118" t="s">
        <v>3565</v>
      </c>
    </row>
    <row r="119" spans="1:7" x14ac:dyDescent="0.3">
      <c r="B119">
        <v>67.150000000000006</v>
      </c>
      <c r="C119" t="s">
        <v>941</v>
      </c>
      <c r="D119" t="s">
        <v>3671</v>
      </c>
      <c r="E119">
        <v>7.7000000000000002E-3</v>
      </c>
      <c r="F119">
        <v>-2.5600000000000001E-2</v>
      </c>
      <c r="G119" t="s">
        <v>3673</v>
      </c>
    </row>
    <row r="120" spans="1:7" x14ac:dyDescent="0.3">
      <c r="B120">
        <v>52.29</v>
      </c>
      <c r="C120" t="s">
        <v>7</v>
      </c>
      <c r="D120" t="s">
        <v>3871</v>
      </c>
      <c r="E120">
        <v>3.0000000000000001E-3</v>
      </c>
      <c r="F120">
        <v>-1.9599999999999999E-2</v>
      </c>
      <c r="G120" t="s">
        <v>3873</v>
      </c>
    </row>
    <row r="121" spans="1:7" x14ac:dyDescent="0.3">
      <c r="B121">
        <v>42.71</v>
      </c>
      <c r="C121" t="s">
        <v>2475</v>
      </c>
      <c r="D121" t="s">
        <v>4050</v>
      </c>
      <c r="E121">
        <v>1.7500000000000002E-2</v>
      </c>
      <c r="F121">
        <v>-9.7100000000000006E-2</v>
      </c>
      <c r="G121" t="s">
        <v>4052</v>
      </c>
    </row>
    <row r="122" spans="1:7" x14ac:dyDescent="0.3">
      <c r="B122">
        <v>33.83</v>
      </c>
      <c r="C122" t="s">
        <v>3151</v>
      </c>
      <c r="D122" t="s">
        <v>4283</v>
      </c>
      <c r="E122">
        <v>6.7000000000000002E-3</v>
      </c>
      <c r="F122">
        <v>-5.6399999999999999E-2</v>
      </c>
      <c r="G122" t="s">
        <v>4285</v>
      </c>
    </row>
    <row r="123" spans="1:7" x14ac:dyDescent="0.3">
      <c r="B123">
        <v>32.35</v>
      </c>
      <c r="C123" t="s">
        <v>3896</v>
      </c>
      <c r="D123" t="s">
        <v>4326</v>
      </c>
      <c r="E123">
        <v>8.0000000000000002E-3</v>
      </c>
      <c r="F123" t="s">
        <v>662</v>
      </c>
      <c r="G123" t="s">
        <v>4328</v>
      </c>
    </row>
    <row r="124" spans="1:7" x14ac:dyDescent="0.3">
      <c r="B124">
        <v>3.44</v>
      </c>
      <c r="C124" t="s">
        <v>941</v>
      </c>
      <c r="D124" t="s">
        <v>5812</v>
      </c>
      <c r="E124">
        <v>7.3000000000000001E-3</v>
      </c>
      <c r="F124">
        <v>6.7000000000000002E-3</v>
      </c>
      <c r="G124" t="s">
        <v>5814</v>
      </c>
    </row>
    <row r="125" spans="1:7" x14ac:dyDescent="0.3">
      <c r="A125" t="s">
        <v>6119</v>
      </c>
      <c r="B125" t="s">
        <v>662</v>
      </c>
      <c r="C125" t="s">
        <v>6113</v>
      </c>
      <c r="D125" t="s">
        <v>6118</v>
      </c>
      <c r="E125">
        <v>5.7999999999999996E-3</v>
      </c>
      <c r="F125" t="s">
        <v>662</v>
      </c>
      <c r="G125" t="s">
        <v>6120</v>
      </c>
    </row>
    <row r="126" spans="1:7" x14ac:dyDescent="0.3">
      <c r="A126" t="s">
        <v>3512</v>
      </c>
      <c r="B126">
        <v>78.010000000000005</v>
      </c>
      <c r="C126" t="s">
        <v>486</v>
      </c>
      <c r="D126" t="s">
        <v>3510</v>
      </c>
      <c r="E126">
        <v>5.1000000000000004E-3</v>
      </c>
      <c r="F126">
        <v>-0.45350000000000001</v>
      </c>
      <c r="G126" t="s">
        <v>3513</v>
      </c>
    </row>
    <row r="127" spans="1:7" x14ac:dyDescent="0.3">
      <c r="A127" t="s">
        <v>3774</v>
      </c>
      <c r="B127">
        <v>58.57</v>
      </c>
      <c r="C127" t="s">
        <v>486</v>
      </c>
      <c r="D127" t="s">
        <v>3772</v>
      </c>
      <c r="E127">
        <v>5.0000000000000001E-3</v>
      </c>
      <c r="F127">
        <v>-8.6599999999999996E-2</v>
      </c>
      <c r="G127" t="s">
        <v>3775</v>
      </c>
    </row>
    <row r="128" spans="1:7" x14ac:dyDescent="0.3">
      <c r="B128">
        <v>36.54</v>
      </c>
      <c r="C128" t="s">
        <v>486</v>
      </c>
      <c r="D128" t="s">
        <v>4215</v>
      </c>
      <c r="E128">
        <v>5.0000000000000001E-3</v>
      </c>
      <c r="F128">
        <v>-9.9000000000000005E-2</v>
      </c>
      <c r="G128" t="s">
        <v>4217</v>
      </c>
    </row>
    <row r="129" spans="1:7" x14ac:dyDescent="0.3">
      <c r="A129" t="s">
        <v>4296</v>
      </c>
      <c r="B129">
        <v>33.76</v>
      </c>
      <c r="C129" t="s">
        <v>440</v>
      </c>
      <c r="D129" t="s">
        <v>4294</v>
      </c>
      <c r="E129">
        <v>4.4999999999999997E-3</v>
      </c>
      <c r="F129">
        <v>-0.26050000000000001</v>
      </c>
      <c r="G129" t="s">
        <v>4297</v>
      </c>
    </row>
    <row r="130" spans="1:7" x14ac:dyDescent="0.3">
      <c r="A130" t="s">
        <v>5235</v>
      </c>
      <c r="B130">
        <v>10.77</v>
      </c>
      <c r="C130" t="s">
        <v>2475</v>
      </c>
      <c r="D130" t="s">
        <v>5233</v>
      </c>
      <c r="E130">
        <v>8.9999999999999993E-3</v>
      </c>
      <c r="F130">
        <v>-0.3947</v>
      </c>
      <c r="G130" t="s">
        <v>5236</v>
      </c>
    </row>
    <row r="131" spans="1:7" x14ac:dyDescent="0.3">
      <c r="A131" t="s">
        <v>5267</v>
      </c>
      <c r="B131">
        <v>10.23</v>
      </c>
      <c r="C131" t="s">
        <v>1871</v>
      </c>
      <c r="D131" t="s">
        <v>5265</v>
      </c>
      <c r="E131">
        <v>4.0000000000000001E-3</v>
      </c>
      <c r="F131">
        <v>-0.2702</v>
      </c>
      <c r="G131" t="s">
        <v>5268</v>
      </c>
    </row>
    <row r="132" spans="1:7" x14ac:dyDescent="0.3">
      <c r="A132" t="s">
        <v>2061</v>
      </c>
      <c r="B132">
        <v>378.09</v>
      </c>
      <c r="C132" t="s">
        <v>618</v>
      </c>
      <c r="D132" t="s">
        <v>2059</v>
      </c>
      <c r="E132">
        <v>8.9999999999999998E-4</v>
      </c>
      <c r="F132">
        <v>-4.4200000000000003E-2</v>
      </c>
      <c r="G132" t="s">
        <v>2062</v>
      </c>
    </row>
    <row r="133" spans="1:7" x14ac:dyDescent="0.3">
      <c r="B133">
        <v>185.11</v>
      </c>
      <c r="C133" t="s">
        <v>12</v>
      </c>
      <c r="D133" t="s">
        <v>2636</v>
      </c>
      <c r="E133">
        <v>2.5000000000000001E-3</v>
      </c>
      <c r="F133">
        <v>-3.7699999999999997E-2</v>
      </c>
      <c r="G133" t="s">
        <v>2638</v>
      </c>
    </row>
    <row r="134" spans="1:7" x14ac:dyDescent="0.3">
      <c r="A134" t="s">
        <v>1368</v>
      </c>
      <c r="B134">
        <v>896.12</v>
      </c>
      <c r="C134" t="s">
        <v>618</v>
      </c>
      <c r="D134" t="s">
        <v>1366</v>
      </c>
      <c r="E134">
        <v>2E-3</v>
      </c>
      <c r="F134">
        <v>4.6100000000000002E-2</v>
      </c>
      <c r="G134" t="s">
        <v>1369</v>
      </c>
    </row>
    <row r="135" spans="1:7" x14ac:dyDescent="0.3">
      <c r="B135">
        <v>181.86</v>
      </c>
      <c r="C135" t="s">
        <v>440</v>
      </c>
      <c r="D135" t="s">
        <v>2655</v>
      </c>
      <c r="E135">
        <v>5.7999999999999996E-3</v>
      </c>
      <c r="F135">
        <v>3.3799999999999997E-2</v>
      </c>
      <c r="G135" t="s">
        <v>2657</v>
      </c>
    </row>
    <row r="136" spans="1:7" x14ac:dyDescent="0.3">
      <c r="A136" t="s">
        <v>3041</v>
      </c>
      <c r="B136">
        <v>125.11</v>
      </c>
      <c r="C136" t="s">
        <v>1348</v>
      </c>
      <c r="D136" t="s">
        <v>3039</v>
      </c>
      <c r="E136">
        <v>4.1999999999999997E-3</v>
      </c>
      <c r="F136">
        <v>-4.4299999999999999E-2</v>
      </c>
      <c r="G136" t="s">
        <v>3042</v>
      </c>
    </row>
    <row r="137" spans="1:7" x14ac:dyDescent="0.3">
      <c r="A137" t="s">
        <v>238</v>
      </c>
      <c r="B137">
        <v>14450</v>
      </c>
      <c r="C137" t="s">
        <v>12</v>
      </c>
      <c r="D137" t="s">
        <v>236</v>
      </c>
      <c r="E137">
        <v>4.0000000000000001E-3</v>
      </c>
      <c r="F137">
        <v>-7.1800000000000003E-2</v>
      </c>
      <c r="G137" t="s">
        <v>239</v>
      </c>
    </row>
    <row r="138" spans="1:7" x14ac:dyDescent="0.3">
      <c r="B138">
        <v>108.34</v>
      </c>
      <c r="C138" t="s">
        <v>12</v>
      </c>
      <c r="D138" t="s">
        <v>3186</v>
      </c>
      <c r="E138">
        <v>4.3E-3</v>
      </c>
      <c r="F138">
        <v>-5.2200000000000003E-2</v>
      </c>
      <c r="G138" t="s">
        <v>3188</v>
      </c>
    </row>
    <row r="139" spans="1:7" x14ac:dyDescent="0.3">
      <c r="B139">
        <v>49.27</v>
      </c>
      <c r="C139" t="s">
        <v>440</v>
      </c>
      <c r="D139" t="s">
        <v>3921</v>
      </c>
      <c r="E139">
        <v>3.8E-3</v>
      </c>
      <c r="F139">
        <v>-3.5299999999999998E-2</v>
      </c>
      <c r="G139" t="s">
        <v>3923</v>
      </c>
    </row>
    <row r="140" spans="1:7" x14ac:dyDescent="0.3">
      <c r="A140" t="s">
        <v>34</v>
      </c>
      <c r="B140" t="s">
        <v>662</v>
      </c>
      <c r="C140" t="s">
        <v>6113</v>
      </c>
      <c r="D140" t="s">
        <v>6217</v>
      </c>
      <c r="E140">
        <v>5.1000000000000004E-3</v>
      </c>
      <c r="F140">
        <v>-7.9100000000000004E-2</v>
      </c>
      <c r="G140" t="s">
        <v>6218</v>
      </c>
    </row>
    <row r="141" spans="1:7" x14ac:dyDescent="0.3">
      <c r="B141">
        <v>101200</v>
      </c>
      <c r="C141" t="s">
        <v>12</v>
      </c>
      <c r="D141" t="s">
        <v>32</v>
      </c>
      <c r="E141">
        <v>6.9999999999999999E-4</v>
      </c>
      <c r="F141">
        <v>-3.3300000000000003E-2</v>
      </c>
      <c r="G141" t="s">
        <v>35</v>
      </c>
    </row>
    <row r="142" spans="1:7" x14ac:dyDescent="0.3">
      <c r="B142">
        <v>55360</v>
      </c>
      <c r="C142" t="s">
        <v>12</v>
      </c>
      <c r="D142" t="s">
        <v>71</v>
      </c>
      <c r="E142">
        <v>3.2000000000000002E-3</v>
      </c>
      <c r="F142">
        <v>-2.7199999999999998E-2</v>
      </c>
      <c r="G142" t="s">
        <v>73</v>
      </c>
    </row>
    <row r="143" spans="1:7" x14ac:dyDescent="0.3">
      <c r="B143">
        <v>7810</v>
      </c>
      <c r="C143" t="s">
        <v>12</v>
      </c>
      <c r="D143" t="s">
        <v>384</v>
      </c>
      <c r="E143">
        <v>2E-3</v>
      </c>
      <c r="F143">
        <v>-2.81E-2</v>
      </c>
      <c r="G143" t="s">
        <v>386</v>
      </c>
    </row>
    <row r="144" spans="1:7" x14ac:dyDescent="0.3">
      <c r="B144">
        <v>7530</v>
      </c>
      <c r="C144" t="s">
        <v>12</v>
      </c>
      <c r="D144" t="s">
        <v>393</v>
      </c>
      <c r="E144">
        <v>2E-3</v>
      </c>
      <c r="F144">
        <v>-2.5899999999999999E-2</v>
      </c>
      <c r="G144" t="s">
        <v>395</v>
      </c>
    </row>
    <row r="145" spans="2:7" x14ac:dyDescent="0.3">
      <c r="B145">
        <v>4340</v>
      </c>
      <c r="C145" t="s">
        <v>618</v>
      </c>
      <c r="D145" t="s">
        <v>619</v>
      </c>
      <c r="E145">
        <v>3.5999999999999999E-3</v>
      </c>
      <c r="F145">
        <v>-9.1000000000000004E-3</v>
      </c>
      <c r="G145" t="s">
        <v>621</v>
      </c>
    </row>
    <row r="146" spans="2:7" x14ac:dyDescent="0.3">
      <c r="B146">
        <v>3470</v>
      </c>
      <c r="C146" t="s">
        <v>332</v>
      </c>
      <c r="D146" t="s">
        <v>707</v>
      </c>
      <c r="E146">
        <v>6.9999999999999999E-4</v>
      </c>
      <c r="F146">
        <v>-2.4299999999999999E-2</v>
      </c>
      <c r="G146" t="s">
        <v>709</v>
      </c>
    </row>
    <row r="147" spans="2:7" x14ac:dyDescent="0.3">
      <c r="B147">
        <v>3290</v>
      </c>
      <c r="C147" t="s">
        <v>12</v>
      </c>
      <c r="D147" t="s">
        <v>728</v>
      </c>
      <c r="E147">
        <v>3.5000000000000001E-3</v>
      </c>
      <c r="F147">
        <v>-9.2999999999999992E-3</v>
      </c>
      <c r="G147" t="s">
        <v>730</v>
      </c>
    </row>
    <row r="148" spans="2:7" x14ac:dyDescent="0.3">
      <c r="B148">
        <v>1110</v>
      </c>
      <c r="C148" t="s">
        <v>440</v>
      </c>
      <c r="D148" t="s">
        <v>1221</v>
      </c>
      <c r="E148">
        <v>5.7999999999999996E-3</v>
      </c>
      <c r="F148">
        <v>-1.3899999999999999E-2</v>
      </c>
      <c r="G148" t="s">
        <v>1223</v>
      </c>
    </row>
    <row r="149" spans="2:7" x14ac:dyDescent="0.3">
      <c r="B149">
        <v>894.93</v>
      </c>
      <c r="C149" t="s">
        <v>7</v>
      </c>
      <c r="D149" t="s">
        <v>1373</v>
      </c>
      <c r="E149">
        <v>3.0000000000000001E-3</v>
      </c>
      <c r="F149">
        <v>-2.3599999999999999E-2</v>
      </c>
      <c r="G149" t="s">
        <v>1375</v>
      </c>
    </row>
    <row r="150" spans="2:7" x14ac:dyDescent="0.3">
      <c r="B150">
        <v>822.61</v>
      </c>
      <c r="C150" t="s">
        <v>332</v>
      </c>
      <c r="D150" t="s">
        <v>1439</v>
      </c>
      <c r="E150">
        <v>3.7000000000000002E-3</v>
      </c>
      <c r="F150">
        <v>-2.7799999999999998E-2</v>
      </c>
      <c r="G150" t="s">
        <v>1441</v>
      </c>
    </row>
    <row r="151" spans="2:7" x14ac:dyDescent="0.3">
      <c r="B151">
        <v>622.29999999999995</v>
      </c>
      <c r="C151" t="s">
        <v>440</v>
      </c>
      <c r="D151" t="s">
        <v>1636</v>
      </c>
      <c r="E151">
        <v>4.7999999999999996E-3</v>
      </c>
      <c r="F151">
        <v>1.17E-2</v>
      </c>
      <c r="G151" t="s">
        <v>1638</v>
      </c>
    </row>
    <row r="152" spans="2:7" x14ac:dyDescent="0.3">
      <c r="B152">
        <v>534.41999999999996</v>
      </c>
      <c r="C152" t="s">
        <v>839</v>
      </c>
      <c r="D152" t="s">
        <v>1743</v>
      </c>
      <c r="E152">
        <v>3.8999999999999998E-3</v>
      </c>
      <c r="F152">
        <v>-2.3E-2</v>
      </c>
      <c r="G152" t="s">
        <v>1745</v>
      </c>
    </row>
    <row r="153" spans="2:7" x14ac:dyDescent="0.3">
      <c r="B153">
        <v>386.26</v>
      </c>
      <c r="C153" t="s">
        <v>248</v>
      </c>
      <c r="D153" t="s">
        <v>2025</v>
      </c>
      <c r="E153">
        <v>2E-3</v>
      </c>
      <c r="F153">
        <v>-2.7699999999999999E-2</v>
      </c>
      <c r="G153" t="s">
        <v>2027</v>
      </c>
    </row>
    <row r="154" spans="2:7" x14ac:dyDescent="0.3">
      <c r="B154">
        <v>362.16</v>
      </c>
      <c r="C154" t="s">
        <v>440</v>
      </c>
      <c r="D154" t="s">
        <v>2100</v>
      </c>
      <c r="E154">
        <v>4.1999999999999997E-3</v>
      </c>
      <c r="F154">
        <v>-3.3099999999999997E-2</v>
      </c>
      <c r="G154" t="s">
        <v>2102</v>
      </c>
    </row>
    <row r="155" spans="2:7" x14ac:dyDescent="0.3">
      <c r="B155">
        <v>316.33999999999997</v>
      </c>
      <c r="C155" t="s">
        <v>1864</v>
      </c>
      <c r="D155" t="s">
        <v>2207</v>
      </c>
      <c r="E155">
        <v>2E-3</v>
      </c>
      <c r="F155">
        <v>-1.52E-2</v>
      </c>
      <c r="G155" t="s">
        <v>2209</v>
      </c>
    </row>
    <row r="156" spans="2:7" x14ac:dyDescent="0.3">
      <c r="B156">
        <v>312.51</v>
      </c>
      <c r="C156" t="s">
        <v>12</v>
      </c>
      <c r="D156" t="s">
        <v>2213</v>
      </c>
      <c r="E156">
        <v>1.1999999999999999E-3</v>
      </c>
      <c r="F156">
        <v>-4.7699999999999999E-2</v>
      </c>
      <c r="G156" t="s">
        <v>2215</v>
      </c>
    </row>
    <row r="157" spans="2:7" x14ac:dyDescent="0.3">
      <c r="B157">
        <v>268.63</v>
      </c>
      <c r="C157" t="s">
        <v>7</v>
      </c>
      <c r="D157" t="s">
        <v>2305</v>
      </c>
      <c r="E157">
        <v>2E-3</v>
      </c>
      <c r="F157">
        <v>-3.2199999999999999E-2</v>
      </c>
      <c r="G157" t="s">
        <v>2307</v>
      </c>
    </row>
    <row r="158" spans="2:7" x14ac:dyDescent="0.3">
      <c r="B158">
        <v>170.06</v>
      </c>
      <c r="C158" t="s">
        <v>780</v>
      </c>
      <c r="D158" t="s">
        <v>2717</v>
      </c>
      <c r="E158">
        <v>3.0000000000000001E-3</v>
      </c>
      <c r="F158">
        <v>-2.0199999999999999E-2</v>
      </c>
      <c r="G158" t="s">
        <v>2719</v>
      </c>
    </row>
    <row r="159" spans="2:7" x14ac:dyDescent="0.3">
      <c r="B159">
        <v>168.67</v>
      </c>
      <c r="C159" t="s">
        <v>440</v>
      </c>
      <c r="D159" t="s">
        <v>2723</v>
      </c>
      <c r="E159">
        <v>4.0000000000000001E-3</v>
      </c>
      <c r="F159">
        <v>1.78E-2</v>
      </c>
      <c r="G159" t="s">
        <v>2725</v>
      </c>
    </row>
    <row r="160" spans="2:7" x14ac:dyDescent="0.3">
      <c r="B160">
        <v>105.2</v>
      </c>
      <c r="C160" t="s">
        <v>24</v>
      </c>
      <c r="D160" t="s">
        <v>3212</v>
      </c>
      <c r="E160">
        <v>6.9999999999999999E-4</v>
      </c>
      <c r="F160">
        <v>-3.0099999999999998E-2</v>
      </c>
      <c r="G160" t="s">
        <v>3214</v>
      </c>
    </row>
    <row r="161" spans="1:7" x14ac:dyDescent="0.3">
      <c r="B161">
        <v>70.56</v>
      </c>
      <c r="C161" t="s">
        <v>1799</v>
      </c>
      <c r="D161" t="s">
        <v>3627</v>
      </c>
      <c r="E161">
        <v>8.5000000000000006E-3</v>
      </c>
      <c r="F161">
        <v>-7.6E-3</v>
      </c>
      <c r="G161" t="s">
        <v>3629</v>
      </c>
    </row>
    <row r="162" spans="1:7" x14ac:dyDescent="0.3">
      <c r="B162">
        <v>69.12</v>
      </c>
      <c r="C162" t="s">
        <v>2475</v>
      </c>
      <c r="D162" t="s">
        <v>3638</v>
      </c>
      <c r="E162">
        <v>5.8999999999999999E-3</v>
      </c>
      <c r="F162">
        <v>-0.13250000000000001</v>
      </c>
      <c r="G162" t="s">
        <v>3640</v>
      </c>
    </row>
    <row r="163" spans="1:7" x14ac:dyDescent="0.3">
      <c r="B163">
        <v>53.24</v>
      </c>
      <c r="C163" t="s">
        <v>1799</v>
      </c>
      <c r="D163" t="s">
        <v>3844</v>
      </c>
      <c r="E163">
        <v>8.6E-3</v>
      </c>
      <c r="F163">
        <v>-1.4E-2</v>
      </c>
      <c r="G163" t="s">
        <v>3846</v>
      </c>
    </row>
    <row r="164" spans="1:7" x14ac:dyDescent="0.3">
      <c r="B164">
        <v>36.1</v>
      </c>
      <c r="C164" t="s">
        <v>440</v>
      </c>
      <c r="D164" t="s">
        <v>4234</v>
      </c>
      <c r="E164">
        <v>3.8E-3</v>
      </c>
      <c r="F164">
        <v>-1.21E-2</v>
      </c>
      <c r="G164" t="s">
        <v>4236</v>
      </c>
    </row>
    <row r="165" spans="1:7" x14ac:dyDescent="0.3">
      <c r="B165">
        <v>28.98</v>
      </c>
      <c r="C165" t="s">
        <v>618</v>
      </c>
      <c r="D165" t="s">
        <v>4426</v>
      </c>
      <c r="E165">
        <v>1.4E-3</v>
      </c>
      <c r="F165">
        <v>-2.5000000000000001E-2</v>
      </c>
      <c r="G165" t="s">
        <v>4428</v>
      </c>
    </row>
    <row r="166" spans="1:7" x14ac:dyDescent="0.3">
      <c r="B166">
        <v>19.579999999999998</v>
      </c>
      <c r="C166" t="s">
        <v>1799</v>
      </c>
      <c r="D166" t="s">
        <v>4821</v>
      </c>
      <c r="E166">
        <v>8.5000000000000006E-3</v>
      </c>
      <c r="F166">
        <v>-1.9199999999999998E-2</v>
      </c>
      <c r="G166" t="s">
        <v>4823</v>
      </c>
    </row>
    <row r="167" spans="1:7" x14ac:dyDescent="0.3">
      <c r="B167">
        <v>16.899999999999999</v>
      </c>
      <c r="C167" t="s">
        <v>1340</v>
      </c>
      <c r="D167" t="s">
        <v>4958</v>
      </c>
      <c r="E167">
        <v>4.0000000000000001E-3</v>
      </c>
      <c r="F167">
        <v>1.38E-2</v>
      </c>
      <c r="G167" t="s">
        <v>4960</v>
      </c>
    </row>
    <row r="168" spans="1:7" x14ac:dyDescent="0.3">
      <c r="B168">
        <v>14.31</v>
      </c>
      <c r="C168" t="s">
        <v>1799</v>
      </c>
      <c r="D168" t="s">
        <v>5066</v>
      </c>
      <c r="E168">
        <v>8.5000000000000006E-3</v>
      </c>
      <c r="F168">
        <v>-1.61E-2</v>
      </c>
      <c r="G168" t="s">
        <v>5068</v>
      </c>
    </row>
    <row r="169" spans="1:7" x14ac:dyDescent="0.3">
      <c r="B169">
        <v>13.86</v>
      </c>
      <c r="C169" t="s">
        <v>280</v>
      </c>
      <c r="D169" t="s">
        <v>5082</v>
      </c>
      <c r="E169">
        <v>8.9999999999999993E-3</v>
      </c>
      <c r="F169">
        <v>-2.4899999999999999E-2</v>
      </c>
      <c r="G169" t="s">
        <v>5084</v>
      </c>
    </row>
    <row r="170" spans="1:7" x14ac:dyDescent="0.3">
      <c r="B170">
        <v>13.21</v>
      </c>
      <c r="C170" t="s">
        <v>280</v>
      </c>
      <c r="D170" t="s">
        <v>5110</v>
      </c>
      <c r="E170">
        <v>8.9999999999999993E-3</v>
      </c>
      <c r="F170">
        <v>-2.93E-2</v>
      </c>
      <c r="G170" t="s">
        <v>5112</v>
      </c>
    </row>
    <row r="171" spans="1:7" x14ac:dyDescent="0.3">
      <c r="B171">
        <v>10.45</v>
      </c>
      <c r="C171" t="s">
        <v>280</v>
      </c>
      <c r="D171" t="s">
        <v>5254</v>
      </c>
      <c r="E171">
        <v>8.9999999999999993E-3</v>
      </c>
      <c r="F171">
        <v>-4.1799999999999997E-2</v>
      </c>
      <c r="G171" t="s">
        <v>5256</v>
      </c>
    </row>
    <row r="172" spans="1:7" x14ac:dyDescent="0.3">
      <c r="B172">
        <v>9.84</v>
      </c>
      <c r="C172" t="s">
        <v>1904</v>
      </c>
      <c r="D172" t="s">
        <v>5290</v>
      </c>
      <c r="E172">
        <v>7.0000000000000001E-3</v>
      </c>
      <c r="F172" t="s">
        <v>662</v>
      </c>
      <c r="G172" t="s">
        <v>5292</v>
      </c>
    </row>
    <row r="173" spans="1:7" x14ac:dyDescent="0.3">
      <c r="B173">
        <v>7.8</v>
      </c>
      <c r="C173" t="s">
        <v>280</v>
      </c>
      <c r="D173" t="s">
        <v>5416</v>
      </c>
      <c r="E173">
        <v>8.9999999999999993E-3</v>
      </c>
      <c r="F173">
        <v>-2.3800000000000002E-2</v>
      </c>
      <c r="G173" t="s">
        <v>5418</v>
      </c>
    </row>
    <row r="174" spans="1:7" x14ac:dyDescent="0.3">
      <c r="B174">
        <v>7.59</v>
      </c>
      <c r="C174" t="s">
        <v>440</v>
      </c>
      <c r="D174" t="s">
        <v>5444</v>
      </c>
      <c r="E174">
        <v>3.0000000000000001E-3</v>
      </c>
      <c r="F174">
        <v>-1.7299999999999999E-2</v>
      </c>
      <c r="G174" t="s">
        <v>5446</v>
      </c>
    </row>
    <row r="175" spans="1:7" x14ac:dyDescent="0.3">
      <c r="B175">
        <v>3</v>
      </c>
      <c r="C175" t="s">
        <v>1842</v>
      </c>
      <c r="D175" t="s">
        <v>5861</v>
      </c>
      <c r="E175">
        <v>3.2000000000000002E-3</v>
      </c>
      <c r="F175" t="s">
        <v>662</v>
      </c>
      <c r="G175" t="s">
        <v>5863</v>
      </c>
    </row>
    <row r="176" spans="1:7" x14ac:dyDescent="0.3">
      <c r="A176" t="s">
        <v>203</v>
      </c>
      <c r="B176">
        <v>16480</v>
      </c>
      <c r="C176" t="s">
        <v>12</v>
      </c>
      <c r="D176" t="s">
        <v>201</v>
      </c>
      <c r="E176">
        <v>3.8999999999999998E-3</v>
      </c>
      <c r="F176">
        <v>1.43E-2</v>
      </c>
      <c r="G176" t="s">
        <v>204</v>
      </c>
    </row>
    <row r="177" spans="1:7" x14ac:dyDescent="0.3">
      <c r="A177" t="s">
        <v>286</v>
      </c>
      <c r="B177">
        <v>12640</v>
      </c>
      <c r="C177" t="s">
        <v>12</v>
      </c>
      <c r="D177" t="s">
        <v>284</v>
      </c>
      <c r="E177">
        <v>4.0000000000000001E-3</v>
      </c>
      <c r="F177">
        <v>-6.9599999999999995E-2</v>
      </c>
      <c r="G177" t="s">
        <v>287</v>
      </c>
    </row>
    <row r="178" spans="1:7" x14ac:dyDescent="0.3">
      <c r="A178" t="s">
        <v>1836</v>
      </c>
      <c r="B178">
        <v>478.95</v>
      </c>
      <c r="C178" t="s">
        <v>24</v>
      </c>
      <c r="D178" t="s">
        <v>1834</v>
      </c>
      <c r="E178">
        <v>4.8999999999999998E-3</v>
      </c>
      <c r="F178">
        <v>-6.9099999999999995E-2</v>
      </c>
      <c r="G178" t="s">
        <v>1837</v>
      </c>
    </row>
    <row r="179" spans="1:7" x14ac:dyDescent="0.3">
      <c r="A179" t="s">
        <v>610</v>
      </c>
      <c r="B179">
        <v>4510</v>
      </c>
      <c r="C179" t="s">
        <v>12</v>
      </c>
      <c r="D179" t="s">
        <v>608</v>
      </c>
      <c r="E179">
        <v>4.8999999999999998E-3</v>
      </c>
      <c r="F179">
        <v>3.3700000000000001E-2</v>
      </c>
      <c r="G179" t="s">
        <v>611</v>
      </c>
    </row>
    <row r="180" spans="1:7" x14ac:dyDescent="0.3">
      <c r="B180">
        <v>92.13</v>
      </c>
      <c r="C180" t="s">
        <v>460</v>
      </c>
      <c r="D180" t="s">
        <v>3354</v>
      </c>
      <c r="E180">
        <v>3.8999999999999998E-3</v>
      </c>
      <c r="F180">
        <v>2.1999999999999999E-2</v>
      </c>
      <c r="G180" t="s">
        <v>3356</v>
      </c>
    </row>
    <row r="181" spans="1:7" x14ac:dyDescent="0.3">
      <c r="B181">
        <v>11.98</v>
      </c>
      <c r="C181" t="s">
        <v>486</v>
      </c>
      <c r="D181" t="s">
        <v>5177</v>
      </c>
      <c r="E181">
        <v>5.5999999999999999E-3</v>
      </c>
      <c r="F181">
        <v>3.9800000000000002E-2</v>
      </c>
      <c r="G181" t="s">
        <v>5178</v>
      </c>
    </row>
    <row r="182" spans="1:7" x14ac:dyDescent="0.3">
      <c r="A182" t="s">
        <v>410</v>
      </c>
      <c r="B182">
        <v>7370</v>
      </c>
      <c r="C182" t="s">
        <v>116</v>
      </c>
      <c r="D182" t="s">
        <v>408</v>
      </c>
      <c r="E182">
        <v>2.5000000000000001E-3</v>
      </c>
      <c r="F182">
        <v>5.3E-3</v>
      </c>
      <c r="G182" t="s">
        <v>411</v>
      </c>
    </row>
    <row r="183" spans="1:7" x14ac:dyDescent="0.3">
      <c r="B183">
        <v>379.42</v>
      </c>
      <c r="C183" t="s">
        <v>440</v>
      </c>
      <c r="D183" t="s">
        <v>2045</v>
      </c>
      <c r="E183">
        <v>4.7999999999999996E-3</v>
      </c>
      <c r="F183">
        <v>2.7099999999999999E-2</v>
      </c>
      <c r="G183" t="s">
        <v>2047</v>
      </c>
    </row>
    <row r="184" spans="1:7" x14ac:dyDescent="0.3">
      <c r="B184">
        <v>322.20999999999998</v>
      </c>
      <c r="C184" t="s">
        <v>24</v>
      </c>
      <c r="D184" t="s">
        <v>2187</v>
      </c>
      <c r="E184">
        <v>2.3E-3</v>
      </c>
      <c r="F184">
        <v>4.7000000000000002E-3</v>
      </c>
      <c r="G184" t="s">
        <v>2189</v>
      </c>
    </row>
    <row r="185" spans="1:7" x14ac:dyDescent="0.3">
      <c r="B185">
        <v>164.71</v>
      </c>
      <c r="C185" t="s">
        <v>517</v>
      </c>
      <c r="D185" t="s">
        <v>2742</v>
      </c>
      <c r="E185">
        <v>5.0000000000000001E-3</v>
      </c>
      <c r="F185">
        <v>3.3000000000000002E-2</v>
      </c>
      <c r="G185" t="s">
        <v>2744</v>
      </c>
    </row>
    <row r="186" spans="1:7" x14ac:dyDescent="0.3">
      <c r="B186">
        <v>142.72999999999999</v>
      </c>
      <c r="C186" t="s">
        <v>941</v>
      </c>
      <c r="D186" t="s">
        <v>2863</v>
      </c>
      <c r="E186">
        <v>6.6E-3</v>
      </c>
      <c r="F186">
        <v>-2.1299999999999999E-2</v>
      </c>
      <c r="G186" t="s">
        <v>2865</v>
      </c>
    </row>
    <row r="187" spans="1:7" x14ac:dyDescent="0.3">
      <c r="B187">
        <v>138.53</v>
      </c>
      <c r="C187" t="s">
        <v>440</v>
      </c>
      <c r="D187" t="s">
        <v>2912</v>
      </c>
      <c r="E187">
        <v>5.7999999999999996E-3</v>
      </c>
      <c r="F187">
        <v>2.4799999999999999E-2</v>
      </c>
      <c r="G187" t="s">
        <v>2914</v>
      </c>
    </row>
    <row r="188" spans="1:7" x14ac:dyDescent="0.3">
      <c r="B188">
        <v>112.23</v>
      </c>
      <c r="C188" t="s">
        <v>1182</v>
      </c>
      <c r="D188" t="s">
        <v>3161</v>
      </c>
      <c r="E188">
        <v>4.4999999999999997E-3</v>
      </c>
      <c r="F188">
        <v>-1.8100000000000002E-2</v>
      </c>
      <c r="G188" t="s">
        <v>3163</v>
      </c>
    </row>
    <row r="189" spans="1:7" x14ac:dyDescent="0.3">
      <c r="B189">
        <v>109.06</v>
      </c>
      <c r="C189" t="s">
        <v>1904</v>
      </c>
      <c r="D189" t="s">
        <v>3183</v>
      </c>
      <c r="E189">
        <v>4.0000000000000002E-4</v>
      </c>
      <c r="F189">
        <v>-2.3400000000000001E-2</v>
      </c>
      <c r="G189" t="s">
        <v>3185</v>
      </c>
    </row>
    <row r="190" spans="1:7" x14ac:dyDescent="0.3">
      <c r="B190">
        <v>84.09</v>
      </c>
      <c r="C190" t="s">
        <v>2792</v>
      </c>
      <c r="D190" t="s">
        <v>3431</v>
      </c>
      <c r="E190">
        <v>6.1999999999999998E-3</v>
      </c>
      <c r="F190">
        <v>-3.32E-2</v>
      </c>
      <c r="G190" t="s">
        <v>3433</v>
      </c>
    </row>
    <row r="191" spans="1:7" x14ac:dyDescent="0.3">
      <c r="B191">
        <v>40.19</v>
      </c>
      <c r="C191" t="s">
        <v>1182</v>
      </c>
      <c r="D191" t="s">
        <v>4109</v>
      </c>
      <c r="E191">
        <v>4.4999999999999997E-3</v>
      </c>
      <c r="F191">
        <v>-2.7300000000000001E-2</v>
      </c>
      <c r="G191" t="s">
        <v>4111</v>
      </c>
    </row>
    <row r="192" spans="1:7" x14ac:dyDescent="0.3">
      <c r="B192">
        <v>18.350000000000001</v>
      </c>
      <c r="C192" t="s">
        <v>1182</v>
      </c>
      <c r="D192" t="s">
        <v>4867</v>
      </c>
      <c r="E192">
        <v>4.4999999999999997E-3</v>
      </c>
      <c r="F192">
        <v>3.4200000000000001E-2</v>
      </c>
      <c r="G192" t="s">
        <v>4868</v>
      </c>
    </row>
    <row r="193" spans="1:7" x14ac:dyDescent="0.3">
      <c r="B193">
        <v>4.99</v>
      </c>
      <c r="C193" t="s">
        <v>444</v>
      </c>
      <c r="D193" t="s">
        <v>5671</v>
      </c>
      <c r="E193">
        <v>1.1999999999999999E-3</v>
      </c>
      <c r="F193">
        <v>-2.2100000000000002E-2</v>
      </c>
      <c r="G193" t="s">
        <v>5673</v>
      </c>
    </row>
    <row r="194" spans="1:7" x14ac:dyDescent="0.3">
      <c r="B194">
        <v>4.6100000000000003</v>
      </c>
      <c r="C194" t="s">
        <v>486</v>
      </c>
      <c r="D194" t="s">
        <v>5701</v>
      </c>
      <c r="E194">
        <v>3.5000000000000001E-3</v>
      </c>
      <c r="F194">
        <v>-4.6300000000000001E-2</v>
      </c>
      <c r="G194" t="s">
        <v>5703</v>
      </c>
    </row>
    <row r="195" spans="1:7" x14ac:dyDescent="0.3">
      <c r="A195" t="s">
        <v>2895</v>
      </c>
      <c r="B195">
        <v>140.11000000000001</v>
      </c>
      <c r="C195" t="s">
        <v>440</v>
      </c>
      <c r="D195" t="s">
        <v>2893</v>
      </c>
      <c r="E195">
        <v>5.7999999999999996E-3</v>
      </c>
      <c r="F195">
        <v>-2.1899999999999999E-2</v>
      </c>
      <c r="G195" t="s">
        <v>2896</v>
      </c>
    </row>
    <row r="196" spans="1:7" x14ac:dyDescent="0.3">
      <c r="A196" t="s">
        <v>695</v>
      </c>
      <c r="B196">
        <v>3680</v>
      </c>
      <c r="C196" t="s">
        <v>116</v>
      </c>
      <c r="D196" t="s">
        <v>693</v>
      </c>
      <c r="E196">
        <v>1.1000000000000001E-3</v>
      </c>
      <c r="F196">
        <v>-7.8100000000000003E-2</v>
      </c>
      <c r="G196" t="s">
        <v>696</v>
      </c>
    </row>
    <row r="197" spans="1:7" x14ac:dyDescent="0.3">
      <c r="B197">
        <v>2710</v>
      </c>
      <c r="C197" t="s">
        <v>116</v>
      </c>
      <c r="D197" t="s">
        <v>802</v>
      </c>
      <c r="E197">
        <v>3.8999999999999998E-3</v>
      </c>
      <c r="F197">
        <v>-5.7799999999999997E-2</v>
      </c>
      <c r="G197" t="s">
        <v>804</v>
      </c>
    </row>
    <row r="198" spans="1:7" x14ac:dyDescent="0.3">
      <c r="B198">
        <v>1380</v>
      </c>
      <c r="C198" t="s">
        <v>440</v>
      </c>
      <c r="D198" t="s">
        <v>1101</v>
      </c>
      <c r="E198">
        <v>5.7999999999999996E-3</v>
      </c>
      <c r="F198">
        <v>-5.3800000000000001E-2</v>
      </c>
      <c r="G198" t="s">
        <v>1103</v>
      </c>
    </row>
    <row r="199" spans="1:7" x14ac:dyDescent="0.3">
      <c r="B199">
        <v>786.75</v>
      </c>
      <c r="C199" t="s">
        <v>7</v>
      </c>
      <c r="D199" t="s">
        <v>1488</v>
      </c>
      <c r="E199">
        <v>4.0000000000000001E-3</v>
      </c>
      <c r="F199">
        <v>-7.7299999999999994E-2</v>
      </c>
      <c r="G199" t="s">
        <v>1490</v>
      </c>
    </row>
    <row r="200" spans="1:7" x14ac:dyDescent="0.3">
      <c r="B200">
        <v>200.31</v>
      </c>
      <c r="C200" t="s">
        <v>12</v>
      </c>
      <c r="D200" t="s">
        <v>2561</v>
      </c>
      <c r="E200">
        <v>4.0000000000000001E-3</v>
      </c>
      <c r="F200">
        <v>-4.9700000000000001E-2</v>
      </c>
      <c r="G200" t="s">
        <v>2563</v>
      </c>
    </row>
    <row r="201" spans="1:7" x14ac:dyDescent="0.3">
      <c r="B201">
        <v>13.14</v>
      </c>
      <c r="C201" t="s">
        <v>280</v>
      </c>
      <c r="D201" t="s">
        <v>5113</v>
      </c>
      <c r="E201">
        <v>8.0000000000000002E-3</v>
      </c>
      <c r="F201">
        <v>-6.6199999999999995E-2</v>
      </c>
      <c r="G201" t="s">
        <v>5115</v>
      </c>
    </row>
    <row r="202" spans="1:7" x14ac:dyDescent="0.3">
      <c r="A202" t="s">
        <v>1111</v>
      </c>
      <c r="B202">
        <v>1340</v>
      </c>
      <c r="C202" t="s">
        <v>863</v>
      </c>
      <c r="D202" t="s">
        <v>1109</v>
      </c>
      <c r="E202">
        <v>3.5999999999999999E-3</v>
      </c>
      <c r="F202">
        <v>-3.8199999999999998E-2</v>
      </c>
      <c r="G202" t="s">
        <v>1112</v>
      </c>
    </row>
    <row r="203" spans="1:7" x14ac:dyDescent="0.3">
      <c r="B203">
        <v>13.91</v>
      </c>
      <c r="C203" t="s">
        <v>12</v>
      </c>
      <c r="D203" t="s">
        <v>5072</v>
      </c>
      <c r="E203">
        <v>3.0000000000000001E-3</v>
      </c>
      <c r="F203">
        <v>-4.9000000000000002E-2</v>
      </c>
      <c r="G203" t="s">
        <v>5074</v>
      </c>
    </row>
    <row r="204" spans="1:7" x14ac:dyDescent="0.3">
      <c r="A204" t="s">
        <v>30</v>
      </c>
      <c r="B204">
        <v>108510</v>
      </c>
      <c r="C204" t="s">
        <v>16</v>
      </c>
      <c r="D204" t="s">
        <v>28</v>
      </c>
      <c r="E204">
        <v>5.0000000000000001E-4</v>
      </c>
      <c r="F204">
        <v>-3.3300000000000003E-2</v>
      </c>
      <c r="G204" t="s">
        <v>31</v>
      </c>
    </row>
    <row r="205" spans="1:7" x14ac:dyDescent="0.3">
      <c r="B205">
        <v>28870</v>
      </c>
      <c r="C205" t="s">
        <v>116</v>
      </c>
      <c r="D205" t="s">
        <v>142</v>
      </c>
      <c r="E205">
        <v>5.9999999999999995E-4</v>
      </c>
      <c r="F205">
        <v>-2.8199999999999999E-2</v>
      </c>
      <c r="G205" t="s">
        <v>144</v>
      </c>
    </row>
    <row r="206" spans="1:7" x14ac:dyDescent="0.3">
      <c r="B206">
        <v>12880</v>
      </c>
      <c r="C206" t="s">
        <v>7</v>
      </c>
      <c r="D206" t="s">
        <v>266</v>
      </c>
      <c r="E206">
        <v>4.0000000000000002E-4</v>
      </c>
      <c r="F206">
        <v>-3.8199999999999998E-2</v>
      </c>
      <c r="G206" t="s">
        <v>268</v>
      </c>
    </row>
    <row r="207" spans="1:7" x14ac:dyDescent="0.3">
      <c r="B207">
        <v>6860</v>
      </c>
      <c r="C207" t="s">
        <v>12</v>
      </c>
      <c r="D207" t="s">
        <v>434</v>
      </c>
      <c r="E207">
        <v>5.0000000000000001E-4</v>
      </c>
      <c r="F207">
        <v>-3.3799999999999997E-2</v>
      </c>
      <c r="G207" t="s">
        <v>436</v>
      </c>
    </row>
    <row r="208" spans="1:7" x14ac:dyDescent="0.3">
      <c r="B208">
        <v>4220</v>
      </c>
      <c r="C208" t="s">
        <v>12</v>
      </c>
      <c r="D208" t="s">
        <v>628</v>
      </c>
      <c r="E208">
        <v>3.0000000000000001E-3</v>
      </c>
      <c r="F208">
        <v>-3.3099999999999997E-2</v>
      </c>
      <c r="G208" t="s">
        <v>630</v>
      </c>
    </row>
    <row r="209" spans="2:7" x14ac:dyDescent="0.3">
      <c r="B209">
        <v>3210</v>
      </c>
      <c r="C209" t="s">
        <v>248</v>
      </c>
      <c r="D209" t="s">
        <v>746</v>
      </c>
      <c r="E209">
        <v>2.5000000000000001E-3</v>
      </c>
      <c r="F209">
        <v>-3.7199999999999997E-2</v>
      </c>
      <c r="G209" t="s">
        <v>748</v>
      </c>
    </row>
    <row r="210" spans="2:7" x14ac:dyDescent="0.3">
      <c r="B210">
        <v>1790</v>
      </c>
      <c r="C210" t="s">
        <v>964</v>
      </c>
      <c r="D210" t="s">
        <v>965</v>
      </c>
      <c r="E210">
        <v>2.8999999999999998E-3</v>
      </c>
      <c r="F210">
        <v>-2.24E-2</v>
      </c>
      <c r="G210" t="s">
        <v>967</v>
      </c>
    </row>
    <row r="211" spans="2:7" x14ac:dyDescent="0.3">
      <c r="B211">
        <v>1260</v>
      </c>
      <c r="C211" t="s">
        <v>863</v>
      </c>
      <c r="D211" t="s">
        <v>1137</v>
      </c>
      <c r="E211">
        <v>2.3E-3</v>
      </c>
      <c r="F211">
        <v>-2.69E-2</v>
      </c>
      <c r="G211" t="s">
        <v>1138</v>
      </c>
    </row>
    <row r="212" spans="2:7" x14ac:dyDescent="0.3">
      <c r="B212">
        <v>1190</v>
      </c>
      <c r="C212" t="s">
        <v>240</v>
      </c>
      <c r="D212" t="s">
        <v>1171</v>
      </c>
      <c r="E212">
        <v>1.8E-3</v>
      </c>
      <c r="F212">
        <v>-2.4299999999999999E-2</v>
      </c>
      <c r="G212" t="s">
        <v>1173</v>
      </c>
    </row>
    <row r="213" spans="2:7" x14ac:dyDescent="0.3">
      <c r="B213">
        <v>1150</v>
      </c>
      <c r="C213" t="s">
        <v>24</v>
      </c>
      <c r="D213" t="s">
        <v>1197</v>
      </c>
      <c r="E213">
        <v>4.4999999999999997E-3</v>
      </c>
      <c r="F213">
        <v>4.5999999999999999E-3</v>
      </c>
      <c r="G213" t="s">
        <v>1199</v>
      </c>
    </row>
    <row r="214" spans="2:7" x14ac:dyDescent="0.3">
      <c r="B214">
        <v>887.14</v>
      </c>
      <c r="C214" t="s">
        <v>12</v>
      </c>
      <c r="D214" t="s">
        <v>1379</v>
      </c>
      <c r="E214">
        <v>3.0000000000000001E-3</v>
      </c>
      <c r="F214">
        <v>-2.35E-2</v>
      </c>
      <c r="G214" t="s">
        <v>1381</v>
      </c>
    </row>
    <row r="215" spans="2:7" x14ac:dyDescent="0.3">
      <c r="B215">
        <v>842.51</v>
      </c>
      <c r="C215" t="s">
        <v>12</v>
      </c>
      <c r="D215" t="s">
        <v>1408</v>
      </c>
      <c r="E215">
        <v>3.0000000000000001E-3</v>
      </c>
      <c r="F215">
        <v>-4.99E-2</v>
      </c>
      <c r="G215" t="s">
        <v>1410</v>
      </c>
    </row>
    <row r="216" spans="2:7" x14ac:dyDescent="0.3">
      <c r="B216">
        <v>689.06</v>
      </c>
      <c r="C216" t="s">
        <v>24</v>
      </c>
      <c r="D216" t="s">
        <v>1572</v>
      </c>
      <c r="E216">
        <v>2.5000000000000001E-3</v>
      </c>
      <c r="F216">
        <v>-3.0000000000000001E-3</v>
      </c>
      <c r="G216" t="s">
        <v>1574</v>
      </c>
    </row>
    <row r="217" spans="2:7" x14ac:dyDescent="0.3">
      <c r="B217">
        <v>637.28</v>
      </c>
      <c r="C217" t="s">
        <v>444</v>
      </c>
      <c r="D217" t="s">
        <v>1623</v>
      </c>
      <c r="E217">
        <v>3.8999999999999998E-3</v>
      </c>
      <c r="F217">
        <v>-2.7400000000000001E-2</v>
      </c>
      <c r="G217" t="s">
        <v>1625</v>
      </c>
    </row>
    <row r="218" spans="2:7" x14ac:dyDescent="0.3">
      <c r="B218">
        <v>427.16</v>
      </c>
      <c r="C218" t="s">
        <v>280</v>
      </c>
      <c r="D218" t="s">
        <v>1928</v>
      </c>
      <c r="E218">
        <v>8.0000000000000002E-3</v>
      </c>
      <c r="F218">
        <v>-3.4099999999999998E-2</v>
      </c>
      <c r="G218" t="s">
        <v>1930</v>
      </c>
    </row>
    <row r="219" spans="2:7" x14ac:dyDescent="0.3">
      <c r="B219">
        <v>350.58</v>
      </c>
      <c r="C219" t="s">
        <v>1182</v>
      </c>
      <c r="D219" t="s">
        <v>2117</v>
      </c>
      <c r="E219">
        <v>3.5000000000000001E-3</v>
      </c>
      <c r="F219">
        <v>-2.3400000000000001E-2</v>
      </c>
      <c r="G219" t="s">
        <v>2119</v>
      </c>
    </row>
    <row r="220" spans="2:7" x14ac:dyDescent="0.3">
      <c r="B220">
        <v>228.88</v>
      </c>
      <c r="C220" t="s">
        <v>1864</v>
      </c>
      <c r="D220" t="s">
        <v>2436</v>
      </c>
      <c r="E220">
        <v>2.5000000000000001E-3</v>
      </c>
      <c r="F220">
        <v>-1.9400000000000001E-2</v>
      </c>
      <c r="G220" t="s">
        <v>2438</v>
      </c>
    </row>
    <row r="221" spans="2:7" x14ac:dyDescent="0.3">
      <c r="B221">
        <v>220.24</v>
      </c>
      <c r="C221" t="s">
        <v>24</v>
      </c>
      <c r="D221" t="s">
        <v>2466</v>
      </c>
      <c r="E221">
        <v>8.0000000000000002E-3</v>
      </c>
      <c r="F221">
        <v>-0.1069</v>
      </c>
      <c r="G221" t="s">
        <v>2468</v>
      </c>
    </row>
    <row r="222" spans="2:7" x14ac:dyDescent="0.3">
      <c r="B222">
        <v>168.06</v>
      </c>
      <c r="C222" t="s">
        <v>280</v>
      </c>
      <c r="D222" t="s">
        <v>2726</v>
      </c>
      <c r="E222">
        <v>8.3000000000000001E-3</v>
      </c>
      <c r="F222">
        <v>-3.49E-2</v>
      </c>
      <c r="G222" t="s">
        <v>2728</v>
      </c>
    </row>
    <row r="223" spans="2:7" x14ac:dyDescent="0.3">
      <c r="B223">
        <v>134.19999999999999</v>
      </c>
      <c r="C223" t="s">
        <v>1025</v>
      </c>
      <c r="D223" t="s">
        <v>2944</v>
      </c>
      <c r="E223">
        <v>2.3999999999999998E-3</v>
      </c>
      <c r="F223">
        <v>-3.2500000000000001E-2</v>
      </c>
      <c r="G223" t="s">
        <v>2946</v>
      </c>
    </row>
    <row r="224" spans="2:7" x14ac:dyDescent="0.3">
      <c r="B224">
        <v>133.06</v>
      </c>
      <c r="C224" t="s">
        <v>24</v>
      </c>
      <c r="D224" t="s">
        <v>2959</v>
      </c>
      <c r="E224">
        <v>2.8999999999999998E-3</v>
      </c>
      <c r="F224">
        <v>-3.3300000000000003E-2</v>
      </c>
      <c r="G224" t="s">
        <v>2961</v>
      </c>
    </row>
    <row r="225" spans="2:7" x14ac:dyDescent="0.3">
      <c r="B225">
        <v>124.68</v>
      </c>
      <c r="C225" t="s">
        <v>24</v>
      </c>
      <c r="D225" t="s">
        <v>3046</v>
      </c>
      <c r="E225">
        <v>3.3999999999999998E-3</v>
      </c>
      <c r="F225">
        <v>-5.7099999999999998E-2</v>
      </c>
      <c r="G225" t="s">
        <v>3048</v>
      </c>
    </row>
    <row r="226" spans="2:7" x14ac:dyDescent="0.3">
      <c r="B226">
        <v>93.18</v>
      </c>
      <c r="C226" t="s">
        <v>3223</v>
      </c>
      <c r="D226" t="s">
        <v>3332</v>
      </c>
      <c r="E226">
        <v>3.8999999999999998E-3</v>
      </c>
      <c r="F226">
        <v>-1.0200000000000001E-2</v>
      </c>
      <c r="G226" t="s">
        <v>3334</v>
      </c>
    </row>
    <row r="227" spans="2:7" x14ac:dyDescent="0.3">
      <c r="B227">
        <v>84</v>
      </c>
      <c r="C227" t="s">
        <v>1340</v>
      </c>
      <c r="D227" t="s">
        <v>3434</v>
      </c>
      <c r="E227">
        <v>4.0000000000000001E-3</v>
      </c>
      <c r="F227">
        <v>4.1399999999999999E-2</v>
      </c>
      <c r="G227" t="s">
        <v>3436</v>
      </c>
    </row>
    <row r="228" spans="2:7" x14ac:dyDescent="0.3">
      <c r="B228">
        <v>79.98</v>
      </c>
      <c r="C228" t="s">
        <v>2595</v>
      </c>
      <c r="D228" t="s">
        <v>3493</v>
      </c>
      <c r="E228">
        <v>6.1000000000000004E-3</v>
      </c>
      <c r="F228">
        <v>-4.9700000000000001E-2</v>
      </c>
      <c r="G228" t="s">
        <v>3495</v>
      </c>
    </row>
    <row r="229" spans="2:7" x14ac:dyDescent="0.3">
      <c r="B229">
        <v>77.98</v>
      </c>
      <c r="C229" t="s">
        <v>941</v>
      </c>
      <c r="D229" t="s">
        <v>3517</v>
      </c>
      <c r="E229">
        <v>6.4999999999999997E-3</v>
      </c>
      <c r="F229">
        <v>2.3699999999999999E-2</v>
      </c>
      <c r="G229" t="s">
        <v>3518</v>
      </c>
    </row>
    <row r="230" spans="2:7" x14ac:dyDescent="0.3">
      <c r="B230">
        <v>76.510000000000005</v>
      </c>
      <c r="C230" t="s">
        <v>444</v>
      </c>
      <c r="D230" t="s">
        <v>3544</v>
      </c>
      <c r="E230">
        <v>3.2000000000000002E-3</v>
      </c>
      <c r="F230">
        <v>-1.14E-2</v>
      </c>
      <c r="G230" t="s">
        <v>3546</v>
      </c>
    </row>
    <row r="231" spans="2:7" x14ac:dyDescent="0.3">
      <c r="B231">
        <v>57.1</v>
      </c>
      <c r="C231" t="s">
        <v>618</v>
      </c>
      <c r="D231" t="s">
        <v>3793</v>
      </c>
      <c r="E231">
        <v>2.3999999999999998E-3</v>
      </c>
      <c r="F231">
        <v>-2.58E-2</v>
      </c>
      <c r="G231" t="s">
        <v>3795</v>
      </c>
    </row>
    <row r="232" spans="2:7" x14ac:dyDescent="0.3">
      <c r="B232">
        <v>51.21</v>
      </c>
      <c r="C232" t="s">
        <v>2070</v>
      </c>
      <c r="D232" t="s">
        <v>3883</v>
      </c>
      <c r="E232">
        <v>5.8999999999999999E-3</v>
      </c>
      <c r="F232">
        <v>1.2999999999999999E-2</v>
      </c>
      <c r="G232" t="s">
        <v>3885</v>
      </c>
    </row>
    <row r="233" spans="2:7" x14ac:dyDescent="0.3">
      <c r="B233">
        <v>39.200000000000003</v>
      </c>
      <c r="C233" t="s">
        <v>4128</v>
      </c>
      <c r="D233" t="s">
        <v>4129</v>
      </c>
      <c r="E233">
        <v>2.8999999999999998E-3</v>
      </c>
      <c r="F233">
        <v>-1.8200000000000001E-2</v>
      </c>
      <c r="G233" t="s">
        <v>4131</v>
      </c>
    </row>
    <row r="234" spans="2:7" x14ac:dyDescent="0.3">
      <c r="B234">
        <v>29.55</v>
      </c>
      <c r="C234" t="s">
        <v>280</v>
      </c>
      <c r="D234" t="s">
        <v>4417</v>
      </c>
      <c r="E234">
        <v>6.4999999999999997E-3</v>
      </c>
      <c r="F234">
        <v>-3.0700000000000002E-2</v>
      </c>
      <c r="G234" t="s">
        <v>4419</v>
      </c>
    </row>
    <row r="235" spans="2:7" x14ac:dyDescent="0.3">
      <c r="B235">
        <v>28.4</v>
      </c>
      <c r="C235" t="s">
        <v>7</v>
      </c>
      <c r="D235" t="s">
        <v>4438</v>
      </c>
      <c r="E235">
        <v>1.1999999999999999E-3</v>
      </c>
      <c r="F235" t="s">
        <v>662</v>
      </c>
      <c r="G235" t="s">
        <v>4440</v>
      </c>
    </row>
    <row r="236" spans="2:7" x14ac:dyDescent="0.3">
      <c r="B236">
        <v>23.62</v>
      </c>
      <c r="C236" t="s">
        <v>280</v>
      </c>
      <c r="D236" t="s">
        <v>4630</v>
      </c>
      <c r="E236">
        <v>7.0000000000000001E-3</v>
      </c>
      <c r="F236">
        <v>-3.8300000000000001E-2</v>
      </c>
      <c r="G236" t="s">
        <v>4632</v>
      </c>
    </row>
    <row r="237" spans="2:7" x14ac:dyDescent="0.3">
      <c r="B237">
        <v>18.72</v>
      </c>
      <c r="C237" t="s">
        <v>24</v>
      </c>
      <c r="D237" t="s">
        <v>4851</v>
      </c>
      <c r="E237">
        <v>3.0000000000000001E-3</v>
      </c>
      <c r="F237">
        <v>9.9000000000000008E-3</v>
      </c>
      <c r="G237" t="s">
        <v>4853</v>
      </c>
    </row>
    <row r="238" spans="2:7" x14ac:dyDescent="0.3">
      <c r="B238">
        <v>17.079999999999998</v>
      </c>
      <c r="C238" t="s">
        <v>460</v>
      </c>
      <c r="D238" t="s">
        <v>4942</v>
      </c>
      <c r="E238">
        <v>3.8999999999999998E-3</v>
      </c>
      <c r="F238">
        <v>-2.8199999999999999E-2</v>
      </c>
      <c r="G238" t="s">
        <v>4943</v>
      </c>
    </row>
    <row r="239" spans="2:7" x14ac:dyDescent="0.3">
      <c r="B239">
        <v>17.059999999999999</v>
      </c>
      <c r="C239" t="s">
        <v>12</v>
      </c>
      <c r="D239" t="s">
        <v>4947</v>
      </c>
      <c r="E239">
        <v>3.0000000000000001E-3</v>
      </c>
      <c r="F239">
        <v>-4.7E-2</v>
      </c>
      <c r="G239" t="s">
        <v>4948</v>
      </c>
    </row>
    <row r="240" spans="2:7" x14ac:dyDescent="0.3">
      <c r="B240">
        <v>9.7899999999999991</v>
      </c>
      <c r="C240" t="s">
        <v>1904</v>
      </c>
      <c r="D240" t="s">
        <v>5296</v>
      </c>
      <c r="E240">
        <v>8.0000000000000002E-3</v>
      </c>
      <c r="F240" t="s">
        <v>662</v>
      </c>
      <c r="G240" t="s">
        <v>5298</v>
      </c>
    </row>
    <row r="241" spans="1:7" x14ac:dyDescent="0.3">
      <c r="B241">
        <v>8.9600000000000009</v>
      </c>
      <c r="C241" t="s">
        <v>24</v>
      </c>
      <c r="D241" t="s">
        <v>5340</v>
      </c>
      <c r="E241">
        <v>2.5000000000000001E-3</v>
      </c>
      <c r="F241">
        <v>-2.35E-2</v>
      </c>
      <c r="G241" t="s">
        <v>5342</v>
      </c>
    </row>
    <row r="242" spans="1:7" x14ac:dyDescent="0.3">
      <c r="B242">
        <v>7.68</v>
      </c>
      <c r="C242" t="s">
        <v>5438</v>
      </c>
      <c r="D242" t="s">
        <v>5439</v>
      </c>
      <c r="E242">
        <v>7.9000000000000008E-3</v>
      </c>
      <c r="F242">
        <v>-7.5600000000000001E-2</v>
      </c>
      <c r="G242" t="s">
        <v>5441</v>
      </c>
    </row>
    <row r="243" spans="1:7" x14ac:dyDescent="0.3">
      <c r="B243">
        <v>7.1</v>
      </c>
      <c r="C243" t="s">
        <v>24</v>
      </c>
      <c r="D243" t="s">
        <v>5486</v>
      </c>
      <c r="E243">
        <v>4.4999999999999997E-3</v>
      </c>
      <c r="F243">
        <v>-5.3699999999999998E-2</v>
      </c>
      <c r="G243" t="s">
        <v>5488</v>
      </c>
    </row>
    <row r="244" spans="1:7" x14ac:dyDescent="0.3">
      <c r="B244">
        <v>5.45</v>
      </c>
      <c r="C244" t="s">
        <v>2951</v>
      </c>
      <c r="D244" t="s">
        <v>5626</v>
      </c>
      <c r="E244">
        <v>4.4999999999999997E-3</v>
      </c>
      <c r="F244">
        <v>4.8999999999999998E-3</v>
      </c>
      <c r="G244" t="s">
        <v>5628</v>
      </c>
    </row>
    <row r="245" spans="1:7" x14ac:dyDescent="0.3">
      <c r="A245" t="s">
        <v>663</v>
      </c>
      <c r="B245">
        <v>3840</v>
      </c>
      <c r="C245" t="s">
        <v>240</v>
      </c>
      <c r="D245" t="s">
        <v>660</v>
      </c>
      <c r="E245">
        <v>3.5000000000000001E-3</v>
      </c>
      <c r="F245" t="s">
        <v>662</v>
      </c>
      <c r="G245" t="s">
        <v>664</v>
      </c>
    </row>
    <row r="246" spans="1:7" x14ac:dyDescent="0.3">
      <c r="B246">
        <v>1270</v>
      </c>
      <c r="C246" t="s">
        <v>12</v>
      </c>
      <c r="D246" t="s">
        <v>1131</v>
      </c>
      <c r="E246">
        <v>3.0000000000000001E-3</v>
      </c>
      <c r="F246">
        <v>2.47E-2</v>
      </c>
      <c r="G246" t="s">
        <v>1132</v>
      </c>
    </row>
    <row r="247" spans="1:7" x14ac:dyDescent="0.3">
      <c r="B247">
        <v>136.72999999999999</v>
      </c>
      <c r="C247" t="s">
        <v>2475</v>
      </c>
      <c r="D247" t="s">
        <v>2922</v>
      </c>
      <c r="E247">
        <v>5.8999999999999999E-3</v>
      </c>
      <c r="F247">
        <v>-4.0000000000000001E-3</v>
      </c>
      <c r="G247" t="s">
        <v>2924</v>
      </c>
    </row>
    <row r="248" spans="1:7" x14ac:dyDescent="0.3">
      <c r="B248">
        <v>39.46</v>
      </c>
      <c r="C248" t="s">
        <v>460</v>
      </c>
      <c r="D248" t="s">
        <v>4121</v>
      </c>
      <c r="E248">
        <v>3.8999999999999998E-3</v>
      </c>
      <c r="F248">
        <v>1.37E-2</v>
      </c>
      <c r="G248" t="s">
        <v>4123</v>
      </c>
    </row>
    <row r="249" spans="1:7" x14ac:dyDescent="0.3">
      <c r="B249">
        <v>2.41</v>
      </c>
      <c r="C249" t="s">
        <v>3867</v>
      </c>
      <c r="D249" t="s">
        <v>5925</v>
      </c>
      <c r="E249">
        <v>3.8999999999999998E-3</v>
      </c>
      <c r="F249">
        <v>-1.3100000000000001E-2</v>
      </c>
      <c r="G249" t="s">
        <v>5927</v>
      </c>
    </row>
    <row r="250" spans="1:7" x14ac:dyDescent="0.3">
      <c r="A250" t="s">
        <v>4661</v>
      </c>
      <c r="B250">
        <v>22.99</v>
      </c>
      <c r="C250" t="s">
        <v>863</v>
      </c>
      <c r="D250" t="s">
        <v>4659</v>
      </c>
      <c r="E250">
        <v>2.5000000000000001E-3</v>
      </c>
      <c r="F250">
        <v>4.0000000000000001E-3</v>
      </c>
      <c r="G250" t="s">
        <v>4662</v>
      </c>
    </row>
    <row r="251" spans="1:7" x14ac:dyDescent="0.3">
      <c r="A251" t="s">
        <v>1694</v>
      </c>
      <c r="B251">
        <v>563.32000000000005</v>
      </c>
      <c r="C251" t="s">
        <v>12</v>
      </c>
      <c r="D251" t="s">
        <v>1692</v>
      </c>
      <c r="E251">
        <v>2E-3</v>
      </c>
      <c r="F251">
        <v>-3.1199999999999999E-2</v>
      </c>
      <c r="G251" t="s">
        <v>1695</v>
      </c>
    </row>
    <row r="252" spans="1:7" x14ac:dyDescent="0.3">
      <c r="A252" t="s">
        <v>2410</v>
      </c>
      <c r="B252">
        <v>235.76</v>
      </c>
      <c r="C252" t="s">
        <v>12</v>
      </c>
      <c r="D252" t="s">
        <v>2408</v>
      </c>
      <c r="E252">
        <v>4.7999999999999996E-3</v>
      </c>
      <c r="F252">
        <v>-5.91E-2</v>
      </c>
      <c r="G252" t="s">
        <v>2411</v>
      </c>
    </row>
    <row r="253" spans="1:7" x14ac:dyDescent="0.3">
      <c r="B253">
        <v>64.5</v>
      </c>
      <c r="C253" t="s">
        <v>12</v>
      </c>
      <c r="D253" t="s">
        <v>3698</v>
      </c>
      <c r="E253">
        <v>4.7999999999999996E-3</v>
      </c>
      <c r="F253">
        <v>-5.3699999999999998E-2</v>
      </c>
      <c r="G253" t="s">
        <v>3700</v>
      </c>
    </row>
    <row r="254" spans="1:7" x14ac:dyDescent="0.3">
      <c r="A254" t="s">
        <v>1354</v>
      </c>
      <c r="B254">
        <v>907.6</v>
      </c>
      <c r="C254" t="s">
        <v>486</v>
      </c>
      <c r="D254" t="s">
        <v>1352</v>
      </c>
      <c r="E254">
        <v>6.7999999999999996E-3</v>
      </c>
      <c r="F254">
        <v>-0.33479999999999999</v>
      </c>
      <c r="G254" t="s">
        <v>1355</v>
      </c>
    </row>
    <row r="255" spans="1:7" x14ac:dyDescent="0.3">
      <c r="A255" t="s">
        <v>5791</v>
      </c>
      <c r="B255">
        <v>3.56</v>
      </c>
      <c r="C255" t="s">
        <v>440</v>
      </c>
      <c r="D255" t="s">
        <v>5789</v>
      </c>
      <c r="E255">
        <v>4.4999999999999997E-3</v>
      </c>
      <c r="F255">
        <v>-0.21859999999999999</v>
      </c>
      <c r="G255" t="s">
        <v>5792</v>
      </c>
    </row>
    <row r="256" spans="1:7" x14ac:dyDescent="0.3">
      <c r="A256" t="s">
        <v>5997</v>
      </c>
      <c r="B256">
        <v>1.44</v>
      </c>
      <c r="C256" t="s">
        <v>5994</v>
      </c>
      <c r="D256" t="s">
        <v>5995</v>
      </c>
      <c r="E256">
        <v>7.7999999999999996E-3</v>
      </c>
      <c r="F256" t="s">
        <v>662</v>
      </c>
      <c r="G256" t="s">
        <v>5998</v>
      </c>
    </row>
    <row r="257" spans="1:7" x14ac:dyDescent="0.3">
      <c r="A257" t="s">
        <v>6106</v>
      </c>
      <c r="B257" t="s">
        <v>662</v>
      </c>
      <c r="C257" t="s">
        <v>5994</v>
      </c>
      <c r="D257" t="s">
        <v>6105</v>
      </c>
      <c r="E257">
        <v>6.7999999999999996E-3</v>
      </c>
      <c r="F257" t="s">
        <v>662</v>
      </c>
      <c r="G257" t="s">
        <v>6107</v>
      </c>
    </row>
    <row r="258" spans="1:7" x14ac:dyDescent="0.3">
      <c r="A258" t="s">
        <v>1848</v>
      </c>
      <c r="B258">
        <v>476.75</v>
      </c>
      <c r="C258" t="s">
        <v>486</v>
      </c>
      <c r="D258" t="s">
        <v>1846</v>
      </c>
      <c r="E258">
        <v>6.7999999999999996E-3</v>
      </c>
      <c r="F258">
        <v>-7.46E-2</v>
      </c>
      <c r="G258" t="s">
        <v>1849</v>
      </c>
    </row>
    <row r="259" spans="1:7" x14ac:dyDescent="0.3">
      <c r="A259" t="s">
        <v>4803</v>
      </c>
      <c r="B259">
        <v>20.170000000000002</v>
      </c>
      <c r="C259" t="s">
        <v>280</v>
      </c>
      <c r="D259" t="s">
        <v>4801</v>
      </c>
      <c r="E259">
        <v>9.7000000000000003E-3</v>
      </c>
      <c r="F259">
        <v>-1.8100000000000002E-2</v>
      </c>
      <c r="G259" t="s">
        <v>4804</v>
      </c>
    </row>
    <row r="260" spans="1:7" x14ac:dyDescent="0.3">
      <c r="B260">
        <v>2.23</v>
      </c>
      <c r="C260" t="s">
        <v>921</v>
      </c>
      <c r="D260" t="s">
        <v>5937</v>
      </c>
      <c r="E260">
        <v>7.4999999999999997E-3</v>
      </c>
      <c r="F260">
        <v>-0.19259999999999999</v>
      </c>
      <c r="G260" t="s">
        <v>5939</v>
      </c>
    </row>
    <row r="261" spans="1:7" x14ac:dyDescent="0.3">
      <c r="A261" t="s">
        <v>4355</v>
      </c>
      <c r="B261">
        <v>31.8</v>
      </c>
      <c r="C261" t="s">
        <v>1864</v>
      </c>
      <c r="D261" t="s">
        <v>4354</v>
      </c>
      <c r="E261">
        <v>3.0000000000000001E-3</v>
      </c>
      <c r="F261">
        <v>3.4200000000000001E-2</v>
      </c>
      <c r="G261" t="s">
        <v>4356</v>
      </c>
    </row>
    <row r="262" spans="1:7" x14ac:dyDescent="0.3">
      <c r="A262" t="s">
        <v>4261</v>
      </c>
      <c r="B262">
        <v>35.119999999999997</v>
      </c>
      <c r="C262" t="s">
        <v>280</v>
      </c>
      <c r="D262" t="s">
        <v>4259</v>
      </c>
      <c r="E262">
        <v>6.0000000000000001E-3</v>
      </c>
      <c r="F262">
        <v>-1.9800000000000002E-2</v>
      </c>
      <c r="G262" t="s">
        <v>4262</v>
      </c>
    </row>
    <row r="263" spans="1:7" x14ac:dyDescent="0.3">
      <c r="A263" t="s">
        <v>5080</v>
      </c>
      <c r="B263">
        <v>13.87</v>
      </c>
      <c r="C263" t="s">
        <v>979</v>
      </c>
      <c r="D263" t="s">
        <v>5078</v>
      </c>
      <c r="E263">
        <v>5.0000000000000001E-3</v>
      </c>
      <c r="F263" t="s">
        <v>662</v>
      </c>
      <c r="G263" t="s">
        <v>5081</v>
      </c>
    </row>
    <row r="264" spans="1:7" x14ac:dyDescent="0.3">
      <c r="A264" t="s">
        <v>886</v>
      </c>
      <c r="B264">
        <v>2190</v>
      </c>
      <c r="C264" t="s">
        <v>486</v>
      </c>
      <c r="D264" t="s">
        <v>885</v>
      </c>
      <c r="E264">
        <v>6.7999999999999996E-3</v>
      </c>
      <c r="F264">
        <v>-0.20549999999999999</v>
      </c>
      <c r="G264" t="s">
        <v>887</v>
      </c>
    </row>
    <row r="265" spans="1:7" x14ac:dyDescent="0.3">
      <c r="B265">
        <v>165.99</v>
      </c>
      <c r="C265" t="s">
        <v>486</v>
      </c>
      <c r="D265" t="s">
        <v>2736</v>
      </c>
      <c r="E265">
        <v>6.7999999999999996E-3</v>
      </c>
      <c r="F265">
        <v>-0.1295</v>
      </c>
      <c r="G265" t="s">
        <v>2738</v>
      </c>
    </row>
    <row r="266" spans="1:7" x14ac:dyDescent="0.3">
      <c r="A266" t="s">
        <v>3770</v>
      </c>
      <c r="B266">
        <v>59.09</v>
      </c>
      <c r="C266" t="s">
        <v>1871</v>
      </c>
      <c r="D266" t="s">
        <v>3768</v>
      </c>
      <c r="E266">
        <v>4.0000000000000001E-3</v>
      </c>
      <c r="F266">
        <v>-2.2599999999999999E-2</v>
      </c>
      <c r="G266" t="s">
        <v>3771</v>
      </c>
    </row>
    <row r="267" spans="1:7" x14ac:dyDescent="0.3">
      <c r="A267" t="s">
        <v>4753</v>
      </c>
      <c r="B267">
        <v>21.1</v>
      </c>
      <c r="C267" t="s">
        <v>272</v>
      </c>
      <c r="D267" t="s">
        <v>4751</v>
      </c>
      <c r="E267">
        <v>9.5999999999999992E-3</v>
      </c>
      <c r="F267">
        <v>4.3900000000000002E-2</v>
      </c>
      <c r="G267" t="s">
        <v>4754</v>
      </c>
    </row>
    <row r="268" spans="1:7" x14ac:dyDescent="0.3">
      <c r="A268" t="s">
        <v>1454</v>
      </c>
      <c r="B268">
        <v>815.41</v>
      </c>
      <c r="C268" t="s">
        <v>12</v>
      </c>
      <c r="D268" t="s">
        <v>1452</v>
      </c>
      <c r="E268">
        <v>5.0000000000000001E-3</v>
      </c>
      <c r="F268">
        <v>-5.3400000000000003E-2</v>
      </c>
      <c r="G268" t="s">
        <v>1455</v>
      </c>
    </row>
    <row r="269" spans="1:7" x14ac:dyDescent="0.3">
      <c r="B269">
        <v>551.94000000000005</v>
      </c>
      <c r="C269" t="s">
        <v>7</v>
      </c>
      <c r="D269" t="s">
        <v>1713</v>
      </c>
      <c r="E269">
        <v>4.8999999999999998E-3</v>
      </c>
      <c r="F269">
        <v>-4.5100000000000001E-2</v>
      </c>
      <c r="G269" t="s">
        <v>1715</v>
      </c>
    </row>
    <row r="270" spans="1:7" x14ac:dyDescent="0.3">
      <c r="B270">
        <v>101.4</v>
      </c>
      <c r="C270" t="s">
        <v>280</v>
      </c>
      <c r="D270" t="s">
        <v>3247</v>
      </c>
      <c r="E270">
        <v>6.0000000000000001E-3</v>
      </c>
      <c r="F270">
        <v>-0.1875</v>
      </c>
      <c r="G270" t="s">
        <v>3249</v>
      </c>
    </row>
    <row r="271" spans="1:7" x14ac:dyDescent="0.3">
      <c r="A271" t="s">
        <v>926</v>
      </c>
      <c r="B271">
        <v>1950</v>
      </c>
      <c r="C271" t="s">
        <v>440</v>
      </c>
      <c r="D271" t="s">
        <v>925</v>
      </c>
      <c r="E271">
        <v>6.3E-3</v>
      </c>
      <c r="F271">
        <v>2.92E-2</v>
      </c>
      <c r="G271" t="s">
        <v>927</v>
      </c>
    </row>
    <row r="272" spans="1:7" x14ac:dyDescent="0.3">
      <c r="B272">
        <v>831.78</v>
      </c>
      <c r="C272" t="s">
        <v>12</v>
      </c>
      <c r="D272" t="s">
        <v>1424</v>
      </c>
      <c r="E272">
        <v>4.8999999999999998E-3</v>
      </c>
      <c r="F272">
        <v>-3.0000000000000001E-3</v>
      </c>
      <c r="G272" t="s">
        <v>1426</v>
      </c>
    </row>
    <row r="273" spans="1:7" x14ac:dyDescent="0.3">
      <c r="B273">
        <v>306.41000000000003</v>
      </c>
      <c r="C273" t="s">
        <v>7</v>
      </c>
      <c r="D273" t="s">
        <v>2228</v>
      </c>
      <c r="E273">
        <v>4.8999999999999998E-3</v>
      </c>
      <c r="F273">
        <v>4.48E-2</v>
      </c>
      <c r="G273" t="s">
        <v>2230</v>
      </c>
    </row>
    <row r="274" spans="1:7" x14ac:dyDescent="0.3">
      <c r="B274">
        <v>80.5</v>
      </c>
      <c r="C274" t="s">
        <v>486</v>
      </c>
      <c r="D274" t="s">
        <v>3487</v>
      </c>
      <c r="E274">
        <v>6.7000000000000002E-3</v>
      </c>
      <c r="F274">
        <v>-1.8E-3</v>
      </c>
      <c r="G274" t="s">
        <v>3489</v>
      </c>
    </row>
    <row r="275" spans="1:7" x14ac:dyDescent="0.3">
      <c r="A275" t="s">
        <v>554</v>
      </c>
      <c r="B275">
        <v>5120</v>
      </c>
      <c r="C275" t="s">
        <v>116</v>
      </c>
      <c r="D275" t="s">
        <v>552</v>
      </c>
      <c r="E275">
        <v>3.8999999999999998E-3</v>
      </c>
      <c r="F275">
        <v>-5.4999999999999997E-3</v>
      </c>
      <c r="G275" t="s">
        <v>555</v>
      </c>
    </row>
    <row r="276" spans="1:7" x14ac:dyDescent="0.3">
      <c r="B276">
        <v>173.1</v>
      </c>
      <c r="C276" t="s">
        <v>24</v>
      </c>
      <c r="D276" t="s">
        <v>2699</v>
      </c>
      <c r="E276">
        <v>3.0000000000000001E-3</v>
      </c>
      <c r="F276">
        <v>-7.7200000000000005E-2</v>
      </c>
      <c r="G276" t="s">
        <v>2701</v>
      </c>
    </row>
    <row r="277" spans="1:7" x14ac:dyDescent="0.3">
      <c r="B277">
        <v>38.03</v>
      </c>
      <c r="C277" t="s">
        <v>1904</v>
      </c>
      <c r="D277" t="s">
        <v>4166</v>
      </c>
      <c r="E277">
        <v>1.1000000000000001E-3</v>
      </c>
      <c r="F277">
        <v>-4.2700000000000002E-2</v>
      </c>
      <c r="G277" t="s">
        <v>4168</v>
      </c>
    </row>
    <row r="278" spans="1:7" x14ac:dyDescent="0.3">
      <c r="B278">
        <v>30.12</v>
      </c>
      <c r="C278" t="s">
        <v>24</v>
      </c>
      <c r="D278" t="s">
        <v>4394</v>
      </c>
      <c r="E278">
        <v>3.5000000000000001E-3</v>
      </c>
      <c r="F278">
        <v>-2.63E-2</v>
      </c>
      <c r="G278" t="s">
        <v>4396</v>
      </c>
    </row>
    <row r="279" spans="1:7" x14ac:dyDescent="0.3">
      <c r="B279">
        <v>26.06</v>
      </c>
      <c r="C279" t="s">
        <v>517</v>
      </c>
      <c r="D279" t="s">
        <v>4517</v>
      </c>
      <c r="E279">
        <v>6.0000000000000001E-3</v>
      </c>
      <c r="F279">
        <v>-1.6799999999999999E-2</v>
      </c>
      <c r="G279" t="s">
        <v>4519</v>
      </c>
    </row>
    <row r="280" spans="1:7" x14ac:dyDescent="0.3">
      <c r="B280">
        <v>16.78</v>
      </c>
      <c r="C280" t="s">
        <v>1182</v>
      </c>
      <c r="D280" t="s">
        <v>4961</v>
      </c>
      <c r="E280">
        <v>5.0000000000000001E-3</v>
      </c>
      <c r="F280">
        <v>-2.0400000000000001E-2</v>
      </c>
      <c r="G280" t="s">
        <v>4963</v>
      </c>
    </row>
    <row r="281" spans="1:7" x14ac:dyDescent="0.3">
      <c r="A281" t="s">
        <v>844</v>
      </c>
      <c r="B281">
        <v>2440</v>
      </c>
      <c r="C281" t="s">
        <v>440</v>
      </c>
      <c r="D281" t="s">
        <v>843</v>
      </c>
      <c r="E281">
        <v>5.7999999999999996E-3</v>
      </c>
      <c r="F281">
        <v>5.3E-3</v>
      </c>
      <c r="G281" t="s">
        <v>845</v>
      </c>
    </row>
    <row r="282" spans="1:7" x14ac:dyDescent="0.3">
      <c r="B282">
        <v>680.45</v>
      </c>
      <c r="C282" t="s">
        <v>7</v>
      </c>
      <c r="D282" t="s">
        <v>1589</v>
      </c>
      <c r="E282">
        <v>6.4999999999999997E-3</v>
      </c>
      <c r="F282">
        <v>-1.03E-2</v>
      </c>
      <c r="G282" t="s">
        <v>1591</v>
      </c>
    </row>
    <row r="283" spans="1:7" x14ac:dyDescent="0.3">
      <c r="B283">
        <v>392.59</v>
      </c>
      <c r="C283" t="s">
        <v>12</v>
      </c>
      <c r="D283" t="s">
        <v>2015</v>
      </c>
      <c r="E283">
        <v>7.1000000000000004E-3</v>
      </c>
      <c r="F283">
        <v>-1.8599999999999998E-2</v>
      </c>
      <c r="G283" t="s">
        <v>2017</v>
      </c>
    </row>
    <row r="284" spans="1:7" x14ac:dyDescent="0.3">
      <c r="B284">
        <v>142.63999999999999</v>
      </c>
      <c r="C284" t="s">
        <v>280</v>
      </c>
      <c r="D284" t="s">
        <v>2869</v>
      </c>
      <c r="E284">
        <v>8.0000000000000002E-3</v>
      </c>
      <c r="F284">
        <v>-2.1499999999999998E-2</v>
      </c>
      <c r="G284" t="s">
        <v>2871</v>
      </c>
    </row>
    <row r="285" spans="1:7" x14ac:dyDescent="0.3">
      <c r="A285" t="s">
        <v>42</v>
      </c>
      <c r="B285" t="s">
        <v>662</v>
      </c>
      <c r="C285" t="s">
        <v>6113</v>
      </c>
      <c r="D285" t="s">
        <v>6193</v>
      </c>
      <c r="E285">
        <v>6.1000000000000004E-3</v>
      </c>
      <c r="F285">
        <v>-9.7999999999999997E-3</v>
      </c>
      <c r="G285" t="s">
        <v>6194</v>
      </c>
    </row>
    <row r="286" spans="1:7" x14ac:dyDescent="0.3">
      <c r="B286">
        <v>82190</v>
      </c>
      <c r="C286" t="s">
        <v>16</v>
      </c>
      <c r="D286" t="s">
        <v>40</v>
      </c>
      <c r="E286">
        <v>1E-3</v>
      </c>
      <c r="F286">
        <v>-3.3799999999999997E-2</v>
      </c>
      <c r="G286" t="s">
        <v>43</v>
      </c>
    </row>
    <row r="287" spans="1:7" x14ac:dyDescent="0.3">
      <c r="B287">
        <v>76710</v>
      </c>
      <c r="C287" t="s">
        <v>12</v>
      </c>
      <c r="D287" t="s">
        <v>48</v>
      </c>
      <c r="E287">
        <v>1.1000000000000001E-3</v>
      </c>
      <c r="F287">
        <v>-4.1300000000000003E-2</v>
      </c>
      <c r="G287" t="s">
        <v>50</v>
      </c>
    </row>
    <row r="288" spans="1:7" x14ac:dyDescent="0.3">
      <c r="B288">
        <v>29030</v>
      </c>
      <c r="C288" t="s">
        <v>12</v>
      </c>
      <c r="D288" t="s">
        <v>139</v>
      </c>
      <c r="E288">
        <v>7.0000000000000001E-3</v>
      </c>
      <c r="F288">
        <v>-4.6199999999999998E-2</v>
      </c>
      <c r="G288" t="s">
        <v>141</v>
      </c>
    </row>
    <row r="289" spans="2:7" x14ac:dyDescent="0.3">
      <c r="B289">
        <v>9620</v>
      </c>
      <c r="C289" t="s">
        <v>116</v>
      </c>
      <c r="D289" t="s">
        <v>329</v>
      </c>
      <c r="E289">
        <v>1.1000000000000001E-3</v>
      </c>
      <c r="F289">
        <v>-3.8699999999999998E-2</v>
      </c>
      <c r="G289" t="s">
        <v>331</v>
      </c>
    </row>
    <row r="290" spans="2:7" x14ac:dyDescent="0.3">
      <c r="B290">
        <v>6250</v>
      </c>
      <c r="C290" t="s">
        <v>12</v>
      </c>
      <c r="D290" t="s">
        <v>471</v>
      </c>
      <c r="E290">
        <v>2.5000000000000001E-3</v>
      </c>
      <c r="F290">
        <v>-5.0599999999999999E-2</v>
      </c>
      <c r="G290" t="s">
        <v>473</v>
      </c>
    </row>
    <row r="291" spans="2:7" x14ac:dyDescent="0.3">
      <c r="B291">
        <v>5970</v>
      </c>
      <c r="C291" t="s">
        <v>7</v>
      </c>
      <c r="D291" t="s">
        <v>493</v>
      </c>
      <c r="E291">
        <v>1.1000000000000001E-3</v>
      </c>
      <c r="F291">
        <v>-3.4000000000000002E-2</v>
      </c>
      <c r="G291" t="s">
        <v>495</v>
      </c>
    </row>
    <row r="292" spans="2:7" x14ac:dyDescent="0.3">
      <c r="B292">
        <v>3800</v>
      </c>
      <c r="C292" t="s">
        <v>440</v>
      </c>
      <c r="D292" t="s">
        <v>671</v>
      </c>
      <c r="E292">
        <v>3.2000000000000002E-3</v>
      </c>
      <c r="F292">
        <v>-6.0400000000000002E-2</v>
      </c>
      <c r="G292" t="s">
        <v>673</v>
      </c>
    </row>
    <row r="293" spans="2:7" x14ac:dyDescent="0.3">
      <c r="B293">
        <v>3780</v>
      </c>
      <c r="C293" t="s">
        <v>12</v>
      </c>
      <c r="D293" t="s">
        <v>681</v>
      </c>
      <c r="E293">
        <v>2.5000000000000001E-3</v>
      </c>
      <c r="F293">
        <v>-2E-3</v>
      </c>
      <c r="G293" t="s">
        <v>682</v>
      </c>
    </row>
    <row r="294" spans="2:7" x14ac:dyDescent="0.3">
      <c r="B294">
        <v>2310</v>
      </c>
      <c r="C294" t="s">
        <v>12</v>
      </c>
      <c r="D294" t="s">
        <v>867</v>
      </c>
      <c r="E294">
        <v>2.5000000000000001E-3</v>
      </c>
      <c r="F294">
        <v>-3.8999999999999998E-3</v>
      </c>
      <c r="G294" t="s">
        <v>869</v>
      </c>
    </row>
    <row r="295" spans="2:7" x14ac:dyDescent="0.3">
      <c r="B295">
        <v>1420</v>
      </c>
      <c r="C295" t="s">
        <v>24</v>
      </c>
      <c r="D295" t="s">
        <v>1081</v>
      </c>
      <c r="E295">
        <v>5.0000000000000001E-3</v>
      </c>
      <c r="F295">
        <v>-4.1999999999999997E-3</v>
      </c>
      <c r="G295" t="s">
        <v>1083</v>
      </c>
    </row>
    <row r="296" spans="2:7" x14ac:dyDescent="0.3">
      <c r="B296">
        <v>1340</v>
      </c>
      <c r="C296" t="s">
        <v>248</v>
      </c>
      <c r="D296" t="s">
        <v>1113</v>
      </c>
      <c r="E296">
        <v>4.4999999999999997E-3</v>
      </c>
      <c r="F296">
        <v>-3.3799999999999997E-2</v>
      </c>
      <c r="G296" t="s">
        <v>1114</v>
      </c>
    </row>
    <row r="297" spans="2:7" x14ac:dyDescent="0.3">
      <c r="B297">
        <v>1030</v>
      </c>
      <c r="C297" t="s">
        <v>863</v>
      </c>
      <c r="D297" t="s">
        <v>1257</v>
      </c>
      <c r="E297">
        <v>3.3E-3</v>
      </c>
      <c r="F297">
        <v>-2.3800000000000002E-2</v>
      </c>
      <c r="G297" t="s">
        <v>1258</v>
      </c>
    </row>
    <row r="298" spans="2:7" x14ac:dyDescent="0.3">
      <c r="B298">
        <v>893.56</v>
      </c>
      <c r="C298" t="s">
        <v>12</v>
      </c>
      <c r="D298" t="s">
        <v>1376</v>
      </c>
      <c r="E298">
        <v>4.4999999999999997E-3</v>
      </c>
      <c r="F298">
        <v>-1.0200000000000001E-2</v>
      </c>
      <c r="G298" t="s">
        <v>1378</v>
      </c>
    </row>
    <row r="299" spans="2:7" x14ac:dyDescent="0.3">
      <c r="B299">
        <v>710.68</v>
      </c>
      <c r="C299" t="s">
        <v>839</v>
      </c>
      <c r="D299" t="s">
        <v>1557</v>
      </c>
      <c r="E299">
        <v>4.8999999999999998E-3</v>
      </c>
      <c r="F299">
        <v>-2.7799999999999998E-2</v>
      </c>
      <c r="G299" t="s">
        <v>1559</v>
      </c>
    </row>
    <row r="300" spans="2:7" x14ac:dyDescent="0.3">
      <c r="B300">
        <v>640.57000000000005</v>
      </c>
      <c r="C300" t="s">
        <v>240</v>
      </c>
      <c r="D300" t="s">
        <v>1611</v>
      </c>
      <c r="E300">
        <v>3.5000000000000001E-3</v>
      </c>
      <c r="F300">
        <v>-1.78E-2</v>
      </c>
      <c r="G300" t="s">
        <v>1613</v>
      </c>
    </row>
    <row r="301" spans="2:7" x14ac:dyDescent="0.3">
      <c r="B301">
        <v>436.06</v>
      </c>
      <c r="C301" t="s">
        <v>280</v>
      </c>
      <c r="D301" t="s">
        <v>1898</v>
      </c>
      <c r="E301">
        <v>8.0000000000000002E-3</v>
      </c>
      <c r="F301">
        <v>-2.3E-3</v>
      </c>
      <c r="G301" t="s">
        <v>1900</v>
      </c>
    </row>
    <row r="302" spans="2:7" x14ac:dyDescent="0.3">
      <c r="B302">
        <v>370.1</v>
      </c>
      <c r="C302" t="s">
        <v>24</v>
      </c>
      <c r="D302" t="s">
        <v>2077</v>
      </c>
      <c r="E302">
        <v>3.0000000000000001E-3</v>
      </c>
      <c r="F302">
        <v>1.5299999999999999E-2</v>
      </c>
      <c r="G302" t="s">
        <v>2079</v>
      </c>
    </row>
    <row r="303" spans="2:7" x14ac:dyDescent="0.3">
      <c r="B303">
        <v>346.64</v>
      </c>
      <c r="C303" t="s">
        <v>332</v>
      </c>
      <c r="D303" t="s">
        <v>2123</v>
      </c>
      <c r="E303">
        <v>3.8999999999999998E-3</v>
      </c>
      <c r="F303">
        <v>-4.9599999999999998E-2</v>
      </c>
      <c r="G303" t="s">
        <v>2125</v>
      </c>
    </row>
    <row r="304" spans="2:7" x14ac:dyDescent="0.3">
      <c r="B304">
        <v>329.08</v>
      </c>
      <c r="C304" t="s">
        <v>444</v>
      </c>
      <c r="D304" t="s">
        <v>2175</v>
      </c>
      <c r="E304">
        <v>5.8999999999999999E-3</v>
      </c>
      <c r="F304">
        <v>-3.32E-2</v>
      </c>
      <c r="G304" t="s">
        <v>2177</v>
      </c>
    </row>
    <row r="305" spans="2:7" x14ac:dyDescent="0.3">
      <c r="B305">
        <v>240.43</v>
      </c>
      <c r="C305" t="s">
        <v>1182</v>
      </c>
      <c r="D305" t="s">
        <v>2386</v>
      </c>
      <c r="E305">
        <v>4.4999999999999997E-3</v>
      </c>
      <c r="F305">
        <v>1.1000000000000001E-3</v>
      </c>
      <c r="G305" t="s">
        <v>2388</v>
      </c>
    </row>
    <row r="306" spans="2:7" x14ac:dyDescent="0.3">
      <c r="B306">
        <v>208.73</v>
      </c>
      <c r="C306" t="s">
        <v>24</v>
      </c>
      <c r="D306" t="s">
        <v>2520</v>
      </c>
      <c r="E306">
        <v>8.9999999999999993E-3</v>
      </c>
      <c r="F306">
        <v>-4.4999999999999997E-3</v>
      </c>
      <c r="G306" t="s">
        <v>2522</v>
      </c>
    </row>
    <row r="307" spans="2:7" x14ac:dyDescent="0.3">
      <c r="B307">
        <v>186.85</v>
      </c>
      <c r="C307" t="s">
        <v>12</v>
      </c>
      <c r="D307" t="s">
        <v>2627</v>
      </c>
      <c r="E307">
        <v>1.46E-2</v>
      </c>
      <c r="F307">
        <v>-4.6800000000000001E-2</v>
      </c>
      <c r="G307" t="s">
        <v>2629</v>
      </c>
    </row>
    <row r="308" spans="2:7" x14ac:dyDescent="0.3">
      <c r="B308">
        <v>177.78</v>
      </c>
      <c r="C308" t="s">
        <v>332</v>
      </c>
      <c r="D308" t="s">
        <v>2671</v>
      </c>
      <c r="E308">
        <v>4.4000000000000003E-3</v>
      </c>
      <c r="F308">
        <v>-2.3999999999999998E-3</v>
      </c>
      <c r="G308" t="s">
        <v>2673</v>
      </c>
    </row>
    <row r="309" spans="2:7" x14ac:dyDescent="0.3">
      <c r="B309">
        <v>150.38999999999999</v>
      </c>
      <c r="C309" t="s">
        <v>780</v>
      </c>
      <c r="D309" t="s">
        <v>2820</v>
      </c>
      <c r="E309">
        <v>3.5000000000000001E-3</v>
      </c>
      <c r="F309">
        <v>-5.3199999999999997E-2</v>
      </c>
      <c r="G309" t="s">
        <v>2822</v>
      </c>
    </row>
    <row r="310" spans="2:7" x14ac:dyDescent="0.3">
      <c r="B310">
        <v>140.84</v>
      </c>
      <c r="C310" t="s">
        <v>7</v>
      </c>
      <c r="D310" t="s">
        <v>2884</v>
      </c>
      <c r="E310">
        <v>3.0000000000000001E-3</v>
      </c>
      <c r="F310">
        <v>-4.0099999999999997E-2</v>
      </c>
      <c r="G310" t="s">
        <v>2886</v>
      </c>
    </row>
    <row r="311" spans="2:7" x14ac:dyDescent="0.3">
      <c r="B311">
        <v>128.6</v>
      </c>
      <c r="C311" t="s">
        <v>12</v>
      </c>
      <c r="D311" t="s">
        <v>3012</v>
      </c>
      <c r="E311">
        <v>7.0000000000000001E-3</v>
      </c>
      <c r="F311">
        <v>-8.8200000000000001E-2</v>
      </c>
      <c r="G311" t="s">
        <v>3014</v>
      </c>
    </row>
    <row r="312" spans="2:7" x14ac:dyDescent="0.3">
      <c r="B312">
        <v>114</v>
      </c>
      <c r="C312" t="s">
        <v>618</v>
      </c>
      <c r="D312" t="s">
        <v>3148</v>
      </c>
      <c r="E312">
        <v>6.6E-3</v>
      </c>
      <c r="F312">
        <v>-4.7199999999999999E-2</v>
      </c>
      <c r="G312" t="s">
        <v>3150</v>
      </c>
    </row>
    <row r="313" spans="2:7" x14ac:dyDescent="0.3">
      <c r="B313">
        <v>111.86</v>
      </c>
      <c r="C313" t="s">
        <v>2475</v>
      </c>
      <c r="D313" t="s">
        <v>3167</v>
      </c>
      <c r="E313">
        <v>4.8999999999999998E-3</v>
      </c>
      <c r="F313">
        <v>3.6999999999999998E-2</v>
      </c>
      <c r="G313" t="s">
        <v>3169</v>
      </c>
    </row>
    <row r="314" spans="2:7" x14ac:dyDescent="0.3">
      <c r="B314">
        <v>103.87</v>
      </c>
      <c r="C314" t="s">
        <v>3223</v>
      </c>
      <c r="D314" t="s">
        <v>3224</v>
      </c>
      <c r="E314">
        <v>4.8999999999999998E-3</v>
      </c>
      <c r="F314">
        <v>-1.9599999999999999E-2</v>
      </c>
      <c r="G314" t="s">
        <v>3226</v>
      </c>
    </row>
    <row r="315" spans="2:7" x14ac:dyDescent="0.3">
      <c r="B315">
        <v>100.6</v>
      </c>
      <c r="C315" t="s">
        <v>1799</v>
      </c>
      <c r="D315" t="s">
        <v>3256</v>
      </c>
      <c r="E315">
        <v>8.8999999999999999E-3</v>
      </c>
      <c r="F315">
        <v>-2.8899999999999999E-2</v>
      </c>
      <c r="G315" t="s">
        <v>3258</v>
      </c>
    </row>
    <row r="316" spans="2:7" x14ac:dyDescent="0.3">
      <c r="B316">
        <v>94.9</v>
      </c>
      <c r="C316" t="s">
        <v>2070</v>
      </c>
      <c r="D316" t="s">
        <v>3299</v>
      </c>
      <c r="E316">
        <v>6.4999999999999997E-3</v>
      </c>
      <c r="F316">
        <v>3.6200000000000003E-2</v>
      </c>
      <c r="G316" t="s">
        <v>3301</v>
      </c>
    </row>
    <row r="317" spans="2:7" x14ac:dyDescent="0.3">
      <c r="B317">
        <v>92.86</v>
      </c>
      <c r="C317" t="s">
        <v>440</v>
      </c>
      <c r="D317" t="s">
        <v>3342</v>
      </c>
      <c r="E317">
        <v>3.2000000000000002E-3</v>
      </c>
      <c r="F317">
        <v>-1.2500000000000001E-2</v>
      </c>
      <c r="G317" t="s">
        <v>3344</v>
      </c>
    </row>
    <row r="318" spans="2:7" x14ac:dyDescent="0.3">
      <c r="B318">
        <v>81.5</v>
      </c>
      <c r="C318" t="s">
        <v>7</v>
      </c>
      <c r="D318" t="s">
        <v>3480</v>
      </c>
      <c r="E318">
        <v>3.0000000000000001E-3</v>
      </c>
      <c r="F318">
        <v>-4.5999999999999999E-3</v>
      </c>
      <c r="G318" t="s">
        <v>3482</v>
      </c>
    </row>
    <row r="319" spans="2:7" x14ac:dyDescent="0.3">
      <c r="B319">
        <v>76.31</v>
      </c>
      <c r="C319" t="s">
        <v>12</v>
      </c>
      <c r="D319" t="s">
        <v>3547</v>
      </c>
      <c r="E319">
        <v>1.6000000000000001E-3</v>
      </c>
      <c r="F319">
        <v>-6.6000000000000003E-2</v>
      </c>
      <c r="G319" t="s">
        <v>3549</v>
      </c>
    </row>
    <row r="320" spans="2:7" x14ac:dyDescent="0.3">
      <c r="B320">
        <v>74.72</v>
      </c>
      <c r="C320" t="s">
        <v>2951</v>
      </c>
      <c r="D320" t="s">
        <v>3566</v>
      </c>
      <c r="E320">
        <v>1.6000000000000001E-3</v>
      </c>
      <c r="F320">
        <v>-1.01E-2</v>
      </c>
      <c r="G320" t="s">
        <v>3568</v>
      </c>
    </row>
    <row r="321" spans="2:7" x14ac:dyDescent="0.3">
      <c r="B321">
        <v>47.25</v>
      </c>
      <c r="C321" t="s">
        <v>280</v>
      </c>
      <c r="D321" t="s">
        <v>3969</v>
      </c>
      <c r="E321">
        <v>9.4999999999999998E-3</v>
      </c>
      <c r="F321">
        <v>-1.9099999999999999E-2</v>
      </c>
      <c r="G321" t="s">
        <v>3971</v>
      </c>
    </row>
    <row r="322" spans="2:7" x14ac:dyDescent="0.3">
      <c r="B322">
        <v>41.44</v>
      </c>
      <c r="C322" t="s">
        <v>964</v>
      </c>
      <c r="D322" t="s">
        <v>4078</v>
      </c>
      <c r="E322">
        <v>4.4000000000000003E-3</v>
      </c>
      <c r="F322">
        <v>-6.7000000000000002E-3</v>
      </c>
      <c r="G322" t="s">
        <v>4080</v>
      </c>
    </row>
    <row r="323" spans="2:7" x14ac:dyDescent="0.3">
      <c r="B323">
        <v>37.19</v>
      </c>
      <c r="C323" t="s">
        <v>1799</v>
      </c>
      <c r="D323" t="s">
        <v>4202</v>
      </c>
      <c r="E323">
        <v>8.9999999999999993E-3</v>
      </c>
      <c r="F323">
        <v>-1.7000000000000001E-2</v>
      </c>
      <c r="G323" t="s">
        <v>4204</v>
      </c>
    </row>
    <row r="324" spans="2:7" x14ac:dyDescent="0.3">
      <c r="B324">
        <v>34.979999999999997</v>
      </c>
      <c r="C324" t="s">
        <v>1799</v>
      </c>
      <c r="D324" t="s">
        <v>4267</v>
      </c>
      <c r="E324">
        <v>8.8999999999999999E-3</v>
      </c>
      <c r="F324">
        <v>-2.2499999999999999E-2</v>
      </c>
      <c r="G324" t="s">
        <v>4269</v>
      </c>
    </row>
    <row r="325" spans="2:7" x14ac:dyDescent="0.3">
      <c r="B325">
        <v>32.93</v>
      </c>
      <c r="C325" t="s">
        <v>248</v>
      </c>
      <c r="D325" t="s">
        <v>4314</v>
      </c>
      <c r="E325">
        <v>3.5999999999999999E-3</v>
      </c>
      <c r="F325">
        <v>-4.0800000000000003E-2</v>
      </c>
      <c r="G325" t="s">
        <v>4316</v>
      </c>
    </row>
    <row r="326" spans="2:7" x14ac:dyDescent="0.3">
      <c r="B326">
        <v>32.729999999999997</v>
      </c>
      <c r="C326" t="s">
        <v>3896</v>
      </c>
      <c r="D326" t="s">
        <v>4323</v>
      </c>
      <c r="E326">
        <v>8.0000000000000002E-3</v>
      </c>
      <c r="F326" t="s">
        <v>662</v>
      </c>
      <c r="G326" t="s">
        <v>4325</v>
      </c>
    </row>
    <row r="327" spans="2:7" x14ac:dyDescent="0.3">
      <c r="B327">
        <v>29.97</v>
      </c>
      <c r="C327" t="s">
        <v>12</v>
      </c>
      <c r="D327" t="s">
        <v>4397</v>
      </c>
      <c r="E327">
        <v>1.6000000000000001E-3</v>
      </c>
      <c r="F327">
        <v>-2.46E-2</v>
      </c>
      <c r="G327" t="s">
        <v>4399</v>
      </c>
    </row>
    <row r="328" spans="2:7" x14ac:dyDescent="0.3">
      <c r="B328">
        <v>29.95</v>
      </c>
      <c r="C328" t="s">
        <v>7</v>
      </c>
      <c r="D328" t="s">
        <v>4400</v>
      </c>
      <c r="E328">
        <v>1.6000000000000001E-3</v>
      </c>
      <c r="F328" t="s">
        <v>662</v>
      </c>
      <c r="G328" t="s">
        <v>4402</v>
      </c>
    </row>
    <row r="329" spans="2:7" x14ac:dyDescent="0.3">
      <c r="B329">
        <v>28.32</v>
      </c>
      <c r="C329" t="s">
        <v>440</v>
      </c>
      <c r="D329" t="s">
        <v>4444</v>
      </c>
      <c r="E329">
        <v>3.2000000000000002E-3</v>
      </c>
      <c r="F329">
        <v>-1.8100000000000002E-2</v>
      </c>
      <c r="G329" t="s">
        <v>4446</v>
      </c>
    </row>
    <row r="330" spans="2:7" x14ac:dyDescent="0.3">
      <c r="B330">
        <v>27.88</v>
      </c>
      <c r="C330" t="s">
        <v>400</v>
      </c>
      <c r="D330" t="s">
        <v>4465</v>
      </c>
      <c r="E330">
        <v>2.5000000000000001E-3</v>
      </c>
      <c r="F330">
        <v>5.3E-3</v>
      </c>
      <c r="G330" t="s">
        <v>4467</v>
      </c>
    </row>
    <row r="331" spans="2:7" x14ac:dyDescent="0.3">
      <c r="B331">
        <v>25.32</v>
      </c>
      <c r="C331" t="s">
        <v>618</v>
      </c>
      <c r="D331" t="s">
        <v>4556</v>
      </c>
      <c r="E331">
        <v>2E-3</v>
      </c>
      <c r="F331">
        <v>-6.0299999999999999E-2</v>
      </c>
      <c r="G331" t="s">
        <v>4558</v>
      </c>
    </row>
    <row r="332" spans="2:7" x14ac:dyDescent="0.3">
      <c r="B332">
        <v>23.1</v>
      </c>
      <c r="C332" t="s">
        <v>280</v>
      </c>
      <c r="D332" t="s">
        <v>4652</v>
      </c>
      <c r="E332">
        <v>6.4000000000000003E-3</v>
      </c>
      <c r="F332">
        <v>-0.1077</v>
      </c>
      <c r="G332" t="s">
        <v>4654</v>
      </c>
    </row>
    <row r="333" spans="2:7" x14ac:dyDescent="0.3">
      <c r="B333">
        <v>21.62</v>
      </c>
      <c r="C333" t="s">
        <v>486</v>
      </c>
      <c r="D333" t="s">
        <v>4727</v>
      </c>
      <c r="E333">
        <v>7.0000000000000001E-3</v>
      </c>
      <c r="F333">
        <v>-7.3000000000000001E-3</v>
      </c>
      <c r="G333" t="s">
        <v>4729</v>
      </c>
    </row>
    <row r="334" spans="2:7" x14ac:dyDescent="0.3">
      <c r="B334">
        <v>21.48</v>
      </c>
      <c r="C334" t="s">
        <v>1340</v>
      </c>
      <c r="D334" t="s">
        <v>4733</v>
      </c>
      <c r="E334">
        <v>4.4999999999999997E-3</v>
      </c>
      <c r="F334">
        <v>5.9999999999999995E-4</v>
      </c>
      <c r="G334" t="s">
        <v>4735</v>
      </c>
    </row>
    <row r="335" spans="2:7" x14ac:dyDescent="0.3">
      <c r="B335">
        <v>20.77</v>
      </c>
      <c r="C335" t="s">
        <v>460</v>
      </c>
      <c r="D335" t="s">
        <v>4765</v>
      </c>
      <c r="E335">
        <v>4.4999999999999997E-3</v>
      </c>
      <c r="F335">
        <v>-1.01E-2</v>
      </c>
      <c r="G335" t="s">
        <v>4767</v>
      </c>
    </row>
    <row r="336" spans="2:7" x14ac:dyDescent="0.3">
      <c r="B336">
        <v>16.760000000000002</v>
      </c>
      <c r="C336" t="s">
        <v>24</v>
      </c>
      <c r="D336" t="s">
        <v>4964</v>
      </c>
      <c r="E336">
        <v>1.6000000000000001E-3</v>
      </c>
      <c r="F336">
        <v>-4.0300000000000002E-2</v>
      </c>
      <c r="G336" t="s">
        <v>4966</v>
      </c>
    </row>
    <row r="337" spans="1:7" x14ac:dyDescent="0.3">
      <c r="B337">
        <v>15.95</v>
      </c>
      <c r="C337" t="s">
        <v>444</v>
      </c>
      <c r="D337" t="s">
        <v>5005</v>
      </c>
      <c r="E337">
        <v>4.0000000000000001E-3</v>
      </c>
      <c r="F337">
        <v>-2.3999999999999998E-3</v>
      </c>
      <c r="G337" t="s">
        <v>5006</v>
      </c>
    </row>
    <row r="338" spans="1:7" x14ac:dyDescent="0.3">
      <c r="B338">
        <v>9.9</v>
      </c>
      <c r="C338" t="s">
        <v>941</v>
      </c>
      <c r="D338" t="s">
        <v>5287</v>
      </c>
      <c r="E338">
        <v>7.0000000000000001E-3</v>
      </c>
      <c r="F338">
        <v>2.5499999999999998E-2</v>
      </c>
      <c r="G338" t="s">
        <v>5289</v>
      </c>
    </row>
    <row r="339" spans="1:7" x14ac:dyDescent="0.3">
      <c r="B339">
        <v>9.52</v>
      </c>
      <c r="C339" t="s">
        <v>1904</v>
      </c>
      <c r="D339" t="s">
        <v>5312</v>
      </c>
      <c r="E339">
        <v>1.1000000000000001E-3</v>
      </c>
      <c r="F339" t="s">
        <v>662</v>
      </c>
      <c r="G339" t="s">
        <v>5314</v>
      </c>
    </row>
    <row r="340" spans="1:7" x14ac:dyDescent="0.3">
      <c r="B340">
        <v>7.47</v>
      </c>
      <c r="C340" t="s">
        <v>1799</v>
      </c>
      <c r="D340" t="s">
        <v>5453</v>
      </c>
      <c r="E340">
        <v>8.8999999999999999E-3</v>
      </c>
      <c r="F340">
        <v>-2.1299999999999999E-2</v>
      </c>
      <c r="G340" t="s">
        <v>5455</v>
      </c>
    </row>
    <row r="341" spans="1:7" x14ac:dyDescent="0.3">
      <c r="B341">
        <v>7.38</v>
      </c>
      <c r="C341" t="s">
        <v>280</v>
      </c>
      <c r="D341" t="s">
        <v>5465</v>
      </c>
      <c r="E341">
        <v>7.4999999999999997E-3</v>
      </c>
      <c r="F341">
        <v>5.4999999999999997E-3</v>
      </c>
      <c r="G341" t="s">
        <v>5467</v>
      </c>
    </row>
    <row r="342" spans="1:7" x14ac:dyDescent="0.3">
      <c r="B342">
        <v>6.18</v>
      </c>
      <c r="C342" t="s">
        <v>24</v>
      </c>
      <c r="D342" t="s">
        <v>5563</v>
      </c>
      <c r="E342">
        <v>3.0999999999999999E-3</v>
      </c>
      <c r="F342">
        <v>-1.9099999999999999E-2</v>
      </c>
      <c r="G342" t="s">
        <v>5565</v>
      </c>
    </row>
    <row r="343" spans="1:7" x14ac:dyDescent="0.3">
      <c r="B343">
        <v>3.13</v>
      </c>
      <c r="C343" t="s">
        <v>1842</v>
      </c>
      <c r="D343" t="s">
        <v>5846</v>
      </c>
      <c r="E343">
        <v>3.0999999999999999E-3</v>
      </c>
      <c r="F343" t="s">
        <v>662</v>
      </c>
      <c r="G343" t="s">
        <v>5848</v>
      </c>
    </row>
    <row r="344" spans="1:7" x14ac:dyDescent="0.3">
      <c r="B344">
        <v>2.5299999999999998</v>
      </c>
      <c r="C344" t="s">
        <v>440</v>
      </c>
      <c r="D344" t="s">
        <v>5915</v>
      </c>
      <c r="E344">
        <v>4.7999999999999996E-3</v>
      </c>
      <c r="F344">
        <v>-2.3900000000000001E-2</v>
      </c>
      <c r="G344" t="s">
        <v>5916</v>
      </c>
    </row>
    <row r="345" spans="1:7" x14ac:dyDescent="0.3">
      <c r="A345" t="s">
        <v>3653</v>
      </c>
      <c r="B345">
        <v>68.67</v>
      </c>
      <c r="C345" t="s">
        <v>863</v>
      </c>
      <c r="D345" t="s">
        <v>3651</v>
      </c>
      <c r="E345">
        <v>3.5999999999999999E-3</v>
      </c>
      <c r="F345">
        <v>5.1000000000000004E-3</v>
      </c>
      <c r="G345" t="s">
        <v>3654</v>
      </c>
    </row>
    <row r="346" spans="1:7" x14ac:dyDescent="0.3">
      <c r="B346">
        <v>7.75</v>
      </c>
      <c r="C346" t="s">
        <v>3867</v>
      </c>
      <c r="D346" t="s">
        <v>5424</v>
      </c>
      <c r="E346">
        <v>5.0000000000000001E-3</v>
      </c>
      <c r="F346">
        <v>-4.1999999999999997E-3</v>
      </c>
      <c r="G346" t="s">
        <v>5426</v>
      </c>
    </row>
    <row r="347" spans="1:7" x14ac:dyDescent="0.3">
      <c r="A347" t="s">
        <v>2953</v>
      </c>
      <c r="B347">
        <v>133.51</v>
      </c>
      <c r="C347" t="s">
        <v>2951</v>
      </c>
      <c r="D347" t="s">
        <v>2952</v>
      </c>
      <c r="E347">
        <v>4.8999999999999998E-3</v>
      </c>
      <c r="F347">
        <v>-7.6700000000000004E-2</v>
      </c>
      <c r="G347" t="s">
        <v>2954</v>
      </c>
    </row>
    <row r="348" spans="1:7" x14ac:dyDescent="0.3">
      <c r="A348" t="s">
        <v>5910</v>
      </c>
      <c r="B348">
        <v>2.57</v>
      </c>
      <c r="C348" t="s">
        <v>400</v>
      </c>
      <c r="D348" t="s">
        <v>5908</v>
      </c>
      <c r="E348">
        <v>7.9000000000000008E-3</v>
      </c>
      <c r="F348">
        <v>-0.13780000000000001</v>
      </c>
      <c r="G348" t="s">
        <v>5911</v>
      </c>
    </row>
    <row r="349" spans="1:7" x14ac:dyDescent="0.3">
      <c r="A349" t="s">
        <v>3485</v>
      </c>
      <c r="B349">
        <v>80.67</v>
      </c>
      <c r="C349" t="s">
        <v>400</v>
      </c>
      <c r="D349" t="s">
        <v>3483</v>
      </c>
      <c r="E349">
        <v>6.0000000000000001E-3</v>
      </c>
      <c r="F349">
        <v>-0.25519999999999998</v>
      </c>
      <c r="G349" t="s">
        <v>3486</v>
      </c>
    </row>
    <row r="350" spans="1:7" x14ac:dyDescent="0.3">
      <c r="A350" t="s">
        <v>4904</v>
      </c>
      <c r="B350">
        <v>17.84</v>
      </c>
      <c r="C350" t="s">
        <v>12</v>
      </c>
      <c r="D350" t="s">
        <v>4902</v>
      </c>
      <c r="E350">
        <v>6.0000000000000001E-3</v>
      </c>
      <c r="F350">
        <v>-2.81E-2</v>
      </c>
      <c r="G350" t="s">
        <v>4905</v>
      </c>
    </row>
    <row r="351" spans="1:7" x14ac:dyDescent="0.3">
      <c r="A351" t="s">
        <v>1306</v>
      </c>
      <c r="B351">
        <v>955.2</v>
      </c>
      <c r="C351" t="s">
        <v>979</v>
      </c>
      <c r="D351" t="s">
        <v>1304</v>
      </c>
      <c r="E351">
        <v>8.6E-3</v>
      </c>
      <c r="F351">
        <v>-0.25430000000000003</v>
      </c>
      <c r="G351" t="s">
        <v>1307</v>
      </c>
    </row>
    <row r="352" spans="1:7" x14ac:dyDescent="0.3">
      <c r="B352">
        <v>3.73</v>
      </c>
      <c r="C352" t="s">
        <v>486</v>
      </c>
      <c r="D352" t="s">
        <v>5770</v>
      </c>
      <c r="E352">
        <v>6.4999999999999997E-3</v>
      </c>
      <c r="F352">
        <v>-0.24160000000000001</v>
      </c>
      <c r="G352" t="s">
        <v>5772</v>
      </c>
    </row>
    <row r="353" spans="1:7" x14ac:dyDescent="0.3">
      <c r="A353" t="s">
        <v>1499</v>
      </c>
      <c r="B353">
        <v>770.58</v>
      </c>
      <c r="C353" t="s">
        <v>618</v>
      </c>
      <c r="D353" t="s">
        <v>1497</v>
      </c>
      <c r="E353">
        <v>1.5E-3</v>
      </c>
      <c r="F353">
        <v>-4.2099999999999999E-2</v>
      </c>
      <c r="G353" t="s">
        <v>1500</v>
      </c>
    </row>
    <row r="354" spans="1:7" x14ac:dyDescent="0.3">
      <c r="A354" t="s">
        <v>4345</v>
      </c>
      <c r="B354">
        <v>31.9</v>
      </c>
      <c r="C354" t="s">
        <v>12</v>
      </c>
      <c r="D354" t="s">
        <v>4343</v>
      </c>
      <c r="E354">
        <v>5.3E-3</v>
      </c>
      <c r="F354">
        <v>-5.79E-2</v>
      </c>
      <c r="G354" t="s">
        <v>4346</v>
      </c>
    </row>
    <row r="355" spans="1:7" x14ac:dyDescent="0.3">
      <c r="A355" t="s">
        <v>1450</v>
      </c>
      <c r="B355">
        <v>819.81</v>
      </c>
      <c r="C355" t="s">
        <v>12</v>
      </c>
      <c r="D355" t="s">
        <v>1448</v>
      </c>
      <c r="E355">
        <v>5.1000000000000004E-3</v>
      </c>
      <c r="F355">
        <v>1.12E-2</v>
      </c>
      <c r="G355" t="s">
        <v>1451</v>
      </c>
    </row>
    <row r="356" spans="1:7" x14ac:dyDescent="0.3">
      <c r="B356">
        <v>10.88</v>
      </c>
      <c r="C356" t="s">
        <v>1340</v>
      </c>
      <c r="D356" t="s">
        <v>5224</v>
      </c>
      <c r="E356">
        <v>8.9999999999999998E-4</v>
      </c>
      <c r="F356">
        <v>8.0999999999999996E-3</v>
      </c>
      <c r="G356" t="s">
        <v>5226</v>
      </c>
    </row>
    <row r="357" spans="1:7" x14ac:dyDescent="0.3">
      <c r="A357" t="s">
        <v>1791</v>
      </c>
      <c r="B357">
        <v>502.92</v>
      </c>
      <c r="C357" t="s">
        <v>12</v>
      </c>
      <c r="D357" t="s">
        <v>1789</v>
      </c>
      <c r="E357">
        <v>7.9000000000000008E-3</v>
      </c>
      <c r="F357">
        <v>-4.0899999999999999E-2</v>
      </c>
      <c r="G357" t="s">
        <v>1792</v>
      </c>
    </row>
    <row r="358" spans="1:7" x14ac:dyDescent="0.3">
      <c r="A358" t="s">
        <v>4138</v>
      </c>
      <c r="B358">
        <v>39.03</v>
      </c>
      <c r="C358" t="s">
        <v>486</v>
      </c>
      <c r="D358" t="s">
        <v>4136</v>
      </c>
      <c r="E358">
        <v>2E-3</v>
      </c>
      <c r="F358">
        <v>-2.5999999999999999E-2</v>
      </c>
      <c r="G358" t="s">
        <v>4139</v>
      </c>
    </row>
    <row r="359" spans="1:7" x14ac:dyDescent="0.3">
      <c r="A359" t="s">
        <v>4184</v>
      </c>
      <c r="B359">
        <v>37.71</v>
      </c>
      <c r="C359" t="s">
        <v>12</v>
      </c>
      <c r="D359" t="s">
        <v>4182</v>
      </c>
      <c r="E359">
        <v>5.8999999999999999E-3</v>
      </c>
      <c r="F359">
        <v>-8.5400000000000004E-2</v>
      </c>
      <c r="G359" t="s">
        <v>4185</v>
      </c>
    </row>
    <row r="360" spans="1:7" x14ac:dyDescent="0.3">
      <c r="A360" t="s">
        <v>855</v>
      </c>
      <c r="B360">
        <v>2420</v>
      </c>
      <c r="C360" t="s">
        <v>12</v>
      </c>
      <c r="D360" t="s">
        <v>853</v>
      </c>
      <c r="E360">
        <v>5.1000000000000004E-3</v>
      </c>
      <c r="F360">
        <v>-3.44E-2</v>
      </c>
      <c r="G360" t="s">
        <v>856</v>
      </c>
    </row>
    <row r="361" spans="1:7" x14ac:dyDescent="0.3">
      <c r="B361">
        <v>86.7</v>
      </c>
      <c r="C361" t="s">
        <v>280</v>
      </c>
      <c r="D361" t="s">
        <v>3409</v>
      </c>
      <c r="E361">
        <v>8.0000000000000002E-3</v>
      </c>
      <c r="F361">
        <v>-8.8499999999999995E-2</v>
      </c>
      <c r="G361" t="s">
        <v>3411</v>
      </c>
    </row>
    <row r="362" spans="1:7" x14ac:dyDescent="0.3">
      <c r="B362">
        <v>57.75</v>
      </c>
      <c r="C362" t="s">
        <v>12</v>
      </c>
      <c r="D362" t="s">
        <v>3787</v>
      </c>
      <c r="E362">
        <v>5.3E-3</v>
      </c>
      <c r="F362">
        <v>-6.3E-3</v>
      </c>
      <c r="G362" t="s">
        <v>3789</v>
      </c>
    </row>
    <row r="363" spans="1:7" x14ac:dyDescent="0.3">
      <c r="B363">
        <v>30.72</v>
      </c>
      <c r="C363" t="s">
        <v>440</v>
      </c>
      <c r="D363" t="s">
        <v>4388</v>
      </c>
      <c r="E363">
        <v>4.7999999999999996E-3</v>
      </c>
      <c r="F363">
        <v>2.6700000000000002E-2</v>
      </c>
      <c r="G363" t="s">
        <v>4390</v>
      </c>
    </row>
    <row r="364" spans="1:7" x14ac:dyDescent="0.3">
      <c r="B364">
        <v>18.89</v>
      </c>
      <c r="C364" t="s">
        <v>1340</v>
      </c>
      <c r="D364" t="s">
        <v>4842</v>
      </c>
      <c r="E364">
        <v>8.9999999999999998E-4</v>
      </c>
      <c r="F364">
        <v>-3.61E-2</v>
      </c>
      <c r="G364" t="s">
        <v>4844</v>
      </c>
    </row>
    <row r="365" spans="1:7" x14ac:dyDescent="0.3">
      <c r="B365">
        <v>12.9</v>
      </c>
      <c r="C365" t="s">
        <v>618</v>
      </c>
      <c r="D365" t="s">
        <v>5134</v>
      </c>
      <c r="E365">
        <v>4.4999999999999997E-3</v>
      </c>
      <c r="F365">
        <v>-8.3999999999999995E-3</v>
      </c>
      <c r="G365" t="s">
        <v>5136</v>
      </c>
    </row>
    <row r="366" spans="1:7" x14ac:dyDescent="0.3">
      <c r="A366" t="s">
        <v>4442</v>
      </c>
      <c r="B366">
        <v>28.4</v>
      </c>
      <c r="C366" t="s">
        <v>460</v>
      </c>
      <c r="D366" t="s">
        <v>4441</v>
      </c>
      <c r="E366">
        <v>6.4000000000000003E-3</v>
      </c>
      <c r="F366">
        <v>-8.0100000000000005E-2</v>
      </c>
      <c r="G366" t="s">
        <v>4443</v>
      </c>
    </row>
    <row r="367" spans="1:7" x14ac:dyDescent="0.3">
      <c r="A367" t="s">
        <v>1328</v>
      </c>
      <c r="B367">
        <v>930.93</v>
      </c>
      <c r="C367" t="s">
        <v>486</v>
      </c>
      <c r="D367" t="s">
        <v>1326</v>
      </c>
      <c r="E367">
        <v>5.8999999999999999E-3</v>
      </c>
      <c r="F367">
        <v>-5.5500000000000001E-2</v>
      </c>
      <c r="G367" t="s">
        <v>1329</v>
      </c>
    </row>
    <row r="368" spans="1:7" x14ac:dyDescent="0.3">
      <c r="B368">
        <v>292.12</v>
      </c>
      <c r="C368" t="s">
        <v>7</v>
      </c>
      <c r="D368" t="s">
        <v>2256</v>
      </c>
      <c r="E368">
        <v>4.0000000000000001E-3</v>
      </c>
      <c r="F368">
        <v>2.3999999999999998E-3</v>
      </c>
      <c r="G368" t="s">
        <v>2258</v>
      </c>
    </row>
    <row r="369" spans="1:7" x14ac:dyDescent="0.3">
      <c r="B369">
        <v>65.08</v>
      </c>
      <c r="C369" t="s">
        <v>440</v>
      </c>
      <c r="D369" t="s">
        <v>3690</v>
      </c>
      <c r="E369">
        <v>5.7999999999999996E-3</v>
      </c>
      <c r="F369">
        <v>4.3299999999999998E-2</v>
      </c>
      <c r="G369" t="s">
        <v>3692</v>
      </c>
    </row>
    <row r="370" spans="1:7" x14ac:dyDescent="0.3">
      <c r="A370" t="s">
        <v>685</v>
      </c>
      <c r="B370">
        <v>3720</v>
      </c>
      <c r="C370" t="s">
        <v>12</v>
      </c>
      <c r="D370" t="s">
        <v>683</v>
      </c>
      <c r="E370">
        <v>4.0000000000000001E-3</v>
      </c>
      <c r="F370">
        <v>-2E-3</v>
      </c>
      <c r="G370" t="s">
        <v>686</v>
      </c>
    </row>
    <row r="371" spans="1:7" x14ac:dyDescent="0.3">
      <c r="B371">
        <v>142.84</v>
      </c>
      <c r="C371" t="s">
        <v>2246</v>
      </c>
      <c r="D371" t="s">
        <v>2860</v>
      </c>
      <c r="E371">
        <v>5.1999999999999998E-3</v>
      </c>
      <c r="F371">
        <v>-0.104</v>
      </c>
      <c r="G371" t="s">
        <v>2862</v>
      </c>
    </row>
    <row r="372" spans="1:7" x14ac:dyDescent="0.3">
      <c r="B372">
        <v>99.6</v>
      </c>
      <c r="C372" t="s">
        <v>7</v>
      </c>
      <c r="D372" t="s">
        <v>3262</v>
      </c>
      <c r="E372">
        <v>5.0000000000000001E-3</v>
      </c>
      <c r="F372">
        <v>1.2E-2</v>
      </c>
      <c r="G372" t="s">
        <v>3264</v>
      </c>
    </row>
    <row r="373" spans="1:7" x14ac:dyDescent="0.3">
      <c r="B373">
        <v>60.42</v>
      </c>
      <c r="C373" t="s">
        <v>2378</v>
      </c>
      <c r="D373" t="s">
        <v>3750</v>
      </c>
      <c r="E373">
        <v>5.4000000000000003E-3</v>
      </c>
      <c r="F373">
        <v>1.1000000000000001E-3</v>
      </c>
      <c r="G373" t="s">
        <v>3752</v>
      </c>
    </row>
    <row r="374" spans="1:7" x14ac:dyDescent="0.3">
      <c r="B374">
        <v>10.55</v>
      </c>
      <c r="C374" t="s">
        <v>5247</v>
      </c>
      <c r="D374" t="s">
        <v>5248</v>
      </c>
      <c r="E374">
        <v>4.8999999999999998E-3</v>
      </c>
      <c r="F374">
        <v>-2.2700000000000001E-2</v>
      </c>
      <c r="G374" t="s">
        <v>5250</v>
      </c>
    </row>
    <row r="375" spans="1:7" x14ac:dyDescent="0.3">
      <c r="B375">
        <v>0.75246000000000002</v>
      </c>
      <c r="C375" t="s">
        <v>2462</v>
      </c>
      <c r="D375" t="s">
        <v>6055</v>
      </c>
      <c r="E375">
        <v>2E-3</v>
      </c>
      <c r="F375">
        <v>-2.76E-2</v>
      </c>
      <c r="G375" t="s">
        <v>6057</v>
      </c>
    </row>
    <row r="376" spans="1:7" x14ac:dyDescent="0.3">
      <c r="A376" t="s">
        <v>1956</v>
      </c>
      <c r="B376">
        <v>414.31</v>
      </c>
      <c r="C376" t="s">
        <v>460</v>
      </c>
      <c r="D376" t="s">
        <v>1954</v>
      </c>
      <c r="E376">
        <v>5.8999999999999999E-3</v>
      </c>
      <c r="F376">
        <v>-0.14879999999999999</v>
      </c>
      <c r="G376" t="s">
        <v>1957</v>
      </c>
    </row>
    <row r="377" spans="1:7" x14ac:dyDescent="0.3">
      <c r="B377">
        <v>212.84</v>
      </c>
      <c r="C377" t="s">
        <v>1340</v>
      </c>
      <c r="D377" t="s">
        <v>2496</v>
      </c>
      <c r="E377">
        <v>5.8999999999999999E-3</v>
      </c>
      <c r="F377">
        <v>-9.6699999999999994E-2</v>
      </c>
      <c r="G377" t="s">
        <v>2498</v>
      </c>
    </row>
    <row r="378" spans="1:7" x14ac:dyDescent="0.3">
      <c r="B378">
        <v>43.58</v>
      </c>
      <c r="C378" t="s">
        <v>2378</v>
      </c>
      <c r="D378" t="s">
        <v>4024</v>
      </c>
      <c r="E378">
        <v>5.1999999999999998E-3</v>
      </c>
      <c r="F378">
        <v>-0.1666</v>
      </c>
      <c r="G378" t="s">
        <v>4026</v>
      </c>
    </row>
    <row r="379" spans="1:7" x14ac:dyDescent="0.3">
      <c r="A379" t="s">
        <v>3210</v>
      </c>
      <c r="B379">
        <v>105.66</v>
      </c>
      <c r="C379" t="s">
        <v>460</v>
      </c>
      <c r="D379" t="s">
        <v>3208</v>
      </c>
      <c r="E379">
        <v>5.8999999999999999E-3</v>
      </c>
      <c r="F379">
        <v>6.7000000000000002E-3</v>
      </c>
      <c r="G379" t="s">
        <v>3211</v>
      </c>
    </row>
    <row r="380" spans="1:7" x14ac:dyDescent="0.3">
      <c r="A380" t="s">
        <v>6038</v>
      </c>
      <c r="B380">
        <v>1.02</v>
      </c>
      <c r="C380" t="s">
        <v>24</v>
      </c>
      <c r="D380" t="s">
        <v>6036</v>
      </c>
      <c r="E380">
        <v>5.8999999999999999E-3</v>
      </c>
      <c r="F380">
        <v>-0.18079999999999999</v>
      </c>
      <c r="G380" t="s">
        <v>6039</v>
      </c>
    </row>
    <row r="381" spans="1:7" x14ac:dyDescent="0.3">
      <c r="A381" t="s">
        <v>4622</v>
      </c>
      <c r="B381">
        <v>23.8</v>
      </c>
      <c r="C381" t="s">
        <v>4619</v>
      </c>
      <c r="D381" t="s">
        <v>4620</v>
      </c>
      <c r="E381">
        <v>1.18E-2</v>
      </c>
      <c r="F381">
        <v>-0.1042</v>
      </c>
      <c r="G381" t="s">
        <v>4623</v>
      </c>
    </row>
    <row r="382" spans="1:7" x14ac:dyDescent="0.3">
      <c r="A382" t="s">
        <v>160</v>
      </c>
      <c r="B382">
        <v>24740</v>
      </c>
      <c r="C382" t="s">
        <v>16</v>
      </c>
      <c r="D382" t="s">
        <v>158</v>
      </c>
      <c r="E382">
        <v>8.0000000000000004E-4</v>
      </c>
      <c r="F382">
        <v>-4.4600000000000001E-2</v>
      </c>
      <c r="G382" t="s">
        <v>161</v>
      </c>
    </row>
    <row r="383" spans="1:7" x14ac:dyDescent="0.3">
      <c r="B383">
        <v>17490</v>
      </c>
      <c r="C383" t="s">
        <v>12</v>
      </c>
      <c r="D383" t="s">
        <v>194</v>
      </c>
      <c r="E383">
        <v>3.2000000000000002E-3</v>
      </c>
      <c r="F383">
        <v>-4.1300000000000003E-2</v>
      </c>
      <c r="G383" t="s">
        <v>196</v>
      </c>
    </row>
    <row r="384" spans="1:7" x14ac:dyDescent="0.3">
      <c r="B384">
        <v>5320</v>
      </c>
      <c r="C384" t="s">
        <v>12</v>
      </c>
      <c r="D384" t="s">
        <v>545</v>
      </c>
      <c r="E384">
        <v>2E-3</v>
      </c>
      <c r="F384">
        <v>-1.3299999999999999E-2</v>
      </c>
      <c r="G384" t="s">
        <v>547</v>
      </c>
    </row>
    <row r="385" spans="2:7" x14ac:dyDescent="0.3">
      <c r="B385">
        <v>2760</v>
      </c>
      <c r="C385" t="s">
        <v>280</v>
      </c>
      <c r="D385" t="s">
        <v>796</v>
      </c>
      <c r="E385">
        <v>8.6999999999999994E-3</v>
      </c>
      <c r="F385">
        <v>-5.5800000000000002E-2</v>
      </c>
      <c r="G385" t="s">
        <v>798</v>
      </c>
    </row>
    <row r="386" spans="2:7" x14ac:dyDescent="0.3">
      <c r="B386">
        <v>842.12</v>
      </c>
      <c r="C386" t="s">
        <v>1411</v>
      </c>
      <c r="D386" t="s">
        <v>1412</v>
      </c>
      <c r="E386">
        <v>8.5000000000000006E-3</v>
      </c>
      <c r="F386">
        <v>-4.2500000000000003E-2</v>
      </c>
      <c r="G386" t="s">
        <v>1414</v>
      </c>
    </row>
    <row r="387" spans="2:7" x14ac:dyDescent="0.3">
      <c r="B387">
        <v>549.16</v>
      </c>
      <c r="C387" t="s">
        <v>7</v>
      </c>
      <c r="D387" t="s">
        <v>1720</v>
      </c>
      <c r="E387">
        <v>8.9999999999999998E-4</v>
      </c>
      <c r="F387">
        <v>-3.6299999999999999E-2</v>
      </c>
      <c r="G387" t="s">
        <v>1722</v>
      </c>
    </row>
    <row r="388" spans="2:7" x14ac:dyDescent="0.3">
      <c r="B388">
        <v>523.95000000000005</v>
      </c>
      <c r="C388" t="s">
        <v>12</v>
      </c>
      <c r="D388" t="s">
        <v>1760</v>
      </c>
      <c r="E388">
        <v>4.8999999999999998E-3</v>
      </c>
      <c r="F388">
        <v>-8.4099999999999994E-2</v>
      </c>
      <c r="G388" t="s">
        <v>1762</v>
      </c>
    </row>
    <row r="389" spans="2:7" x14ac:dyDescent="0.3">
      <c r="B389">
        <v>343.85</v>
      </c>
      <c r="C389" t="s">
        <v>2083</v>
      </c>
      <c r="D389" t="s">
        <v>2134</v>
      </c>
      <c r="E389">
        <v>6.3E-3</v>
      </c>
      <c r="F389">
        <v>-6.0499999999999998E-2</v>
      </c>
      <c r="G389" t="s">
        <v>2136</v>
      </c>
    </row>
    <row r="390" spans="2:7" x14ac:dyDescent="0.3">
      <c r="B390">
        <v>210.61</v>
      </c>
      <c r="C390" t="s">
        <v>280</v>
      </c>
      <c r="D390" t="s">
        <v>2505</v>
      </c>
      <c r="E390">
        <v>7.1000000000000004E-3</v>
      </c>
      <c r="F390">
        <v>-5.5100000000000003E-2</v>
      </c>
      <c r="G390" t="s">
        <v>2507</v>
      </c>
    </row>
    <row r="391" spans="2:7" x14ac:dyDescent="0.3">
      <c r="B391">
        <v>143.69</v>
      </c>
      <c r="C391" t="s">
        <v>12</v>
      </c>
      <c r="D391" t="s">
        <v>2851</v>
      </c>
      <c r="E391">
        <v>3.5000000000000001E-3</v>
      </c>
      <c r="F391">
        <v>-2.29E-2</v>
      </c>
      <c r="G391" t="s">
        <v>2853</v>
      </c>
    </row>
    <row r="392" spans="2:7" x14ac:dyDescent="0.3">
      <c r="B392">
        <v>129.72</v>
      </c>
      <c r="C392" t="s">
        <v>1289</v>
      </c>
      <c r="D392" t="s">
        <v>2985</v>
      </c>
      <c r="E392">
        <v>1.24E-2</v>
      </c>
      <c r="F392">
        <v>-0.1305</v>
      </c>
      <c r="G392" t="s">
        <v>2987</v>
      </c>
    </row>
    <row r="393" spans="2:7" x14ac:dyDescent="0.3">
      <c r="B393">
        <v>118.7</v>
      </c>
      <c r="C393" t="s">
        <v>2378</v>
      </c>
      <c r="D393" t="s">
        <v>3100</v>
      </c>
      <c r="E393">
        <v>5.0000000000000001E-3</v>
      </c>
      <c r="F393">
        <v>-1.47E-2</v>
      </c>
      <c r="G393" t="s">
        <v>3102</v>
      </c>
    </row>
    <row r="394" spans="2:7" x14ac:dyDescent="0.3">
      <c r="B394">
        <v>107.88</v>
      </c>
      <c r="C394" t="s">
        <v>2931</v>
      </c>
      <c r="D394" t="s">
        <v>3192</v>
      </c>
      <c r="E394">
        <v>7.4999999999999997E-3</v>
      </c>
      <c r="F394">
        <v>-0.1137</v>
      </c>
      <c r="G394" t="s">
        <v>3194</v>
      </c>
    </row>
    <row r="395" spans="2:7" x14ac:dyDescent="0.3">
      <c r="B395">
        <v>92.14</v>
      </c>
      <c r="C395" t="s">
        <v>2087</v>
      </c>
      <c r="D395" t="s">
        <v>3351</v>
      </c>
      <c r="E395">
        <v>8.8999999999999999E-3</v>
      </c>
      <c r="F395">
        <v>-4.0399999999999998E-2</v>
      </c>
      <c r="G395" t="s">
        <v>3353</v>
      </c>
    </row>
    <row r="396" spans="2:7" x14ac:dyDescent="0.3">
      <c r="B396">
        <v>76.23</v>
      </c>
      <c r="C396" t="s">
        <v>2931</v>
      </c>
      <c r="D396" t="s">
        <v>3553</v>
      </c>
      <c r="E396">
        <v>7.4999999999999997E-3</v>
      </c>
      <c r="F396">
        <v>-0.12130000000000001</v>
      </c>
      <c r="G396" t="s">
        <v>3555</v>
      </c>
    </row>
    <row r="397" spans="2:7" x14ac:dyDescent="0.3">
      <c r="B397">
        <v>55.63</v>
      </c>
      <c r="C397" t="s">
        <v>2353</v>
      </c>
      <c r="D397" t="s">
        <v>3826</v>
      </c>
      <c r="E397">
        <v>9.4999999999999998E-3</v>
      </c>
      <c r="F397">
        <v>-2.5499999999999998E-2</v>
      </c>
      <c r="G397" t="s">
        <v>3828</v>
      </c>
    </row>
    <row r="398" spans="2:7" x14ac:dyDescent="0.3">
      <c r="B398">
        <v>49.17</v>
      </c>
      <c r="C398" t="s">
        <v>460</v>
      </c>
      <c r="D398" t="s">
        <v>3924</v>
      </c>
      <c r="E398">
        <v>5.8999999999999999E-3</v>
      </c>
      <c r="F398">
        <v>-9.35E-2</v>
      </c>
      <c r="G398" t="s">
        <v>3926</v>
      </c>
    </row>
    <row r="399" spans="2:7" x14ac:dyDescent="0.3">
      <c r="B399">
        <v>46.65</v>
      </c>
      <c r="C399" t="s">
        <v>3978</v>
      </c>
      <c r="D399" t="s">
        <v>3979</v>
      </c>
      <c r="E399">
        <v>8.0000000000000002E-3</v>
      </c>
      <c r="F399">
        <v>-1.5E-3</v>
      </c>
      <c r="G399" t="s">
        <v>3981</v>
      </c>
    </row>
    <row r="400" spans="2:7" x14ac:dyDescent="0.3">
      <c r="B400">
        <v>43.4</v>
      </c>
      <c r="C400" t="s">
        <v>3680</v>
      </c>
      <c r="D400" t="s">
        <v>4037</v>
      </c>
      <c r="E400">
        <v>1.14E-2</v>
      </c>
      <c r="F400">
        <v>-4.0000000000000002E-4</v>
      </c>
      <c r="G400" t="s">
        <v>4039</v>
      </c>
    </row>
    <row r="401" spans="2:7" x14ac:dyDescent="0.3">
      <c r="B401">
        <v>41.92</v>
      </c>
      <c r="C401" t="s">
        <v>3680</v>
      </c>
      <c r="D401" t="s">
        <v>4065</v>
      </c>
      <c r="E401">
        <v>1.2500000000000001E-2</v>
      </c>
      <c r="F401">
        <v>-4.5999999999999999E-3</v>
      </c>
      <c r="G401" t="s">
        <v>4067</v>
      </c>
    </row>
    <row r="402" spans="2:7" x14ac:dyDescent="0.3">
      <c r="B402">
        <v>39.92</v>
      </c>
      <c r="C402" t="s">
        <v>444</v>
      </c>
      <c r="D402" t="s">
        <v>4112</v>
      </c>
      <c r="E402">
        <v>5.7000000000000002E-3</v>
      </c>
      <c r="F402">
        <v>-4.7000000000000002E-3</v>
      </c>
      <c r="G402" t="s">
        <v>4114</v>
      </c>
    </row>
    <row r="403" spans="2:7" x14ac:dyDescent="0.3">
      <c r="B403">
        <v>38.29</v>
      </c>
      <c r="C403" t="s">
        <v>4162</v>
      </c>
      <c r="D403" t="s">
        <v>4163</v>
      </c>
      <c r="E403">
        <v>5.1000000000000004E-3</v>
      </c>
      <c r="F403">
        <v>-8.1100000000000005E-2</v>
      </c>
      <c r="G403" t="s">
        <v>4165</v>
      </c>
    </row>
    <row r="404" spans="2:7" x14ac:dyDescent="0.3">
      <c r="B404">
        <v>27.23</v>
      </c>
      <c r="C404" t="s">
        <v>1340</v>
      </c>
      <c r="D404" t="s">
        <v>4477</v>
      </c>
      <c r="E404">
        <v>4.4999999999999997E-3</v>
      </c>
      <c r="F404">
        <v>2.8799999999999999E-2</v>
      </c>
      <c r="G404" t="s">
        <v>4479</v>
      </c>
    </row>
    <row r="405" spans="2:7" x14ac:dyDescent="0.3">
      <c r="B405">
        <v>23.46</v>
      </c>
      <c r="C405" t="s">
        <v>4636</v>
      </c>
      <c r="D405" t="s">
        <v>4637</v>
      </c>
      <c r="E405">
        <v>6.4999999999999997E-3</v>
      </c>
      <c r="F405">
        <v>1.5800000000000002E-2</v>
      </c>
      <c r="G405" t="s">
        <v>4639</v>
      </c>
    </row>
    <row r="406" spans="2:7" x14ac:dyDescent="0.3">
      <c r="B406">
        <v>23.39</v>
      </c>
      <c r="C406" t="s">
        <v>4642</v>
      </c>
      <c r="D406" t="s">
        <v>4643</v>
      </c>
      <c r="E406">
        <v>7.4999999999999997E-3</v>
      </c>
      <c r="F406">
        <v>-4.41E-2</v>
      </c>
      <c r="G406" t="s">
        <v>4645</v>
      </c>
    </row>
    <row r="407" spans="2:7" x14ac:dyDescent="0.3">
      <c r="B407">
        <v>23.06</v>
      </c>
      <c r="C407" t="s">
        <v>4655</v>
      </c>
      <c r="D407" t="s">
        <v>4656</v>
      </c>
      <c r="E407">
        <v>9.5999999999999992E-3</v>
      </c>
      <c r="F407" t="s">
        <v>662</v>
      </c>
      <c r="G407" t="s">
        <v>4658</v>
      </c>
    </row>
    <row r="408" spans="2:7" x14ac:dyDescent="0.3">
      <c r="B408">
        <v>20.59</v>
      </c>
      <c r="C408" t="s">
        <v>1340</v>
      </c>
      <c r="D408" t="s">
        <v>4777</v>
      </c>
      <c r="E408">
        <v>6.0000000000000001E-3</v>
      </c>
      <c r="F408">
        <v>-1.1299999999999999E-2</v>
      </c>
      <c r="G408" t="s">
        <v>4779</v>
      </c>
    </row>
    <row r="409" spans="2:7" x14ac:dyDescent="0.3">
      <c r="B409">
        <v>18.350000000000001</v>
      </c>
      <c r="C409" t="s">
        <v>4863</v>
      </c>
      <c r="D409" t="s">
        <v>4864</v>
      </c>
      <c r="E409">
        <v>8.8999999999999999E-3</v>
      </c>
      <c r="F409">
        <v>-2.35E-2</v>
      </c>
      <c r="G409" t="s">
        <v>4866</v>
      </c>
    </row>
    <row r="410" spans="2:7" x14ac:dyDescent="0.3">
      <c r="B410">
        <v>18.260000000000002</v>
      </c>
      <c r="C410" t="s">
        <v>440</v>
      </c>
      <c r="D410" t="s">
        <v>4872</v>
      </c>
      <c r="E410">
        <v>9.9000000000000008E-3</v>
      </c>
      <c r="F410">
        <v>-5.11E-2</v>
      </c>
      <c r="G410" t="s">
        <v>4874</v>
      </c>
    </row>
    <row r="411" spans="2:7" x14ac:dyDescent="0.3">
      <c r="B411">
        <v>18.23</v>
      </c>
      <c r="C411" t="s">
        <v>272</v>
      </c>
      <c r="D411" t="s">
        <v>4879</v>
      </c>
      <c r="E411">
        <v>5.1999999999999998E-3</v>
      </c>
      <c r="F411">
        <v>-3.3799999999999997E-2</v>
      </c>
      <c r="G411" t="s">
        <v>4881</v>
      </c>
    </row>
    <row r="412" spans="2:7" x14ac:dyDescent="0.3">
      <c r="B412">
        <v>17.87</v>
      </c>
      <c r="C412" t="s">
        <v>295</v>
      </c>
      <c r="D412" t="s">
        <v>4898</v>
      </c>
      <c r="E412">
        <v>5.4999999999999997E-3</v>
      </c>
      <c r="F412" t="s">
        <v>662</v>
      </c>
      <c r="G412" t="s">
        <v>4899</v>
      </c>
    </row>
    <row r="413" spans="2:7" x14ac:dyDescent="0.3">
      <c r="B413">
        <v>16.02</v>
      </c>
      <c r="C413" t="s">
        <v>1340</v>
      </c>
      <c r="D413" t="s">
        <v>4996</v>
      </c>
      <c r="E413">
        <v>3.5000000000000001E-3</v>
      </c>
      <c r="F413">
        <v>1E-4</v>
      </c>
      <c r="G413" t="s">
        <v>4998</v>
      </c>
    </row>
    <row r="414" spans="2:7" x14ac:dyDescent="0.3">
      <c r="B414">
        <v>10.29</v>
      </c>
      <c r="C414" t="s">
        <v>2475</v>
      </c>
      <c r="D414" t="s">
        <v>5260</v>
      </c>
      <c r="E414">
        <v>6.0000000000000001E-3</v>
      </c>
      <c r="F414">
        <v>-0.1696</v>
      </c>
      <c r="G414" t="s">
        <v>5262</v>
      </c>
    </row>
    <row r="415" spans="2:7" x14ac:dyDescent="0.3">
      <c r="B415">
        <v>5.79</v>
      </c>
      <c r="C415" t="s">
        <v>4144</v>
      </c>
      <c r="D415" t="s">
        <v>5603</v>
      </c>
      <c r="E415">
        <v>7.4999999999999997E-3</v>
      </c>
      <c r="F415">
        <v>-5.7999999999999996E-3</v>
      </c>
      <c r="G415" t="s">
        <v>5605</v>
      </c>
    </row>
    <row r="416" spans="2:7" x14ac:dyDescent="0.3">
      <c r="B416">
        <v>5.52</v>
      </c>
      <c r="C416" t="s">
        <v>5275</v>
      </c>
      <c r="D416" t="s">
        <v>5615</v>
      </c>
      <c r="E416">
        <v>8.0000000000000002E-3</v>
      </c>
      <c r="F416">
        <v>-0.18679999999999999</v>
      </c>
      <c r="G416" t="s">
        <v>5617</v>
      </c>
    </row>
    <row r="417" spans="1:7" x14ac:dyDescent="0.3">
      <c r="B417">
        <v>4.72</v>
      </c>
      <c r="C417" t="s">
        <v>1398</v>
      </c>
      <c r="D417" t="s">
        <v>5692</v>
      </c>
      <c r="E417">
        <v>7.4999999999999997E-3</v>
      </c>
      <c r="F417">
        <v>-0.1153</v>
      </c>
      <c r="G417" t="s">
        <v>5694</v>
      </c>
    </row>
    <row r="418" spans="1:7" x14ac:dyDescent="0.3">
      <c r="B418">
        <v>4.5199999999999996</v>
      </c>
      <c r="C418" t="s">
        <v>5707</v>
      </c>
      <c r="D418" t="s">
        <v>5708</v>
      </c>
      <c r="E418">
        <v>8.0000000000000002E-3</v>
      </c>
      <c r="F418" t="s">
        <v>662</v>
      </c>
      <c r="G418" t="s">
        <v>5710</v>
      </c>
    </row>
    <row r="419" spans="1:7" x14ac:dyDescent="0.3">
      <c r="B419">
        <v>2.81</v>
      </c>
      <c r="C419" t="s">
        <v>460</v>
      </c>
      <c r="D419" t="s">
        <v>5882</v>
      </c>
      <c r="E419">
        <v>5.8999999999999999E-3</v>
      </c>
      <c r="F419">
        <v>-0.1081</v>
      </c>
      <c r="G419" t="s">
        <v>5884</v>
      </c>
    </row>
    <row r="420" spans="1:7" x14ac:dyDescent="0.3">
      <c r="A420" t="s">
        <v>1690</v>
      </c>
      <c r="B420">
        <v>567.07000000000005</v>
      </c>
      <c r="C420" t="s">
        <v>1687</v>
      </c>
      <c r="D420" t="s">
        <v>1688</v>
      </c>
      <c r="E420">
        <v>8.5000000000000006E-3</v>
      </c>
      <c r="F420" t="s">
        <v>662</v>
      </c>
      <c r="G420" t="s">
        <v>1691</v>
      </c>
    </row>
    <row r="421" spans="1:7" x14ac:dyDescent="0.3">
      <c r="B421">
        <v>241.48</v>
      </c>
      <c r="C421" t="s">
        <v>2378</v>
      </c>
      <c r="D421" t="s">
        <v>2379</v>
      </c>
      <c r="E421">
        <v>5.7000000000000002E-3</v>
      </c>
      <c r="F421">
        <v>-0.1585</v>
      </c>
      <c r="G421" t="s">
        <v>2381</v>
      </c>
    </row>
    <row r="422" spans="1:7" x14ac:dyDescent="0.3">
      <c r="B422">
        <v>190.69</v>
      </c>
      <c r="C422" t="s">
        <v>1340</v>
      </c>
      <c r="D422" t="s">
        <v>2621</v>
      </c>
      <c r="E422">
        <v>5.3E-3</v>
      </c>
      <c r="F422">
        <v>-0.10730000000000001</v>
      </c>
      <c r="G422" t="s">
        <v>2623</v>
      </c>
    </row>
    <row r="423" spans="1:7" x14ac:dyDescent="0.3">
      <c r="B423">
        <v>52.02</v>
      </c>
      <c r="C423" t="s">
        <v>460</v>
      </c>
      <c r="D423" t="s">
        <v>3874</v>
      </c>
      <c r="E423">
        <v>5.8999999999999999E-3</v>
      </c>
      <c r="F423">
        <v>-0.224</v>
      </c>
      <c r="G423" t="s">
        <v>3876</v>
      </c>
    </row>
    <row r="424" spans="1:7" x14ac:dyDescent="0.3">
      <c r="B424">
        <v>38.479999999999997</v>
      </c>
      <c r="C424" t="s">
        <v>4154</v>
      </c>
      <c r="D424" t="s">
        <v>4155</v>
      </c>
      <c r="E424">
        <v>6.8999999999999999E-3</v>
      </c>
      <c r="F424">
        <v>-4.9599999999999998E-2</v>
      </c>
      <c r="G424" t="s">
        <v>4157</v>
      </c>
    </row>
    <row r="425" spans="1:7" x14ac:dyDescent="0.3">
      <c r="B425">
        <v>15.7</v>
      </c>
      <c r="C425" t="s">
        <v>440</v>
      </c>
      <c r="D425" t="s">
        <v>5017</v>
      </c>
      <c r="E425">
        <v>2E-3</v>
      </c>
      <c r="F425">
        <v>-0.22259999999999999</v>
      </c>
      <c r="G425" t="s">
        <v>5019</v>
      </c>
    </row>
    <row r="426" spans="1:7" x14ac:dyDescent="0.3">
      <c r="B426">
        <v>11.58</v>
      </c>
      <c r="C426" t="s">
        <v>4290</v>
      </c>
      <c r="D426" t="s">
        <v>5196</v>
      </c>
      <c r="E426">
        <v>5.4999999999999997E-3</v>
      </c>
      <c r="F426">
        <v>-0.2203</v>
      </c>
      <c r="G426" t="s">
        <v>5198</v>
      </c>
    </row>
    <row r="427" spans="1:7" x14ac:dyDescent="0.3">
      <c r="B427">
        <v>6.24</v>
      </c>
      <c r="C427" t="s">
        <v>780</v>
      </c>
      <c r="D427" t="s">
        <v>5554</v>
      </c>
      <c r="E427">
        <v>6.4000000000000003E-3</v>
      </c>
      <c r="F427">
        <v>5.7999999999999996E-3</v>
      </c>
      <c r="G427" t="s">
        <v>5556</v>
      </c>
    </row>
    <row r="428" spans="1:7" x14ac:dyDescent="0.3">
      <c r="B428">
        <v>1.22</v>
      </c>
      <c r="C428" t="s">
        <v>24</v>
      </c>
      <c r="D428" t="s">
        <v>6013</v>
      </c>
      <c r="E428">
        <v>4.7999999999999996E-3</v>
      </c>
      <c r="F428">
        <v>-0.1386</v>
      </c>
      <c r="G428" t="s">
        <v>6015</v>
      </c>
    </row>
    <row r="429" spans="1:7" x14ac:dyDescent="0.3">
      <c r="A429" t="s">
        <v>3061</v>
      </c>
      <c r="B429">
        <v>124.39</v>
      </c>
      <c r="C429" t="s">
        <v>2070</v>
      </c>
      <c r="D429" t="s">
        <v>3059</v>
      </c>
      <c r="E429">
        <v>7.1000000000000004E-3</v>
      </c>
      <c r="F429">
        <v>-2.0899999999999998E-2</v>
      </c>
      <c r="G429" t="s">
        <v>3062</v>
      </c>
    </row>
    <row r="430" spans="1:7" x14ac:dyDescent="0.3">
      <c r="B430">
        <v>47.46</v>
      </c>
      <c r="C430" t="s">
        <v>3680</v>
      </c>
      <c r="D430" t="s">
        <v>3964</v>
      </c>
      <c r="E430">
        <v>1.2500000000000001E-2</v>
      </c>
      <c r="F430">
        <v>-2.9100000000000001E-2</v>
      </c>
      <c r="G430" t="s">
        <v>3965</v>
      </c>
    </row>
    <row r="431" spans="1:7" x14ac:dyDescent="0.3">
      <c r="B431">
        <v>15.93</v>
      </c>
      <c r="C431" t="s">
        <v>5007</v>
      </c>
      <c r="D431" t="s">
        <v>5008</v>
      </c>
      <c r="E431">
        <v>8.0000000000000002E-3</v>
      </c>
      <c r="F431" t="s">
        <v>662</v>
      </c>
      <c r="G431" t="s">
        <v>5010</v>
      </c>
    </row>
    <row r="432" spans="1:7" x14ac:dyDescent="0.3">
      <c r="B432">
        <v>8.69</v>
      </c>
      <c r="C432" t="s">
        <v>5356</v>
      </c>
      <c r="D432" t="s">
        <v>5357</v>
      </c>
      <c r="E432">
        <v>4.8999999999999998E-3</v>
      </c>
      <c r="F432" t="s">
        <v>662</v>
      </c>
      <c r="G432" t="s">
        <v>5359</v>
      </c>
    </row>
    <row r="433" spans="1:7" x14ac:dyDescent="0.3">
      <c r="A433" t="s">
        <v>1153</v>
      </c>
      <c r="B433">
        <v>1210</v>
      </c>
      <c r="C433" t="s">
        <v>1150</v>
      </c>
      <c r="D433" t="s">
        <v>1151</v>
      </c>
      <c r="E433">
        <v>3.0000000000000001E-3</v>
      </c>
      <c r="F433">
        <v>-1.1299999999999999E-2</v>
      </c>
      <c r="G433" t="s">
        <v>1154</v>
      </c>
    </row>
    <row r="434" spans="1:7" x14ac:dyDescent="0.3">
      <c r="B434">
        <v>1020</v>
      </c>
      <c r="C434" t="s">
        <v>280</v>
      </c>
      <c r="D434" t="s">
        <v>1266</v>
      </c>
      <c r="E434">
        <v>7.0000000000000001E-3</v>
      </c>
      <c r="F434">
        <v>-8.9999999999999998E-4</v>
      </c>
      <c r="G434" t="s">
        <v>1267</v>
      </c>
    </row>
    <row r="435" spans="1:7" x14ac:dyDescent="0.3">
      <c r="B435">
        <v>36.17</v>
      </c>
      <c r="C435" t="s">
        <v>4227</v>
      </c>
      <c r="D435" t="s">
        <v>4228</v>
      </c>
      <c r="E435">
        <v>7.4999999999999997E-3</v>
      </c>
      <c r="F435">
        <v>-0.1575</v>
      </c>
      <c r="G435" t="s">
        <v>4230</v>
      </c>
    </row>
    <row r="436" spans="1:7" x14ac:dyDescent="0.3">
      <c r="A436" t="s">
        <v>1212</v>
      </c>
      <c r="B436">
        <v>1130</v>
      </c>
      <c r="C436" t="s">
        <v>272</v>
      </c>
      <c r="D436" t="s">
        <v>1210</v>
      </c>
      <c r="E436">
        <v>5.5999999999999999E-3</v>
      </c>
      <c r="F436">
        <v>-2.2100000000000002E-2</v>
      </c>
      <c r="G436" t="s">
        <v>1213</v>
      </c>
    </row>
    <row r="437" spans="1:7" x14ac:dyDescent="0.3">
      <c r="B437">
        <v>81.650000000000006</v>
      </c>
      <c r="C437" t="s">
        <v>12</v>
      </c>
      <c r="D437" t="s">
        <v>3474</v>
      </c>
      <c r="E437">
        <v>3.8999999999999998E-3</v>
      </c>
      <c r="F437">
        <v>2.06E-2</v>
      </c>
      <c r="G437" t="s">
        <v>3476</v>
      </c>
    </row>
    <row r="438" spans="1:7" x14ac:dyDescent="0.3">
      <c r="B438">
        <v>5.83</v>
      </c>
      <c r="C438" t="s">
        <v>280</v>
      </c>
      <c r="D438" t="s">
        <v>5596</v>
      </c>
      <c r="E438">
        <v>7.0000000000000001E-3</v>
      </c>
      <c r="F438">
        <v>1.61E-2</v>
      </c>
      <c r="G438" t="s">
        <v>5598</v>
      </c>
    </row>
    <row r="439" spans="1:7" x14ac:dyDescent="0.3">
      <c r="B439">
        <v>5.36</v>
      </c>
      <c r="C439" t="s">
        <v>486</v>
      </c>
      <c r="D439" t="s">
        <v>5640</v>
      </c>
      <c r="E439">
        <v>5.0000000000000001E-3</v>
      </c>
      <c r="F439">
        <v>-0.17</v>
      </c>
      <c r="G439" t="s">
        <v>5642</v>
      </c>
    </row>
    <row r="440" spans="1:7" x14ac:dyDescent="0.3">
      <c r="B440">
        <v>2.88</v>
      </c>
      <c r="C440" t="s">
        <v>5869</v>
      </c>
      <c r="D440" t="s">
        <v>5870</v>
      </c>
      <c r="E440">
        <v>7.4999999999999997E-3</v>
      </c>
      <c r="F440" t="s">
        <v>662</v>
      </c>
      <c r="G440" t="s">
        <v>5872</v>
      </c>
    </row>
    <row r="441" spans="1:7" x14ac:dyDescent="0.3">
      <c r="B441">
        <v>2.27</v>
      </c>
      <c r="C441" t="s">
        <v>272</v>
      </c>
      <c r="D441" t="s">
        <v>5935</v>
      </c>
      <c r="E441">
        <v>6.8999999999999999E-3</v>
      </c>
      <c r="F441" t="s">
        <v>662</v>
      </c>
      <c r="G441" t="s">
        <v>5936</v>
      </c>
    </row>
    <row r="442" spans="1:7" x14ac:dyDescent="0.3">
      <c r="A442" t="s">
        <v>719</v>
      </c>
      <c r="B442">
        <v>3420</v>
      </c>
      <c r="C442" t="s">
        <v>717</v>
      </c>
      <c r="D442" t="s">
        <v>718</v>
      </c>
      <c r="E442">
        <v>6.0000000000000001E-3</v>
      </c>
      <c r="F442">
        <v>-8.3900000000000002E-2</v>
      </c>
      <c r="G442" t="s">
        <v>720</v>
      </c>
    </row>
    <row r="443" spans="1:7" x14ac:dyDescent="0.3">
      <c r="A443" t="s">
        <v>2316</v>
      </c>
      <c r="B443" t="s">
        <v>662</v>
      </c>
      <c r="C443" t="s">
        <v>6113</v>
      </c>
      <c r="D443" t="s">
        <v>6223</v>
      </c>
      <c r="E443">
        <v>3.4099999999999998E-2</v>
      </c>
      <c r="F443">
        <v>-6.5199999999999994E-2</v>
      </c>
      <c r="G443" t="s">
        <v>6224</v>
      </c>
    </row>
    <row r="444" spans="1:7" x14ac:dyDescent="0.3">
      <c r="B444">
        <v>262.41000000000003</v>
      </c>
      <c r="C444" t="s">
        <v>24</v>
      </c>
      <c r="D444" t="s">
        <v>2314</v>
      </c>
      <c r="E444">
        <v>1.44E-2</v>
      </c>
      <c r="F444">
        <v>-0.1018</v>
      </c>
      <c r="G444" t="s">
        <v>2317</v>
      </c>
    </row>
    <row r="445" spans="1:7" x14ac:dyDescent="0.3">
      <c r="A445" t="s">
        <v>3527</v>
      </c>
      <c r="B445">
        <v>77.260000000000005</v>
      </c>
      <c r="C445" t="s">
        <v>280</v>
      </c>
      <c r="D445" t="s">
        <v>3525</v>
      </c>
      <c r="E445">
        <v>7.0000000000000001E-3</v>
      </c>
      <c r="F445">
        <v>-2.2599999999999999E-2</v>
      </c>
      <c r="G445" t="s">
        <v>3528</v>
      </c>
    </row>
    <row r="446" spans="1:7" x14ac:dyDescent="0.3">
      <c r="A446" t="s">
        <v>1862</v>
      </c>
      <c r="B446">
        <v>470.5</v>
      </c>
      <c r="C446" t="s">
        <v>272</v>
      </c>
      <c r="D446" t="s">
        <v>1860</v>
      </c>
      <c r="E446">
        <v>3.5000000000000001E-3</v>
      </c>
      <c r="F446">
        <v>-0.18410000000000001</v>
      </c>
      <c r="G446" t="s">
        <v>1863</v>
      </c>
    </row>
    <row r="447" spans="1:7" x14ac:dyDescent="0.3">
      <c r="A447" t="s">
        <v>1324</v>
      </c>
      <c r="B447">
        <v>937.6</v>
      </c>
      <c r="C447" t="s">
        <v>1308</v>
      </c>
      <c r="D447" t="s">
        <v>1322</v>
      </c>
      <c r="E447">
        <v>7.1000000000000004E-3</v>
      </c>
      <c r="F447">
        <v>-0.29649999999999999</v>
      </c>
      <c r="G447" t="s">
        <v>1325</v>
      </c>
    </row>
    <row r="448" spans="1:7" x14ac:dyDescent="0.3">
      <c r="B448">
        <v>220.75</v>
      </c>
      <c r="C448" t="s">
        <v>2462</v>
      </c>
      <c r="D448" t="s">
        <v>2463</v>
      </c>
      <c r="E448">
        <v>6.7999999999999996E-3</v>
      </c>
      <c r="F448">
        <v>-0.2046</v>
      </c>
      <c r="G448" t="s">
        <v>2465</v>
      </c>
    </row>
    <row r="449" spans="1:7" x14ac:dyDescent="0.3">
      <c r="B449">
        <v>151.56</v>
      </c>
      <c r="C449" t="s">
        <v>280</v>
      </c>
      <c r="D449" t="s">
        <v>2811</v>
      </c>
      <c r="E449">
        <v>6.4999999999999997E-3</v>
      </c>
      <c r="F449">
        <v>-2.7699999999999999E-2</v>
      </c>
      <c r="G449" t="s">
        <v>2813</v>
      </c>
    </row>
    <row r="450" spans="1:7" x14ac:dyDescent="0.3">
      <c r="B450">
        <v>92.91</v>
      </c>
      <c r="C450" t="s">
        <v>486</v>
      </c>
      <c r="D450" t="s">
        <v>3339</v>
      </c>
      <c r="E450">
        <v>5.0000000000000001E-3</v>
      </c>
      <c r="F450">
        <v>-0.4304</v>
      </c>
      <c r="G450" t="s">
        <v>3341</v>
      </c>
    </row>
    <row r="451" spans="1:7" x14ac:dyDescent="0.3">
      <c r="B451">
        <v>3.88</v>
      </c>
      <c r="C451" t="s">
        <v>24</v>
      </c>
      <c r="D451" t="s">
        <v>5759</v>
      </c>
      <c r="E451">
        <v>6.0000000000000001E-3</v>
      </c>
      <c r="F451">
        <v>-0.28179999999999999</v>
      </c>
      <c r="G451" t="s">
        <v>5760</v>
      </c>
    </row>
    <row r="452" spans="1:7" x14ac:dyDescent="0.3">
      <c r="A452" t="s">
        <v>2457</v>
      </c>
      <c r="B452">
        <v>222.78</v>
      </c>
      <c r="C452" t="s">
        <v>272</v>
      </c>
      <c r="D452" t="s">
        <v>2455</v>
      </c>
      <c r="E452">
        <v>3.5000000000000001E-3</v>
      </c>
      <c r="F452">
        <v>-4.8099999999999997E-2</v>
      </c>
      <c r="G452" t="s">
        <v>2458</v>
      </c>
    </row>
    <row r="453" spans="1:7" x14ac:dyDescent="0.3">
      <c r="A453" t="s">
        <v>2414</v>
      </c>
      <c r="B453">
        <v>235.01</v>
      </c>
      <c r="C453" t="s">
        <v>248</v>
      </c>
      <c r="D453" t="s">
        <v>2412</v>
      </c>
      <c r="E453">
        <v>7.4999999999999997E-3</v>
      </c>
      <c r="F453">
        <v>-0.19170000000000001</v>
      </c>
      <c r="G453" t="s">
        <v>2415</v>
      </c>
    </row>
    <row r="454" spans="1:7" x14ac:dyDescent="0.3">
      <c r="B454">
        <v>205.92</v>
      </c>
      <c r="C454" t="s">
        <v>517</v>
      </c>
      <c r="D454" t="s">
        <v>2548</v>
      </c>
      <c r="E454">
        <v>5.0000000000000001E-3</v>
      </c>
      <c r="F454">
        <v>-0.17280000000000001</v>
      </c>
      <c r="G454" t="s">
        <v>2550</v>
      </c>
    </row>
    <row r="455" spans="1:7" x14ac:dyDescent="0.3">
      <c r="B455">
        <v>15.18</v>
      </c>
      <c r="C455" t="s">
        <v>12</v>
      </c>
      <c r="D455" t="s">
        <v>5047</v>
      </c>
      <c r="E455">
        <v>8.8000000000000005E-3</v>
      </c>
      <c r="F455">
        <v>-0.26790000000000003</v>
      </c>
      <c r="G455" t="s">
        <v>5049</v>
      </c>
    </row>
    <row r="456" spans="1:7" x14ac:dyDescent="0.3">
      <c r="A456" t="s">
        <v>298</v>
      </c>
      <c r="B456" t="s">
        <v>662</v>
      </c>
      <c r="C456" t="s">
        <v>6110</v>
      </c>
      <c r="D456" t="s">
        <v>6111</v>
      </c>
      <c r="E456">
        <v>7.4999999999999997E-3</v>
      </c>
      <c r="F456" t="s">
        <v>662</v>
      </c>
      <c r="G456" t="s">
        <v>6112</v>
      </c>
    </row>
    <row r="457" spans="1:7" x14ac:dyDescent="0.3">
      <c r="C457" t="s">
        <v>6113</v>
      </c>
      <c r="D457" t="s">
        <v>6153</v>
      </c>
      <c r="E457">
        <v>4.4999999999999997E-3</v>
      </c>
      <c r="F457">
        <v>-0.13769999999999999</v>
      </c>
      <c r="G457" t="s">
        <v>6154</v>
      </c>
    </row>
    <row r="458" spans="1:7" x14ac:dyDescent="0.3">
      <c r="B458">
        <v>12140</v>
      </c>
      <c r="C458" t="s">
        <v>295</v>
      </c>
      <c r="D458" t="s">
        <v>296</v>
      </c>
      <c r="E458">
        <v>7.4999999999999997E-3</v>
      </c>
      <c r="F458">
        <v>-0.39729999999999999</v>
      </c>
      <c r="G458" t="s">
        <v>299</v>
      </c>
    </row>
    <row r="459" spans="1:7" x14ac:dyDescent="0.3">
      <c r="B459">
        <v>1750</v>
      </c>
      <c r="C459" t="s">
        <v>7</v>
      </c>
      <c r="D459" t="s">
        <v>984</v>
      </c>
      <c r="E459">
        <v>2E-3</v>
      </c>
      <c r="F459">
        <v>-0.19939999999999999</v>
      </c>
      <c r="G459" t="s">
        <v>986</v>
      </c>
    </row>
    <row r="460" spans="1:7" x14ac:dyDescent="0.3">
      <c r="B460">
        <v>433.43</v>
      </c>
      <c r="C460" t="s">
        <v>248</v>
      </c>
      <c r="D460" t="s">
        <v>1914</v>
      </c>
      <c r="E460">
        <v>5.0000000000000001E-3</v>
      </c>
      <c r="F460">
        <v>-0.13089999999999999</v>
      </c>
      <c r="G460" t="s">
        <v>1916</v>
      </c>
    </row>
    <row r="461" spans="1:7" x14ac:dyDescent="0.3">
      <c r="B461">
        <v>250.53</v>
      </c>
      <c r="C461" t="s">
        <v>2353</v>
      </c>
      <c r="D461" t="s">
        <v>2354</v>
      </c>
      <c r="E461">
        <v>7.4999999999999997E-3</v>
      </c>
      <c r="F461" t="s">
        <v>662</v>
      </c>
      <c r="G461" t="s">
        <v>2356</v>
      </c>
    </row>
    <row r="462" spans="1:7" x14ac:dyDescent="0.3">
      <c r="B462">
        <v>90.15</v>
      </c>
      <c r="C462" t="s">
        <v>486</v>
      </c>
      <c r="D462" t="s">
        <v>3371</v>
      </c>
      <c r="E462">
        <v>5.0000000000000001E-3</v>
      </c>
      <c r="F462">
        <v>-0.26329999999999998</v>
      </c>
      <c r="G462" t="s">
        <v>3373</v>
      </c>
    </row>
    <row r="463" spans="1:7" x14ac:dyDescent="0.3">
      <c r="B463">
        <v>64.08</v>
      </c>
      <c r="C463" t="s">
        <v>1268</v>
      </c>
      <c r="D463" t="s">
        <v>3701</v>
      </c>
      <c r="E463">
        <v>1.49E-2</v>
      </c>
      <c r="F463">
        <v>-0.25969999999999999</v>
      </c>
      <c r="G463" t="s">
        <v>3703</v>
      </c>
    </row>
    <row r="464" spans="1:7" x14ac:dyDescent="0.3">
      <c r="B464">
        <v>60.36</v>
      </c>
      <c r="C464" t="s">
        <v>460</v>
      </c>
      <c r="D464" t="s">
        <v>3756</v>
      </c>
      <c r="E464">
        <v>5.8999999999999999E-3</v>
      </c>
      <c r="F464">
        <v>-2.7E-2</v>
      </c>
      <c r="G464" t="s">
        <v>3758</v>
      </c>
    </row>
    <row r="465" spans="1:7" x14ac:dyDescent="0.3">
      <c r="B465">
        <v>12.2</v>
      </c>
      <c r="C465" t="s">
        <v>1308</v>
      </c>
      <c r="D465" t="s">
        <v>5161</v>
      </c>
      <c r="E465">
        <v>4.8999999999999998E-3</v>
      </c>
      <c r="F465">
        <v>-0.22370000000000001</v>
      </c>
      <c r="G465" t="s">
        <v>5163</v>
      </c>
    </row>
    <row r="466" spans="1:7" x14ac:dyDescent="0.3">
      <c r="B466">
        <v>7.76</v>
      </c>
      <c r="C466" t="s">
        <v>979</v>
      </c>
      <c r="D466" t="s">
        <v>5419</v>
      </c>
      <c r="E466">
        <v>8.6999999999999994E-3</v>
      </c>
      <c r="F466">
        <v>-0.1358</v>
      </c>
      <c r="G466" t="s">
        <v>5421</v>
      </c>
    </row>
    <row r="467" spans="1:7" x14ac:dyDescent="0.3">
      <c r="B467">
        <v>4.78</v>
      </c>
      <c r="C467" t="s">
        <v>5685</v>
      </c>
      <c r="D467" t="s">
        <v>5686</v>
      </c>
      <c r="E467">
        <v>7.4999999999999997E-3</v>
      </c>
      <c r="F467">
        <v>-8.2799999999999999E-2</v>
      </c>
      <c r="G467" t="s">
        <v>5688</v>
      </c>
    </row>
    <row r="468" spans="1:7" x14ac:dyDescent="0.3">
      <c r="B468">
        <v>3.66</v>
      </c>
      <c r="C468" t="s">
        <v>280</v>
      </c>
      <c r="D468" t="s">
        <v>5783</v>
      </c>
      <c r="E468">
        <v>7.4999999999999997E-3</v>
      </c>
      <c r="F468">
        <v>-0.18740000000000001</v>
      </c>
      <c r="G468" t="s">
        <v>5785</v>
      </c>
    </row>
    <row r="469" spans="1:7" x14ac:dyDescent="0.3">
      <c r="B469">
        <v>0.87589000000000006</v>
      </c>
      <c r="C469" t="s">
        <v>1308</v>
      </c>
      <c r="D469" t="s">
        <v>6052</v>
      </c>
      <c r="E469">
        <v>5.8999999999999999E-3</v>
      </c>
      <c r="F469">
        <v>-0.25080000000000002</v>
      </c>
      <c r="G469" t="s">
        <v>6054</v>
      </c>
    </row>
    <row r="470" spans="1:7" x14ac:dyDescent="0.3">
      <c r="B470">
        <v>0.66549999999999998</v>
      </c>
      <c r="C470" t="s">
        <v>6058</v>
      </c>
      <c r="D470" t="s">
        <v>6059</v>
      </c>
      <c r="E470">
        <v>7.4999999999999997E-3</v>
      </c>
      <c r="F470" t="s">
        <v>662</v>
      </c>
      <c r="G470" t="s">
        <v>6061</v>
      </c>
    </row>
    <row r="471" spans="1:7" x14ac:dyDescent="0.3">
      <c r="A471" t="s">
        <v>1577</v>
      </c>
      <c r="B471">
        <v>688.49</v>
      </c>
      <c r="C471" t="s">
        <v>921</v>
      </c>
      <c r="D471" t="s">
        <v>1575</v>
      </c>
      <c r="E471">
        <v>7.4999999999999997E-3</v>
      </c>
      <c r="F471">
        <v>-0.32829999999999998</v>
      </c>
      <c r="G471" t="s">
        <v>1578</v>
      </c>
    </row>
    <row r="472" spans="1:7" x14ac:dyDescent="0.3">
      <c r="B472">
        <v>147.83000000000001</v>
      </c>
      <c r="C472" t="s">
        <v>1289</v>
      </c>
      <c r="D472" t="s">
        <v>2835</v>
      </c>
      <c r="E472">
        <v>7.6E-3</v>
      </c>
      <c r="F472">
        <v>-0.35510000000000003</v>
      </c>
      <c r="G472" t="s">
        <v>2837</v>
      </c>
    </row>
    <row r="473" spans="1:7" x14ac:dyDescent="0.3">
      <c r="B473">
        <v>69.02</v>
      </c>
      <c r="C473" t="s">
        <v>1308</v>
      </c>
      <c r="D473" t="s">
        <v>3648</v>
      </c>
      <c r="E473">
        <v>7.4999999999999997E-3</v>
      </c>
      <c r="F473">
        <v>-0.36299999999999999</v>
      </c>
      <c r="G473" t="s">
        <v>3650</v>
      </c>
    </row>
    <row r="474" spans="1:7" x14ac:dyDescent="0.3">
      <c r="B474">
        <v>22.76</v>
      </c>
      <c r="C474" t="s">
        <v>2070</v>
      </c>
      <c r="D474" t="s">
        <v>4676</v>
      </c>
      <c r="E474">
        <v>4.1999999999999997E-3</v>
      </c>
      <c r="F474">
        <v>-0.2074</v>
      </c>
      <c r="G474" t="s">
        <v>4678</v>
      </c>
    </row>
    <row r="475" spans="1:7" x14ac:dyDescent="0.3">
      <c r="B475">
        <v>3.43</v>
      </c>
      <c r="C475" t="s">
        <v>5815</v>
      </c>
      <c r="D475" t="s">
        <v>5816</v>
      </c>
      <c r="E475">
        <v>7.9000000000000008E-3</v>
      </c>
      <c r="F475">
        <v>-0.38800000000000001</v>
      </c>
      <c r="G475" t="s">
        <v>5818</v>
      </c>
    </row>
    <row r="476" spans="1:7" x14ac:dyDescent="0.3">
      <c r="A476" t="s">
        <v>2384</v>
      </c>
      <c r="B476">
        <v>241.06</v>
      </c>
      <c r="C476" t="s">
        <v>1398</v>
      </c>
      <c r="D476" t="s">
        <v>2382</v>
      </c>
      <c r="E476">
        <v>7.4999999999999997E-3</v>
      </c>
      <c r="F476">
        <v>-0.31519999999999998</v>
      </c>
      <c r="G476" t="s">
        <v>2385</v>
      </c>
    </row>
    <row r="477" spans="1:7" x14ac:dyDescent="0.3">
      <c r="B477">
        <v>89.85</v>
      </c>
      <c r="C477" t="s">
        <v>272</v>
      </c>
      <c r="D477" t="s">
        <v>3374</v>
      </c>
      <c r="E477">
        <v>6.4999999999999997E-3</v>
      </c>
      <c r="F477">
        <v>-0.1709</v>
      </c>
      <c r="G477" t="s">
        <v>3376</v>
      </c>
    </row>
    <row r="478" spans="1:7" x14ac:dyDescent="0.3">
      <c r="B478">
        <v>0.46016000000000001</v>
      </c>
      <c r="C478" t="s">
        <v>6088</v>
      </c>
      <c r="D478" t="s">
        <v>6089</v>
      </c>
      <c r="E478">
        <v>7.9000000000000008E-3</v>
      </c>
      <c r="F478" t="s">
        <v>662</v>
      </c>
      <c r="G478" t="s">
        <v>6091</v>
      </c>
    </row>
    <row r="479" spans="1:7" x14ac:dyDescent="0.3">
      <c r="A479" t="s">
        <v>2362</v>
      </c>
      <c r="B479">
        <v>248.62</v>
      </c>
      <c r="C479" t="s">
        <v>12</v>
      </c>
      <c r="D479" t="s">
        <v>2360</v>
      </c>
      <c r="E479">
        <v>4.3E-3</v>
      </c>
      <c r="F479">
        <v>-8.9399999999999993E-2</v>
      </c>
      <c r="G479" t="s">
        <v>2363</v>
      </c>
    </row>
    <row r="480" spans="1:7" x14ac:dyDescent="0.3">
      <c r="A480" t="s">
        <v>5239</v>
      </c>
      <c r="B480">
        <v>10.69</v>
      </c>
      <c r="C480" t="s">
        <v>280</v>
      </c>
      <c r="D480" t="s">
        <v>5237</v>
      </c>
      <c r="E480">
        <v>7.0000000000000001E-3</v>
      </c>
      <c r="F480">
        <v>-2.8500000000000001E-2</v>
      </c>
      <c r="G480" t="s">
        <v>5240</v>
      </c>
    </row>
    <row r="481" spans="1:7" x14ac:dyDescent="0.3">
      <c r="A481" t="s">
        <v>4925</v>
      </c>
      <c r="B481" t="s">
        <v>662</v>
      </c>
      <c r="C481" t="s">
        <v>6113</v>
      </c>
      <c r="D481" t="s">
        <v>6114</v>
      </c>
      <c r="E481">
        <v>5.7999999999999996E-3</v>
      </c>
      <c r="F481" t="s">
        <v>662</v>
      </c>
      <c r="G481" t="s">
        <v>6115</v>
      </c>
    </row>
    <row r="482" spans="1:7" x14ac:dyDescent="0.3">
      <c r="D482" t="s">
        <v>6180</v>
      </c>
      <c r="E482">
        <v>5.0000000000000001E-3</v>
      </c>
      <c r="F482">
        <v>-0.18779999999999999</v>
      </c>
      <c r="G482" t="s">
        <v>6181</v>
      </c>
    </row>
    <row r="483" spans="1:7" x14ac:dyDescent="0.3">
      <c r="B483">
        <v>17.399999999999999</v>
      </c>
      <c r="C483" t="s">
        <v>248</v>
      </c>
      <c r="D483" t="s">
        <v>4923</v>
      </c>
      <c r="E483">
        <v>7.4999999999999997E-3</v>
      </c>
      <c r="F483" t="s">
        <v>662</v>
      </c>
      <c r="G483" t="s">
        <v>4926</v>
      </c>
    </row>
    <row r="484" spans="1:7" x14ac:dyDescent="0.3">
      <c r="B484">
        <v>8.3800000000000008</v>
      </c>
      <c r="C484" t="s">
        <v>5378</v>
      </c>
      <c r="D484" t="s">
        <v>5379</v>
      </c>
      <c r="E484">
        <v>6.0000000000000001E-3</v>
      </c>
      <c r="F484">
        <v>-8.7099999999999997E-2</v>
      </c>
      <c r="G484" t="s">
        <v>5381</v>
      </c>
    </row>
    <row r="485" spans="1:7" x14ac:dyDescent="0.3">
      <c r="B485">
        <v>7.48</v>
      </c>
      <c r="C485" t="s">
        <v>979</v>
      </c>
      <c r="D485" t="s">
        <v>5450</v>
      </c>
      <c r="E485">
        <v>7.0000000000000001E-3</v>
      </c>
      <c r="F485" t="s">
        <v>662</v>
      </c>
      <c r="G485" t="s">
        <v>5452</v>
      </c>
    </row>
    <row r="486" spans="1:7" x14ac:dyDescent="0.3">
      <c r="B486">
        <v>6.83</v>
      </c>
      <c r="C486" t="s">
        <v>1864</v>
      </c>
      <c r="D486" t="s">
        <v>5504</v>
      </c>
      <c r="E486">
        <v>4.4999999999999997E-3</v>
      </c>
      <c r="F486">
        <v>-3.2399999999999998E-2</v>
      </c>
      <c r="G486" t="s">
        <v>5506</v>
      </c>
    </row>
    <row r="487" spans="1:7" x14ac:dyDescent="0.3">
      <c r="B487">
        <v>5.49</v>
      </c>
      <c r="C487" t="s">
        <v>486</v>
      </c>
      <c r="D487" t="s">
        <v>5620</v>
      </c>
      <c r="E487">
        <v>5.0000000000000001E-3</v>
      </c>
      <c r="F487">
        <v>-0.28839999999999999</v>
      </c>
      <c r="G487" t="s">
        <v>5622</v>
      </c>
    </row>
    <row r="488" spans="1:7" x14ac:dyDescent="0.3">
      <c r="B488">
        <v>4.16</v>
      </c>
      <c r="C488" t="s">
        <v>2475</v>
      </c>
      <c r="D488" t="s">
        <v>5737</v>
      </c>
      <c r="E488">
        <v>6.0000000000000001E-3</v>
      </c>
      <c r="F488" t="s">
        <v>662</v>
      </c>
      <c r="G488" t="s">
        <v>5739</v>
      </c>
    </row>
    <row r="489" spans="1:7" x14ac:dyDescent="0.3">
      <c r="A489" t="s">
        <v>1986</v>
      </c>
      <c r="B489">
        <v>403.2</v>
      </c>
      <c r="C489" t="s">
        <v>12</v>
      </c>
      <c r="D489" t="s">
        <v>1984</v>
      </c>
      <c r="E489">
        <v>4.3E-3</v>
      </c>
      <c r="F489">
        <v>-6.1199999999999997E-2</v>
      </c>
      <c r="G489" t="s">
        <v>1987</v>
      </c>
    </row>
    <row r="490" spans="1:7" x14ac:dyDescent="0.3">
      <c r="A490" t="s">
        <v>1237</v>
      </c>
      <c r="B490">
        <v>1060</v>
      </c>
      <c r="C490" t="s">
        <v>12</v>
      </c>
      <c r="D490" t="s">
        <v>1235</v>
      </c>
      <c r="E490">
        <v>4.3E-3</v>
      </c>
      <c r="F490">
        <v>4.7E-2</v>
      </c>
      <c r="G490" t="s">
        <v>1238</v>
      </c>
    </row>
    <row r="491" spans="1:7" x14ac:dyDescent="0.3">
      <c r="A491" t="s">
        <v>974</v>
      </c>
      <c r="B491">
        <v>1780</v>
      </c>
      <c r="C491" t="s">
        <v>486</v>
      </c>
      <c r="D491" t="s">
        <v>972</v>
      </c>
      <c r="E491">
        <v>6.4999999999999997E-3</v>
      </c>
      <c r="F491">
        <v>2.3300000000000001E-2</v>
      </c>
      <c r="G491" t="s">
        <v>975</v>
      </c>
    </row>
    <row r="492" spans="1:7" x14ac:dyDescent="0.3">
      <c r="A492" t="s">
        <v>565</v>
      </c>
      <c r="B492">
        <v>5070</v>
      </c>
      <c r="C492" t="s">
        <v>280</v>
      </c>
      <c r="D492" t="s">
        <v>563</v>
      </c>
      <c r="E492">
        <v>6.0000000000000001E-3</v>
      </c>
      <c r="F492">
        <v>-0.13109999999999999</v>
      </c>
      <c r="G492" t="s">
        <v>566</v>
      </c>
    </row>
    <row r="493" spans="1:7" x14ac:dyDescent="0.3">
      <c r="B493">
        <v>1950</v>
      </c>
      <c r="C493" t="s">
        <v>921</v>
      </c>
      <c r="D493" t="s">
        <v>922</v>
      </c>
      <c r="E493">
        <v>6.0000000000000001E-3</v>
      </c>
      <c r="F493">
        <v>-0.1739</v>
      </c>
      <c r="G493" t="s">
        <v>924</v>
      </c>
    </row>
    <row r="494" spans="1:7" x14ac:dyDescent="0.3">
      <c r="B494">
        <v>987.72</v>
      </c>
      <c r="C494" t="s">
        <v>486</v>
      </c>
      <c r="D494" t="s">
        <v>1283</v>
      </c>
      <c r="E494">
        <v>5.0000000000000001E-3</v>
      </c>
      <c r="F494">
        <v>-0.1522</v>
      </c>
      <c r="G494" t="s">
        <v>1285</v>
      </c>
    </row>
    <row r="495" spans="1:7" x14ac:dyDescent="0.3">
      <c r="B495">
        <v>529.41999999999996</v>
      </c>
      <c r="C495" t="s">
        <v>12</v>
      </c>
      <c r="D495" t="s">
        <v>1754</v>
      </c>
      <c r="E495">
        <v>4.7000000000000002E-3</v>
      </c>
      <c r="F495">
        <v>-0.14480000000000001</v>
      </c>
      <c r="G495" t="s">
        <v>1756</v>
      </c>
    </row>
    <row r="496" spans="1:7" x14ac:dyDescent="0.3">
      <c r="B496">
        <v>12.44</v>
      </c>
      <c r="C496" t="s">
        <v>1842</v>
      </c>
      <c r="D496" t="s">
        <v>5158</v>
      </c>
      <c r="E496">
        <v>9.4999999999999998E-3</v>
      </c>
      <c r="F496">
        <v>-0.31990000000000002</v>
      </c>
      <c r="G496" t="s">
        <v>5160</v>
      </c>
    </row>
    <row r="497" spans="1:7" x14ac:dyDescent="0.3">
      <c r="A497" t="s">
        <v>2244</v>
      </c>
      <c r="B497">
        <v>302.52</v>
      </c>
      <c r="C497" t="s">
        <v>486</v>
      </c>
      <c r="D497" t="s">
        <v>2242</v>
      </c>
      <c r="E497">
        <v>6.4999999999999997E-3</v>
      </c>
      <c r="F497">
        <v>-0.26290000000000002</v>
      </c>
      <c r="G497" t="s">
        <v>2245</v>
      </c>
    </row>
    <row r="498" spans="1:7" x14ac:dyDescent="0.3">
      <c r="B498">
        <v>147.38999999999999</v>
      </c>
      <c r="C498" t="s">
        <v>486</v>
      </c>
      <c r="D498" t="s">
        <v>2838</v>
      </c>
      <c r="E498">
        <v>5.0000000000000001E-3</v>
      </c>
      <c r="F498">
        <v>-0.2382</v>
      </c>
      <c r="G498" t="s">
        <v>2840</v>
      </c>
    </row>
    <row r="499" spans="1:7" x14ac:dyDescent="0.3">
      <c r="B499">
        <v>95.67</v>
      </c>
      <c r="C499" t="s">
        <v>979</v>
      </c>
      <c r="D499" t="s">
        <v>3296</v>
      </c>
      <c r="E499">
        <v>8.5000000000000006E-3</v>
      </c>
      <c r="F499">
        <v>-0.4052</v>
      </c>
      <c r="G499" t="s">
        <v>3298</v>
      </c>
    </row>
    <row r="500" spans="1:7" x14ac:dyDescent="0.3">
      <c r="B500">
        <v>38.56</v>
      </c>
      <c r="C500" t="s">
        <v>280</v>
      </c>
      <c r="D500" t="s">
        <v>4151</v>
      </c>
      <c r="E500">
        <v>8.5000000000000006E-3</v>
      </c>
      <c r="F500">
        <v>-0.41120000000000001</v>
      </c>
      <c r="G500" t="s">
        <v>4153</v>
      </c>
    </row>
    <row r="501" spans="1:7" x14ac:dyDescent="0.3">
      <c r="B501">
        <v>38.020000000000003</v>
      </c>
      <c r="C501" t="s">
        <v>272</v>
      </c>
      <c r="D501" t="s">
        <v>4169</v>
      </c>
      <c r="E501">
        <v>5.0000000000000001E-3</v>
      </c>
      <c r="F501">
        <v>-0.49109999999999998</v>
      </c>
      <c r="G501" t="s">
        <v>4171</v>
      </c>
    </row>
    <row r="502" spans="1:7" x14ac:dyDescent="0.3">
      <c r="B502">
        <v>20.62</v>
      </c>
      <c r="C502" t="s">
        <v>1340</v>
      </c>
      <c r="D502" t="s">
        <v>4774</v>
      </c>
      <c r="E502">
        <v>5.0000000000000001E-3</v>
      </c>
      <c r="F502">
        <v>-0.39119999999999999</v>
      </c>
      <c r="G502" t="s">
        <v>4776</v>
      </c>
    </row>
    <row r="503" spans="1:7" x14ac:dyDescent="0.3">
      <c r="B503">
        <v>15.66</v>
      </c>
      <c r="C503" t="s">
        <v>2087</v>
      </c>
      <c r="D503" t="s">
        <v>5023</v>
      </c>
      <c r="E503">
        <v>5.8999999999999999E-3</v>
      </c>
      <c r="F503">
        <v>-0.33550000000000002</v>
      </c>
      <c r="G503" t="s">
        <v>5024</v>
      </c>
    </row>
    <row r="504" spans="1:7" x14ac:dyDescent="0.3">
      <c r="B504">
        <v>10.29</v>
      </c>
      <c r="C504" t="s">
        <v>1150</v>
      </c>
      <c r="D504" t="s">
        <v>5263</v>
      </c>
      <c r="E504">
        <v>4.4999999999999997E-3</v>
      </c>
      <c r="F504" t="s">
        <v>662</v>
      </c>
      <c r="G504" t="s">
        <v>5264</v>
      </c>
    </row>
    <row r="505" spans="1:7" x14ac:dyDescent="0.3">
      <c r="B505">
        <v>6.5</v>
      </c>
      <c r="C505" t="s">
        <v>24</v>
      </c>
      <c r="D505" t="s">
        <v>5528</v>
      </c>
      <c r="E505">
        <v>6.0000000000000001E-3</v>
      </c>
      <c r="F505">
        <v>-0.4103</v>
      </c>
      <c r="G505" t="s">
        <v>5530</v>
      </c>
    </row>
    <row r="506" spans="1:7" x14ac:dyDescent="0.3">
      <c r="B506">
        <v>5.2</v>
      </c>
      <c r="C506" t="s">
        <v>5661</v>
      </c>
      <c r="D506" t="s">
        <v>5662</v>
      </c>
      <c r="E506">
        <v>8.5000000000000006E-3</v>
      </c>
      <c r="F506" t="s">
        <v>662</v>
      </c>
      <c r="G506" t="s">
        <v>5664</v>
      </c>
    </row>
    <row r="507" spans="1:7" x14ac:dyDescent="0.3">
      <c r="B507">
        <v>0.54175000000000006</v>
      </c>
      <c r="C507" t="s">
        <v>1308</v>
      </c>
      <c r="D507" t="s">
        <v>6073</v>
      </c>
      <c r="E507">
        <v>5.8999999999999999E-3</v>
      </c>
      <c r="F507">
        <v>-0.20349999999999999</v>
      </c>
      <c r="G507" t="s">
        <v>6075</v>
      </c>
    </row>
    <row r="508" spans="1:7" x14ac:dyDescent="0.3">
      <c r="A508" t="s">
        <v>1364</v>
      </c>
      <c r="B508">
        <v>899.17</v>
      </c>
      <c r="C508" t="s">
        <v>921</v>
      </c>
      <c r="D508" t="s">
        <v>1362</v>
      </c>
      <c r="E508">
        <v>7.4999999999999997E-3</v>
      </c>
      <c r="F508">
        <v>-0.25209999999999999</v>
      </c>
      <c r="G508" t="s">
        <v>1365</v>
      </c>
    </row>
    <row r="509" spans="1:7" x14ac:dyDescent="0.3">
      <c r="A509" t="s">
        <v>1314</v>
      </c>
      <c r="B509">
        <v>952.13</v>
      </c>
      <c r="C509" t="s">
        <v>272</v>
      </c>
      <c r="D509" t="s">
        <v>1312</v>
      </c>
      <c r="E509">
        <v>5.8999999999999999E-3</v>
      </c>
      <c r="F509">
        <v>-4.0300000000000002E-2</v>
      </c>
      <c r="G509" t="s">
        <v>1315</v>
      </c>
    </row>
    <row r="510" spans="1:7" x14ac:dyDescent="0.3">
      <c r="A510" t="s">
        <v>1012</v>
      </c>
      <c r="B510">
        <v>1670</v>
      </c>
      <c r="C510" t="s">
        <v>12</v>
      </c>
      <c r="D510" t="s">
        <v>1010</v>
      </c>
      <c r="E510">
        <v>4.3E-3</v>
      </c>
      <c r="F510">
        <v>7.6100000000000001E-2</v>
      </c>
      <c r="G510" t="s">
        <v>1013</v>
      </c>
    </row>
    <row r="511" spans="1:7" x14ac:dyDescent="0.3">
      <c r="A511" t="s">
        <v>1952</v>
      </c>
      <c r="B511">
        <v>415.32</v>
      </c>
      <c r="C511" t="s">
        <v>24</v>
      </c>
      <c r="D511" t="s">
        <v>1950</v>
      </c>
      <c r="E511">
        <v>5.4999999999999997E-3</v>
      </c>
      <c r="F511">
        <v>-0.13070000000000001</v>
      </c>
      <c r="G511" t="s">
        <v>1953</v>
      </c>
    </row>
    <row r="512" spans="1:7" x14ac:dyDescent="0.3">
      <c r="B512">
        <v>102.32</v>
      </c>
      <c r="C512" t="s">
        <v>248</v>
      </c>
      <c r="D512" t="s">
        <v>3241</v>
      </c>
      <c r="E512">
        <v>7.4999999999999997E-3</v>
      </c>
      <c r="F512">
        <v>-0.11360000000000001</v>
      </c>
      <c r="G512" t="s">
        <v>3243</v>
      </c>
    </row>
    <row r="513" spans="1:7" x14ac:dyDescent="0.3">
      <c r="B513">
        <v>101.73</v>
      </c>
      <c r="C513" t="s">
        <v>486</v>
      </c>
      <c r="D513" t="s">
        <v>3244</v>
      </c>
      <c r="E513">
        <v>5.0000000000000001E-3</v>
      </c>
      <c r="F513">
        <v>-0.2838</v>
      </c>
      <c r="G513" t="s">
        <v>3246</v>
      </c>
    </row>
    <row r="514" spans="1:7" x14ac:dyDescent="0.3">
      <c r="B514">
        <v>72.84</v>
      </c>
      <c r="C514" t="s">
        <v>272</v>
      </c>
      <c r="D514" t="s">
        <v>3592</v>
      </c>
      <c r="E514">
        <v>5.4999999999999997E-3</v>
      </c>
      <c r="F514">
        <v>-0.1162</v>
      </c>
      <c r="G514" t="s">
        <v>3594</v>
      </c>
    </row>
    <row r="515" spans="1:7" x14ac:dyDescent="0.3">
      <c r="B515">
        <v>4.83</v>
      </c>
      <c r="C515" t="s">
        <v>1864</v>
      </c>
      <c r="D515" t="s">
        <v>5683</v>
      </c>
      <c r="E515">
        <v>4.4999999999999997E-3</v>
      </c>
      <c r="F515">
        <v>-4.2999999999999997E-2</v>
      </c>
      <c r="G515" t="s">
        <v>5684</v>
      </c>
    </row>
    <row r="516" spans="1:7" x14ac:dyDescent="0.3">
      <c r="B516">
        <v>4.51</v>
      </c>
      <c r="C516" t="s">
        <v>24</v>
      </c>
      <c r="D516" t="s">
        <v>5711</v>
      </c>
      <c r="E516">
        <v>3.8999999999999998E-3</v>
      </c>
      <c r="F516">
        <v>-6.1600000000000002E-2</v>
      </c>
      <c r="G516" t="s">
        <v>5713</v>
      </c>
    </row>
    <row r="517" spans="1:7" x14ac:dyDescent="0.3">
      <c r="A517" t="s">
        <v>726</v>
      </c>
      <c r="B517" t="s">
        <v>662</v>
      </c>
      <c r="C517" t="s">
        <v>5707</v>
      </c>
      <c r="D517" t="s">
        <v>6189</v>
      </c>
      <c r="E517">
        <v>4.8999999999999998E-3</v>
      </c>
      <c r="F517">
        <v>-2.92E-2</v>
      </c>
      <c r="G517" t="s">
        <v>6190</v>
      </c>
    </row>
    <row r="518" spans="1:7" x14ac:dyDescent="0.3">
      <c r="B518">
        <v>3370</v>
      </c>
      <c r="C518" t="s">
        <v>16</v>
      </c>
      <c r="D518" t="s">
        <v>725</v>
      </c>
      <c r="E518">
        <v>2.7000000000000001E-3</v>
      </c>
      <c r="F518">
        <v>1.7000000000000001E-2</v>
      </c>
      <c r="G518" t="s">
        <v>727</v>
      </c>
    </row>
    <row r="519" spans="1:7" x14ac:dyDescent="0.3">
      <c r="B519">
        <v>634.01</v>
      </c>
      <c r="C519" t="s">
        <v>7</v>
      </c>
      <c r="D519" t="s">
        <v>1629</v>
      </c>
      <c r="E519">
        <v>4.4999999999999997E-3</v>
      </c>
      <c r="F519">
        <v>4.4000000000000003E-3</v>
      </c>
      <c r="G519" t="s">
        <v>1631</v>
      </c>
    </row>
    <row r="520" spans="1:7" x14ac:dyDescent="0.3">
      <c r="B520">
        <v>206.8</v>
      </c>
      <c r="C520" t="s">
        <v>116</v>
      </c>
      <c r="D520" t="s">
        <v>2542</v>
      </c>
      <c r="E520">
        <v>1.4E-3</v>
      </c>
      <c r="F520">
        <v>2.6499999999999999E-2</v>
      </c>
      <c r="G520" t="s">
        <v>2544</v>
      </c>
    </row>
    <row r="521" spans="1:7" x14ac:dyDescent="0.3">
      <c r="B521">
        <v>46.21</v>
      </c>
      <c r="C521" t="s">
        <v>280</v>
      </c>
      <c r="D521" t="s">
        <v>3993</v>
      </c>
      <c r="E521">
        <v>6.0000000000000001E-3</v>
      </c>
      <c r="F521">
        <v>7.7999999999999996E-3</v>
      </c>
      <c r="G521" t="s">
        <v>3995</v>
      </c>
    </row>
    <row r="522" spans="1:7" x14ac:dyDescent="0.3">
      <c r="B522">
        <v>25.84</v>
      </c>
      <c r="C522" t="s">
        <v>618</v>
      </c>
      <c r="D522" t="s">
        <v>4528</v>
      </c>
      <c r="E522">
        <v>2E-3</v>
      </c>
      <c r="F522">
        <v>3.6700000000000003E-2</v>
      </c>
      <c r="G522" t="s">
        <v>4530</v>
      </c>
    </row>
    <row r="523" spans="1:7" x14ac:dyDescent="0.3">
      <c r="A523" t="s">
        <v>3115</v>
      </c>
      <c r="B523">
        <v>117.5</v>
      </c>
      <c r="C523" t="s">
        <v>2246</v>
      </c>
      <c r="D523" t="s">
        <v>3113</v>
      </c>
      <c r="E523">
        <v>8.0000000000000002E-3</v>
      </c>
      <c r="F523">
        <v>-0.13539999999999999</v>
      </c>
      <c r="G523" t="s">
        <v>3116</v>
      </c>
    </row>
    <row r="524" spans="1:7" x14ac:dyDescent="0.3">
      <c r="B524">
        <v>21.89</v>
      </c>
      <c r="C524" t="s">
        <v>2757</v>
      </c>
      <c r="D524" t="s">
        <v>4717</v>
      </c>
      <c r="E524">
        <v>6.4999999999999997E-3</v>
      </c>
      <c r="F524" t="s">
        <v>662</v>
      </c>
      <c r="G524" t="s">
        <v>4719</v>
      </c>
    </row>
    <row r="525" spans="1:7" x14ac:dyDescent="0.3">
      <c r="B525">
        <v>8.32</v>
      </c>
      <c r="C525" t="s">
        <v>2370</v>
      </c>
      <c r="D525" t="s">
        <v>5387</v>
      </c>
      <c r="E525">
        <v>9.7999999999999997E-3</v>
      </c>
      <c r="F525">
        <v>-3.5099999999999999E-2</v>
      </c>
      <c r="G525" t="s">
        <v>5389</v>
      </c>
    </row>
    <row r="526" spans="1:7" x14ac:dyDescent="0.3">
      <c r="A526" t="s">
        <v>341</v>
      </c>
      <c r="B526">
        <v>9430</v>
      </c>
      <c r="C526" t="s">
        <v>16</v>
      </c>
      <c r="D526" t="s">
        <v>339</v>
      </c>
      <c r="E526">
        <v>1.1000000000000001E-3</v>
      </c>
      <c r="F526">
        <v>-6.3399999999999998E-2</v>
      </c>
      <c r="G526" t="s">
        <v>342</v>
      </c>
    </row>
    <row r="527" spans="1:7" x14ac:dyDescent="0.3">
      <c r="B527">
        <v>4880</v>
      </c>
      <c r="C527" t="s">
        <v>240</v>
      </c>
      <c r="D527" t="s">
        <v>585</v>
      </c>
      <c r="E527">
        <v>3.0999999999999999E-3</v>
      </c>
      <c r="F527">
        <v>-2.06E-2</v>
      </c>
      <c r="G527" t="s">
        <v>587</v>
      </c>
    </row>
    <row r="528" spans="1:7" x14ac:dyDescent="0.3">
      <c r="A528" t="s">
        <v>76</v>
      </c>
      <c r="B528">
        <v>53190</v>
      </c>
      <c r="C528" t="s">
        <v>16</v>
      </c>
      <c r="D528" t="s">
        <v>74</v>
      </c>
      <c r="E528">
        <v>8.0000000000000004E-4</v>
      </c>
      <c r="F528">
        <v>-3.4299999999999997E-2</v>
      </c>
      <c r="G528" t="s">
        <v>77</v>
      </c>
    </row>
    <row r="529" spans="2:7" x14ac:dyDescent="0.3">
      <c r="B529">
        <v>35450</v>
      </c>
      <c r="C529" t="s">
        <v>16</v>
      </c>
      <c r="D529" t="s">
        <v>106</v>
      </c>
      <c r="E529">
        <v>8.0000000000000004E-4</v>
      </c>
      <c r="F529">
        <v>-2.9700000000000001E-2</v>
      </c>
      <c r="G529" t="s">
        <v>108</v>
      </c>
    </row>
    <row r="530" spans="2:7" x14ac:dyDescent="0.3">
      <c r="B530">
        <v>32049.999999999996</v>
      </c>
      <c r="C530" t="s">
        <v>12</v>
      </c>
      <c r="D530" t="s">
        <v>120</v>
      </c>
      <c r="E530">
        <v>8.9999999999999998E-4</v>
      </c>
      <c r="F530">
        <v>-3.6900000000000002E-2</v>
      </c>
      <c r="G530" t="s">
        <v>122</v>
      </c>
    </row>
    <row r="531" spans="2:7" x14ac:dyDescent="0.3">
      <c r="B531">
        <v>4950</v>
      </c>
      <c r="C531" t="s">
        <v>12</v>
      </c>
      <c r="D531" t="s">
        <v>579</v>
      </c>
      <c r="E531">
        <v>3.2000000000000002E-3</v>
      </c>
      <c r="F531">
        <v>-3.44E-2</v>
      </c>
      <c r="G531" t="s">
        <v>581</v>
      </c>
    </row>
    <row r="532" spans="2:7" x14ac:dyDescent="0.3">
      <c r="B532">
        <v>4000</v>
      </c>
      <c r="C532" t="s">
        <v>16</v>
      </c>
      <c r="D532" t="s">
        <v>654</v>
      </c>
      <c r="E532">
        <v>2E-3</v>
      </c>
      <c r="F532">
        <v>-4.3700000000000003E-2</v>
      </c>
      <c r="G532" t="s">
        <v>656</v>
      </c>
    </row>
    <row r="533" spans="2:7" x14ac:dyDescent="0.3">
      <c r="B533">
        <v>3220</v>
      </c>
      <c r="C533" t="s">
        <v>16</v>
      </c>
      <c r="D533" t="s">
        <v>741</v>
      </c>
      <c r="E533">
        <v>1.1999999999999999E-3</v>
      </c>
      <c r="F533">
        <v>-4.2500000000000003E-2</v>
      </c>
      <c r="G533" t="s">
        <v>743</v>
      </c>
    </row>
    <row r="534" spans="2:7" x14ac:dyDescent="0.3">
      <c r="B534">
        <v>1900</v>
      </c>
      <c r="C534" t="s">
        <v>7</v>
      </c>
      <c r="D534" t="s">
        <v>938</v>
      </c>
      <c r="E534">
        <v>3.0000000000000001E-3</v>
      </c>
      <c r="F534">
        <v>-2.5100000000000001E-2</v>
      </c>
      <c r="G534" t="s">
        <v>940</v>
      </c>
    </row>
    <row r="535" spans="2:7" x14ac:dyDescent="0.3">
      <c r="B535">
        <v>733.02</v>
      </c>
      <c r="C535" t="s">
        <v>280</v>
      </c>
      <c r="D535" t="s">
        <v>1535</v>
      </c>
      <c r="E535">
        <v>7.0000000000000001E-3</v>
      </c>
      <c r="F535">
        <v>-0.21590000000000001</v>
      </c>
      <c r="G535" t="s">
        <v>1537</v>
      </c>
    </row>
    <row r="536" spans="2:7" x14ac:dyDescent="0.3">
      <c r="B536">
        <v>642.80999999999995</v>
      </c>
      <c r="C536" t="s">
        <v>24</v>
      </c>
      <c r="D536" t="s">
        <v>1608</v>
      </c>
      <c r="E536">
        <v>5.5999999999999999E-3</v>
      </c>
      <c r="F536">
        <v>1.3899999999999999E-2</v>
      </c>
      <c r="G536" t="s">
        <v>1610</v>
      </c>
    </row>
    <row r="537" spans="2:7" x14ac:dyDescent="0.3">
      <c r="B537">
        <v>620.86</v>
      </c>
      <c r="C537" t="s">
        <v>444</v>
      </c>
      <c r="D537" t="s">
        <v>1639</v>
      </c>
      <c r="E537">
        <v>4.7000000000000002E-3</v>
      </c>
      <c r="F537">
        <v>-1.9599999999999999E-2</v>
      </c>
      <c r="G537" t="s">
        <v>1641</v>
      </c>
    </row>
    <row r="538" spans="2:7" x14ac:dyDescent="0.3">
      <c r="B538">
        <v>520.91999999999996</v>
      </c>
      <c r="C538" t="s">
        <v>440</v>
      </c>
      <c r="D538" t="s">
        <v>1763</v>
      </c>
      <c r="E538">
        <v>5.7999999999999996E-3</v>
      </c>
      <c r="F538">
        <v>-7.4000000000000003E-3</v>
      </c>
      <c r="G538" t="s">
        <v>1765</v>
      </c>
    </row>
    <row r="539" spans="2:7" x14ac:dyDescent="0.3">
      <c r="B539">
        <v>436.42</v>
      </c>
      <c r="C539" t="s">
        <v>1891</v>
      </c>
      <c r="D539" t="s">
        <v>1895</v>
      </c>
      <c r="E539">
        <v>5.8999999999999999E-3</v>
      </c>
      <c r="F539">
        <v>-8.3000000000000001E-3</v>
      </c>
      <c r="G539" t="s">
        <v>1897</v>
      </c>
    </row>
    <row r="540" spans="2:7" x14ac:dyDescent="0.3">
      <c r="B540">
        <v>324.16000000000003</v>
      </c>
      <c r="C540" t="s">
        <v>12</v>
      </c>
      <c r="D540" t="s">
        <v>2178</v>
      </c>
      <c r="E540">
        <v>1.5E-3</v>
      </c>
      <c r="F540">
        <v>-3.0000000000000001E-3</v>
      </c>
      <c r="G540" t="s">
        <v>2180</v>
      </c>
    </row>
    <row r="541" spans="2:7" x14ac:dyDescent="0.3">
      <c r="B541">
        <v>223.52</v>
      </c>
      <c r="C541" t="s">
        <v>863</v>
      </c>
      <c r="D541" t="s">
        <v>2452</v>
      </c>
      <c r="E541">
        <v>3.8999999999999998E-3</v>
      </c>
      <c r="F541">
        <v>-4.24E-2</v>
      </c>
      <c r="G541" t="s">
        <v>2454</v>
      </c>
    </row>
    <row r="542" spans="2:7" x14ac:dyDescent="0.3">
      <c r="B542">
        <v>218.41</v>
      </c>
      <c r="C542" t="s">
        <v>280</v>
      </c>
      <c r="D542" t="s">
        <v>2472</v>
      </c>
      <c r="E542">
        <v>1.06E-2</v>
      </c>
      <c r="F542">
        <v>-3.8699999999999998E-2</v>
      </c>
      <c r="G542" t="s">
        <v>2474</v>
      </c>
    </row>
    <row r="543" spans="2:7" x14ac:dyDescent="0.3">
      <c r="B543">
        <v>177.66</v>
      </c>
      <c r="C543" t="s">
        <v>2083</v>
      </c>
      <c r="D543" t="s">
        <v>2674</v>
      </c>
      <c r="E543">
        <v>6.4999999999999997E-3</v>
      </c>
      <c r="F543">
        <v>-4.8399999999999999E-2</v>
      </c>
      <c r="G543" t="s">
        <v>2676</v>
      </c>
    </row>
    <row r="544" spans="2:7" x14ac:dyDescent="0.3">
      <c r="B544">
        <v>140.47</v>
      </c>
      <c r="C544" t="s">
        <v>618</v>
      </c>
      <c r="D544" t="s">
        <v>2890</v>
      </c>
      <c r="E544">
        <v>4.1000000000000003E-3</v>
      </c>
      <c r="F544">
        <v>-2.0500000000000001E-2</v>
      </c>
      <c r="G544" t="s">
        <v>2892</v>
      </c>
    </row>
    <row r="545" spans="1:7" x14ac:dyDescent="0.3">
      <c r="B545">
        <v>129.24</v>
      </c>
      <c r="C545" t="s">
        <v>12</v>
      </c>
      <c r="D545" t="s">
        <v>2991</v>
      </c>
      <c r="E545">
        <v>3.5000000000000001E-3</v>
      </c>
      <c r="F545">
        <v>-2.1499999999999998E-2</v>
      </c>
      <c r="G545" t="s">
        <v>2993</v>
      </c>
    </row>
    <row r="546" spans="1:7" x14ac:dyDescent="0.3">
      <c r="B546">
        <v>125.4</v>
      </c>
      <c r="C546" t="s">
        <v>2103</v>
      </c>
      <c r="D546" t="s">
        <v>3036</v>
      </c>
      <c r="E546">
        <v>6.4999999999999997E-3</v>
      </c>
      <c r="F546">
        <v>-3.95E-2</v>
      </c>
      <c r="G546" t="s">
        <v>3038</v>
      </c>
    </row>
    <row r="547" spans="1:7" x14ac:dyDescent="0.3">
      <c r="B547">
        <v>116.91</v>
      </c>
      <c r="C547" t="s">
        <v>24</v>
      </c>
      <c r="D547" t="s">
        <v>3123</v>
      </c>
      <c r="E547">
        <v>5.4999999999999997E-3</v>
      </c>
      <c r="F547">
        <v>-5.33E-2</v>
      </c>
      <c r="G547" t="s">
        <v>3125</v>
      </c>
    </row>
    <row r="548" spans="1:7" x14ac:dyDescent="0.3">
      <c r="B548">
        <v>81.73</v>
      </c>
      <c r="C548" t="s">
        <v>444</v>
      </c>
      <c r="D548" t="s">
        <v>3471</v>
      </c>
      <c r="E548">
        <v>4.7000000000000002E-3</v>
      </c>
      <c r="F548">
        <v>-5.4999999999999997E-3</v>
      </c>
      <c r="G548" t="s">
        <v>3473</v>
      </c>
    </row>
    <row r="549" spans="1:7" x14ac:dyDescent="0.3">
      <c r="B549">
        <v>71.13</v>
      </c>
      <c r="C549" t="s">
        <v>444</v>
      </c>
      <c r="D549" t="s">
        <v>3617</v>
      </c>
      <c r="E549">
        <v>4.7000000000000002E-3</v>
      </c>
      <c r="F549">
        <v>-9.7000000000000003E-3</v>
      </c>
      <c r="G549" t="s">
        <v>3619</v>
      </c>
    </row>
    <row r="550" spans="1:7" x14ac:dyDescent="0.3">
      <c r="B550">
        <v>67.709999999999994</v>
      </c>
      <c r="C550" t="s">
        <v>272</v>
      </c>
      <c r="D550" t="s">
        <v>3665</v>
      </c>
      <c r="E550">
        <v>5.7999999999999996E-3</v>
      </c>
      <c r="F550">
        <v>3.8E-3</v>
      </c>
      <c r="G550" t="s">
        <v>3667</v>
      </c>
    </row>
    <row r="551" spans="1:7" x14ac:dyDescent="0.3">
      <c r="B551">
        <v>66.08</v>
      </c>
      <c r="C551" t="s">
        <v>1289</v>
      </c>
      <c r="D551" t="s">
        <v>3677</v>
      </c>
      <c r="E551">
        <v>1.0999999999999999E-2</v>
      </c>
      <c r="F551">
        <v>-6.7599999999999993E-2</v>
      </c>
      <c r="G551" t="s">
        <v>3679</v>
      </c>
    </row>
    <row r="552" spans="1:7" x14ac:dyDescent="0.3">
      <c r="B552">
        <v>28.45</v>
      </c>
      <c r="C552" t="s">
        <v>332</v>
      </c>
      <c r="D552" t="s">
        <v>4435</v>
      </c>
      <c r="E552">
        <v>2.5000000000000001E-3</v>
      </c>
      <c r="F552">
        <v>-1.95E-2</v>
      </c>
      <c r="G552" t="s">
        <v>4437</v>
      </c>
    </row>
    <row r="553" spans="1:7" x14ac:dyDescent="0.3">
      <c r="B553">
        <v>25.23</v>
      </c>
      <c r="C553" t="s">
        <v>1664</v>
      </c>
      <c r="D553" t="s">
        <v>4565</v>
      </c>
      <c r="E553">
        <v>5.4999999999999997E-3</v>
      </c>
      <c r="F553">
        <v>-2.8000000000000001E-2</v>
      </c>
      <c r="G553" t="s">
        <v>4567</v>
      </c>
    </row>
    <row r="554" spans="1:7" x14ac:dyDescent="0.3">
      <c r="B554">
        <v>15.62</v>
      </c>
      <c r="C554" t="s">
        <v>2269</v>
      </c>
      <c r="D554" t="s">
        <v>5025</v>
      </c>
      <c r="E554">
        <v>8.0000000000000002E-3</v>
      </c>
      <c r="F554">
        <v>-0.2268</v>
      </c>
      <c r="G554" t="s">
        <v>5027</v>
      </c>
    </row>
    <row r="555" spans="1:7" x14ac:dyDescent="0.3">
      <c r="B555">
        <v>15.57</v>
      </c>
      <c r="C555" t="s">
        <v>4603</v>
      </c>
      <c r="D555" t="s">
        <v>5028</v>
      </c>
      <c r="E555">
        <v>1.3599999999999999E-2</v>
      </c>
      <c r="F555">
        <v>-4.5900000000000003E-2</v>
      </c>
      <c r="G555" t="s">
        <v>5030</v>
      </c>
    </row>
    <row r="556" spans="1:7" x14ac:dyDescent="0.3">
      <c r="B556">
        <v>5.68</v>
      </c>
      <c r="C556" t="s">
        <v>964</v>
      </c>
      <c r="D556" t="s">
        <v>5606</v>
      </c>
      <c r="E556">
        <v>2.8999999999999998E-3</v>
      </c>
      <c r="F556">
        <v>1.49E-2</v>
      </c>
      <c r="G556" t="s">
        <v>5608</v>
      </c>
    </row>
    <row r="557" spans="1:7" x14ac:dyDescent="0.3">
      <c r="B557">
        <v>3.2</v>
      </c>
      <c r="C557" t="s">
        <v>5840</v>
      </c>
      <c r="D557" t="s">
        <v>5841</v>
      </c>
      <c r="E557">
        <v>5.0000000000000001E-3</v>
      </c>
      <c r="F557">
        <v>-2.1600000000000001E-2</v>
      </c>
      <c r="G557" t="s">
        <v>5843</v>
      </c>
    </row>
    <row r="558" spans="1:7" x14ac:dyDescent="0.3">
      <c r="A558" t="s">
        <v>3807</v>
      </c>
      <c r="B558">
        <v>56.27</v>
      </c>
      <c r="C558" t="s">
        <v>332</v>
      </c>
      <c r="D558" t="s">
        <v>3805</v>
      </c>
      <c r="E558">
        <v>5.4999999999999997E-3</v>
      </c>
      <c r="F558">
        <v>-0.12770000000000001</v>
      </c>
      <c r="G558" t="s">
        <v>3808</v>
      </c>
    </row>
    <row r="559" spans="1:7" x14ac:dyDescent="0.3">
      <c r="A559" t="s">
        <v>4210</v>
      </c>
      <c r="B559">
        <v>36.82</v>
      </c>
      <c r="C559" t="s">
        <v>2709</v>
      </c>
      <c r="D559" t="s">
        <v>4208</v>
      </c>
      <c r="E559">
        <v>6.0000000000000001E-3</v>
      </c>
      <c r="F559">
        <v>-0.1077</v>
      </c>
      <c r="G559" t="s">
        <v>4211</v>
      </c>
    </row>
    <row r="560" spans="1:7" x14ac:dyDescent="0.3">
      <c r="B560">
        <v>28.25</v>
      </c>
      <c r="C560" t="s">
        <v>3738</v>
      </c>
      <c r="D560" t="s">
        <v>4454</v>
      </c>
      <c r="E560">
        <v>7.4999999999999997E-3</v>
      </c>
      <c r="F560">
        <v>-0.21049999999999999</v>
      </c>
      <c r="G560" t="s">
        <v>4455</v>
      </c>
    </row>
    <row r="561" spans="1:7" x14ac:dyDescent="0.3">
      <c r="A561" t="s">
        <v>3744</v>
      </c>
      <c r="B561">
        <v>60.71</v>
      </c>
      <c r="C561" t="s">
        <v>280</v>
      </c>
      <c r="D561" t="s">
        <v>3742</v>
      </c>
      <c r="E561">
        <v>6.4999999999999997E-3</v>
      </c>
      <c r="F561">
        <v>-0.25330000000000003</v>
      </c>
      <c r="G561" t="s">
        <v>3745</v>
      </c>
    </row>
    <row r="562" spans="1:7" x14ac:dyDescent="0.3">
      <c r="A562" t="s">
        <v>5538</v>
      </c>
      <c r="B562">
        <v>6.47</v>
      </c>
      <c r="C562" t="s">
        <v>1308</v>
      </c>
      <c r="D562" t="s">
        <v>5537</v>
      </c>
      <c r="E562">
        <v>6.8999999999999999E-3</v>
      </c>
      <c r="F562">
        <v>-0.31059999999999999</v>
      </c>
      <c r="G562" t="s">
        <v>5539</v>
      </c>
    </row>
    <row r="563" spans="1:7" x14ac:dyDescent="0.3">
      <c r="A563" t="s">
        <v>599</v>
      </c>
      <c r="B563">
        <v>4710</v>
      </c>
      <c r="C563" t="s">
        <v>16</v>
      </c>
      <c r="D563" t="s">
        <v>597</v>
      </c>
      <c r="E563">
        <v>1.1999999999999999E-3</v>
      </c>
      <c r="F563">
        <v>-3.9300000000000002E-2</v>
      </c>
      <c r="G563" t="s">
        <v>600</v>
      </c>
    </row>
    <row r="564" spans="1:7" x14ac:dyDescent="0.3">
      <c r="B564">
        <v>750.11</v>
      </c>
      <c r="C564" t="s">
        <v>7</v>
      </c>
      <c r="D564" t="s">
        <v>1520</v>
      </c>
      <c r="E564">
        <v>5.8999999999999999E-3</v>
      </c>
      <c r="F564">
        <v>-5.21E-2</v>
      </c>
      <c r="G564" t="s">
        <v>1522</v>
      </c>
    </row>
    <row r="565" spans="1:7" x14ac:dyDescent="0.3">
      <c r="B565">
        <v>572.89</v>
      </c>
      <c r="C565" t="s">
        <v>618</v>
      </c>
      <c r="D565" t="s">
        <v>1681</v>
      </c>
      <c r="E565">
        <v>1E-3</v>
      </c>
      <c r="F565">
        <v>-3.9600000000000003E-2</v>
      </c>
      <c r="G565" t="s">
        <v>1683</v>
      </c>
    </row>
    <row r="566" spans="1:7" x14ac:dyDescent="0.3">
      <c r="B566">
        <v>56.8</v>
      </c>
      <c r="C566" t="s">
        <v>440</v>
      </c>
      <c r="D566" t="s">
        <v>3799</v>
      </c>
      <c r="E566">
        <v>5.7999999999999996E-3</v>
      </c>
      <c r="F566">
        <v>-5.96E-2</v>
      </c>
      <c r="G566" t="s">
        <v>3801</v>
      </c>
    </row>
    <row r="567" spans="1:7" x14ac:dyDescent="0.3">
      <c r="A567" t="s">
        <v>789</v>
      </c>
      <c r="B567">
        <v>2830</v>
      </c>
      <c r="C567" t="s">
        <v>12</v>
      </c>
      <c r="D567" t="s">
        <v>787</v>
      </c>
      <c r="E567">
        <v>4.3E-3</v>
      </c>
      <c r="F567">
        <v>-1.5699999999999999E-2</v>
      </c>
      <c r="G567" t="s">
        <v>790</v>
      </c>
    </row>
    <row r="568" spans="1:7" x14ac:dyDescent="0.3">
      <c r="B568">
        <v>196.47</v>
      </c>
      <c r="C568" t="s">
        <v>2083</v>
      </c>
      <c r="D568" t="s">
        <v>2580</v>
      </c>
      <c r="E568">
        <v>6.4000000000000003E-3</v>
      </c>
      <c r="F568">
        <v>-2.8000000000000001E-2</v>
      </c>
      <c r="G568" t="s">
        <v>2582</v>
      </c>
    </row>
    <row r="569" spans="1:7" x14ac:dyDescent="0.3">
      <c r="A569" t="s">
        <v>1042</v>
      </c>
      <c r="B569">
        <v>1540</v>
      </c>
      <c r="C569" t="s">
        <v>295</v>
      </c>
      <c r="D569" t="s">
        <v>1040</v>
      </c>
      <c r="E569">
        <v>7.4999999999999997E-3</v>
      </c>
      <c r="F569">
        <v>-0.43</v>
      </c>
      <c r="G569" t="s">
        <v>1043</v>
      </c>
    </row>
    <row r="570" spans="1:7" x14ac:dyDescent="0.3">
      <c r="B570">
        <v>27.1</v>
      </c>
      <c r="C570" t="s">
        <v>979</v>
      </c>
      <c r="D570" t="s">
        <v>4482</v>
      </c>
      <c r="E570">
        <v>7.4999999999999997E-3</v>
      </c>
      <c r="F570">
        <v>-4.7500000000000001E-2</v>
      </c>
      <c r="G570" t="s">
        <v>4484</v>
      </c>
    </row>
    <row r="571" spans="1:7" x14ac:dyDescent="0.3">
      <c r="B571">
        <v>1.58</v>
      </c>
      <c r="C571" t="s">
        <v>1842</v>
      </c>
      <c r="D571" t="s">
        <v>5987</v>
      </c>
      <c r="E571">
        <v>9.4999999999999998E-3</v>
      </c>
      <c r="F571">
        <v>-0.50390000000000001</v>
      </c>
      <c r="G571" t="s">
        <v>5989</v>
      </c>
    </row>
    <row r="572" spans="1:7" x14ac:dyDescent="0.3">
      <c r="A572" t="s">
        <v>679</v>
      </c>
      <c r="B572">
        <v>3780</v>
      </c>
      <c r="C572" t="s">
        <v>295</v>
      </c>
      <c r="D572" t="s">
        <v>677</v>
      </c>
      <c r="E572">
        <v>7.4999999999999997E-3</v>
      </c>
      <c r="F572">
        <v>-0.38080000000000003</v>
      </c>
      <c r="G572" t="s">
        <v>680</v>
      </c>
    </row>
    <row r="573" spans="1:7" x14ac:dyDescent="0.3">
      <c r="B573">
        <v>253.96</v>
      </c>
      <c r="C573" t="s">
        <v>12</v>
      </c>
      <c r="D573" t="s">
        <v>2339</v>
      </c>
      <c r="E573">
        <v>4.7000000000000002E-3</v>
      </c>
      <c r="F573">
        <v>-0.2964</v>
      </c>
      <c r="G573" t="s">
        <v>2341</v>
      </c>
    </row>
    <row r="574" spans="1:7" x14ac:dyDescent="0.3">
      <c r="B574">
        <v>195.59</v>
      </c>
      <c r="C574" t="s">
        <v>486</v>
      </c>
      <c r="D574" t="s">
        <v>2586</v>
      </c>
      <c r="E574">
        <v>5.0000000000000001E-3</v>
      </c>
      <c r="F574">
        <v>-0.27789999999999998</v>
      </c>
      <c r="G574" t="s">
        <v>2588</v>
      </c>
    </row>
    <row r="575" spans="1:7" x14ac:dyDescent="0.3">
      <c r="B575">
        <v>17.059999999999999</v>
      </c>
      <c r="C575" t="s">
        <v>1340</v>
      </c>
      <c r="D575" t="s">
        <v>4944</v>
      </c>
      <c r="E575">
        <v>5.0000000000000001E-3</v>
      </c>
      <c r="F575">
        <v>-0.26939999999999997</v>
      </c>
      <c r="G575" t="s">
        <v>4946</v>
      </c>
    </row>
    <row r="576" spans="1:7" x14ac:dyDescent="0.3">
      <c r="A576" t="s">
        <v>275</v>
      </c>
      <c r="B576">
        <v>12790</v>
      </c>
      <c r="C576" t="s">
        <v>272</v>
      </c>
      <c r="D576" t="s">
        <v>273</v>
      </c>
      <c r="E576">
        <v>5.1999999999999998E-3</v>
      </c>
      <c r="F576">
        <v>-1.61E-2</v>
      </c>
      <c r="G576" t="s">
        <v>276</v>
      </c>
    </row>
    <row r="577" spans="1:7" x14ac:dyDescent="0.3">
      <c r="B577">
        <v>4380</v>
      </c>
      <c r="C577" t="s">
        <v>272</v>
      </c>
      <c r="D577" t="s">
        <v>615</v>
      </c>
      <c r="E577">
        <v>5.3E-3</v>
      </c>
      <c r="F577">
        <v>-4.7600000000000003E-2</v>
      </c>
      <c r="G577" t="s">
        <v>617</v>
      </c>
    </row>
    <row r="578" spans="1:7" x14ac:dyDescent="0.3">
      <c r="B578">
        <v>510.72</v>
      </c>
      <c r="C578" t="s">
        <v>12</v>
      </c>
      <c r="D578" t="s">
        <v>1779</v>
      </c>
      <c r="E578">
        <v>3.8999999999999998E-3</v>
      </c>
      <c r="F578">
        <v>-2.7000000000000001E-3</v>
      </c>
      <c r="G578" t="s">
        <v>1781</v>
      </c>
    </row>
    <row r="579" spans="1:7" x14ac:dyDescent="0.3">
      <c r="B579">
        <v>230.74</v>
      </c>
      <c r="C579" t="s">
        <v>2423</v>
      </c>
      <c r="D579" t="s">
        <v>2424</v>
      </c>
      <c r="E579">
        <v>5.0000000000000001E-3</v>
      </c>
      <c r="F579">
        <v>-1.5599999999999999E-2</v>
      </c>
      <c r="G579" t="s">
        <v>2426</v>
      </c>
    </row>
    <row r="580" spans="1:7" x14ac:dyDescent="0.3">
      <c r="B580">
        <v>124.87</v>
      </c>
      <c r="C580" t="s">
        <v>2423</v>
      </c>
      <c r="D580" t="s">
        <v>3043</v>
      </c>
      <c r="E580">
        <v>5.0000000000000001E-3</v>
      </c>
      <c r="F580">
        <v>-8.5000000000000006E-3</v>
      </c>
      <c r="G580" t="s">
        <v>3045</v>
      </c>
    </row>
    <row r="581" spans="1:7" x14ac:dyDescent="0.3">
      <c r="B581">
        <v>94.08</v>
      </c>
      <c r="C581" t="s">
        <v>717</v>
      </c>
      <c r="D581" t="s">
        <v>3317</v>
      </c>
      <c r="E581">
        <v>6.0000000000000001E-3</v>
      </c>
      <c r="F581">
        <v>-2.1000000000000001E-2</v>
      </c>
      <c r="G581" t="s">
        <v>3318</v>
      </c>
    </row>
    <row r="582" spans="1:7" x14ac:dyDescent="0.3">
      <c r="B582">
        <v>48.02</v>
      </c>
      <c r="C582" t="s">
        <v>486</v>
      </c>
      <c r="D582" t="s">
        <v>3948</v>
      </c>
      <c r="E582">
        <v>6.4999999999999997E-3</v>
      </c>
      <c r="F582">
        <v>-3.2899999999999999E-2</v>
      </c>
      <c r="G582" t="s">
        <v>3950</v>
      </c>
    </row>
    <row r="583" spans="1:7" x14ac:dyDescent="0.3">
      <c r="B583">
        <v>1.1200000000000001</v>
      </c>
      <c r="C583" t="s">
        <v>1308</v>
      </c>
      <c r="D583" t="s">
        <v>6026</v>
      </c>
      <c r="E583">
        <v>4.8999999999999998E-3</v>
      </c>
      <c r="F583">
        <v>-5.6599999999999998E-2</v>
      </c>
      <c r="G583" t="s">
        <v>6028</v>
      </c>
    </row>
    <row r="584" spans="1:7" x14ac:dyDescent="0.3">
      <c r="A584" t="s">
        <v>715</v>
      </c>
      <c r="B584">
        <v>3420</v>
      </c>
      <c r="C584" t="s">
        <v>12</v>
      </c>
      <c r="D584" t="s">
        <v>713</v>
      </c>
      <c r="E584">
        <v>4.3E-3</v>
      </c>
      <c r="F584">
        <v>-2.4799999999999999E-2</v>
      </c>
      <c r="G584" t="s">
        <v>716</v>
      </c>
    </row>
    <row r="585" spans="1:7" x14ac:dyDescent="0.3">
      <c r="B585">
        <v>7.93</v>
      </c>
      <c r="C585" t="s">
        <v>12</v>
      </c>
      <c r="D585" t="s">
        <v>5407</v>
      </c>
      <c r="E585">
        <v>8.5000000000000006E-3</v>
      </c>
      <c r="F585">
        <v>-0.16009999999999999</v>
      </c>
      <c r="G585" t="s">
        <v>5408</v>
      </c>
    </row>
    <row r="586" spans="1:7" x14ac:dyDescent="0.3">
      <c r="B586">
        <v>2.7</v>
      </c>
      <c r="C586" t="s">
        <v>3151</v>
      </c>
      <c r="D586" t="s">
        <v>5899</v>
      </c>
      <c r="E586">
        <v>8.9999999999999993E-3</v>
      </c>
      <c r="F586">
        <v>-5.96E-2</v>
      </c>
      <c r="G586" t="s">
        <v>5901</v>
      </c>
    </row>
    <row r="587" spans="1:7" x14ac:dyDescent="0.3">
      <c r="A587" t="s">
        <v>6136</v>
      </c>
      <c r="B587" t="s">
        <v>662</v>
      </c>
      <c r="C587" t="s">
        <v>280</v>
      </c>
      <c r="D587" t="s">
        <v>6135</v>
      </c>
      <c r="E587">
        <v>7.0000000000000001E-3</v>
      </c>
      <c r="F587">
        <v>-0.1394</v>
      </c>
      <c r="G587" t="s">
        <v>6137</v>
      </c>
    </row>
    <row r="588" spans="1:7" x14ac:dyDescent="0.3">
      <c r="A588" t="s">
        <v>2418</v>
      </c>
      <c r="B588">
        <v>234.4</v>
      </c>
      <c r="C588" t="s">
        <v>486</v>
      </c>
      <c r="D588" t="s">
        <v>2416</v>
      </c>
      <c r="E588">
        <v>6.7999999999999996E-3</v>
      </c>
      <c r="F588">
        <v>-0.21279999999999999</v>
      </c>
      <c r="G588" t="s">
        <v>2419</v>
      </c>
    </row>
    <row r="589" spans="1:7" x14ac:dyDescent="0.3">
      <c r="B589">
        <v>9.99</v>
      </c>
      <c r="C589" t="s">
        <v>460</v>
      </c>
      <c r="D589" t="s">
        <v>5281</v>
      </c>
      <c r="E589">
        <v>3.8999999999999998E-3</v>
      </c>
      <c r="F589">
        <v>-0.16170000000000001</v>
      </c>
      <c r="G589" t="s">
        <v>5283</v>
      </c>
    </row>
    <row r="590" spans="1:7" x14ac:dyDescent="0.3">
      <c r="A590" t="s">
        <v>2607</v>
      </c>
      <c r="B590">
        <v>192.13</v>
      </c>
      <c r="C590" t="s">
        <v>979</v>
      </c>
      <c r="D590" t="s">
        <v>2605</v>
      </c>
      <c r="E590">
        <v>6.7999999999999996E-3</v>
      </c>
      <c r="F590">
        <v>-0.19869999999999999</v>
      </c>
      <c r="G590" t="s">
        <v>2608</v>
      </c>
    </row>
    <row r="591" spans="1:7" x14ac:dyDescent="0.3">
      <c r="B591">
        <v>20.83</v>
      </c>
      <c r="C591" t="s">
        <v>248</v>
      </c>
      <c r="D591" t="s">
        <v>4759</v>
      </c>
      <c r="E591">
        <v>7.4999999999999997E-3</v>
      </c>
      <c r="F591" t="s">
        <v>662</v>
      </c>
      <c r="G591" t="s">
        <v>4761</v>
      </c>
    </row>
    <row r="592" spans="1:7" x14ac:dyDescent="0.3">
      <c r="A592" t="s">
        <v>4500</v>
      </c>
      <c r="B592">
        <v>26.72</v>
      </c>
      <c r="C592" t="s">
        <v>1150</v>
      </c>
      <c r="D592" t="s">
        <v>4498</v>
      </c>
      <c r="E592">
        <v>4.4999999999999997E-3</v>
      </c>
      <c r="F592">
        <v>-4.8800000000000003E-2</v>
      </c>
      <c r="G592" t="s">
        <v>4501</v>
      </c>
    </row>
    <row r="593" spans="1:7" x14ac:dyDescent="0.3">
      <c r="B593">
        <v>10.64</v>
      </c>
      <c r="C593" t="s">
        <v>2087</v>
      </c>
      <c r="D593" t="s">
        <v>5241</v>
      </c>
      <c r="E593">
        <v>7.4999999999999997E-3</v>
      </c>
      <c r="F593">
        <v>-7.1999999999999995E-2</v>
      </c>
      <c r="G593" t="s">
        <v>5243</v>
      </c>
    </row>
    <row r="594" spans="1:7" x14ac:dyDescent="0.3">
      <c r="B594">
        <v>7.09</v>
      </c>
      <c r="C594" t="s">
        <v>517</v>
      </c>
      <c r="D594" t="s">
        <v>5491</v>
      </c>
      <c r="E594">
        <v>6.4999999999999997E-3</v>
      </c>
      <c r="F594">
        <v>-6.6500000000000004E-2</v>
      </c>
      <c r="G594" t="s">
        <v>5493</v>
      </c>
    </row>
    <row r="595" spans="1:7" x14ac:dyDescent="0.3">
      <c r="A595" t="s">
        <v>1948</v>
      </c>
      <c r="B595">
        <v>416.5</v>
      </c>
      <c r="C595" t="s">
        <v>12</v>
      </c>
      <c r="D595" t="s">
        <v>1946</v>
      </c>
      <c r="E595">
        <v>4.3E-3</v>
      </c>
      <c r="F595">
        <v>-3.09E-2</v>
      </c>
      <c r="G595" t="s">
        <v>1949</v>
      </c>
    </row>
    <row r="596" spans="1:7" x14ac:dyDescent="0.3">
      <c r="A596" t="s">
        <v>543</v>
      </c>
      <c r="B596" t="s">
        <v>662</v>
      </c>
      <c r="C596" t="s">
        <v>6113</v>
      </c>
      <c r="D596" t="s">
        <v>6123</v>
      </c>
      <c r="E596">
        <v>5.7999999999999996E-3</v>
      </c>
      <c r="F596">
        <v>-0.25819999999999999</v>
      </c>
      <c r="G596" t="s">
        <v>6124</v>
      </c>
    </row>
    <row r="597" spans="1:7" x14ac:dyDescent="0.3">
      <c r="B597">
        <v>5340</v>
      </c>
      <c r="C597" t="s">
        <v>12</v>
      </c>
      <c r="D597" t="s">
        <v>541</v>
      </c>
      <c r="E597">
        <v>4.3E-3</v>
      </c>
      <c r="F597">
        <v>-3.3700000000000001E-2</v>
      </c>
      <c r="G597" t="s">
        <v>544</v>
      </c>
    </row>
    <row r="598" spans="1:7" x14ac:dyDescent="0.3">
      <c r="B598">
        <v>3790</v>
      </c>
      <c r="C598" t="s">
        <v>12</v>
      </c>
      <c r="D598" t="s">
        <v>674</v>
      </c>
      <c r="E598">
        <v>4.5999999999999999E-3</v>
      </c>
      <c r="F598">
        <v>-8.6499999999999994E-2</v>
      </c>
      <c r="G598" t="s">
        <v>676</v>
      </c>
    </row>
    <row r="599" spans="1:7" x14ac:dyDescent="0.3">
      <c r="B599">
        <v>1740</v>
      </c>
      <c r="C599" t="s">
        <v>280</v>
      </c>
      <c r="D599" t="s">
        <v>990</v>
      </c>
      <c r="E599">
        <v>5.0000000000000001E-3</v>
      </c>
      <c r="F599">
        <v>1.09E-2</v>
      </c>
      <c r="G599" t="s">
        <v>992</v>
      </c>
    </row>
    <row r="600" spans="1:7" x14ac:dyDescent="0.3">
      <c r="B600">
        <v>944.61</v>
      </c>
      <c r="C600" t="s">
        <v>486</v>
      </c>
      <c r="D600" t="s">
        <v>1316</v>
      </c>
      <c r="E600">
        <v>6.7999999999999996E-3</v>
      </c>
      <c r="F600">
        <v>-0.28299999999999997</v>
      </c>
      <c r="G600" t="s">
        <v>1318</v>
      </c>
    </row>
    <row r="601" spans="1:7" x14ac:dyDescent="0.3">
      <c r="B601">
        <v>163.66999999999999</v>
      </c>
      <c r="C601" t="s">
        <v>1150</v>
      </c>
      <c r="D601" t="s">
        <v>2745</v>
      </c>
      <c r="E601">
        <v>4.0000000000000001E-3</v>
      </c>
      <c r="F601">
        <v>-4.2999999999999997E-2</v>
      </c>
      <c r="G601" t="s">
        <v>2747</v>
      </c>
    </row>
    <row r="602" spans="1:7" x14ac:dyDescent="0.3">
      <c r="B602">
        <v>65.39</v>
      </c>
      <c r="C602" t="s">
        <v>1799</v>
      </c>
      <c r="D602" t="s">
        <v>3684</v>
      </c>
      <c r="E602">
        <v>7.0000000000000001E-3</v>
      </c>
      <c r="F602">
        <v>-0.15670000000000001</v>
      </c>
      <c r="G602" t="s">
        <v>3686</v>
      </c>
    </row>
    <row r="603" spans="1:7" x14ac:dyDescent="0.3">
      <c r="B603">
        <v>3.28</v>
      </c>
      <c r="C603" t="s">
        <v>1340</v>
      </c>
      <c r="D603" t="s">
        <v>5830</v>
      </c>
      <c r="E603">
        <v>5.0000000000000001E-3</v>
      </c>
      <c r="F603">
        <v>-0.26829999999999998</v>
      </c>
      <c r="G603" t="s">
        <v>5832</v>
      </c>
    </row>
    <row r="604" spans="1:7" x14ac:dyDescent="0.3">
      <c r="A604" t="s">
        <v>733</v>
      </c>
      <c r="B604" t="s">
        <v>662</v>
      </c>
      <c r="C604" t="s">
        <v>6113</v>
      </c>
      <c r="D604" t="s">
        <v>6219</v>
      </c>
      <c r="E604">
        <v>4.7000000000000002E-3</v>
      </c>
      <c r="F604">
        <v>-8.5000000000000006E-3</v>
      </c>
      <c r="G604" t="s">
        <v>6220</v>
      </c>
    </row>
    <row r="605" spans="1:7" x14ac:dyDescent="0.3">
      <c r="B605">
        <v>3270</v>
      </c>
      <c r="C605" t="s">
        <v>12</v>
      </c>
      <c r="D605" t="s">
        <v>731</v>
      </c>
      <c r="E605">
        <v>4.3E-3</v>
      </c>
      <c r="F605">
        <v>-6.1000000000000004E-3</v>
      </c>
      <c r="G605" t="s">
        <v>734</v>
      </c>
    </row>
    <row r="606" spans="1:7" x14ac:dyDescent="0.3">
      <c r="B606">
        <v>2560</v>
      </c>
      <c r="C606" t="s">
        <v>444</v>
      </c>
      <c r="D606" t="s">
        <v>825</v>
      </c>
      <c r="E606">
        <v>4.7000000000000002E-3</v>
      </c>
      <c r="F606">
        <v>-2.6700000000000002E-2</v>
      </c>
      <c r="G606" t="s">
        <v>827</v>
      </c>
    </row>
    <row r="607" spans="1:7" x14ac:dyDescent="0.3">
      <c r="B607">
        <v>760.34</v>
      </c>
      <c r="C607" t="s">
        <v>280</v>
      </c>
      <c r="D607" t="s">
        <v>1508</v>
      </c>
      <c r="E607">
        <v>7.0000000000000001E-3</v>
      </c>
      <c r="F607">
        <v>-4.4200000000000003E-2</v>
      </c>
      <c r="G607" t="s">
        <v>1510</v>
      </c>
    </row>
    <row r="608" spans="1:7" x14ac:dyDescent="0.3">
      <c r="B608">
        <v>462.99</v>
      </c>
      <c r="C608" t="s">
        <v>7</v>
      </c>
      <c r="D608" t="s">
        <v>1868</v>
      </c>
      <c r="E608">
        <v>4.0000000000000001E-3</v>
      </c>
      <c r="F608">
        <v>-5.1000000000000004E-3</v>
      </c>
      <c r="G608" t="s">
        <v>1870</v>
      </c>
    </row>
    <row r="609" spans="1:7" x14ac:dyDescent="0.3">
      <c r="B609">
        <v>12.91</v>
      </c>
      <c r="C609" t="s">
        <v>1340</v>
      </c>
      <c r="D609" t="s">
        <v>5131</v>
      </c>
      <c r="E609">
        <v>4.0000000000000001E-3</v>
      </c>
      <c r="F609">
        <v>2.3E-2</v>
      </c>
      <c r="G609" t="s">
        <v>5133</v>
      </c>
    </row>
    <row r="610" spans="1:7" x14ac:dyDescent="0.3">
      <c r="B610">
        <v>9.25</v>
      </c>
      <c r="C610" t="s">
        <v>400</v>
      </c>
      <c r="D610" t="s">
        <v>5328</v>
      </c>
      <c r="E610">
        <v>7.9000000000000008E-3</v>
      </c>
      <c r="F610">
        <v>-8.2000000000000007E-3</v>
      </c>
      <c r="G610" t="s">
        <v>5329</v>
      </c>
    </row>
    <row r="611" spans="1:7" x14ac:dyDescent="0.3">
      <c r="B611">
        <v>4.09</v>
      </c>
      <c r="C611" t="s">
        <v>5743</v>
      </c>
      <c r="D611" t="s">
        <v>5744</v>
      </c>
      <c r="E611">
        <v>4.4999999999999997E-3</v>
      </c>
      <c r="F611">
        <v>-2.2200000000000001E-2</v>
      </c>
      <c r="G611" t="s">
        <v>5746</v>
      </c>
    </row>
    <row r="612" spans="1:7" x14ac:dyDescent="0.3">
      <c r="A612" t="s">
        <v>818</v>
      </c>
      <c r="B612">
        <v>2630</v>
      </c>
      <c r="C612" t="s">
        <v>295</v>
      </c>
      <c r="D612" t="s">
        <v>816</v>
      </c>
      <c r="E612">
        <v>8.3000000000000001E-3</v>
      </c>
      <c r="F612">
        <v>-0.39689999999999998</v>
      </c>
      <c r="G612" t="s">
        <v>819</v>
      </c>
    </row>
    <row r="613" spans="1:7" x14ac:dyDescent="0.3">
      <c r="B613">
        <v>855.89</v>
      </c>
      <c r="C613" t="s">
        <v>1398</v>
      </c>
      <c r="D613" t="s">
        <v>1399</v>
      </c>
      <c r="E613">
        <v>7.4999999999999997E-3</v>
      </c>
      <c r="F613">
        <v>-0.16589999999999999</v>
      </c>
      <c r="G613" t="s">
        <v>1401</v>
      </c>
    </row>
    <row r="614" spans="1:7" x14ac:dyDescent="0.3">
      <c r="B614">
        <v>370.9</v>
      </c>
      <c r="C614" t="s">
        <v>1471</v>
      </c>
      <c r="D614" t="s">
        <v>2074</v>
      </c>
      <c r="E614">
        <v>4.7999999999999996E-3</v>
      </c>
      <c r="F614">
        <v>-0.30070000000000002</v>
      </c>
      <c r="G614" t="s">
        <v>2076</v>
      </c>
    </row>
    <row r="615" spans="1:7" x14ac:dyDescent="0.3">
      <c r="B615">
        <v>13.02</v>
      </c>
      <c r="C615" t="s">
        <v>979</v>
      </c>
      <c r="D615" t="s">
        <v>5120</v>
      </c>
      <c r="E615">
        <v>7.0000000000000001E-3</v>
      </c>
      <c r="F615" t="s">
        <v>662</v>
      </c>
      <c r="G615" t="s">
        <v>5122</v>
      </c>
    </row>
    <row r="616" spans="1:7" x14ac:dyDescent="0.3">
      <c r="B616">
        <v>10.02</v>
      </c>
      <c r="C616" t="s">
        <v>979</v>
      </c>
      <c r="D616" t="s">
        <v>5278</v>
      </c>
      <c r="E616">
        <v>8.6E-3</v>
      </c>
      <c r="F616">
        <v>-0.31219999999999998</v>
      </c>
      <c r="G616" t="s">
        <v>5280</v>
      </c>
    </row>
    <row r="617" spans="1:7" x14ac:dyDescent="0.3">
      <c r="A617" t="s">
        <v>1840</v>
      </c>
      <c r="B617" t="s">
        <v>662</v>
      </c>
      <c r="C617" t="s">
        <v>6113</v>
      </c>
      <c r="D617" t="s">
        <v>6184</v>
      </c>
      <c r="E617">
        <v>6.4999999999999997E-3</v>
      </c>
      <c r="F617">
        <v>-0.29020000000000001</v>
      </c>
      <c r="G617" t="s">
        <v>6185</v>
      </c>
    </row>
    <row r="618" spans="1:7" x14ac:dyDescent="0.3">
      <c r="D618" t="s">
        <v>6182</v>
      </c>
      <c r="E618">
        <v>5.7999999999999996E-3</v>
      </c>
      <c r="F618">
        <v>-0.30780000000000002</v>
      </c>
      <c r="G618" t="s">
        <v>6183</v>
      </c>
    </row>
    <row r="619" spans="1:7" x14ac:dyDescent="0.3">
      <c r="B619">
        <v>477.74</v>
      </c>
      <c r="C619" t="s">
        <v>1308</v>
      </c>
      <c r="D619" t="s">
        <v>1838</v>
      </c>
      <c r="E619">
        <v>6.4999999999999997E-3</v>
      </c>
      <c r="F619">
        <v>-0.36909999999999998</v>
      </c>
      <c r="G619" t="s">
        <v>1841</v>
      </c>
    </row>
    <row r="620" spans="1:7" x14ac:dyDescent="0.3">
      <c r="B620">
        <v>246.71</v>
      </c>
      <c r="C620" t="s">
        <v>921</v>
      </c>
      <c r="D620" t="s">
        <v>2367</v>
      </c>
      <c r="E620">
        <v>7.4999999999999997E-3</v>
      </c>
      <c r="F620">
        <v>-0.1736</v>
      </c>
      <c r="G620" t="s">
        <v>2369</v>
      </c>
    </row>
    <row r="621" spans="1:7" x14ac:dyDescent="0.3">
      <c r="A621" t="s">
        <v>4142</v>
      </c>
      <c r="B621">
        <v>38.83</v>
      </c>
      <c r="C621" t="s">
        <v>921</v>
      </c>
      <c r="D621" t="s">
        <v>4140</v>
      </c>
      <c r="E621">
        <v>6.7999999999999996E-3</v>
      </c>
      <c r="F621">
        <v>-0.26479999999999998</v>
      </c>
      <c r="G621" t="s">
        <v>4143</v>
      </c>
    </row>
    <row r="622" spans="1:7" x14ac:dyDescent="0.3">
      <c r="B622">
        <v>8.59</v>
      </c>
      <c r="C622" t="s">
        <v>12</v>
      </c>
      <c r="D622" t="s">
        <v>5369</v>
      </c>
      <c r="E622">
        <v>4.7000000000000002E-3</v>
      </c>
      <c r="F622">
        <v>-6.7999999999999996E-3</v>
      </c>
      <c r="G622" t="s">
        <v>5371</v>
      </c>
    </row>
    <row r="623" spans="1:7" x14ac:dyDescent="0.3">
      <c r="B623">
        <v>1.7</v>
      </c>
      <c r="C623" t="s">
        <v>1398</v>
      </c>
      <c r="D623" t="s">
        <v>5973</v>
      </c>
      <c r="E623">
        <v>7.4999999999999997E-3</v>
      </c>
      <c r="F623" t="s">
        <v>662</v>
      </c>
      <c r="G623" t="s">
        <v>5975</v>
      </c>
    </row>
    <row r="624" spans="1:7" x14ac:dyDescent="0.3">
      <c r="A624" t="s">
        <v>1135</v>
      </c>
      <c r="B624">
        <v>1260</v>
      </c>
      <c r="C624" t="s">
        <v>12</v>
      </c>
      <c r="D624" t="s">
        <v>1133</v>
      </c>
      <c r="E624">
        <v>2E-3</v>
      </c>
      <c r="F624">
        <v>-4.3999999999999997E-2</v>
      </c>
      <c r="G624" t="s">
        <v>1136</v>
      </c>
    </row>
    <row r="625" spans="1:7" x14ac:dyDescent="0.3">
      <c r="B625">
        <v>267.83</v>
      </c>
      <c r="C625" t="s">
        <v>272</v>
      </c>
      <c r="D625" t="s">
        <v>2308</v>
      </c>
      <c r="E625">
        <v>6.1999999999999998E-3</v>
      </c>
      <c r="F625">
        <v>-0.13159999999999999</v>
      </c>
      <c r="G625" t="s">
        <v>2310</v>
      </c>
    </row>
    <row r="626" spans="1:7" x14ac:dyDescent="0.3">
      <c r="B626">
        <v>112.7</v>
      </c>
      <c r="C626" t="s">
        <v>7</v>
      </c>
      <c r="D626" t="s">
        <v>3155</v>
      </c>
      <c r="E626">
        <v>2E-3</v>
      </c>
      <c r="F626">
        <v>-4.1000000000000002E-2</v>
      </c>
      <c r="G626" t="s">
        <v>3157</v>
      </c>
    </row>
    <row r="627" spans="1:7" x14ac:dyDescent="0.3">
      <c r="B627">
        <v>47.63</v>
      </c>
      <c r="C627" t="s">
        <v>2709</v>
      </c>
      <c r="D627" t="s">
        <v>3958</v>
      </c>
      <c r="E627">
        <v>6.0000000000000001E-3</v>
      </c>
      <c r="F627">
        <v>-1.9400000000000001E-2</v>
      </c>
      <c r="G627" t="s">
        <v>3960</v>
      </c>
    </row>
    <row r="628" spans="1:7" x14ac:dyDescent="0.3">
      <c r="B628">
        <v>23.69</v>
      </c>
      <c r="C628" t="s">
        <v>332</v>
      </c>
      <c r="D628" t="s">
        <v>4624</v>
      </c>
      <c r="E628">
        <v>4.8999999999999998E-3</v>
      </c>
      <c r="F628" t="s">
        <v>662</v>
      </c>
      <c r="G628" t="s">
        <v>4626</v>
      </c>
    </row>
    <row r="629" spans="1:7" x14ac:dyDescent="0.3">
      <c r="B629">
        <v>4.66</v>
      </c>
      <c r="C629" t="s">
        <v>12</v>
      </c>
      <c r="D629" t="s">
        <v>5699</v>
      </c>
      <c r="E629">
        <v>7.0000000000000001E-3</v>
      </c>
      <c r="F629">
        <v>-5.9700000000000003E-2</v>
      </c>
      <c r="G629" t="s">
        <v>5700</v>
      </c>
    </row>
    <row r="630" spans="1:7" x14ac:dyDescent="0.3">
      <c r="B630">
        <v>1.89</v>
      </c>
      <c r="C630" t="s">
        <v>4144</v>
      </c>
      <c r="D630" t="s">
        <v>5949</v>
      </c>
      <c r="E630">
        <v>3.0000000000000001E-3</v>
      </c>
      <c r="F630" t="s">
        <v>662</v>
      </c>
      <c r="G630" t="s">
        <v>5951</v>
      </c>
    </row>
    <row r="631" spans="1:7" x14ac:dyDescent="0.3">
      <c r="B631">
        <v>1.33</v>
      </c>
      <c r="C631" t="s">
        <v>2087</v>
      </c>
      <c r="D631" t="s">
        <v>6002</v>
      </c>
      <c r="E631">
        <v>6.4999999999999997E-3</v>
      </c>
      <c r="F631">
        <v>-0.1502</v>
      </c>
      <c r="G631" t="s">
        <v>6004</v>
      </c>
    </row>
    <row r="632" spans="1:7" x14ac:dyDescent="0.3">
      <c r="B632">
        <v>0.56977999999999995</v>
      </c>
      <c r="C632" t="s">
        <v>6069</v>
      </c>
      <c r="D632" t="s">
        <v>6070</v>
      </c>
      <c r="E632">
        <v>9.4999999999999998E-3</v>
      </c>
      <c r="F632" t="s">
        <v>662</v>
      </c>
      <c r="G632" t="s">
        <v>6072</v>
      </c>
    </row>
    <row r="633" spans="1:7" x14ac:dyDescent="0.3">
      <c r="A633" t="s">
        <v>1634</v>
      </c>
      <c r="B633" t="s">
        <v>662</v>
      </c>
      <c r="C633" t="s">
        <v>6113</v>
      </c>
      <c r="D633" t="s">
        <v>6116</v>
      </c>
      <c r="E633">
        <v>5.7999999999999996E-3</v>
      </c>
      <c r="F633" t="s">
        <v>662</v>
      </c>
      <c r="G633" t="s">
        <v>6117</v>
      </c>
    </row>
    <row r="634" spans="1:7" x14ac:dyDescent="0.3">
      <c r="B634">
        <v>632.41</v>
      </c>
      <c r="C634" t="s">
        <v>12</v>
      </c>
      <c r="D634" t="s">
        <v>1632</v>
      </c>
      <c r="E634">
        <v>4.3E-3</v>
      </c>
      <c r="F634">
        <v>1.9099999999999999E-2</v>
      </c>
      <c r="G634" t="s">
        <v>1635</v>
      </c>
    </row>
    <row r="635" spans="1:7" x14ac:dyDescent="0.3">
      <c r="A635" t="s">
        <v>5055</v>
      </c>
      <c r="B635">
        <v>14.85</v>
      </c>
      <c r="C635" t="s">
        <v>1398</v>
      </c>
      <c r="D635" t="s">
        <v>5053</v>
      </c>
      <c r="E635">
        <v>7.4999999999999997E-3</v>
      </c>
      <c r="F635">
        <v>-0.27</v>
      </c>
      <c r="G635" t="s">
        <v>5056</v>
      </c>
    </row>
    <row r="636" spans="1:7" x14ac:dyDescent="0.3">
      <c r="B636">
        <v>2.19</v>
      </c>
      <c r="C636" t="s">
        <v>4636</v>
      </c>
      <c r="D636" t="s">
        <v>5940</v>
      </c>
      <c r="E636">
        <v>6.7999999999999996E-3</v>
      </c>
      <c r="F636">
        <v>-0.26329999999999998</v>
      </c>
      <c r="G636" t="s">
        <v>5942</v>
      </c>
    </row>
    <row r="637" spans="1:7" x14ac:dyDescent="0.3">
      <c r="B637">
        <v>0.93013000000000001</v>
      </c>
      <c r="C637" t="s">
        <v>1842</v>
      </c>
      <c r="D637" t="s">
        <v>6049</v>
      </c>
      <c r="E637">
        <v>9.4999999999999998E-3</v>
      </c>
      <c r="F637">
        <v>-0.26269999999999999</v>
      </c>
      <c r="G637" t="s">
        <v>6051</v>
      </c>
    </row>
    <row r="638" spans="1:7" x14ac:dyDescent="0.3">
      <c r="A638" t="s">
        <v>1216</v>
      </c>
      <c r="B638">
        <v>1120</v>
      </c>
      <c r="C638" t="s">
        <v>12</v>
      </c>
      <c r="D638" t="s">
        <v>1214</v>
      </c>
      <c r="E638">
        <v>3.8999999999999998E-3</v>
      </c>
      <c r="F638">
        <v>6.9599999999999995E-2</v>
      </c>
      <c r="G638" t="s">
        <v>1217</v>
      </c>
    </row>
    <row r="639" spans="1:7" x14ac:dyDescent="0.3">
      <c r="B639">
        <v>17.38</v>
      </c>
      <c r="C639" t="s">
        <v>272</v>
      </c>
      <c r="D639" t="s">
        <v>4929</v>
      </c>
      <c r="E639">
        <v>5.8999999999999999E-3</v>
      </c>
      <c r="F639" t="s">
        <v>662</v>
      </c>
      <c r="G639" t="s">
        <v>4931</v>
      </c>
    </row>
    <row r="640" spans="1:7" x14ac:dyDescent="0.3">
      <c r="A640" t="s">
        <v>3236</v>
      </c>
      <c r="B640">
        <v>102.46</v>
      </c>
      <c r="C640" t="s">
        <v>1025</v>
      </c>
      <c r="D640" t="s">
        <v>3234</v>
      </c>
      <c r="E640">
        <v>4.4999999999999997E-3</v>
      </c>
      <c r="F640">
        <v>-0.1489</v>
      </c>
      <c r="G640" t="s">
        <v>3237</v>
      </c>
    </row>
    <row r="641" spans="1:7" x14ac:dyDescent="0.3">
      <c r="A641" t="s">
        <v>550</v>
      </c>
      <c r="B641">
        <v>5230</v>
      </c>
      <c r="C641" t="s">
        <v>486</v>
      </c>
      <c r="D641" t="s">
        <v>548</v>
      </c>
      <c r="E641">
        <v>7.4999999999999997E-3</v>
      </c>
      <c r="F641">
        <v>-0.10390000000000001</v>
      </c>
      <c r="G641" t="s">
        <v>551</v>
      </c>
    </row>
    <row r="642" spans="1:7" x14ac:dyDescent="0.3">
      <c r="B642">
        <v>1390</v>
      </c>
      <c r="C642" t="s">
        <v>486</v>
      </c>
      <c r="D642" t="s">
        <v>1096</v>
      </c>
      <c r="E642">
        <v>6.7999999999999996E-3</v>
      </c>
      <c r="F642">
        <v>-3.1099999999999999E-2</v>
      </c>
      <c r="G642" t="s">
        <v>1097</v>
      </c>
    </row>
    <row r="643" spans="1:7" x14ac:dyDescent="0.3">
      <c r="B643">
        <v>619.41999999999996</v>
      </c>
      <c r="C643" t="s">
        <v>12</v>
      </c>
      <c r="D643" t="s">
        <v>1648</v>
      </c>
      <c r="E643">
        <v>4.7000000000000002E-3</v>
      </c>
      <c r="F643">
        <v>-7.7000000000000002E-3</v>
      </c>
      <c r="G643" t="s">
        <v>1650</v>
      </c>
    </row>
    <row r="644" spans="1:7" x14ac:dyDescent="0.3">
      <c r="B644">
        <v>336.68</v>
      </c>
      <c r="C644" t="s">
        <v>400</v>
      </c>
      <c r="D644" t="s">
        <v>2152</v>
      </c>
      <c r="E644">
        <v>7.0000000000000001E-3</v>
      </c>
      <c r="F644">
        <v>-8.1100000000000005E-2</v>
      </c>
      <c r="G644" t="s">
        <v>2154</v>
      </c>
    </row>
    <row r="645" spans="1:7" x14ac:dyDescent="0.3">
      <c r="B645">
        <v>235.95</v>
      </c>
      <c r="C645" t="s">
        <v>1308</v>
      </c>
      <c r="D645" t="s">
        <v>2405</v>
      </c>
      <c r="E645">
        <v>5.8999999999999999E-3</v>
      </c>
      <c r="F645">
        <v>-7.6999999999999999E-2</v>
      </c>
      <c r="G645" t="s">
        <v>2407</v>
      </c>
    </row>
    <row r="646" spans="1:7" x14ac:dyDescent="0.3">
      <c r="B646">
        <v>52.76</v>
      </c>
      <c r="C646" t="s">
        <v>1150</v>
      </c>
      <c r="D646" t="s">
        <v>3850</v>
      </c>
      <c r="E646">
        <v>3.0000000000000001E-3</v>
      </c>
      <c r="F646">
        <v>-0.32829999999999998</v>
      </c>
      <c r="G646" t="s">
        <v>3852</v>
      </c>
    </row>
    <row r="647" spans="1:7" x14ac:dyDescent="0.3">
      <c r="B647">
        <v>43.41</v>
      </c>
      <c r="C647" t="s">
        <v>460</v>
      </c>
      <c r="D647" t="s">
        <v>4034</v>
      </c>
      <c r="E647">
        <v>3.8999999999999998E-3</v>
      </c>
      <c r="F647">
        <v>-0.121</v>
      </c>
      <c r="G647" t="s">
        <v>4036</v>
      </c>
    </row>
    <row r="648" spans="1:7" x14ac:dyDescent="0.3">
      <c r="B648">
        <v>30.37</v>
      </c>
      <c r="C648" t="s">
        <v>588</v>
      </c>
      <c r="D648" t="s">
        <v>4391</v>
      </c>
      <c r="E648">
        <v>4.4999999999999997E-3</v>
      </c>
      <c r="F648">
        <v>-0.22109999999999999</v>
      </c>
      <c r="G648" t="s">
        <v>4393</v>
      </c>
    </row>
    <row r="649" spans="1:7" x14ac:dyDescent="0.3">
      <c r="B649">
        <v>25.26</v>
      </c>
      <c r="C649" t="s">
        <v>486</v>
      </c>
      <c r="D649" t="s">
        <v>4563</v>
      </c>
      <c r="E649">
        <v>5.0000000000000001E-3</v>
      </c>
      <c r="F649">
        <v>-0.34860000000000002</v>
      </c>
      <c r="G649" t="s">
        <v>4564</v>
      </c>
    </row>
    <row r="650" spans="1:7" x14ac:dyDescent="0.3">
      <c r="B650">
        <v>15.56</v>
      </c>
      <c r="C650" t="s">
        <v>4636</v>
      </c>
      <c r="D650" t="s">
        <v>5031</v>
      </c>
      <c r="E650">
        <v>6.7999999999999996E-3</v>
      </c>
      <c r="F650">
        <v>-5.2600000000000001E-2</v>
      </c>
      <c r="G650" t="s">
        <v>5033</v>
      </c>
    </row>
    <row r="651" spans="1:7" x14ac:dyDescent="0.3">
      <c r="B651">
        <v>11.07</v>
      </c>
      <c r="C651" t="s">
        <v>979</v>
      </c>
      <c r="D651" t="s">
        <v>5214</v>
      </c>
      <c r="E651">
        <v>6.4999999999999997E-3</v>
      </c>
      <c r="F651">
        <v>-3.7600000000000001E-2</v>
      </c>
      <c r="G651" t="s">
        <v>5216</v>
      </c>
    </row>
    <row r="652" spans="1:7" x14ac:dyDescent="0.3">
      <c r="B652">
        <v>8.36</v>
      </c>
      <c r="C652" t="s">
        <v>1842</v>
      </c>
      <c r="D652" t="s">
        <v>5385</v>
      </c>
      <c r="E652">
        <v>9.4999999999999998E-3</v>
      </c>
      <c r="F652">
        <v>5.7799999999999997E-2</v>
      </c>
      <c r="G652" t="s">
        <v>5386</v>
      </c>
    </row>
    <row r="653" spans="1:7" x14ac:dyDescent="0.3">
      <c r="B653">
        <v>6.07</v>
      </c>
      <c r="C653" t="s">
        <v>1864</v>
      </c>
      <c r="D653" t="s">
        <v>5576</v>
      </c>
      <c r="E653">
        <v>4.4999999999999997E-3</v>
      </c>
      <c r="F653">
        <v>-3.4299999999999997E-2</v>
      </c>
      <c r="G653" t="s">
        <v>5577</v>
      </c>
    </row>
    <row r="654" spans="1:7" x14ac:dyDescent="0.3">
      <c r="A654" t="s">
        <v>447</v>
      </c>
      <c r="B654">
        <v>6760</v>
      </c>
      <c r="C654" t="s">
        <v>444</v>
      </c>
      <c r="D654" t="s">
        <v>445</v>
      </c>
      <c r="E654">
        <v>4.5999999999999999E-3</v>
      </c>
      <c r="F654">
        <v>5.6399999999999999E-2</v>
      </c>
      <c r="G654" t="s">
        <v>448</v>
      </c>
    </row>
    <row r="655" spans="1:7" x14ac:dyDescent="0.3">
      <c r="B655">
        <v>2510</v>
      </c>
      <c r="C655" t="s">
        <v>7</v>
      </c>
      <c r="D655" t="s">
        <v>834</v>
      </c>
      <c r="E655">
        <v>4.0000000000000001E-3</v>
      </c>
      <c r="F655">
        <v>5.0900000000000001E-2</v>
      </c>
      <c r="G655" t="s">
        <v>835</v>
      </c>
    </row>
    <row r="656" spans="1:7" x14ac:dyDescent="0.3">
      <c r="B656">
        <v>93.47</v>
      </c>
      <c r="C656" t="s">
        <v>272</v>
      </c>
      <c r="D656" t="s">
        <v>3322</v>
      </c>
      <c r="E656">
        <v>4.8999999999999998E-3</v>
      </c>
      <c r="F656">
        <v>2.2800000000000001E-2</v>
      </c>
      <c r="G656" t="s">
        <v>3324</v>
      </c>
    </row>
    <row r="657" spans="1:7" x14ac:dyDescent="0.3">
      <c r="B657">
        <v>40.770000000000003</v>
      </c>
      <c r="C657" t="s">
        <v>280</v>
      </c>
      <c r="D657" t="s">
        <v>4103</v>
      </c>
      <c r="E657">
        <v>7.0000000000000001E-3</v>
      </c>
      <c r="F657">
        <v>0.12709999999999999</v>
      </c>
      <c r="G657" t="s">
        <v>4105</v>
      </c>
    </row>
    <row r="658" spans="1:7" x14ac:dyDescent="0.3">
      <c r="A658" t="s">
        <v>1186</v>
      </c>
      <c r="B658">
        <v>1170</v>
      </c>
      <c r="C658" t="s">
        <v>486</v>
      </c>
      <c r="D658" t="s">
        <v>1185</v>
      </c>
      <c r="E658">
        <v>6.8999999999999999E-3</v>
      </c>
      <c r="F658">
        <v>-0.23219999999999999</v>
      </c>
      <c r="G658" t="s">
        <v>1187</v>
      </c>
    </row>
    <row r="659" spans="1:7" x14ac:dyDescent="0.3">
      <c r="B659">
        <v>681.71</v>
      </c>
      <c r="C659" t="s">
        <v>979</v>
      </c>
      <c r="D659" t="s">
        <v>1586</v>
      </c>
      <c r="E659">
        <v>8.5000000000000006E-3</v>
      </c>
      <c r="F659">
        <v>-0.26850000000000002</v>
      </c>
      <c r="G659" t="s">
        <v>1588</v>
      </c>
    </row>
    <row r="660" spans="1:7" x14ac:dyDescent="0.3">
      <c r="B660">
        <v>35.409999999999997</v>
      </c>
      <c r="C660" t="s">
        <v>272</v>
      </c>
      <c r="D660" t="s">
        <v>4244</v>
      </c>
      <c r="E660">
        <v>6.1000000000000004E-3</v>
      </c>
      <c r="F660">
        <v>-4.58E-2</v>
      </c>
      <c r="G660" t="s">
        <v>4246</v>
      </c>
    </row>
    <row r="661" spans="1:7" x14ac:dyDescent="0.3">
      <c r="A661" t="s">
        <v>4896</v>
      </c>
      <c r="B661">
        <v>17.87</v>
      </c>
      <c r="C661" t="s">
        <v>272</v>
      </c>
      <c r="D661" t="s">
        <v>4894</v>
      </c>
      <c r="E661">
        <v>6.0000000000000001E-3</v>
      </c>
      <c r="F661">
        <v>-6.4500000000000002E-2</v>
      </c>
      <c r="G661" t="s">
        <v>4897</v>
      </c>
    </row>
    <row r="662" spans="1:7" x14ac:dyDescent="0.3">
      <c r="A662" t="s">
        <v>3369</v>
      </c>
      <c r="B662">
        <v>91.07</v>
      </c>
      <c r="C662" t="s">
        <v>12</v>
      </c>
      <c r="D662" t="s">
        <v>3367</v>
      </c>
      <c r="E662">
        <v>3.8999999999999998E-3</v>
      </c>
      <c r="F662">
        <v>5.3800000000000001E-2</v>
      </c>
      <c r="G662" t="s">
        <v>3370</v>
      </c>
    </row>
    <row r="663" spans="1:7" x14ac:dyDescent="0.3">
      <c r="A663" t="s">
        <v>5535</v>
      </c>
      <c r="B663">
        <v>6.47</v>
      </c>
      <c r="C663" t="s">
        <v>1289</v>
      </c>
      <c r="D663" t="s">
        <v>5533</v>
      </c>
      <c r="E663">
        <v>6.7999999999999996E-3</v>
      </c>
      <c r="F663">
        <v>-0.4723</v>
      </c>
      <c r="G663" t="s">
        <v>5536</v>
      </c>
    </row>
    <row r="664" spans="1:7" x14ac:dyDescent="0.3">
      <c r="B664">
        <v>3</v>
      </c>
      <c r="C664" t="s">
        <v>588</v>
      </c>
      <c r="D664" t="s">
        <v>5864</v>
      </c>
      <c r="E664">
        <v>6.4999999999999997E-3</v>
      </c>
      <c r="F664" t="s">
        <v>662</v>
      </c>
      <c r="G664" t="s">
        <v>5865</v>
      </c>
    </row>
    <row r="665" spans="1:7" x14ac:dyDescent="0.3">
      <c r="A665" t="s">
        <v>2030</v>
      </c>
      <c r="B665">
        <v>384.35</v>
      </c>
      <c r="C665" t="s">
        <v>272</v>
      </c>
      <c r="D665" t="s">
        <v>2028</v>
      </c>
      <c r="E665">
        <v>3.5000000000000001E-3</v>
      </c>
      <c r="F665">
        <v>1.04E-2</v>
      </c>
      <c r="G665" t="s">
        <v>2031</v>
      </c>
    </row>
    <row r="666" spans="1:7" x14ac:dyDescent="0.3">
      <c r="A666" t="s">
        <v>994</v>
      </c>
      <c r="B666">
        <v>1740</v>
      </c>
      <c r="C666" t="s">
        <v>7</v>
      </c>
      <c r="D666" t="s">
        <v>993</v>
      </c>
      <c r="E666">
        <v>5.0000000000000001E-3</v>
      </c>
      <c r="F666">
        <v>-1.2800000000000001E-2</v>
      </c>
      <c r="G666" t="s">
        <v>995</v>
      </c>
    </row>
    <row r="667" spans="1:7" x14ac:dyDescent="0.3">
      <c r="B667">
        <v>439.86</v>
      </c>
      <c r="C667" t="s">
        <v>444</v>
      </c>
      <c r="D667" t="s">
        <v>1888</v>
      </c>
      <c r="E667">
        <v>4.4999999999999997E-3</v>
      </c>
      <c r="F667">
        <v>-5.1999999999999998E-3</v>
      </c>
      <c r="G667" t="s">
        <v>1890</v>
      </c>
    </row>
    <row r="668" spans="1:7" x14ac:dyDescent="0.3">
      <c r="B668">
        <v>22.48</v>
      </c>
      <c r="C668" t="s">
        <v>863</v>
      </c>
      <c r="D668" t="s">
        <v>4686</v>
      </c>
      <c r="E668">
        <v>1.6999999999999999E-3</v>
      </c>
      <c r="F668">
        <v>-1.61E-2</v>
      </c>
      <c r="G668" t="s">
        <v>4688</v>
      </c>
    </row>
    <row r="669" spans="1:7" x14ac:dyDescent="0.3">
      <c r="B669">
        <v>22.37</v>
      </c>
      <c r="C669" t="s">
        <v>460</v>
      </c>
      <c r="D669" t="s">
        <v>4698</v>
      </c>
      <c r="E669">
        <v>5.8999999999999999E-3</v>
      </c>
      <c r="F669">
        <v>-5.0000000000000001E-3</v>
      </c>
      <c r="G669" t="s">
        <v>4700</v>
      </c>
    </row>
    <row r="670" spans="1:7" x14ac:dyDescent="0.3">
      <c r="B670">
        <v>21.26</v>
      </c>
      <c r="C670" t="s">
        <v>2070</v>
      </c>
      <c r="D670" t="s">
        <v>4745</v>
      </c>
      <c r="E670">
        <v>5.8999999999999999E-3</v>
      </c>
      <c r="F670">
        <v>5.9999999999999995E-4</v>
      </c>
      <c r="G670" t="s">
        <v>4747</v>
      </c>
    </row>
    <row r="671" spans="1:7" x14ac:dyDescent="0.3">
      <c r="B671">
        <v>17.399999999999999</v>
      </c>
      <c r="C671" t="s">
        <v>248</v>
      </c>
      <c r="D671" t="s">
        <v>4927</v>
      </c>
      <c r="E671">
        <v>7.4999999999999997E-3</v>
      </c>
      <c r="F671" t="s">
        <v>662</v>
      </c>
      <c r="G671" t="s">
        <v>4928</v>
      </c>
    </row>
    <row r="672" spans="1:7" x14ac:dyDescent="0.3">
      <c r="B672">
        <v>1.88</v>
      </c>
      <c r="C672" t="s">
        <v>921</v>
      </c>
      <c r="D672" t="s">
        <v>5955</v>
      </c>
      <c r="E672">
        <v>7.4999999999999997E-3</v>
      </c>
      <c r="F672">
        <v>-0.26500000000000001</v>
      </c>
      <c r="G672" t="s">
        <v>5956</v>
      </c>
    </row>
    <row r="673" spans="1:7" x14ac:dyDescent="0.3">
      <c r="A673" t="s">
        <v>705</v>
      </c>
      <c r="B673">
        <v>3480</v>
      </c>
      <c r="C673" t="s">
        <v>12</v>
      </c>
      <c r="D673" t="s">
        <v>703</v>
      </c>
      <c r="E673">
        <v>1.4E-3</v>
      </c>
      <c r="F673">
        <v>-1.04E-2</v>
      </c>
      <c r="G673" t="s">
        <v>706</v>
      </c>
    </row>
    <row r="674" spans="1:7" x14ac:dyDescent="0.3">
      <c r="B674">
        <v>402.19</v>
      </c>
      <c r="C674" t="s">
        <v>486</v>
      </c>
      <c r="D674" t="s">
        <v>1988</v>
      </c>
      <c r="E674">
        <v>5.7999999999999996E-3</v>
      </c>
      <c r="F674">
        <v>-6.93E-2</v>
      </c>
      <c r="G674" t="s">
        <v>1990</v>
      </c>
    </row>
    <row r="675" spans="1:7" x14ac:dyDescent="0.3">
      <c r="B675">
        <v>26.68</v>
      </c>
      <c r="C675" t="s">
        <v>2087</v>
      </c>
      <c r="D675" t="s">
        <v>4502</v>
      </c>
      <c r="E675">
        <v>6.8999999999999999E-3</v>
      </c>
      <c r="F675">
        <v>2.5499999999999998E-2</v>
      </c>
      <c r="G675" t="s">
        <v>4504</v>
      </c>
    </row>
    <row r="676" spans="1:7" x14ac:dyDescent="0.3">
      <c r="A676" t="s">
        <v>5591</v>
      </c>
      <c r="B676">
        <v>5.94</v>
      </c>
      <c r="C676" t="s">
        <v>12</v>
      </c>
      <c r="D676" t="s">
        <v>5589</v>
      </c>
      <c r="E676">
        <v>4.7000000000000002E-3</v>
      </c>
      <c r="F676">
        <v>-0.29559999999999997</v>
      </c>
      <c r="G676" t="s">
        <v>5592</v>
      </c>
    </row>
    <row r="677" spans="1:7" x14ac:dyDescent="0.3">
      <c r="A677" t="s">
        <v>595</v>
      </c>
      <c r="B677" t="s">
        <v>662</v>
      </c>
      <c r="C677" t="s">
        <v>4636</v>
      </c>
      <c r="D677" t="s">
        <v>5649</v>
      </c>
      <c r="E677" t="s">
        <v>662</v>
      </c>
      <c r="F677">
        <v>8.9999999999999998E-4</v>
      </c>
      <c r="G677" t="s">
        <v>6147</v>
      </c>
    </row>
    <row r="678" spans="1:7" x14ac:dyDescent="0.3">
      <c r="C678" t="s">
        <v>5707</v>
      </c>
      <c r="D678" t="s">
        <v>6133</v>
      </c>
      <c r="E678">
        <v>5.8999999999999999E-3</v>
      </c>
      <c r="F678">
        <v>-0.2094</v>
      </c>
      <c r="G678" t="s">
        <v>6134</v>
      </c>
    </row>
    <row r="679" spans="1:7" x14ac:dyDescent="0.3">
      <c r="B679">
        <v>4740</v>
      </c>
      <c r="C679" t="s">
        <v>12</v>
      </c>
      <c r="D679" t="s">
        <v>593</v>
      </c>
      <c r="E679">
        <v>4.1999999999999997E-3</v>
      </c>
      <c r="F679">
        <v>-0.22500000000000001</v>
      </c>
      <c r="G679" t="s">
        <v>596</v>
      </c>
    </row>
    <row r="680" spans="1:7" x14ac:dyDescent="0.3">
      <c r="B680">
        <v>2070</v>
      </c>
      <c r="C680" t="s">
        <v>24</v>
      </c>
      <c r="D680" t="s">
        <v>911</v>
      </c>
      <c r="E680">
        <v>6.8999999999999999E-3</v>
      </c>
      <c r="F680">
        <v>-0.29299999999999998</v>
      </c>
      <c r="G680" t="s">
        <v>913</v>
      </c>
    </row>
    <row r="681" spans="1:7" x14ac:dyDescent="0.3">
      <c r="B681">
        <v>1140</v>
      </c>
      <c r="C681" t="s">
        <v>24</v>
      </c>
      <c r="D681" t="s">
        <v>1208</v>
      </c>
      <c r="E681">
        <v>6.1000000000000004E-3</v>
      </c>
      <c r="F681">
        <v>-0.31580000000000003</v>
      </c>
      <c r="G681" t="s">
        <v>1209</v>
      </c>
    </row>
    <row r="682" spans="1:7" x14ac:dyDescent="0.3">
      <c r="B682">
        <v>317.08</v>
      </c>
      <c r="C682" t="s">
        <v>280</v>
      </c>
      <c r="D682" t="s">
        <v>2204</v>
      </c>
      <c r="E682">
        <v>6.1999999999999998E-3</v>
      </c>
      <c r="F682">
        <v>-0.13769999999999999</v>
      </c>
      <c r="G682" t="s">
        <v>2206</v>
      </c>
    </row>
    <row r="683" spans="1:7" x14ac:dyDescent="0.3">
      <c r="B683">
        <v>263.93</v>
      </c>
      <c r="C683" t="s">
        <v>24</v>
      </c>
      <c r="D683" t="s">
        <v>2311</v>
      </c>
      <c r="E683">
        <v>7.4999999999999997E-3</v>
      </c>
      <c r="F683">
        <v>-0.24540000000000001</v>
      </c>
      <c r="G683" t="s">
        <v>2313</v>
      </c>
    </row>
    <row r="684" spans="1:7" x14ac:dyDescent="0.3">
      <c r="B684">
        <v>120.45</v>
      </c>
      <c r="C684" t="s">
        <v>486</v>
      </c>
      <c r="D684" t="s">
        <v>3087</v>
      </c>
      <c r="E684">
        <v>6.4999999999999997E-3</v>
      </c>
      <c r="F684">
        <v>-0.13289999999999999</v>
      </c>
      <c r="G684" t="s">
        <v>3089</v>
      </c>
    </row>
    <row r="685" spans="1:7" x14ac:dyDescent="0.3">
      <c r="B685">
        <v>21.47</v>
      </c>
      <c r="C685" t="s">
        <v>460</v>
      </c>
      <c r="D685" t="s">
        <v>4736</v>
      </c>
      <c r="E685">
        <v>3.8999999999999998E-3</v>
      </c>
      <c r="F685">
        <v>-0.2349</v>
      </c>
      <c r="G685" t="s">
        <v>4738</v>
      </c>
    </row>
    <row r="686" spans="1:7" x14ac:dyDescent="0.3">
      <c r="B686">
        <v>7.7</v>
      </c>
      <c r="C686" t="s">
        <v>486</v>
      </c>
      <c r="D686" t="s">
        <v>5433</v>
      </c>
      <c r="E686">
        <v>5.0000000000000001E-3</v>
      </c>
      <c r="F686">
        <v>-0.2455</v>
      </c>
      <c r="G686" t="s">
        <v>5434</v>
      </c>
    </row>
    <row r="687" spans="1:7" x14ac:dyDescent="0.3">
      <c r="B687">
        <v>5.3</v>
      </c>
      <c r="C687" t="s">
        <v>4636</v>
      </c>
      <c r="D687" t="s">
        <v>5649</v>
      </c>
      <c r="E687">
        <v>7.9000000000000008E-3</v>
      </c>
      <c r="F687" t="s">
        <v>662</v>
      </c>
      <c r="G687" t="s">
        <v>5651</v>
      </c>
    </row>
    <row r="688" spans="1:7" x14ac:dyDescent="0.3">
      <c r="B688">
        <v>3.96</v>
      </c>
      <c r="C688" t="s">
        <v>486</v>
      </c>
      <c r="D688" t="s">
        <v>5753</v>
      </c>
      <c r="E688">
        <v>5.0000000000000001E-3</v>
      </c>
      <c r="F688">
        <v>-0.17330000000000001</v>
      </c>
      <c r="G688" t="s">
        <v>5755</v>
      </c>
    </row>
    <row r="689" spans="1:7" x14ac:dyDescent="0.3">
      <c r="B689">
        <v>1.7</v>
      </c>
      <c r="C689" t="s">
        <v>2087</v>
      </c>
      <c r="D689" t="s">
        <v>5976</v>
      </c>
      <c r="E689">
        <v>6.4999999999999997E-3</v>
      </c>
      <c r="F689">
        <v>-0.2223</v>
      </c>
      <c r="G689" t="s">
        <v>5977</v>
      </c>
    </row>
    <row r="690" spans="1:7" x14ac:dyDescent="0.3">
      <c r="A690" t="s">
        <v>982</v>
      </c>
      <c r="B690">
        <v>1760</v>
      </c>
      <c r="C690" t="s">
        <v>979</v>
      </c>
      <c r="D690" t="s">
        <v>980</v>
      </c>
      <c r="E690">
        <v>9.4999999999999998E-3</v>
      </c>
      <c r="F690">
        <v>-7.22E-2</v>
      </c>
      <c r="G690" t="s">
        <v>983</v>
      </c>
    </row>
    <row r="691" spans="1:7" x14ac:dyDescent="0.3">
      <c r="B691">
        <v>1730</v>
      </c>
      <c r="C691" t="s">
        <v>295</v>
      </c>
      <c r="D691" t="s">
        <v>996</v>
      </c>
      <c r="E691">
        <v>7.4999999999999997E-3</v>
      </c>
      <c r="F691">
        <v>-0.20599999999999999</v>
      </c>
      <c r="G691" t="s">
        <v>998</v>
      </c>
    </row>
    <row r="692" spans="1:7" x14ac:dyDescent="0.3">
      <c r="B692">
        <v>376.8</v>
      </c>
      <c r="C692" t="s">
        <v>12</v>
      </c>
      <c r="D692" t="s">
        <v>2067</v>
      </c>
      <c r="E692">
        <v>4.7000000000000002E-3</v>
      </c>
      <c r="F692">
        <v>-0.184</v>
      </c>
      <c r="G692" t="s">
        <v>2069</v>
      </c>
    </row>
    <row r="693" spans="1:7" x14ac:dyDescent="0.3">
      <c r="B693">
        <v>322.10000000000002</v>
      </c>
      <c r="C693" t="s">
        <v>295</v>
      </c>
      <c r="D693" t="s">
        <v>2190</v>
      </c>
      <c r="E693">
        <v>6.6E-3</v>
      </c>
      <c r="F693">
        <v>-0.20180000000000001</v>
      </c>
      <c r="G693" t="s">
        <v>2192</v>
      </c>
    </row>
    <row r="694" spans="1:7" x14ac:dyDescent="0.3">
      <c r="B694">
        <v>273.98</v>
      </c>
      <c r="C694" t="s">
        <v>280</v>
      </c>
      <c r="D694" t="s">
        <v>2300</v>
      </c>
      <c r="E694">
        <v>6.4999999999999997E-3</v>
      </c>
      <c r="F694">
        <v>-0.1164</v>
      </c>
      <c r="G694" t="s">
        <v>2301</v>
      </c>
    </row>
    <row r="695" spans="1:7" x14ac:dyDescent="0.3">
      <c r="B695">
        <v>35.69</v>
      </c>
      <c r="C695" t="s">
        <v>979</v>
      </c>
      <c r="D695" t="s">
        <v>4237</v>
      </c>
      <c r="E695">
        <v>6.7999999999999996E-3</v>
      </c>
      <c r="F695">
        <v>-0.18579999999999999</v>
      </c>
      <c r="G695" t="s">
        <v>4239</v>
      </c>
    </row>
    <row r="696" spans="1:7" x14ac:dyDescent="0.3">
      <c r="B696">
        <v>11.43</v>
      </c>
      <c r="C696" t="s">
        <v>1340</v>
      </c>
      <c r="D696" t="s">
        <v>5202</v>
      </c>
      <c r="E696">
        <v>5.0000000000000001E-3</v>
      </c>
      <c r="F696">
        <v>-0.1086</v>
      </c>
      <c r="G696" t="s">
        <v>5203</v>
      </c>
    </row>
    <row r="697" spans="1:7" x14ac:dyDescent="0.3">
      <c r="B697">
        <v>1.0900000000000001</v>
      </c>
      <c r="C697" t="s">
        <v>440</v>
      </c>
      <c r="D697" t="s">
        <v>6033</v>
      </c>
      <c r="E697">
        <v>4.4999999999999997E-3</v>
      </c>
      <c r="F697" t="s">
        <v>662</v>
      </c>
      <c r="G697" t="s">
        <v>6035</v>
      </c>
    </row>
    <row r="698" spans="1:7" x14ac:dyDescent="0.3">
      <c r="A698" t="s">
        <v>398</v>
      </c>
      <c r="B698">
        <v>7470</v>
      </c>
      <c r="C698" t="s">
        <v>272</v>
      </c>
      <c r="D698" t="s">
        <v>396</v>
      </c>
      <c r="E698">
        <v>3.5000000000000001E-3</v>
      </c>
      <c r="F698">
        <v>1.3599999999999999E-2</v>
      </c>
      <c r="G698" t="s">
        <v>399</v>
      </c>
    </row>
    <row r="699" spans="1:7" x14ac:dyDescent="0.3">
      <c r="A699" t="s">
        <v>1248</v>
      </c>
      <c r="B699">
        <v>1040</v>
      </c>
      <c r="C699" t="s">
        <v>486</v>
      </c>
      <c r="D699" t="s">
        <v>1247</v>
      </c>
      <c r="E699">
        <v>6.4999999999999997E-3</v>
      </c>
      <c r="F699">
        <v>-8.1000000000000003E-2</v>
      </c>
      <c r="G699" t="s">
        <v>1249</v>
      </c>
    </row>
    <row r="700" spans="1:7" x14ac:dyDescent="0.3">
      <c r="B700">
        <v>756.45</v>
      </c>
      <c r="C700" t="s">
        <v>921</v>
      </c>
      <c r="D700" t="s">
        <v>1517</v>
      </c>
      <c r="E700">
        <v>6.8999999999999999E-3</v>
      </c>
      <c r="F700">
        <v>-7.7200000000000005E-2</v>
      </c>
      <c r="G700" t="s">
        <v>1519</v>
      </c>
    </row>
    <row r="701" spans="1:7" x14ac:dyDescent="0.3">
      <c r="B701">
        <v>238.18</v>
      </c>
      <c r="C701" t="s">
        <v>12</v>
      </c>
      <c r="D701" t="s">
        <v>2399</v>
      </c>
      <c r="E701">
        <v>3.8999999999999998E-3</v>
      </c>
      <c r="F701">
        <v>-8.0500000000000002E-2</v>
      </c>
      <c r="G701" t="s">
        <v>2401</v>
      </c>
    </row>
    <row r="702" spans="1:7" x14ac:dyDescent="0.3">
      <c r="A702" t="s">
        <v>4877</v>
      </c>
      <c r="B702">
        <v>18.25</v>
      </c>
      <c r="C702" t="s">
        <v>460</v>
      </c>
      <c r="D702" t="s">
        <v>4875</v>
      </c>
      <c r="E702">
        <v>3.8999999999999998E-3</v>
      </c>
      <c r="F702">
        <v>-0.21110000000000001</v>
      </c>
      <c r="G702" t="s">
        <v>4878</v>
      </c>
    </row>
    <row r="703" spans="1:7" x14ac:dyDescent="0.3">
      <c r="B703">
        <v>2.84</v>
      </c>
      <c r="C703" t="s">
        <v>1150</v>
      </c>
      <c r="D703" t="s">
        <v>5879</v>
      </c>
      <c r="E703">
        <v>4.4999999999999997E-3</v>
      </c>
      <c r="F703">
        <v>-0.33600000000000002</v>
      </c>
      <c r="G703" t="s">
        <v>5881</v>
      </c>
    </row>
    <row r="704" spans="1:7" x14ac:dyDescent="0.3">
      <c r="A704" t="s">
        <v>2020</v>
      </c>
      <c r="B704">
        <v>390.23</v>
      </c>
      <c r="C704" t="s">
        <v>295</v>
      </c>
      <c r="D704" t="s">
        <v>2018</v>
      </c>
      <c r="E704">
        <v>7.4999999999999997E-3</v>
      </c>
      <c r="F704">
        <v>-0.19109999999999999</v>
      </c>
      <c r="G704" t="s">
        <v>2021</v>
      </c>
    </row>
    <row r="705" spans="1:7" x14ac:dyDescent="0.3">
      <c r="B705">
        <v>92.93</v>
      </c>
      <c r="C705" t="s">
        <v>3335</v>
      </c>
      <c r="D705" t="s">
        <v>3336</v>
      </c>
      <c r="E705">
        <v>7.4999999999999997E-3</v>
      </c>
      <c r="F705">
        <v>-0.20580000000000001</v>
      </c>
      <c r="G705" t="s">
        <v>3338</v>
      </c>
    </row>
    <row r="706" spans="1:7" x14ac:dyDescent="0.3">
      <c r="A706" t="s">
        <v>3508</v>
      </c>
      <c r="B706">
        <v>78.06</v>
      </c>
      <c r="C706" t="s">
        <v>486</v>
      </c>
      <c r="D706" t="s">
        <v>3506</v>
      </c>
      <c r="E706">
        <v>5.0000000000000001E-3</v>
      </c>
      <c r="F706">
        <v>-6.0100000000000001E-2</v>
      </c>
      <c r="G706" t="s">
        <v>3509</v>
      </c>
    </row>
    <row r="707" spans="1:7" x14ac:dyDescent="0.3">
      <c r="A707" t="s">
        <v>3217</v>
      </c>
      <c r="B707">
        <v>104.94</v>
      </c>
      <c r="C707" t="s">
        <v>272</v>
      </c>
      <c r="D707" t="s">
        <v>3215</v>
      </c>
      <c r="E707">
        <v>5.5999999999999999E-3</v>
      </c>
      <c r="F707">
        <v>7.4000000000000003E-3</v>
      </c>
      <c r="G707" t="s">
        <v>3218</v>
      </c>
    </row>
    <row r="708" spans="1:7" x14ac:dyDescent="0.3">
      <c r="A708" t="s">
        <v>2233</v>
      </c>
      <c r="B708">
        <v>305</v>
      </c>
      <c r="C708" t="s">
        <v>12</v>
      </c>
      <c r="D708" t="s">
        <v>2231</v>
      </c>
      <c r="E708">
        <v>4.3E-3</v>
      </c>
      <c r="F708">
        <v>3.44E-2</v>
      </c>
      <c r="G708" t="s">
        <v>2234</v>
      </c>
    </row>
    <row r="709" spans="1:7" x14ac:dyDescent="0.3">
      <c r="B709">
        <v>89.66</v>
      </c>
      <c r="C709" t="s">
        <v>24</v>
      </c>
      <c r="D709" t="s">
        <v>3380</v>
      </c>
      <c r="E709">
        <v>6.1000000000000004E-3</v>
      </c>
      <c r="F709">
        <v>3.8E-3</v>
      </c>
      <c r="G709" t="s">
        <v>3382</v>
      </c>
    </row>
    <row r="710" spans="1:7" x14ac:dyDescent="0.3">
      <c r="A710" t="s">
        <v>5129</v>
      </c>
      <c r="B710">
        <v>12.98</v>
      </c>
      <c r="C710" t="s">
        <v>2087</v>
      </c>
      <c r="D710" t="s">
        <v>5127</v>
      </c>
      <c r="E710">
        <v>6.8999999999999999E-3</v>
      </c>
      <c r="F710">
        <v>6.5000000000000002E-2</v>
      </c>
      <c r="G710" t="s">
        <v>5130</v>
      </c>
    </row>
    <row r="711" spans="1:7" x14ac:dyDescent="0.3">
      <c r="A711" t="s">
        <v>2734</v>
      </c>
      <c r="B711">
        <v>166.08</v>
      </c>
      <c r="C711" t="s">
        <v>12</v>
      </c>
      <c r="D711" t="s">
        <v>2732</v>
      </c>
      <c r="E711">
        <v>4.3E-3</v>
      </c>
      <c r="F711">
        <v>3.4000000000000002E-2</v>
      </c>
      <c r="G711" t="s">
        <v>2735</v>
      </c>
    </row>
    <row r="712" spans="1:7" x14ac:dyDescent="0.3">
      <c r="A712" t="s">
        <v>1748</v>
      </c>
      <c r="B712">
        <v>534.34</v>
      </c>
      <c r="C712" t="s">
        <v>272</v>
      </c>
      <c r="D712" t="s">
        <v>1746</v>
      </c>
      <c r="E712">
        <v>5.4999999999999997E-3</v>
      </c>
      <c r="F712">
        <v>-7.8899999999999998E-2</v>
      </c>
      <c r="G712" t="s">
        <v>1749</v>
      </c>
    </row>
    <row r="713" spans="1:7" x14ac:dyDescent="0.3">
      <c r="B713">
        <v>368.29</v>
      </c>
      <c r="C713" t="s">
        <v>486</v>
      </c>
      <c r="D713" t="s">
        <v>2091</v>
      </c>
      <c r="E713">
        <v>5.0000000000000001E-3</v>
      </c>
      <c r="F713">
        <v>-9.2899999999999996E-2</v>
      </c>
      <c r="G713" t="s">
        <v>2093</v>
      </c>
    </row>
    <row r="714" spans="1:7" x14ac:dyDescent="0.3">
      <c r="B714">
        <v>94.17</v>
      </c>
      <c r="C714" t="s">
        <v>921</v>
      </c>
      <c r="D714" t="s">
        <v>3311</v>
      </c>
      <c r="E714">
        <v>7.4999999999999997E-3</v>
      </c>
      <c r="F714">
        <v>-7.0300000000000001E-2</v>
      </c>
      <c r="G714" t="s">
        <v>3313</v>
      </c>
    </row>
    <row r="715" spans="1:7" x14ac:dyDescent="0.3">
      <c r="B715">
        <v>56.89</v>
      </c>
      <c r="C715" t="s">
        <v>1398</v>
      </c>
      <c r="D715" t="s">
        <v>3796</v>
      </c>
      <c r="E715">
        <v>2.5000000000000001E-3</v>
      </c>
      <c r="F715">
        <v>-0.15210000000000001</v>
      </c>
      <c r="G715" t="s">
        <v>3798</v>
      </c>
    </row>
    <row r="716" spans="1:7" x14ac:dyDescent="0.3">
      <c r="A716" t="s">
        <v>1201</v>
      </c>
      <c r="B716">
        <v>1150</v>
      </c>
      <c r="C716" t="s">
        <v>24</v>
      </c>
      <c r="D716" t="s">
        <v>1200</v>
      </c>
      <c r="E716">
        <v>5.7000000000000002E-3</v>
      </c>
      <c r="F716">
        <v>-5.1900000000000002E-2</v>
      </c>
      <c r="G716" t="s">
        <v>1202</v>
      </c>
    </row>
    <row r="717" spans="1:7" x14ac:dyDescent="0.3">
      <c r="B717">
        <v>322.67</v>
      </c>
      <c r="C717" t="s">
        <v>24</v>
      </c>
      <c r="D717" t="s">
        <v>2184</v>
      </c>
      <c r="E717">
        <v>7.4999999999999997E-3</v>
      </c>
      <c r="F717">
        <v>-6.3799999999999996E-2</v>
      </c>
      <c r="G717" t="s">
        <v>2186</v>
      </c>
    </row>
    <row r="718" spans="1:7" x14ac:dyDescent="0.3">
      <c r="B718">
        <v>8.2100000000000009</v>
      </c>
      <c r="C718" t="s">
        <v>486</v>
      </c>
      <c r="D718" t="s">
        <v>5397</v>
      </c>
      <c r="E718">
        <v>5.0000000000000001E-3</v>
      </c>
      <c r="F718">
        <v>-3.6499999999999998E-2</v>
      </c>
      <c r="G718" t="s">
        <v>5399</v>
      </c>
    </row>
    <row r="719" spans="1:7" x14ac:dyDescent="0.3">
      <c r="A719" t="s">
        <v>2974</v>
      </c>
      <c r="B719">
        <v>130.75</v>
      </c>
      <c r="C719" t="s">
        <v>486</v>
      </c>
      <c r="D719" t="s">
        <v>2972</v>
      </c>
      <c r="E719">
        <v>5.7999999999999996E-3</v>
      </c>
      <c r="F719">
        <v>3.7000000000000002E-3</v>
      </c>
      <c r="G719" t="s">
        <v>2975</v>
      </c>
    </row>
    <row r="720" spans="1:7" x14ac:dyDescent="0.3">
      <c r="A720" t="s">
        <v>1299</v>
      </c>
      <c r="B720">
        <v>967.61</v>
      </c>
      <c r="C720" t="s">
        <v>12</v>
      </c>
      <c r="D720" t="s">
        <v>1297</v>
      </c>
      <c r="E720">
        <v>5.1000000000000004E-3</v>
      </c>
      <c r="F720">
        <v>3.0000000000000001E-3</v>
      </c>
      <c r="G720" t="s">
        <v>1300</v>
      </c>
    </row>
    <row r="721" spans="1:7" x14ac:dyDescent="0.3">
      <c r="B721">
        <v>19.34</v>
      </c>
      <c r="C721" t="s">
        <v>1340</v>
      </c>
      <c r="D721" t="s">
        <v>4827</v>
      </c>
      <c r="E721">
        <v>8.9999999999999998E-4</v>
      </c>
      <c r="F721">
        <v>-5.4000000000000003E-3</v>
      </c>
      <c r="G721" t="s">
        <v>4829</v>
      </c>
    </row>
    <row r="722" spans="1:7" x14ac:dyDescent="0.3">
      <c r="A722" t="s">
        <v>1584</v>
      </c>
      <c r="B722">
        <v>687.05</v>
      </c>
      <c r="C722" t="s">
        <v>12</v>
      </c>
      <c r="D722" t="s">
        <v>1582</v>
      </c>
      <c r="E722">
        <v>8.9999999999999993E-3</v>
      </c>
      <c r="F722">
        <v>-3.8399999999999997E-2</v>
      </c>
      <c r="G722" t="s">
        <v>1585</v>
      </c>
    </row>
    <row r="723" spans="1:7" x14ac:dyDescent="0.3">
      <c r="B723">
        <v>124.65</v>
      </c>
      <c r="C723" t="s">
        <v>24</v>
      </c>
      <c r="D723" t="s">
        <v>3049</v>
      </c>
      <c r="E723">
        <v>7.7999999999999996E-3</v>
      </c>
      <c r="F723">
        <v>-2.2100000000000002E-2</v>
      </c>
      <c r="G723" t="s">
        <v>3051</v>
      </c>
    </row>
    <row r="724" spans="1:7" x14ac:dyDescent="0.3">
      <c r="B724">
        <v>60.09</v>
      </c>
      <c r="C724" t="s">
        <v>280</v>
      </c>
      <c r="D724" t="s">
        <v>3762</v>
      </c>
      <c r="E724">
        <v>8.0000000000000002E-3</v>
      </c>
      <c r="F724">
        <v>-3.2599999999999997E-2</v>
      </c>
      <c r="G724" t="s">
        <v>3764</v>
      </c>
    </row>
    <row r="725" spans="1:7" x14ac:dyDescent="0.3">
      <c r="A725" t="s">
        <v>1975</v>
      </c>
      <c r="B725">
        <v>408.7</v>
      </c>
      <c r="C725" t="s">
        <v>12</v>
      </c>
      <c r="D725" t="s">
        <v>1973</v>
      </c>
      <c r="E725">
        <v>8.0999999999999996E-3</v>
      </c>
      <c r="F725">
        <v>-1.4500000000000001E-2</v>
      </c>
      <c r="G725" t="s">
        <v>1976</v>
      </c>
    </row>
    <row r="726" spans="1:7" x14ac:dyDescent="0.3">
      <c r="A726" t="s">
        <v>498</v>
      </c>
      <c r="B726">
        <v>5940</v>
      </c>
      <c r="C726" t="s">
        <v>12</v>
      </c>
      <c r="D726" t="s">
        <v>496</v>
      </c>
      <c r="E726">
        <v>6.8999999999999999E-3</v>
      </c>
      <c r="F726">
        <v>-1.8100000000000002E-2</v>
      </c>
      <c r="G726" t="s">
        <v>499</v>
      </c>
    </row>
    <row r="727" spans="1:7" x14ac:dyDescent="0.3">
      <c r="B727">
        <v>993.47</v>
      </c>
      <c r="C727" t="s">
        <v>440</v>
      </c>
      <c r="D727" t="s">
        <v>1277</v>
      </c>
      <c r="E727">
        <v>8.3999999999999995E-3</v>
      </c>
      <c r="F727">
        <v>-3.3099999999999997E-2</v>
      </c>
      <c r="G727" t="s">
        <v>1279</v>
      </c>
    </row>
    <row r="728" spans="1:7" x14ac:dyDescent="0.3">
      <c r="B728">
        <v>48.05</v>
      </c>
      <c r="C728" t="s">
        <v>1340</v>
      </c>
      <c r="D728" t="s">
        <v>3945</v>
      </c>
      <c r="E728">
        <v>1.9E-3</v>
      </c>
      <c r="F728">
        <v>-2.58E-2</v>
      </c>
      <c r="G728" t="s">
        <v>3947</v>
      </c>
    </row>
    <row r="729" spans="1:7" x14ac:dyDescent="0.3">
      <c r="B729">
        <v>7.14</v>
      </c>
      <c r="C729" t="s">
        <v>440</v>
      </c>
      <c r="D729" t="s">
        <v>5480</v>
      </c>
      <c r="E729">
        <v>5.7999999999999996E-3</v>
      </c>
      <c r="F729">
        <v>-3.56E-2</v>
      </c>
      <c r="G729" t="s">
        <v>5482</v>
      </c>
    </row>
    <row r="730" spans="1:7" x14ac:dyDescent="0.3">
      <c r="A730" t="s">
        <v>3571</v>
      </c>
      <c r="B730">
        <v>74.12</v>
      </c>
      <c r="C730" t="s">
        <v>272</v>
      </c>
      <c r="D730" t="s">
        <v>3569</v>
      </c>
      <c r="E730">
        <v>8.2000000000000007E-3</v>
      </c>
      <c r="F730">
        <v>-4.53E-2</v>
      </c>
      <c r="G730" t="s">
        <v>3572</v>
      </c>
    </row>
    <row r="731" spans="1:7" x14ac:dyDescent="0.3">
      <c r="A731" t="s">
        <v>3276</v>
      </c>
      <c r="B731">
        <v>97.11</v>
      </c>
      <c r="C731" t="s">
        <v>2951</v>
      </c>
      <c r="D731" t="s">
        <v>3274</v>
      </c>
      <c r="E731">
        <v>7.4999999999999997E-3</v>
      </c>
      <c r="F731">
        <v>-2.76E-2</v>
      </c>
      <c r="G731" t="s">
        <v>3277</v>
      </c>
    </row>
    <row r="732" spans="1:7" x14ac:dyDescent="0.3">
      <c r="A732" t="s">
        <v>5348</v>
      </c>
      <c r="B732">
        <v>8.8699999999999992</v>
      </c>
      <c r="C732" t="s">
        <v>979</v>
      </c>
      <c r="D732" t="s">
        <v>5346</v>
      </c>
      <c r="E732">
        <v>7.4999999999999997E-3</v>
      </c>
      <c r="F732">
        <v>-6.88E-2</v>
      </c>
      <c r="G732" t="s">
        <v>5349</v>
      </c>
    </row>
    <row r="733" spans="1:7" x14ac:dyDescent="0.3">
      <c r="A733" t="s">
        <v>2057</v>
      </c>
      <c r="B733">
        <v>378.46</v>
      </c>
      <c r="C733" t="s">
        <v>12</v>
      </c>
      <c r="D733" t="s">
        <v>2055</v>
      </c>
      <c r="E733">
        <v>5.8999999999999999E-3</v>
      </c>
      <c r="F733">
        <v>-3.2500000000000001E-2</v>
      </c>
      <c r="G733" t="s">
        <v>2058</v>
      </c>
    </row>
    <row r="734" spans="1:7" x14ac:dyDescent="0.3">
      <c r="B734">
        <v>73.66</v>
      </c>
      <c r="C734" t="s">
        <v>272</v>
      </c>
      <c r="D734" t="s">
        <v>3576</v>
      </c>
      <c r="E734">
        <v>5.7000000000000002E-3</v>
      </c>
      <c r="F734">
        <v>-2.01E-2</v>
      </c>
      <c r="G734" t="s">
        <v>3578</v>
      </c>
    </row>
    <row r="735" spans="1:7" x14ac:dyDescent="0.3">
      <c r="A735" t="s">
        <v>3450</v>
      </c>
      <c r="B735">
        <v>83.1</v>
      </c>
      <c r="C735" t="s">
        <v>12</v>
      </c>
      <c r="D735" t="s">
        <v>3448</v>
      </c>
      <c r="E735">
        <v>5.1000000000000004E-3</v>
      </c>
      <c r="F735">
        <v>-6.2199999999999998E-2</v>
      </c>
      <c r="G735" t="s">
        <v>3451</v>
      </c>
    </row>
    <row r="736" spans="1:7" x14ac:dyDescent="0.3">
      <c r="A736" t="s">
        <v>2559</v>
      </c>
      <c r="B736">
        <v>201.17</v>
      </c>
      <c r="C736" t="s">
        <v>12</v>
      </c>
      <c r="D736" t="s">
        <v>2557</v>
      </c>
      <c r="E736">
        <v>5.8999999999999999E-3</v>
      </c>
      <c r="F736">
        <v>-6.6E-3</v>
      </c>
      <c r="G736" t="s">
        <v>2560</v>
      </c>
    </row>
    <row r="737" spans="1:7" x14ac:dyDescent="0.3">
      <c r="B737">
        <v>73.92</v>
      </c>
      <c r="C737" t="s">
        <v>272</v>
      </c>
      <c r="D737" t="s">
        <v>3573</v>
      </c>
      <c r="E737">
        <v>6.1999999999999998E-3</v>
      </c>
      <c r="F737">
        <v>-9.4200000000000006E-2</v>
      </c>
      <c r="G737" t="s">
        <v>3575</v>
      </c>
    </row>
    <row r="738" spans="1:7" x14ac:dyDescent="0.3">
      <c r="A738" t="s">
        <v>2691</v>
      </c>
      <c r="B738">
        <v>174.07</v>
      </c>
      <c r="C738" t="s">
        <v>295</v>
      </c>
      <c r="D738" t="s">
        <v>2689</v>
      </c>
      <c r="E738">
        <v>4.8999999999999998E-3</v>
      </c>
      <c r="F738">
        <v>-0.18079999999999999</v>
      </c>
      <c r="G738" t="s">
        <v>2692</v>
      </c>
    </row>
    <row r="739" spans="1:7" x14ac:dyDescent="0.3">
      <c r="B739">
        <v>147.9</v>
      </c>
      <c r="C739" t="s">
        <v>921</v>
      </c>
      <c r="D739" t="s">
        <v>2832</v>
      </c>
      <c r="E739">
        <v>7.4999999999999997E-3</v>
      </c>
      <c r="F739">
        <v>-0.22950000000000001</v>
      </c>
      <c r="G739" t="s">
        <v>2834</v>
      </c>
    </row>
    <row r="740" spans="1:7" x14ac:dyDescent="0.3">
      <c r="A740" t="s">
        <v>1594</v>
      </c>
      <c r="B740">
        <v>675.62</v>
      </c>
      <c r="C740" t="s">
        <v>12</v>
      </c>
      <c r="D740" t="s">
        <v>1592</v>
      </c>
      <c r="E740">
        <v>5.1000000000000004E-3</v>
      </c>
      <c r="F740">
        <v>-1.35E-2</v>
      </c>
      <c r="G740" t="s">
        <v>1595</v>
      </c>
    </row>
    <row r="741" spans="1:7" x14ac:dyDescent="0.3">
      <c r="B741">
        <v>4.07</v>
      </c>
      <c r="C741" t="s">
        <v>1340</v>
      </c>
      <c r="D741" t="s">
        <v>5747</v>
      </c>
      <c r="E741">
        <v>8.9999999999999998E-4</v>
      </c>
      <c r="F741">
        <v>-1.6199999999999999E-2</v>
      </c>
      <c r="G741" t="s">
        <v>5749</v>
      </c>
    </row>
    <row r="742" spans="1:7" x14ac:dyDescent="0.3">
      <c r="A742" t="s">
        <v>2481</v>
      </c>
      <c r="B742">
        <v>217.46</v>
      </c>
      <c r="C742" t="s">
        <v>440</v>
      </c>
      <c r="D742" t="s">
        <v>2479</v>
      </c>
      <c r="E742">
        <v>5.7999999999999996E-3</v>
      </c>
      <c r="F742">
        <v>-4.9000000000000002E-2</v>
      </c>
      <c r="G742" t="s">
        <v>2482</v>
      </c>
    </row>
    <row r="743" spans="1:7" x14ac:dyDescent="0.3">
      <c r="B743">
        <v>72.08</v>
      </c>
      <c r="C743" t="s">
        <v>12</v>
      </c>
      <c r="D743" t="s">
        <v>3602</v>
      </c>
      <c r="E743">
        <v>5.1000000000000004E-3</v>
      </c>
      <c r="F743">
        <v>-7.8399999999999997E-2</v>
      </c>
      <c r="G743" t="s">
        <v>3604</v>
      </c>
    </row>
    <row r="744" spans="1:7" x14ac:dyDescent="0.3">
      <c r="B744">
        <v>33.659999999999997</v>
      </c>
      <c r="C744" t="s">
        <v>440</v>
      </c>
      <c r="D744" t="s">
        <v>4301</v>
      </c>
      <c r="E744">
        <v>5.7999999999999996E-3</v>
      </c>
      <c r="F744">
        <v>-5.3800000000000001E-2</v>
      </c>
      <c r="G744" t="s">
        <v>4303</v>
      </c>
    </row>
    <row r="745" spans="1:7" x14ac:dyDescent="0.3">
      <c r="A745" t="s">
        <v>315</v>
      </c>
      <c r="B745">
        <v>11380</v>
      </c>
      <c r="C745" t="s">
        <v>12</v>
      </c>
      <c r="D745" t="s">
        <v>313</v>
      </c>
      <c r="E745">
        <v>5.1000000000000004E-3</v>
      </c>
      <c r="F745">
        <v>-3.2300000000000002E-2</v>
      </c>
      <c r="G745" t="s">
        <v>316</v>
      </c>
    </row>
    <row r="746" spans="1:7" x14ac:dyDescent="0.3">
      <c r="B746">
        <v>7590</v>
      </c>
      <c r="C746" t="s">
        <v>332</v>
      </c>
      <c r="D746" t="s">
        <v>390</v>
      </c>
      <c r="E746">
        <v>1.9E-3</v>
      </c>
      <c r="F746">
        <v>-5.9400000000000001E-2</v>
      </c>
      <c r="G746" t="s">
        <v>392</v>
      </c>
    </row>
    <row r="747" spans="1:7" x14ac:dyDescent="0.3">
      <c r="B747">
        <v>2140</v>
      </c>
      <c r="C747" t="s">
        <v>440</v>
      </c>
      <c r="D747" t="s">
        <v>899</v>
      </c>
      <c r="E747">
        <v>4.7999999999999996E-3</v>
      </c>
      <c r="F747">
        <v>5.3E-3</v>
      </c>
      <c r="G747" t="s">
        <v>901</v>
      </c>
    </row>
    <row r="748" spans="1:7" x14ac:dyDescent="0.3">
      <c r="B748">
        <v>810.47</v>
      </c>
      <c r="C748" t="s">
        <v>1340</v>
      </c>
      <c r="D748" t="s">
        <v>1459</v>
      </c>
      <c r="E748">
        <v>8.9999999999999998E-4</v>
      </c>
      <c r="F748">
        <v>-3.4799999999999998E-2</v>
      </c>
      <c r="G748" t="s">
        <v>1461</v>
      </c>
    </row>
    <row r="749" spans="1:7" x14ac:dyDescent="0.3">
      <c r="B749">
        <v>742.21</v>
      </c>
      <c r="C749" t="s">
        <v>12</v>
      </c>
      <c r="D749" t="s">
        <v>1526</v>
      </c>
      <c r="E749">
        <v>5.0000000000000001E-3</v>
      </c>
      <c r="F749">
        <v>-3.5400000000000001E-2</v>
      </c>
      <c r="G749" t="s">
        <v>1528</v>
      </c>
    </row>
    <row r="750" spans="1:7" x14ac:dyDescent="0.3">
      <c r="B750">
        <v>192.59</v>
      </c>
      <c r="C750" t="s">
        <v>618</v>
      </c>
      <c r="D750" t="s">
        <v>2599</v>
      </c>
      <c r="E750">
        <v>4.5999999999999999E-3</v>
      </c>
      <c r="F750">
        <v>-3.5000000000000003E-2</v>
      </c>
      <c r="G750" t="s">
        <v>2601</v>
      </c>
    </row>
    <row r="751" spans="1:7" x14ac:dyDescent="0.3">
      <c r="B751">
        <v>82</v>
      </c>
      <c r="C751" t="s">
        <v>12</v>
      </c>
      <c r="D751" t="s">
        <v>3465</v>
      </c>
      <c r="E751">
        <v>4.7999999999999996E-3</v>
      </c>
      <c r="F751">
        <v>-3.8100000000000002E-2</v>
      </c>
      <c r="G751" t="s">
        <v>3467</v>
      </c>
    </row>
    <row r="752" spans="1:7" x14ac:dyDescent="0.3">
      <c r="B752">
        <v>34.229999999999997</v>
      </c>
      <c r="C752" t="s">
        <v>280</v>
      </c>
      <c r="D752" t="s">
        <v>4276</v>
      </c>
      <c r="E752">
        <v>8.0000000000000002E-3</v>
      </c>
      <c r="F752">
        <v>-2.7699999999999999E-2</v>
      </c>
      <c r="G752" t="s">
        <v>4278</v>
      </c>
    </row>
    <row r="753" spans="1:7" x14ac:dyDescent="0.3">
      <c r="B753">
        <v>18.87</v>
      </c>
      <c r="C753" t="s">
        <v>618</v>
      </c>
      <c r="D753" t="s">
        <v>4845</v>
      </c>
      <c r="E753">
        <v>8.9999999999999998E-4</v>
      </c>
      <c r="F753">
        <v>-3.8699999999999998E-2</v>
      </c>
      <c r="G753" t="s">
        <v>4847</v>
      </c>
    </row>
    <row r="754" spans="1:7" x14ac:dyDescent="0.3">
      <c r="B754">
        <v>14.42</v>
      </c>
      <c r="C754" t="s">
        <v>248</v>
      </c>
      <c r="D754" t="s">
        <v>5063</v>
      </c>
      <c r="E754">
        <v>2.5000000000000001E-3</v>
      </c>
      <c r="F754">
        <v>-4.3700000000000003E-2</v>
      </c>
      <c r="G754" t="s">
        <v>5065</v>
      </c>
    </row>
    <row r="755" spans="1:7" x14ac:dyDescent="0.3">
      <c r="B755">
        <v>12.14</v>
      </c>
      <c r="C755" t="s">
        <v>1340</v>
      </c>
      <c r="D755" t="s">
        <v>5164</v>
      </c>
      <c r="E755">
        <v>8.9999999999999998E-4</v>
      </c>
      <c r="F755">
        <v>-3.7699999999999997E-2</v>
      </c>
      <c r="G755" t="s">
        <v>5166</v>
      </c>
    </row>
    <row r="756" spans="1:7" x14ac:dyDescent="0.3">
      <c r="B756">
        <v>7.21</v>
      </c>
      <c r="C756" t="s">
        <v>12</v>
      </c>
      <c r="D756" t="s">
        <v>5474</v>
      </c>
      <c r="E756">
        <v>1.5E-3</v>
      </c>
      <c r="F756">
        <v>-5.4300000000000001E-2</v>
      </c>
      <c r="G756" t="s">
        <v>5476</v>
      </c>
    </row>
    <row r="757" spans="1:7" x14ac:dyDescent="0.3">
      <c r="B757">
        <v>3.38</v>
      </c>
      <c r="C757" t="s">
        <v>12</v>
      </c>
      <c r="D757" t="s">
        <v>5824</v>
      </c>
      <c r="E757">
        <v>4.7999999999999996E-3</v>
      </c>
      <c r="F757">
        <v>-4.1599999999999998E-2</v>
      </c>
      <c r="G757" t="s">
        <v>5826</v>
      </c>
    </row>
    <row r="758" spans="1:7" x14ac:dyDescent="0.3">
      <c r="A758" t="s">
        <v>3463</v>
      </c>
      <c r="B758">
        <v>82.49</v>
      </c>
      <c r="C758" t="s">
        <v>12</v>
      </c>
      <c r="D758" t="s">
        <v>3461</v>
      </c>
      <c r="E758">
        <v>1.5E-3</v>
      </c>
      <c r="F758">
        <v>-2.0000000000000001E-4</v>
      </c>
      <c r="G758" t="s">
        <v>3464</v>
      </c>
    </row>
    <row r="759" spans="1:7" x14ac:dyDescent="0.3">
      <c r="A759" t="s">
        <v>4757</v>
      </c>
      <c r="B759">
        <v>20.94</v>
      </c>
      <c r="C759" t="s">
        <v>12</v>
      </c>
      <c r="D759" t="s">
        <v>4755</v>
      </c>
      <c r="E759">
        <v>7.4000000000000003E-3</v>
      </c>
      <c r="F759">
        <v>5.8000000000000003E-2</v>
      </c>
      <c r="G759" t="s">
        <v>4758</v>
      </c>
    </row>
    <row r="760" spans="1:7" x14ac:dyDescent="0.3">
      <c r="A760" t="s">
        <v>1346</v>
      </c>
      <c r="B760">
        <v>913.94</v>
      </c>
      <c r="C760" t="s">
        <v>12</v>
      </c>
      <c r="D760" t="s">
        <v>1344</v>
      </c>
      <c r="E760">
        <v>4.7999999999999996E-3</v>
      </c>
      <c r="F760">
        <v>2.8299999999999999E-2</v>
      </c>
      <c r="G760" t="s">
        <v>1347</v>
      </c>
    </row>
    <row r="761" spans="1:7" x14ac:dyDescent="0.3">
      <c r="A761" t="s">
        <v>5405</v>
      </c>
      <c r="B761">
        <v>7.93</v>
      </c>
      <c r="C761" t="s">
        <v>280</v>
      </c>
      <c r="D761" t="s">
        <v>5403</v>
      </c>
      <c r="E761">
        <v>8.0000000000000002E-3</v>
      </c>
      <c r="F761">
        <v>3.6600000000000001E-2</v>
      </c>
      <c r="G761" t="s">
        <v>5406</v>
      </c>
    </row>
    <row r="762" spans="1:7" x14ac:dyDescent="0.3">
      <c r="B762">
        <v>4.18</v>
      </c>
      <c r="C762" t="s">
        <v>1340</v>
      </c>
      <c r="D762" t="s">
        <v>5735</v>
      </c>
      <c r="E762">
        <v>1.9E-3</v>
      </c>
      <c r="F762">
        <v>4.7500000000000001E-2</v>
      </c>
      <c r="G762" t="s">
        <v>5736</v>
      </c>
    </row>
    <row r="763" spans="1:7" x14ac:dyDescent="0.3">
      <c r="A763" t="s">
        <v>2376</v>
      </c>
      <c r="B763">
        <v>244.25</v>
      </c>
      <c r="C763" t="s">
        <v>12</v>
      </c>
      <c r="D763" t="s">
        <v>2374</v>
      </c>
      <c r="E763">
        <v>5.1000000000000004E-3</v>
      </c>
      <c r="F763">
        <v>-5.6099999999999997E-2</v>
      </c>
      <c r="G763" t="s">
        <v>2377</v>
      </c>
    </row>
    <row r="764" spans="1:7" x14ac:dyDescent="0.3">
      <c r="A764" t="s">
        <v>1480</v>
      </c>
      <c r="B764">
        <v>791.56</v>
      </c>
      <c r="C764" t="s">
        <v>12</v>
      </c>
      <c r="D764" t="s">
        <v>1478</v>
      </c>
      <c r="E764">
        <v>5.1000000000000004E-3</v>
      </c>
      <c r="F764">
        <v>7.4000000000000003E-3</v>
      </c>
      <c r="G764" t="s">
        <v>1481</v>
      </c>
    </row>
    <row r="765" spans="1:7" x14ac:dyDescent="0.3">
      <c r="B765">
        <v>10.92</v>
      </c>
      <c r="C765" t="s">
        <v>1340</v>
      </c>
      <c r="D765" t="s">
        <v>5221</v>
      </c>
      <c r="E765">
        <v>1.9E-3</v>
      </c>
      <c r="F765">
        <v>2.0000000000000001E-4</v>
      </c>
      <c r="G765" t="s">
        <v>5223</v>
      </c>
    </row>
    <row r="766" spans="1:7" x14ac:dyDescent="0.3">
      <c r="A766" t="s">
        <v>1971</v>
      </c>
      <c r="B766">
        <v>409.4</v>
      </c>
      <c r="C766" t="s">
        <v>12</v>
      </c>
      <c r="D766" t="s">
        <v>1969</v>
      </c>
      <c r="E766">
        <v>5.1000000000000004E-3</v>
      </c>
      <c r="F766">
        <v>-9.4700000000000006E-2</v>
      </c>
      <c r="G766" t="s">
        <v>1972</v>
      </c>
    </row>
    <row r="767" spans="1:7" x14ac:dyDescent="0.3">
      <c r="A767" t="s">
        <v>3003</v>
      </c>
      <c r="B767">
        <v>128.97999999999999</v>
      </c>
      <c r="C767" t="s">
        <v>12</v>
      </c>
      <c r="D767" t="s">
        <v>3001</v>
      </c>
      <c r="E767">
        <v>5.1000000000000004E-3</v>
      </c>
      <c r="F767">
        <v>-0.12809999999999999</v>
      </c>
      <c r="G767" t="s">
        <v>3004</v>
      </c>
    </row>
    <row r="768" spans="1:7" x14ac:dyDescent="0.3">
      <c r="A768" t="s">
        <v>4032</v>
      </c>
      <c r="B768">
        <v>43.45</v>
      </c>
      <c r="C768" t="s">
        <v>486</v>
      </c>
      <c r="D768" t="s">
        <v>4030</v>
      </c>
      <c r="E768">
        <v>8.8999999999999999E-3</v>
      </c>
      <c r="F768">
        <v>-5.3900000000000003E-2</v>
      </c>
      <c r="G768" t="s">
        <v>4033</v>
      </c>
    </row>
    <row r="769" spans="1:7" x14ac:dyDescent="0.3">
      <c r="A769" t="s">
        <v>5894</v>
      </c>
      <c r="B769">
        <v>2.74</v>
      </c>
      <c r="C769" t="s">
        <v>24</v>
      </c>
      <c r="D769" t="s">
        <v>5892</v>
      </c>
      <c r="E769">
        <v>5.8999999999999999E-3</v>
      </c>
      <c r="F769">
        <v>-5.7999999999999996E-3</v>
      </c>
      <c r="G769" t="s">
        <v>5895</v>
      </c>
    </row>
    <row r="770" spans="1:7" x14ac:dyDescent="0.3">
      <c r="A770" t="s">
        <v>723</v>
      </c>
      <c r="B770">
        <v>3370</v>
      </c>
      <c r="C770" t="s">
        <v>12</v>
      </c>
      <c r="D770" t="s">
        <v>721</v>
      </c>
      <c r="E770">
        <v>4.3E-3</v>
      </c>
      <c r="F770">
        <v>-0.11</v>
      </c>
      <c r="G770" t="s">
        <v>724</v>
      </c>
    </row>
    <row r="771" spans="1:7" x14ac:dyDescent="0.3">
      <c r="A771" t="s">
        <v>6176</v>
      </c>
      <c r="B771" t="s">
        <v>662</v>
      </c>
      <c r="C771" t="s">
        <v>5007</v>
      </c>
      <c r="D771" t="s">
        <v>6175</v>
      </c>
      <c r="E771">
        <v>7.4999999999999997E-3</v>
      </c>
      <c r="F771">
        <v>-0.42559999999999998</v>
      </c>
      <c r="G771" t="s">
        <v>6177</v>
      </c>
    </row>
    <row r="772" spans="1:7" x14ac:dyDescent="0.3">
      <c r="A772" t="s">
        <v>2949</v>
      </c>
      <c r="B772">
        <v>133.51</v>
      </c>
      <c r="C772" t="s">
        <v>12</v>
      </c>
      <c r="D772" t="s">
        <v>2947</v>
      </c>
      <c r="E772">
        <v>4.3E-3</v>
      </c>
      <c r="F772">
        <v>5.4000000000000003E-3</v>
      </c>
      <c r="G772" t="s">
        <v>2950</v>
      </c>
    </row>
    <row r="773" spans="1:7" x14ac:dyDescent="0.3">
      <c r="A773" t="s">
        <v>4588</v>
      </c>
      <c r="B773">
        <v>24.68</v>
      </c>
      <c r="C773" t="s">
        <v>272</v>
      </c>
      <c r="D773" t="s">
        <v>4586</v>
      </c>
      <c r="E773">
        <v>4.4999999999999997E-3</v>
      </c>
      <c r="F773">
        <v>-3.1199999999999999E-2</v>
      </c>
      <c r="G773" t="s">
        <v>4589</v>
      </c>
    </row>
    <row r="774" spans="1:7" x14ac:dyDescent="0.3">
      <c r="A774" t="s">
        <v>872</v>
      </c>
      <c r="B774">
        <v>2270</v>
      </c>
      <c r="C774" t="s">
        <v>332</v>
      </c>
      <c r="D774" t="s">
        <v>870</v>
      </c>
      <c r="E774">
        <v>8.5000000000000006E-3</v>
      </c>
      <c r="F774">
        <v>-2.3800000000000002E-2</v>
      </c>
      <c r="G774" t="s">
        <v>873</v>
      </c>
    </row>
    <row r="775" spans="1:7" x14ac:dyDescent="0.3">
      <c r="B775">
        <v>2160</v>
      </c>
      <c r="C775" t="s">
        <v>280</v>
      </c>
      <c r="D775" t="s">
        <v>893</v>
      </c>
      <c r="E775">
        <v>9.5999999999999992E-3</v>
      </c>
      <c r="F775">
        <v>-0.01</v>
      </c>
      <c r="G775" t="s">
        <v>895</v>
      </c>
    </row>
    <row r="776" spans="1:7" x14ac:dyDescent="0.3">
      <c r="B776">
        <v>124.46</v>
      </c>
      <c r="C776" t="s">
        <v>3055</v>
      </c>
      <c r="D776" t="s">
        <v>3056</v>
      </c>
      <c r="E776">
        <v>8.5000000000000006E-3</v>
      </c>
      <c r="F776">
        <v>-3.1199999999999999E-2</v>
      </c>
      <c r="G776" t="s">
        <v>3058</v>
      </c>
    </row>
    <row r="777" spans="1:7" x14ac:dyDescent="0.3">
      <c r="A777" t="s">
        <v>1752</v>
      </c>
      <c r="B777">
        <v>533.22</v>
      </c>
      <c r="C777" t="s">
        <v>7</v>
      </c>
      <c r="D777" t="s">
        <v>1750</v>
      </c>
      <c r="E777">
        <v>3.5000000000000001E-3</v>
      </c>
      <c r="F777">
        <v>7.6200000000000004E-2</v>
      </c>
      <c r="G777" t="s">
        <v>1753</v>
      </c>
    </row>
    <row r="778" spans="1:7" x14ac:dyDescent="0.3">
      <c r="B778">
        <v>506.44</v>
      </c>
      <c r="C778" t="s">
        <v>12</v>
      </c>
      <c r="D778" t="s">
        <v>1782</v>
      </c>
      <c r="E778">
        <v>4.3E-3</v>
      </c>
      <c r="F778">
        <v>5.1700000000000003E-2</v>
      </c>
      <c r="G778" t="s">
        <v>1784</v>
      </c>
    </row>
    <row r="779" spans="1:7" x14ac:dyDescent="0.3">
      <c r="A779" t="s">
        <v>5367</v>
      </c>
      <c r="B779">
        <v>8.6300000000000008</v>
      </c>
      <c r="C779" t="s">
        <v>1150</v>
      </c>
      <c r="D779" t="s">
        <v>5366</v>
      </c>
      <c r="E779">
        <v>7.4999999999999997E-3</v>
      </c>
      <c r="F779">
        <v>-0.46860000000000002</v>
      </c>
      <c r="G779" t="s">
        <v>5368</v>
      </c>
    </row>
    <row r="780" spans="1:7" x14ac:dyDescent="0.3">
      <c r="A780" t="s">
        <v>572</v>
      </c>
      <c r="B780">
        <v>5050</v>
      </c>
      <c r="C780" t="s">
        <v>12</v>
      </c>
      <c r="D780" t="s">
        <v>571</v>
      </c>
      <c r="E780">
        <v>4.3E-3</v>
      </c>
      <c r="F780">
        <v>-0.22309999999999999</v>
      </c>
      <c r="G780" t="s">
        <v>573</v>
      </c>
    </row>
    <row r="781" spans="1:7" x14ac:dyDescent="0.3">
      <c r="A781" t="s">
        <v>3597</v>
      </c>
      <c r="B781">
        <v>72.569999999999993</v>
      </c>
      <c r="C781" t="s">
        <v>486</v>
      </c>
      <c r="D781" t="s">
        <v>3595</v>
      </c>
      <c r="E781">
        <v>5.1000000000000004E-3</v>
      </c>
      <c r="F781">
        <v>-8.9200000000000002E-2</v>
      </c>
      <c r="G781" t="s">
        <v>3598</v>
      </c>
    </row>
    <row r="782" spans="1:7" x14ac:dyDescent="0.3">
      <c r="B782">
        <v>51.32</v>
      </c>
      <c r="C782" t="s">
        <v>12</v>
      </c>
      <c r="D782" t="s">
        <v>3877</v>
      </c>
      <c r="E782">
        <v>5.3E-3</v>
      </c>
      <c r="F782">
        <v>-8.9700000000000002E-2</v>
      </c>
      <c r="G782" t="s">
        <v>3879</v>
      </c>
    </row>
    <row r="783" spans="1:7" x14ac:dyDescent="0.3">
      <c r="A783" t="s">
        <v>4782</v>
      </c>
      <c r="B783">
        <v>20.54</v>
      </c>
      <c r="C783" t="s">
        <v>486</v>
      </c>
      <c r="D783" t="s">
        <v>4780</v>
      </c>
      <c r="E783">
        <v>8.9999999999999993E-3</v>
      </c>
      <c r="F783">
        <v>-3.8800000000000001E-2</v>
      </c>
      <c r="G783" t="s">
        <v>4783</v>
      </c>
    </row>
    <row r="784" spans="1:7" x14ac:dyDescent="0.3">
      <c r="A784" t="s">
        <v>2485</v>
      </c>
      <c r="B784">
        <v>216.54</v>
      </c>
      <c r="C784" t="s">
        <v>12</v>
      </c>
      <c r="D784" t="s">
        <v>2483</v>
      </c>
      <c r="E784">
        <v>5.8999999999999999E-3</v>
      </c>
      <c r="F784">
        <v>0.12429999999999999</v>
      </c>
      <c r="G784" t="s">
        <v>2486</v>
      </c>
    </row>
    <row r="785" spans="1:7" x14ac:dyDescent="0.3">
      <c r="A785" t="s">
        <v>2957</v>
      </c>
      <c r="B785">
        <v>133.43</v>
      </c>
      <c r="C785" t="s">
        <v>12</v>
      </c>
      <c r="D785" t="s">
        <v>2955</v>
      </c>
      <c r="E785">
        <v>5.8999999999999999E-3</v>
      </c>
      <c r="F785">
        <v>-3.3599999999999998E-2</v>
      </c>
      <c r="G785" t="s">
        <v>2958</v>
      </c>
    </row>
    <row r="786" spans="1:7" x14ac:dyDescent="0.3">
      <c r="A786" t="s">
        <v>2275</v>
      </c>
      <c r="B786">
        <v>284.20999999999998</v>
      </c>
      <c r="C786" t="s">
        <v>12</v>
      </c>
      <c r="D786" t="s">
        <v>2273</v>
      </c>
      <c r="E786">
        <v>5.8999999999999999E-3</v>
      </c>
      <c r="F786">
        <v>-8.5099999999999995E-2</v>
      </c>
      <c r="G786" t="s">
        <v>2276</v>
      </c>
    </row>
    <row r="787" spans="1:7" x14ac:dyDescent="0.3">
      <c r="A787" t="s">
        <v>5317</v>
      </c>
      <c r="B787">
        <v>9.4600000000000009</v>
      </c>
      <c r="C787" t="s">
        <v>486</v>
      </c>
      <c r="D787" t="s">
        <v>5315</v>
      </c>
      <c r="E787">
        <v>5.7999999999999996E-3</v>
      </c>
      <c r="F787">
        <v>-9.6500000000000002E-2</v>
      </c>
      <c r="G787" t="s">
        <v>5318</v>
      </c>
    </row>
    <row r="788" spans="1:7" x14ac:dyDescent="0.3">
      <c r="A788" t="s">
        <v>3330</v>
      </c>
      <c r="B788">
        <v>93.31</v>
      </c>
      <c r="C788" t="s">
        <v>12</v>
      </c>
      <c r="D788" t="s">
        <v>3328</v>
      </c>
      <c r="E788">
        <v>5.8999999999999999E-3</v>
      </c>
      <c r="F788">
        <v>4.5699999999999998E-2</v>
      </c>
      <c r="G788" t="s">
        <v>3331</v>
      </c>
    </row>
    <row r="789" spans="1:7" x14ac:dyDescent="0.3">
      <c r="A789" t="s">
        <v>4725</v>
      </c>
      <c r="B789">
        <v>21.69</v>
      </c>
      <c r="C789" t="s">
        <v>272</v>
      </c>
      <c r="D789" t="s">
        <v>4723</v>
      </c>
      <c r="E789">
        <v>7.7000000000000002E-3</v>
      </c>
      <c r="F789">
        <v>-0.24349999999999999</v>
      </c>
      <c r="G789" t="s">
        <v>4726</v>
      </c>
    </row>
    <row r="790" spans="1:7" x14ac:dyDescent="0.3">
      <c r="A790" t="s">
        <v>1148</v>
      </c>
      <c r="B790">
        <v>1230</v>
      </c>
      <c r="C790" t="s">
        <v>272</v>
      </c>
      <c r="D790" t="s">
        <v>1147</v>
      </c>
      <c r="E790">
        <v>6.7000000000000002E-3</v>
      </c>
      <c r="F790">
        <v>-0.24970000000000001</v>
      </c>
      <c r="G790" t="s">
        <v>1149</v>
      </c>
    </row>
    <row r="791" spans="1:7" x14ac:dyDescent="0.3">
      <c r="B791">
        <v>492.79</v>
      </c>
      <c r="C791" t="s">
        <v>12</v>
      </c>
      <c r="D791" t="s">
        <v>1806</v>
      </c>
      <c r="E791">
        <v>5.8999999999999999E-3</v>
      </c>
      <c r="F791">
        <v>-0.2424</v>
      </c>
      <c r="G791" t="s">
        <v>1808</v>
      </c>
    </row>
    <row r="792" spans="1:7" x14ac:dyDescent="0.3">
      <c r="B792">
        <v>21.45</v>
      </c>
      <c r="C792" t="s">
        <v>1340</v>
      </c>
      <c r="D792" t="s">
        <v>4739</v>
      </c>
      <c r="E792">
        <v>1.9E-3</v>
      </c>
      <c r="F792">
        <v>-0.2258</v>
      </c>
      <c r="G792" t="s">
        <v>4741</v>
      </c>
    </row>
    <row r="793" spans="1:7" x14ac:dyDescent="0.3">
      <c r="A793" t="s">
        <v>1219</v>
      </c>
      <c r="B793">
        <v>1120</v>
      </c>
      <c r="C793" t="s">
        <v>12</v>
      </c>
      <c r="D793" t="s">
        <v>1218</v>
      </c>
      <c r="E793">
        <v>7.4000000000000003E-3</v>
      </c>
      <c r="F793">
        <v>2.24E-2</v>
      </c>
      <c r="G793" t="s">
        <v>1220</v>
      </c>
    </row>
    <row r="794" spans="1:7" x14ac:dyDescent="0.3">
      <c r="B794">
        <v>3.84</v>
      </c>
      <c r="C794" t="s">
        <v>1340</v>
      </c>
      <c r="D794" t="s">
        <v>5764</v>
      </c>
      <c r="E794">
        <v>3.8999999999999998E-3</v>
      </c>
      <c r="F794">
        <v>3.1199999999999999E-2</v>
      </c>
      <c r="G794" t="s">
        <v>5766</v>
      </c>
    </row>
    <row r="795" spans="1:7" x14ac:dyDescent="0.3">
      <c r="A795" t="s">
        <v>1711</v>
      </c>
      <c r="B795">
        <v>554.54</v>
      </c>
      <c r="C795" t="s">
        <v>12</v>
      </c>
      <c r="D795" t="s">
        <v>1709</v>
      </c>
      <c r="E795">
        <v>5.1000000000000004E-3</v>
      </c>
      <c r="F795">
        <v>-6.9400000000000003E-2</v>
      </c>
      <c r="G795" t="s">
        <v>1712</v>
      </c>
    </row>
    <row r="796" spans="1:7" x14ac:dyDescent="0.3">
      <c r="A796" t="s">
        <v>2166</v>
      </c>
      <c r="B796">
        <v>330.37</v>
      </c>
      <c r="C796" t="s">
        <v>12</v>
      </c>
      <c r="D796" t="s">
        <v>2164</v>
      </c>
      <c r="E796">
        <v>5.8999999999999999E-3</v>
      </c>
      <c r="F796">
        <v>3.2599999999999997E-2</v>
      </c>
      <c r="G796" t="s">
        <v>2167</v>
      </c>
    </row>
    <row r="797" spans="1:7" x14ac:dyDescent="0.3">
      <c r="B797">
        <v>5.39</v>
      </c>
      <c r="C797" t="s">
        <v>1340</v>
      </c>
      <c r="D797" t="s">
        <v>5637</v>
      </c>
      <c r="E797">
        <v>1.9E-3</v>
      </c>
      <c r="F797">
        <v>3.0599999999999999E-2</v>
      </c>
      <c r="G797" t="s">
        <v>5639</v>
      </c>
    </row>
    <row r="798" spans="1:7" x14ac:dyDescent="0.3">
      <c r="A798" t="s">
        <v>623</v>
      </c>
      <c r="B798">
        <v>4340</v>
      </c>
      <c r="C798" t="s">
        <v>12</v>
      </c>
      <c r="D798" t="s">
        <v>622</v>
      </c>
      <c r="E798">
        <v>5.8999999999999999E-3</v>
      </c>
      <c r="F798">
        <v>-5.11E-2</v>
      </c>
      <c r="G798" t="s">
        <v>624</v>
      </c>
    </row>
    <row r="799" spans="1:7" x14ac:dyDescent="0.3">
      <c r="B799">
        <v>61.04</v>
      </c>
      <c r="C799" t="s">
        <v>1340</v>
      </c>
      <c r="D799" t="s">
        <v>3735</v>
      </c>
      <c r="E799">
        <v>8.9999999999999998E-4</v>
      </c>
      <c r="F799">
        <v>-6.2100000000000002E-2</v>
      </c>
      <c r="G799" t="s">
        <v>3737</v>
      </c>
    </row>
    <row r="800" spans="1:7" x14ac:dyDescent="0.3">
      <c r="A800" t="s">
        <v>4265</v>
      </c>
      <c r="B800">
        <v>35.020000000000003</v>
      </c>
      <c r="C800" t="s">
        <v>486</v>
      </c>
      <c r="D800" t="s">
        <v>4263</v>
      </c>
      <c r="E800">
        <v>6.4999999999999997E-3</v>
      </c>
      <c r="F800">
        <v>6.4999999999999997E-3</v>
      </c>
      <c r="G800" t="s">
        <v>4266</v>
      </c>
    </row>
    <row r="801" spans="1:7" x14ac:dyDescent="0.3">
      <c r="A801" t="s">
        <v>1704</v>
      </c>
      <c r="B801">
        <v>557.25</v>
      </c>
      <c r="C801" t="s">
        <v>12</v>
      </c>
      <c r="D801" t="s">
        <v>1702</v>
      </c>
      <c r="E801">
        <v>5.1000000000000004E-3</v>
      </c>
      <c r="F801">
        <v>-4.4600000000000001E-2</v>
      </c>
      <c r="G801" t="s">
        <v>1705</v>
      </c>
    </row>
    <row r="802" spans="1:7" x14ac:dyDescent="0.3">
      <c r="A802" t="s">
        <v>1653</v>
      </c>
      <c r="B802">
        <v>615.07000000000005</v>
      </c>
      <c r="C802" t="s">
        <v>12</v>
      </c>
      <c r="D802" t="s">
        <v>1651</v>
      </c>
      <c r="E802">
        <v>5.1000000000000004E-3</v>
      </c>
      <c r="F802">
        <v>-9.0300000000000005E-2</v>
      </c>
      <c r="G802" t="s">
        <v>1654</v>
      </c>
    </row>
    <row r="803" spans="1:7" x14ac:dyDescent="0.3">
      <c r="A803" t="s">
        <v>988</v>
      </c>
      <c r="B803">
        <v>1750</v>
      </c>
      <c r="C803" t="s">
        <v>12</v>
      </c>
      <c r="D803" t="s">
        <v>987</v>
      </c>
      <c r="E803">
        <v>5.1000000000000004E-3</v>
      </c>
      <c r="F803">
        <v>1.18E-2</v>
      </c>
      <c r="G803" t="s">
        <v>989</v>
      </c>
    </row>
    <row r="804" spans="1:7" x14ac:dyDescent="0.3">
      <c r="B804">
        <v>94.08</v>
      </c>
      <c r="C804" t="s">
        <v>280</v>
      </c>
      <c r="D804" t="s">
        <v>3314</v>
      </c>
      <c r="E804">
        <v>8.0000000000000002E-3</v>
      </c>
      <c r="F804">
        <v>-2.0400000000000001E-2</v>
      </c>
      <c r="G804" t="s">
        <v>3316</v>
      </c>
    </row>
    <row r="805" spans="1:7" x14ac:dyDescent="0.3">
      <c r="B805">
        <v>48.48</v>
      </c>
      <c r="C805" t="s">
        <v>1340</v>
      </c>
      <c r="D805" t="s">
        <v>3933</v>
      </c>
      <c r="E805">
        <v>8.9999999999999998E-4</v>
      </c>
      <c r="F805">
        <v>1.3299999999999999E-2</v>
      </c>
      <c r="G805" t="s">
        <v>3935</v>
      </c>
    </row>
    <row r="806" spans="1:7" x14ac:dyDescent="0.3">
      <c r="A806" t="s">
        <v>423</v>
      </c>
      <c r="B806">
        <v>7060</v>
      </c>
      <c r="C806" t="s">
        <v>12</v>
      </c>
      <c r="D806" t="s">
        <v>421</v>
      </c>
      <c r="E806">
        <v>5.8999999999999999E-3</v>
      </c>
      <c r="F806">
        <v>6.6100000000000006E-2</v>
      </c>
      <c r="G806" t="s">
        <v>424</v>
      </c>
    </row>
    <row r="807" spans="1:7" x14ac:dyDescent="0.3">
      <c r="B807">
        <v>50.29</v>
      </c>
      <c r="C807" t="s">
        <v>1340</v>
      </c>
      <c r="D807" t="s">
        <v>3893</v>
      </c>
      <c r="E807">
        <v>1.9E-3</v>
      </c>
      <c r="F807">
        <v>6.2700000000000006E-2</v>
      </c>
      <c r="G807" t="s">
        <v>3895</v>
      </c>
    </row>
    <row r="808" spans="1:7" x14ac:dyDescent="0.3">
      <c r="A808" t="s">
        <v>1993</v>
      </c>
      <c r="B808">
        <v>402.15</v>
      </c>
      <c r="C808" t="s">
        <v>12</v>
      </c>
      <c r="D808" t="s">
        <v>1991</v>
      </c>
      <c r="E808">
        <v>5.8999999999999999E-3</v>
      </c>
      <c r="F808">
        <v>-2.5999999999999999E-3</v>
      </c>
      <c r="G808" t="s">
        <v>1994</v>
      </c>
    </row>
    <row r="809" spans="1:7" x14ac:dyDescent="0.3">
      <c r="A809" t="s">
        <v>2237</v>
      </c>
      <c r="B809">
        <v>304.08</v>
      </c>
      <c r="C809" t="s">
        <v>12</v>
      </c>
      <c r="D809" t="s">
        <v>2235</v>
      </c>
      <c r="E809">
        <v>5.8999999999999999E-3</v>
      </c>
      <c r="F809">
        <v>-2.29E-2</v>
      </c>
      <c r="G809" t="s">
        <v>2238</v>
      </c>
    </row>
    <row r="810" spans="1:7" x14ac:dyDescent="0.3">
      <c r="A810" t="s">
        <v>3287</v>
      </c>
      <c r="B810">
        <v>96.54</v>
      </c>
      <c r="C810" t="s">
        <v>12</v>
      </c>
      <c r="D810" t="s">
        <v>3285</v>
      </c>
      <c r="E810">
        <v>5.8999999999999999E-3</v>
      </c>
      <c r="F810">
        <v>-7.51E-2</v>
      </c>
      <c r="G810" t="s">
        <v>3288</v>
      </c>
    </row>
    <row r="811" spans="1:7" x14ac:dyDescent="0.3">
      <c r="A811" t="s">
        <v>751</v>
      </c>
      <c r="B811">
        <v>3160</v>
      </c>
      <c r="C811" t="s">
        <v>12</v>
      </c>
      <c r="D811" t="s">
        <v>749</v>
      </c>
      <c r="E811">
        <v>5.1000000000000004E-3</v>
      </c>
      <c r="F811">
        <v>2.69E-2</v>
      </c>
      <c r="G811" t="s">
        <v>752</v>
      </c>
    </row>
    <row r="812" spans="1:7" x14ac:dyDescent="0.3">
      <c r="B812">
        <v>620.54</v>
      </c>
      <c r="C812" t="s">
        <v>1340</v>
      </c>
      <c r="D812" t="s">
        <v>1642</v>
      </c>
      <c r="E812">
        <v>8.9999999999999998E-4</v>
      </c>
      <c r="F812">
        <v>1.9099999999999999E-2</v>
      </c>
      <c r="G812" t="s">
        <v>1644</v>
      </c>
    </row>
    <row r="813" spans="1:7" x14ac:dyDescent="0.3">
      <c r="B813">
        <v>88.71</v>
      </c>
      <c r="C813" t="s">
        <v>280</v>
      </c>
      <c r="D813" t="s">
        <v>3386</v>
      </c>
      <c r="E813">
        <v>8.0000000000000002E-3</v>
      </c>
      <c r="F813">
        <v>-1.89E-2</v>
      </c>
      <c r="G813" t="s">
        <v>3388</v>
      </c>
    </row>
    <row r="814" spans="1:7" x14ac:dyDescent="0.3">
      <c r="B814">
        <v>13.59</v>
      </c>
      <c r="C814" t="s">
        <v>12</v>
      </c>
      <c r="D814" t="s">
        <v>5085</v>
      </c>
      <c r="E814">
        <v>5.0000000000000001E-3</v>
      </c>
      <c r="F814">
        <v>4.6800000000000001E-2</v>
      </c>
      <c r="G814" t="s">
        <v>5087</v>
      </c>
    </row>
    <row r="815" spans="1:7" x14ac:dyDescent="0.3">
      <c r="A815" t="s">
        <v>224</v>
      </c>
      <c r="B815">
        <v>15320</v>
      </c>
      <c r="C815" t="s">
        <v>16</v>
      </c>
      <c r="D815" t="s">
        <v>222</v>
      </c>
      <c r="E815">
        <v>5.9999999999999995E-4</v>
      </c>
      <c r="F815">
        <v>-0.16950000000000001</v>
      </c>
      <c r="G815" t="s">
        <v>225</v>
      </c>
    </row>
    <row r="816" spans="1:7" x14ac:dyDescent="0.3">
      <c r="B816">
        <v>1770</v>
      </c>
      <c r="C816" t="s">
        <v>24</v>
      </c>
      <c r="D816" t="s">
        <v>976</v>
      </c>
      <c r="E816">
        <v>3.8999999999999998E-3</v>
      </c>
      <c r="F816">
        <v>-7.3300000000000004E-2</v>
      </c>
      <c r="G816" t="s">
        <v>978</v>
      </c>
    </row>
    <row r="817" spans="1:7" x14ac:dyDescent="0.3">
      <c r="B817">
        <v>555.64</v>
      </c>
      <c r="C817" t="s">
        <v>280</v>
      </c>
      <c r="D817" t="s">
        <v>1706</v>
      </c>
      <c r="E817">
        <v>6.0000000000000001E-3</v>
      </c>
      <c r="F817">
        <v>-4.5699999999999998E-2</v>
      </c>
      <c r="G817" t="s">
        <v>1708</v>
      </c>
    </row>
    <row r="818" spans="1:7" x14ac:dyDescent="0.3">
      <c r="B818">
        <v>365.37</v>
      </c>
      <c r="C818" t="s">
        <v>12</v>
      </c>
      <c r="D818" t="s">
        <v>2094</v>
      </c>
      <c r="E818">
        <v>1.5E-3</v>
      </c>
      <c r="F818">
        <v>-0.1144</v>
      </c>
      <c r="G818" t="s">
        <v>2096</v>
      </c>
    </row>
    <row r="819" spans="1:7" x14ac:dyDescent="0.3">
      <c r="B819">
        <v>117</v>
      </c>
      <c r="C819" t="s">
        <v>2246</v>
      </c>
      <c r="D819" t="s">
        <v>3120</v>
      </c>
      <c r="E819">
        <v>5.7000000000000002E-3</v>
      </c>
      <c r="F819">
        <v>-0.1164</v>
      </c>
      <c r="G819" t="s">
        <v>3122</v>
      </c>
    </row>
    <row r="820" spans="1:7" x14ac:dyDescent="0.3">
      <c r="B820">
        <v>69.650000000000006</v>
      </c>
      <c r="C820" t="s">
        <v>460</v>
      </c>
      <c r="D820" t="s">
        <v>3635</v>
      </c>
      <c r="E820">
        <v>2.8999999999999998E-3</v>
      </c>
      <c r="F820">
        <v>-5.4300000000000001E-2</v>
      </c>
      <c r="G820" t="s">
        <v>3637</v>
      </c>
    </row>
    <row r="821" spans="1:7" x14ac:dyDescent="0.3">
      <c r="B821">
        <v>47.84</v>
      </c>
      <c r="C821" t="s">
        <v>3954</v>
      </c>
      <c r="D821" t="s">
        <v>3955</v>
      </c>
      <c r="E821">
        <v>1.0999999999999999E-2</v>
      </c>
      <c r="F821">
        <v>-5.3999999999999999E-2</v>
      </c>
      <c r="G821" t="s">
        <v>3957</v>
      </c>
    </row>
    <row r="822" spans="1:7" x14ac:dyDescent="0.3">
      <c r="B822">
        <v>33.68</v>
      </c>
      <c r="C822" t="s">
        <v>3867</v>
      </c>
      <c r="D822" t="s">
        <v>4298</v>
      </c>
      <c r="E822">
        <v>6.0000000000000001E-3</v>
      </c>
      <c r="F822">
        <v>-3.9199999999999999E-2</v>
      </c>
      <c r="G822" t="s">
        <v>4300</v>
      </c>
    </row>
    <row r="823" spans="1:7" x14ac:dyDescent="0.3">
      <c r="B823">
        <v>18.29</v>
      </c>
      <c r="C823" t="s">
        <v>1687</v>
      </c>
      <c r="D823" t="s">
        <v>4869</v>
      </c>
      <c r="E823">
        <v>5.0000000000000001E-3</v>
      </c>
      <c r="F823" t="s">
        <v>662</v>
      </c>
      <c r="G823" t="s">
        <v>4871</v>
      </c>
    </row>
    <row r="824" spans="1:7" x14ac:dyDescent="0.3">
      <c r="B824">
        <v>14.55</v>
      </c>
      <c r="C824" t="s">
        <v>280</v>
      </c>
      <c r="D824" t="s">
        <v>5060</v>
      </c>
      <c r="E824">
        <v>8.0000000000000002E-3</v>
      </c>
      <c r="F824">
        <v>-3.4599999999999999E-2</v>
      </c>
      <c r="G824" t="s">
        <v>5062</v>
      </c>
    </row>
    <row r="825" spans="1:7" x14ac:dyDescent="0.3">
      <c r="B825">
        <v>8.27</v>
      </c>
      <c r="C825" t="s">
        <v>116</v>
      </c>
      <c r="D825" t="s">
        <v>5390</v>
      </c>
      <c r="E825">
        <v>5.8999999999999999E-3</v>
      </c>
      <c r="F825" t="s">
        <v>662</v>
      </c>
      <c r="G825" t="s">
        <v>5392</v>
      </c>
    </row>
    <row r="826" spans="1:7" x14ac:dyDescent="0.3">
      <c r="A826" t="s">
        <v>2712</v>
      </c>
      <c r="B826">
        <v>170.7</v>
      </c>
      <c r="C826" t="s">
        <v>2709</v>
      </c>
      <c r="D826" t="s">
        <v>2710</v>
      </c>
      <c r="E826">
        <v>3.0000000000000001E-3</v>
      </c>
      <c r="F826">
        <v>-0.12089999999999999</v>
      </c>
      <c r="G826" t="s">
        <v>2713</v>
      </c>
    </row>
    <row r="827" spans="1:7" x14ac:dyDescent="0.3">
      <c r="B827">
        <v>12.74</v>
      </c>
      <c r="C827" t="s">
        <v>12</v>
      </c>
      <c r="D827" t="s">
        <v>5151</v>
      </c>
      <c r="E827">
        <v>8.0000000000000002E-3</v>
      </c>
      <c r="F827">
        <v>-0.35849999999999999</v>
      </c>
      <c r="G827" t="s">
        <v>5153</v>
      </c>
    </row>
    <row r="828" spans="1:7" x14ac:dyDescent="0.3">
      <c r="A828" t="s">
        <v>458</v>
      </c>
      <c r="B828">
        <v>6450</v>
      </c>
      <c r="C828" t="s">
        <v>240</v>
      </c>
      <c r="D828" t="s">
        <v>456</v>
      </c>
      <c r="E828">
        <v>3.3999999999999998E-3</v>
      </c>
      <c r="F828">
        <v>-3.3700000000000001E-2</v>
      </c>
      <c r="G828" t="s">
        <v>459</v>
      </c>
    </row>
    <row r="829" spans="1:7" x14ac:dyDescent="0.3">
      <c r="B829">
        <v>52.4</v>
      </c>
      <c r="C829" t="s">
        <v>979</v>
      </c>
      <c r="D829" t="s">
        <v>3862</v>
      </c>
      <c r="E829">
        <v>8.0000000000000002E-3</v>
      </c>
      <c r="F829">
        <v>-6.8199999999999997E-2</v>
      </c>
      <c r="G829" t="s">
        <v>3864</v>
      </c>
    </row>
    <row r="830" spans="1:7" x14ac:dyDescent="0.3">
      <c r="A830" t="s">
        <v>104</v>
      </c>
      <c r="B830">
        <v>42080</v>
      </c>
      <c r="C830" t="s">
        <v>16</v>
      </c>
      <c r="D830" t="s">
        <v>102</v>
      </c>
      <c r="E830">
        <v>5.9999999999999995E-4</v>
      </c>
      <c r="F830">
        <v>2.23E-2</v>
      </c>
      <c r="G830" t="s">
        <v>105</v>
      </c>
    </row>
    <row r="831" spans="1:7" x14ac:dyDescent="0.3">
      <c r="B831">
        <v>31430</v>
      </c>
      <c r="C831" t="s">
        <v>116</v>
      </c>
      <c r="D831" t="s">
        <v>126</v>
      </c>
      <c r="E831">
        <v>5.9999999999999995E-4</v>
      </c>
      <c r="F831">
        <v>6.3E-3</v>
      </c>
      <c r="G831" t="s">
        <v>128</v>
      </c>
    </row>
    <row r="832" spans="1:7" x14ac:dyDescent="0.3">
      <c r="B832">
        <v>20430</v>
      </c>
      <c r="C832" t="s">
        <v>7</v>
      </c>
      <c r="D832" t="s">
        <v>185</v>
      </c>
      <c r="E832">
        <v>3.5000000000000001E-3</v>
      </c>
      <c r="F832">
        <v>2.4400000000000002E-2</v>
      </c>
      <c r="G832" t="s">
        <v>187</v>
      </c>
    </row>
    <row r="833" spans="2:7" x14ac:dyDescent="0.3">
      <c r="B833">
        <v>19990</v>
      </c>
      <c r="C833" t="s">
        <v>12</v>
      </c>
      <c r="D833" t="s">
        <v>188</v>
      </c>
      <c r="E833">
        <v>3.8999999999999998E-3</v>
      </c>
      <c r="F833">
        <v>2.6200000000000001E-2</v>
      </c>
      <c r="G833" t="s">
        <v>190</v>
      </c>
    </row>
    <row r="834" spans="2:7" x14ac:dyDescent="0.3">
      <c r="B834">
        <v>12680</v>
      </c>
      <c r="C834" t="s">
        <v>280</v>
      </c>
      <c r="D834" t="s">
        <v>281</v>
      </c>
      <c r="E834">
        <v>7.0000000000000001E-3</v>
      </c>
      <c r="F834">
        <v>1.3100000000000001E-2</v>
      </c>
      <c r="G834" t="s">
        <v>283</v>
      </c>
    </row>
    <row r="835" spans="2:7" x14ac:dyDescent="0.3">
      <c r="B835">
        <v>7630</v>
      </c>
      <c r="C835" t="s">
        <v>12</v>
      </c>
      <c r="D835" t="s">
        <v>387</v>
      </c>
      <c r="E835">
        <v>8.0000000000000004E-4</v>
      </c>
      <c r="F835">
        <v>4.65E-2</v>
      </c>
      <c r="G835" t="s">
        <v>389</v>
      </c>
    </row>
    <row r="836" spans="2:7" x14ac:dyDescent="0.3">
      <c r="B836">
        <v>5420</v>
      </c>
      <c r="C836" t="s">
        <v>7</v>
      </c>
      <c r="D836" t="s">
        <v>532</v>
      </c>
      <c r="E836">
        <v>6.9999999999999999E-4</v>
      </c>
      <c r="F836">
        <v>3.3099999999999997E-2</v>
      </c>
      <c r="G836" t="s">
        <v>534</v>
      </c>
    </row>
    <row r="837" spans="2:7" x14ac:dyDescent="0.3">
      <c r="B837">
        <v>1810</v>
      </c>
      <c r="C837" t="s">
        <v>280</v>
      </c>
      <c r="D837" t="s">
        <v>961</v>
      </c>
      <c r="E837">
        <v>4.4999999999999997E-3</v>
      </c>
      <c r="F837">
        <v>7.3599999999999999E-2</v>
      </c>
      <c r="G837" t="s">
        <v>963</v>
      </c>
    </row>
    <row r="838" spans="2:7" x14ac:dyDescent="0.3">
      <c r="B838">
        <v>1030</v>
      </c>
      <c r="C838" t="s">
        <v>24</v>
      </c>
      <c r="D838" t="s">
        <v>1259</v>
      </c>
      <c r="E838">
        <v>5.3E-3</v>
      </c>
      <c r="F838">
        <v>3.5400000000000001E-2</v>
      </c>
      <c r="G838" t="s">
        <v>1260</v>
      </c>
    </row>
    <row r="839" spans="2:7" x14ac:dyDescent="0.3">
      <c r="B839">
        <v>883.31</v>
      </c>
      <c r="C839" t="s">
        <v>440</v>
      </c>
      <c r="D839" t="s">
        <v>1382</v>
      </c>
      <c r="E839">
        <v>3.8E-3</v>
      </c>
      <c r="F839">
        <v>6.3100000000000003E-2</v>
      </c>
      <c r="G839" t="s">
        <v>1384</v>
      </c>
    </row>
    <row r="840" spans="2:7" x14ac:dyDescent="0.3">
      <c r="B840">
        <v>729.75</v>
      </c>
      <c r="C840" t="s">
        <v>24</v>
      </c>
      <c r="D840" t="s">
        <v>1538</v>
      </c>
      <c r="E840">
        <v>3.8999999999999998E-3</v>
      </c>
      <c r="F840">
        <v>3.8600000000000002E-2</v>
      </c>
      <c r="G840" t="s">
        <v>1540</v>
      </c>
    </row>
    <row r="841" spans="2:7" x14ac:dyDescent="0.3">
      <c r="B841">
        <v>703.54</v>
      </c>
      <c r="C841" t="s">
        <v>486</v>
      </c>
      <c r="D841" t="s">
        <v>1569</v>
      </c>
      <c r="E841">
        <v>4.4999999999999997E-3</v>
      </c>
      <c r="F841">
        <v>3.2899999999999999E-2</v>
      </c>
      <c r="G841" t="s">
        <v>1571</v>
      </c>
    </row>
    <row r="842" spans="2:7" x14ac:dyDescent="0.3">
      <c r="B842">
        <v>132.97999999999999</v>
      </c>
      <c r="C842" t="s">
        <v>2792</v>
      </c>
      <c r="D842" t="s">
        <v>2962</v>
      </c>
      <c r="E842">
        <v>5.1999999999999998E-3</v>
      </c>
      <c r="F842">
        <v>1.54E-2</v>
      </c>
      <c r="G842" t="s">
        <v>2964</v>
      </c>
    </row>
    <row r="843" spans="2:7" x14ac:dyDescent="0.3">
      <c r="B843">
        <v>65.64</v>
      </c>
      <c r="C843" t="s">
        <v>3680</v>
      </c>
      <c r="D843" t="s">
        <v>3681</v>
      </c>
      <c r="E843">
        <v>7.0000000000000001E-3</v>
      </c>
      <c r="F843">
        <v>2.5899999999999999E-2</v>
      </c>
      <c r="G843" t="s">
        <v>3683</v>
      </c>
    </row>
    <row r="844" spans="2:7" x14ac:dyDescent="0.3">
      <c r="B844">
        <v>47.94</v>
      </c>
      <c r="C844" t="s">
        <v>2792</v>
      </c>
      <c r="D844" t="s">
        <v>3951</v>
      </c>
      <c r="E844">
        <v>5.1999999999999998E-3</v>
      </c>
      <c r="F844">
        <v>1.52E-2</v>
      </c>
      <c r="G844" t="s">
        <v>3953</v>
      </c>
    </row>
    <row r="845" spans="2:7" x14ac:dyDescent="0.3">
      <c r="B845">
        <v>14.68</v>
      </c>
      <c r="C845" t="s">
        <v>2087</v>
      </c>
      <c r="D845" t="s">
        <v>5057</v>
      </c>
      <c r="E845">
        <v>4.4999999999999997E-3</v>
      </c>
      <c r="F845">
        <v>2.64E-2</v>
      </c>
      <c r="G845" t="s">
        <v>5059</v>
      </c>
    </row>
    <row r="846" spans="2:7" x14ac:dyDescent="0.3">
      <c r="B846">
        <v>5.42</v>
      </c>
      <c r="C846" t="s">
        <v>979</v>
      </c>
      <c r="D846" t="s">
        <v>5632</v>
      </c>
      <c r="E846">
        <v>7.4999999999999997E-3</v>
      </c>
      <c r="F846">
        <v>-7.1000000000000004E-3</v>
      </c>
      <c r="G846" t="s">
        <v>5634</v>
      </c>
    </row>
    <row r="847" spans="2:7" x14ac:dyDescent="0.3">
      <c r="B847">
        <v>5.12</v>
      </c>
      <c r="C847" t="s">
        <v>780</v>
      </c>
      <c r="D847" t="s">
        <v>5665</v>
      </c>
      <c r="E847">
        <v>2.5000000000000001E-3</v>
      </c>
      <c r="F847">
        <v>3.8999999999999998E-3</v>
      </c>
      <c r="G847" t="s">
        <v>5667</v>
      </c>
    </row>
    <row r="848" spans="2:7" x14ac:dyDescent="0.3">
      <c r="B848">
        <v>2.8</v>
      </c>
      <c r="C848" t="s">
        <v>5885</v>
      </c>
      <c r="D848" t="s">
        <v>5886</v>
      </c>
      <c r="E848">
        <v>2.8999999999999998E-3</v>
      </c>
      <c r="F848">
        <v>6.9400000000000003E-2</v>
      </c>
      <c r="G848" t="s">
        <v>5888</v>
      </c>
    </row>
    <row r="849" spans="1:7" x14ac:dyDescent="0.3">
      <c r="A849" t="s">
        <v>10</v>
      </c>
      <c r="B849" t="s">
        <v>662</v>
      </c>
      <c r="C849" t="s">
        <v>12</v>
      </c>
      <c r="D849" t="s">
        <v>6165</v>
      </c>
      <c r="E849">
        <v>2.5000000000000001E-3</v>
      </c>
      <c r="F849">
        <v>0</v>
      </c>
      <c r="G849" t="s">
        <v>6166</v>
      </c>
    </row>
    <row r="850" spans="1:7" x14ac:dyDescent="0.3">
      <c r="C850" t="s">
        <v>6113</v>
      </c>
      <c r="D850" t="s">
        <v>6191</v>
      </c>
      <c r="E850">
        <v>3.5000000000000001E-3</v>
      </c>
      <c r="F850">
        <v>-2.46E-2</v>
      </c>
      <c r="G850" t="s">
        <v>6192</v>
      </c>
    </row>
    <row r="851" spans="1:7" x14ac:dyDescent="0.3">
      <c r="D851" t="s">
        <v>6259</v>
      </c>
      <c r="E851">
        <v>4.5999999999999999E-3</v>
      </c>
      <c r="F851">
        <v>-1.9300000000000001E-2</v>
      </c>
      <c r="G851" t="s">
        <v>6260</v>
      </c>
    </row>
    <row r="852" spans="1:7" x14ac:dyDescent="0.3">
      <c r="D852" t="s">
        <v>6138</v>
      </c>
      <c r="E852">
        <v>5.7999999999999996E-3</v>
      </c>
      <c r="F852">
        <v>-0.14729999999999999</v>
      </c>
      <c r="G852" t="s">
        <v>6139</v>
      </c>
    </row>
    <row r="853" spans="1:7" x14ac:dyDescent="0.3">
      <c r="D853" t="s">
        <v>6221</v>
      </c>
      <c r="E853">
        <v>3.5000000000000001E-3</v>
      </c>
      <c r="F853">
        <v>1.44E-2</v>
      </c>
      <c r="G853" t="s">
        <v>6222</v>
      </c>
    </row>
    <row r="854" spans="1:7" x14ac:dyDescent="0.3">
      <c r="D854" t="s">
        <v>6197</v>
      </c>
      <c r="E854">
        <v>2.7000000000000001E-3</v>
      </c>
      <c r="F854">
        <v>-3.2399999999999998E-2</v>
      </c>
      <c r="G854" t="s">
        <v>6198</v>
      </c>
    </row>
    <row r="855" spans="1:7" x14ac:dyDescent="0.3">
      <c r="D855" t="s">
        <v>6199</v>
      </c>
      <c r="E855">
        <v>2.7000000000000001E-3</v>
      </c>
      <c r="F855">
        <v>-2.7900000000000001E-2</v>
      </c>
      <c r="G855" t="s">
        <v>6200</v>
      </c>
    </row>
    <row r="856" spans="1:7" x14ac:dyDescent="0.3">
      <c r="D856" t="s">
        <v>6203</v>
      </c>
      <c r="E856">
        <v>2.7000000000000001E-3</v>
      </c>
      <c r="F856">
        <v>-3.2599999999999997E-2</v>
      </c>
      <c r="G856" t="s">
        <v>6204</v>
      </c>
    </row>
    <row r="857" spans="1:7" x14ac:dyDescent="0.3">
      <c r="D857" t="s">
        <v>6201</v>
      </c>
      <c r="E857">
        <v>2.7000000000000001E-3</v>
      </c>
      <c r="F857">
        <v>-2.9399999999999999E-2</v>
      </c>
      <c r="G857" t="s">
        <v>6202</v>
      </c>
    </row>
    <row r="858" spans="1:7" x14ac:dyDescent="0.3">
      <c r="C858" t="s">
        <v>3982</v>
      </c>
      <c r="D858" t="s">
        <v>5100</v>
      </c>
      <c r="E858">
        <v>7.9000000000000008E-3</v>
      </c>
      <c r="F858">
        <v>4.58E-2</v>
      </c>
      <c r="G858" t="s">
        <v>6152</v>
      </c>
    </row>
    <row r="859" spans="1:7" x14ac:dyDescent="0.3">
      <c r="C859" t="s">
        <v>2564</v>
      </c>
      <c r="D859" t="s">
        <v>6131</v>
      </c>
      <c r="E859">
        <v>4.4999999999999997E-3</v>
      </c>
      <c r="F859">
        <v>1.04E-2</v>
      </c>
      <c r="G859" t="s">
        <v>6132</v>
      </c>
    </row>
    <row r="860" spans="1:7" x14ac:dyDescent="0.3">
      <c r="C860" t="s">
        <v>5707</v>
      </c>
      <c r="D860" t="s">
        <v>6145</v>
      </c>
      <c r="E860">
        <v>2.8999999999999998E-3</v>
      </c>
      <c r="F860">
        <v>-7.9299999999999995E-2</v>
      </c>
      <c r="G860" t="s">
        <v>6146</v>
      </c>
    </row>
    <row r="861" spans="1:7" x14ac:dyDescent="0.3">
      <c r="B861">
        <v>410410</v>
      </c>
      <c r="C861" t="s">
        <v>7</v>
      </c>
      <c r="D861" t="s">
        <v>8</v>
      </c>
      <c r="E861">
        <v>8.9999999999999998E-4</v>
      </c>
      <c r="F861">
        <v>-3.1E-2</v>
      </c>
      <c r="G861" t="s">
        <v>11</v>
      </c>
    </row>
    <row r="862" spans="1:7" x14ac:dyDescent="0.3">
      <c r="B862">
        <v>306720</v>
      </c>
      <c r="C862" t="s">
        <v>12</v>
      </c>
      <c r="D862" t="s">
        <v>13</v>
      </c>
      <c r="E862">
        <v>2.9999999999999997E-4</v>
      </c>
      <c r="F862">
        <v>-3.0800000000000001E-2</v>
      </c>
      <c r="G862" t="s">
        <v>15</v>
      </c>
    </row>
    <row r="863" spans="1:7" x14ac:dyDescent="0.3">
      <c r="B863">
        <v>259089.99999999997</v>
      </c>
      <c r="C863" t="s">
        <v>16</v>
      </c>
      <c r="D863" t="s">
        <v>21</v>
      </c>
      <c r="E863">
        <v>2.9999999999999997E-4</v>
      </c>
      <c r="F863">
        <v>-3.09E-2</v>
      </c>
      <c r="G863" t="s">
        <v>23</v>
      </c>
    </row>
    <row r="864" spans="1:7" x14ac:dyDescent="0.3">
      <c r="B864">
        <v>187260</v>
      </c>
      <c r="C864" t="s">
        <v>24</v>
      </c>
      <c r="D864" t="s">
        <v>25</v>
      </c>
      <c r="E864">
        <v>2E-3</v>
      </c>
      <c r="F864">
        <v>-6.6600000000000006E-2</v>
      </c>
      <c r="G864" t="s">
        <v>27</v>
      </c>
    </row>
    <row r="865" spans="2:7" x14ac:dyDescent="0.3">
      <c r="B865">
        <v>32509.999999999996</v>
      </c>
      <c r="C865" t="s">
        <v>116</v>
      </c>
      <c r="D865" t="s">
        <v>117</v>
      </c>
      <c r="E865">
        <v>2.9999999999999997E-4</v>
      </c>
      <c r="F865">
        <v>-4.8399999999999999E-2</v>
      </c>
      <c r="G865" t="s">
        <v>119</v>
      </c>
    </row>
    <row r="866" spans="2:7" x14ac:dyDescent="0.3">
      <c r="B866">
        <v>31480</v>
      </c>
      <c r="C866" t="s">
        <v>24</v>
      </c>
      <c r="D866" t="s">
        <v>123</v>
      </c>
      <c r="E866">
        <v>2E-3</v>
      </c>
      <c r="F866">
        <v>-2.86E-2</v>
      </c>
      <c r="G866" t="s">
        <v>125</v>
      </c>
    </row>
    <row r="867" spans="2:7" x14ac:dyDescent="0.3">
      <c r="B867">
        <v>29550</v>
      </c>
      <c r="C867" t="s">
        <v>12</v>
      </c>
      <c r="D867" t="s">
        <v>133</v>
      </c>
      <c r="E867">
        <v>1.5E-3</v>
      </c>
      <c r="F867">
        <v>-4.9099999999999998E-2</v>
      </c>
      <c r="G867" t="s">
        <v>135</v>
      </c>
    </row>
    <row r="868" spans="2:7" x14ac:dyDescent="0.3">
      <c r="B868">
        <v>29440</v>
      </c>
      <c r="C868" t="s">
        <v>7</v>
      </c>
      <c r="D868" t="s">
        <v>136</v>
      </c>
      <c r="E868">
        <v>1.6000000000000001E-3</v>
      </c>
      <c r="F868">
        <v>-3.3799999999999997E-2</v>
      </c>
      <c r="G868" t="s">
        <v>138</v>
      </c>
    </row>
    <row r="869" spans="2:7" x14ac:dyDescent="0.3">
      <c r="B869">
        <v>26080</v>
      </c>
      <c r="C869" t="s">
        <v>16</v>
      </c>
      <c r="D869" t="s">
        <v>151</v>
      </c>
      <c r="E869">
        <v>4.0000000000000002E-4</v>
      </c>
      <c r="F869">
        <v>-4.7100000000000003E-2</v>
      </c>
      <c r="G869" t="s">
        <v>153</v>
      </c>
    </row>
    <row r="870" spans="2:7" x14ac:dyDescent="0.3">
      <c r="B870">
        <v>13660</v>
      </c>
      <c r="C870" t="s">
        <v>248</v>
      </c>
      <c r="D870" t="s">
        <v>249</v>
      </c>
      <c r="E870">
        <v>8.9999999999999998E-4</v>
      </c>
      <c r="F870">
        <v>-4.3299999999999998E-2</v>
      </c>
      <c r="G870" t="s">
        <v>251</v>
      </c>
    </row>
    <row r="871" spans="2:7" x14ac:dyDescent="0.3">
      <c r="B871">
        <v>12820</v>
      </c>
      <c r="C871" t="s">
        <v>7</v>
      </c>
      <c r="D871" t="s">
        <v>269</v>
      </c>
      <c r="E871">
        <v>2.9999999999999997E-4</v>
      </c>
      <c r="F871">
        <v>-3.1E-2</v>
      </c>
      <c r="G871" t="s">
        <v>271</v>
      </c>
    </row>
    <row r="872" spans="2:7" x14ac:dyDescent="0.3">
      <c r="B872">
        <v>9670</v>
      </c>
      <c r="C872" t="s">
        <v>116</v>
      </c>
      <c r="D872" t="s">
        <v>326</v>
      </c>
      <c r="E872">
        <v>2.5000000000000001E-3</v>
      </c>
      <c r="F872">
        <v>2.0000000000000001E-4</v>
      </c>
      <c r="G872" t="s">
        <v>328</v>
      </c>
    </row>
    <row r="873" spans="2:7" x14ac:dyDescent="0.3">
      <c r="B873">
        <v>9390</v>
      </c>
      <c r="C873" t="s">
        <v>24</v>
      </c>
      <c r="D873" t="s">
        <v>343</v>
      </c>
      <c r="E873">
        <v>2.5000000000000001E-3</v>
      </c>
      <c r="F873">
        <v>2.7199999999999998E-2</v>
      </c>
      <c r="G873" t="s">
        <v>345</v>
      </c>
    </row>
    <row r="874" spans="2:7" x14ac:dyDescent="0.3">
      <c r="B874">
        <v>8900</v>
      </c>
      <c r="C874" t="s">
        <v>12</v>
      </c>
      <c r="D874" t="s">
        <v>346</v>
      </c>
      <c r="E874">
        <v>2E-3</v>
      </c>
      <c r="F874">
        <v>-2.8000000000000001E-2</v>
      </c>
      <c r="G874" t="s">
        <v>348</v>
      </c>
    </row>
    <row r="875" spans="2:7" x14ac:dyDescent="0.3">
      <c r="B875">
        <v>8880</v>
      </c>
      <c r="C875" t="s">
        <v>280</v>
      </c>
      <c r="D875" t="s">
        <v>349</v>
      </c>
      <c r="E875">
        <v>5.5999999999999999E-3</v>
      </c>
      <c r="F875">
        <v>-1.41E-2</v>
      </c>
      <c r="G875" t="s">
        <v>351</v>
      </c>
    </row>
    <row r="876" spans="2:7" x14ac:dyDescent="0.3">
      <c r="B876">
        <v>8220</v>
      </c>
      <c r="C876" t="s">
        <v>280</v>
      </c>
      <c r="D876" t="s">
        <v>369</v>
      </c>
      <c r="E876">
        <v>5.0000000000000001E-3</v>
      </c>
      <c r="F876">
        <v>-2.9899999999999999E-2</v>
      </c>
      <c r="G876" t="s">
        <v>371</v>
      </c>
    </row>
    <row r="877" spans="2:7" x14ac:dyDescent="0.3">
      <c r="B877">
        <v>6180</v>
      </c>
      <c r="C877" t="s">
        <v>332</v>
      </c>
      <c r="D877" t="s">
        <v>476</v>
      </c>
      <c r="E877">
        <v>3.5000000000000001E-3</v>
      </c>
      <c r="F877">
        <v>-8.8000000000000005E-3</v>
      </c>
      <c r="G877" t="s">
        <v>478</v>
      </c>
    </row>
    <row r="878" spans="2:7" x14ac:dyDescent="0.3">
      <c r="B878">
        <v>6010</v>
      </c>
      <c r="C878" t="s">
        <v>486</v>
      </c>
      <c r="D878" t="s">
        <v>487</v>
      </c>
      <c r="E878">
        <v>6.0000000000000001E-3</v>
      </c>
      <c r="F878">
        <v>-6.9900000000000004E-2</v>
      </c>
      <c r="G878" t="s">
        <v>489</v>
      </c>
    </row>
    <row r="879" spans="2:7" x14ac:dyDescent="0.3">
      <c r="B879">
        <v>5670</v>
      </c>
      <c r="C879" t="s">
        <v>24</v>
      </c>
      <c r="D879" t="s">
        <v>514</v>
      </c>
      <c r="E879">
        <v>3.8999999999999998E-3</v>
      </c>
      <c r="F879">
        <v>-2.5999999999999999E-3</v>
      </c>
      <c r="G879" t="s">
        <v>516</v>
      </c>
    </row>
    <row r="880" spans="2:7" x14ac:dyDescent="0.3">
      <c r="B880">
        <v>4190</v>
      </c>
      <c r="C880" t="s">
        <v>16</v>
      </c>
      <c r="D880" t="s">
        <v>634</v>
      </c>
      <c r="E880">
        <v>6.9999999999999999E-4</v>
      </c>
      <c r="F880">
        <v>-3.8100000000000002E-2</v>
      </c>
      <c r="G880" t="s">
        <v>635</v>
      </c>
    </row>
    <row r="881" spans="2:7" x14ac:dyDescent="0.3">
      <c r="B881">
        <v>3700</v>
      </c>
      <c r="C881" t="s">
        <v>24</v>
      </c>
      <c r="D881" t="s">
        <v>687</v>
      </c>
      <c r="E881">
        <v>1.5E-3</v>
      </c>
      <c r="F881">
        <v>-6.6400000000000001E-2</v>
      </c>
      <c r="G881" t="s">
        <v>689</v>
      </c>
    </row>
    <row r="882" spans="2:7" x14ac:dyDescent="0.3">
      <c r="B882">
        <v>3550</v>
      </c>
      <c r="C882" t="s">
        <v>24</v>
      </c>
      <c r="D882" t="s">
        <v>700</v>
      </c>
      <c r="E882">
        <v>1.5E-3</v>
      </c>
      <c r="F882">
        <v>-3.3399999999999999E-2</v>
      </c>
      <c r="G882" t="s">
        <v>702</v>
      </c>
    </row>
    <row r="883" spans="2:7" x14ac:dyDescent="0.3">
      <c r="B883">
        <v>3240</v>
      </c>
      <c r="C883" t="s">
        <v>440</v>
      </c>
      <c r="D883" t="s">
        <v>738</v>
      </c>
      <c r="E883">
        <v>2.8E-3</v>
      </c>
      <c r="F883">
        <v>2.2599999999999999E-2</v>
      </c>
      <c r="G883" t="s">
        <v>740</v>
      </c>
    </row>
    <row r="884" spans="2:7" x14ac:dyDescent="0.3">
      <c r="B884">
        <v>3140</v>
      </c>
      <c r="C884" t="s">
        <v>24</v>
      </c>
      <c r="D884" t="s">
        <v>753</v>
      </c>
      <c r="E884">
        <v>3.0000000000000001E-3</v>
      </c>
      <c r="F884">
        <v>4.3700000000000003E-2</v>
      </c>
      <c r="G884" t="s">
        <v>755</v>
      </c>
    </row>
    <row r="885" spans="2:7" x14ac:dyDescent="0.3">
      <c r="B885">
        <v>2870</v>
      </c>
      <c r="C885" t="s">
        <v>780</v>
      </c>
      <c r="D885" t="s">
        <v>781</v>
      </c>
      <c r="E885">
        <v>5.4999999999999997E-3</v>
      </c>
      <c r="F885">
        <v>-0.1106</v>
      </c>
      <c r="G885" t="s">
        <v>783</v>
      </c>
    </row>
    <row r="886" spans="2:7" x14ac:dyDescent="0.3">
      <c r="B886">
        <v>2770</v>
      </c>
      <c r="C886" t="s">
        <v>16</v>
      </c>
      <c r="D886" t="s">
        <v>794</v>
      </c>
      <c r="E886">
        <v>8.0000000000000004E-4</v>
      </c>
      <c r="F886">
        <v>-4.82E-2</v>
      </c>
      <c r="G886" t="s">
        <v>795</v>
      </c>
    </row>
    <row r="887" spans="2:7" x14ac:dyDescent="0.3">
      <c r="B887">
        <v>2350</v>
      </c>
      <c r="C887" t="s">
        <v>24</v>
      </c>
      <c r="D887" t="s">
        <v>857</v>
      </c>
      <c r="E887">
        <v>2E-3</v>
      </c>
      <c r="F887">
        <v>-2.9600000000000001E-2</v>
      </c>
      <c r="G887" t="s">
        <v>859</v>
      </c>
    </row>
    <row r="888" spans="2:7" x14ac:dyDescent="0.3">
      <c r="B888">
        <v>2180</v>
      </c>
      <c r="C888" t="s">
        <v>116</v>
      </c>
      <c r="D888" t="s">
        <v>888</v>
      </c>
      <c r="E888">
        <v>5.0000000000000001E-4</v>
      </c>
      <c r="F888">
        <v>-5.1299999999999998E-2</v>
      </c>
      <c r="G888" t="s">
        <v>890</v>
      </c>
    </row>
    <row r="889" spans="2:7" x14ac:dyDescent="0.3">
      <c r="B889">
        <v>1910</v>
      </c>
      <c r="C889" t="s">
        <v>24</v>
      </c>
      <c r="D889" t="s">
        <v>935</v>
      </c>
      <c r="E889">
        <v>2.8999999999999998E-3</v>
      </c>
      <c r="F889">
        <v>-5.5599999999999997E-2</v>
      </c>
      <c r="G889" t="s">
        <v>937</v>
      </c>
    </row>
    <row r="890" spans="2:7" x14ac:dyDescent="0.3">
      <c r="B890">
        <v>1900</v>
      </c>
      <c r="C890" t="s">
        <v>941</v>
      </c>
      <c r="D890" t="s">
        <v>942</v>
      </c>
      <c r="E890">
        <v>6.0000000000000001E-3</v>
      </c>
      <c r="F890">
        <v>-3.0200000000000001E-2</v>
      </c>
      <c r="G890" t="s">
        <v>943</v>
      </c>
    </row>
    <row r="891" spans="2:7" x14ac:dyDescent="0.3">
      <c r="B891">
        <v>1600</v>
      </c>
      <c r="C891" t="s">
        <v>941</v>
      </c>
      <c r="D891" t="s">
        <v>1022</v>
      </c>
      <c r="E891">
        <v>4.8999999999999998E-3</v>
      </c>
      <c r="F891">
        <v>5.7999999999999996E-3</v>
      </c>
      <c r="G891" t="s">
        <v>1024</v>
      </c>
    </row>
    <row r="892" spans="2:7" x14ac:dyDescent="0.3">
      <c r="B892">
        <v>1590</v>
      </c>
      <c r="C892" t="s">
        <v>1025</v>
      </c>
      <c r="D892" t="s">
        <v>1026</v>
      </c>
      <c r="E892">
        <v>1.1999999999999999E-3</v>
      </c>
      <c r="F892">
        <v>-1.44E-2</v>
      </c>
      <c r="G892" t="s">
        <v>1028</v>
      </c>
    </row>
    <row r="893" spans="2:7" x14ac:dyDescent="0.3">
      <c r="B893">
        <v>1280</v>
      </c>
      <c r="C893" t="s">
        <v>7</v>
      </c>
      <c r="D893" t="s">
        <v>1123</v>
      </c>
      <c r="E893">
        <v>2E-3</v>
      </c>
      <c r="F893">
        <v>-3.27E-2</v>
      </c>
      <c r="G893" t="s">
        <v>1125</v>
      </c>
    </row>
    <row r="894" spans="2:7" x14ac:dyDescent="0.3">
      <c r="B894">
        <v>1230</v>
      </c>
      <c r="C894" t="s">
        <v>280</v>
      </c>
      <c r="D894" t="s">
        <v>1145</v>
      </c>
      <c r="E894">
        <v>5.7999999999999996E-3</v>
      </c>
      <c r="F894">
        <v>-9.4700000000000006E-2</v>
      </c>
      <c r="G894" t="s">
        <v>1146</v>
      </c>
    </row>
    <row r="895" spans="2:7" x14ac:dyDescent="0.3">
      <c r="C895" t="s">
        <v>24</v>
      </c>
      <c r="D895" t="s">
        <v>1142</v>
      </c>
      <c r="E895">
        <v>2.5000000000000001E-3</v>
      </c>
      <c r="F895">
        <v>-6.7799999999999999E-2</v>
      </c>
      <c r="G895" t="s">
        <v>1144</v>
      </c>
    </row>
    <row r="896" spans="2:7" x14ac:dyDescent="0.3">
      <c r="B896">
        <v>1210</v>
      </c>
      <c r="C896" t="s">
        <v>517</v>
      </c>
      <c r="D896" t="s">
        <v>1158</v>
      </c>
      <c r="E896">
        <v>4.0000000000000001E-3</v>
      </c>
      <c r="F896">
        <v>2.5600000000000001E-2</v>
      </c>
      <c r="G896" t="s">
        <v>1159</v>
      </c>
    </row>
    <row r="897" spans="2:7" x14ac:dyDescent="0.3">
      <c r="B897">
        <v>1170</v>
      </c>
      <c r="C897" t="s">
        <v>1182</v>
      </c>
      <c r="D897" t="s">
        <v>1183</v>
      </c>
      <c r="E897">
        <v>3.5000000000000001E-3</v>
      </c>
      <c r="F897">
        <v>3.1600000000000003E-2</v>
      </c>
      <c r="G897" t="s">
        <v>1184</v>
      </c>
    </row>
    <row r="898" spans="2:7" x14ac:dyDescent="0.3">
      <c r="B898">
        <v>1160</v>
      </c>
      <c r="C898" t="s">
        <v>280</v>
      </c>
      <c r="D898" t="s">
        <v>1193</v>
      </c>
      <c r="E898">
        <v>5.8999999999999999E-3</v>
      </c>
      <c r="F898">
        <v>-5.2699999999999997E-2</v>
      </c>
      <c r="G898" t="s">
        <v>1194</v>
      </c>
    </row>
    <row r="899" spans="2:7" x14ac:dyDescent="0.3">
      <c r="B899">
        <v>1140</v>
      </c>
      <c r="C899" t="s">
        <v>24</v>
      </c>
      <c r="D899" t="s">
        <v>1205</v>
      </c>
      <c r="E899">
        <v>3.8999999999999998E-3</v>
      </c>
      <c r="F899">
        <v>5.0000000000000001E-3</v>
      </c>
      <c r="G899" t="s">
        <v>1207</v>
      </c>
    </row>
    <row r="900" spans="2:7" x14ac:dyDescent="0.3">
      <c r="B900">
        <v>1020</v>
      </c>
      <c r="C900" t="s">
        <v>24</v>
      </c>
      <c r="D900" t="s">
        <v>1264</v>
      </c>
      <c r="E900">
        <v>1.5E-3</v>
      </c>
      <c r="F900">
        <v>-0.1719</v>
      </c>
      <c r="G900" t="s">
        <v>1265</v>
      </c>
    </row>
    <row r="901" spans="2:7" x14ac:dyDescent="0.3">
      <c r="C901" t="s">
        <v>1268</v>
      </c>
      <c r="D901" t="s">
        <v>1269</v>
      </c>
      <c r="E901">
        <v>7.7999999999999996E-3</v>
      </c>
      <c r="F901">
        <v>-3.3300000000000003E-2</v>
      </c>
      <c r="G901" t="s">
        <v>1270</v>
      </c>
    </row>
    <row r="902" spans="2:7" x14ac:dyDescent="0.3">
      <c r="B902">
        <v>1000</v>
      </c>
      <c r="C902" t="s">
        <v>1182</v>
      </c>
      <c r="D902" t="s">
        <v>1274</v>
      </c>
      <c r="E902">
        <v>3.5000000000000001E-3</v>
      </c>
      <c r="F902">
        <v>-3.2000000000000001E-2</v>
      </c>
      <c r="G902" t="s">
        <v>1276</v>
      </c>
    </row>
    <row r="903" spans="2:7" x14ac:dyDescent="0.3">
      <c r="B903">
        <v>971.57</v>
      </c>
      <c r="C903" t="s">
        <v>486</v>
      </c>
      <c r="D903" t="s">
        <v>1294</v>
      </c>
      <c r="E903">
        <v>6.0000000000000001E-3</v>
      </c>
      <c r="F903">
        <v>-2.29E-2</v>
      </c>
      <c r="G903" t="s">
        <v>1296</v>
      </c>
    </row>
    <row r="904" spans="2:7" x14ac:dyDescent="0.3">
      <c r="B904">
        <v>966.94</v>
      </c>
      <c r="C904" t="s">
        <v>12</v>
      </c>
      <c r="D904" t="s">
        <v>1301</v>
      </c>
      <c r="E904">
        <v>1.5E-3</v>
      </c>
      <c r="F904">
        <v>-3.1899999999999998E-2</v>
      </c>
      <c r="G904" t="s">
        <v>1303</v>
      </c>
    </row>
    <row r="905" spans="2:7" x14ac:dyDescent="0.3">
      <c r="B905">
        <v>953.42</v>
      </c>
      <c r="C905" t="s">
        <v>1308</v>
      </c>
      <c r="D905" t="s">
        <v>1309</v>
      </c>
      <c r="E905">
        <v>5.4999999999999997E-3</v>
      </c>
      <c r="F905">
        <v>2.5999999999999999E-3</v>
      </c>
      <c r="G905" t="s">
        <v>1311</v>
      </c>
    </row>
    <row r="906" spans="2:7" x14ac:dyDescent="0.3">
      <c r="B906">
        <v>917.72</v>
      </c>
      <c r="C906" t="s">
        <v>1340</v>
      </c>
      <c r="D906" t="s">
        <v>1341</v>
      </c>
      <c r="E906">
        <v>1.5E-3</v>
      </c>
      <c r="F906">
        <v>-3.0000000000000001E-3</v>
      </c>
      <c r="G906" t="s">
        <v>1343</v>
      </c>
    </row>
    <row r="907" spans="2:7" x14ac:dyDescent="0.3">
      <c r="B907">
        <v>908.57</v>
      </c>
      <c r="C907" t="s">
        <v>1348</v>
      </c>
      <c r="D907" t="s">
        <v>1349</v>
      </c>
      <c r="E907">
        <v>6.7999999999999996E-3</v>
      </c>
      <c r="F907">
        <v>-6.8199999999999997E-2</v>
      </c>
      <c r="G907" t="s">
        <v>1351</v>
      </c>
    </row>
    <row r="908" spans="2:7" x14ac:dyDescent="0.3">
      <c r="B908">
        <v>848.87</v>
      </c>
      <c r="C908" t="s">
        <v>248</v>
      </c>
      <c r="D908" t="s">
        <v>1402</v>
      </c>
      <c r="E908">
        <v>8.9999999999999998E-4</v>
      </c>
      <c r="F908">
        <v>-7.5700000000000003E-2</v>
      </c>
      <c r="G908" t="s">
        <v>1404</v>
      </c>
    </row>
    <row r="909" spans="2:7" x14ac:dyDescent="0.3">
      <c r="B909">
        <v>825.7</v>
      </c>
      <c r="C909" t="s">
        <v>618</v>
      </c>
      <c r="D909" t="s">
        <v>1433</v>
      </c>
      <c r="E909">
        <v>1E-3</v>
      </c>
      <c r="F909">
        <v>-1.67E-2</v>
      </c>
      <c r="G909" t="s">
        <v>1435</v>
      </c>
    </row>
    <row r="910" spans="2:7" x14ac:dyDescent="0.3">
      <c r="B910">
        <v>797.67</v>
      </c>
      <c r="C910" t="s">
        <v>1471</v>
      </c>
      <c r="D910" t="s">
        <v>1472</v>
      </c>
      <c r="E910">
        <v>4.7999999999999996E-3</v>
      </c>
      <c r="F910">
        <v>5.1999999999999998E-3</v>
      </c>
      <c r="G910" t="s">
        <v>1474</v>
      </c>
    </row>
    <row r="911" spans="2:7" x14ac:dyDescent="0.3">
      <c r="B911">
        <v>788.28</v>
      </c>
      <c r="C911" t="s">
        <v>24</v>
      </c>
      <c r="D911" t="s">
        <v>1485</v>
      </c>
      <c r="E911">
        <v>1.1000000000000001E-3</v>
      </c>
      <c r="F911">
        <v>-1.8599999999999998E-2</v>
      </c>
      <c r="G911" t="s">
        <v>1487</v>
      </c>
    </row>
    <row r="912" spans="2:7" x14ac:dyDescent="0.3">
      <c r="B912">
        <v>759.41</v>
      </c>
      <c r="C912" t="s">
        <v>839</v>
      </c>
      <c r="D912" t="s">
        <v>1511</v>
      </c>
      <c r="E912">
        <v>2.8999999999999998E-3</v>
      </c>
      <c r="F912">
        <v>-4.0800000000000003E-2</v>
      </c>
      <c r="G912" t="s">
        <v>1513</v>
      </c>
    </row>
    <row r="913" spans="2:7" x14ac:dyDescent="0.3">
      <c r="B913">
        <v>744.39</v>
      </c>
      <c r="C913" t="s">
        <v>941</v>
      </c>
      <c r="D913" t="s">
        <v>1523</v>
      </c>
      <c r="E913">
        <v>6.4999999999999997E-3</v>
      </c>
      <c r="F913">
        <v>-3.7199999999999997E-2</v>
      </c>
      <c r="G913" t="s">
        <v>1525</v>
      </c>
    </row>
    <row r="914" spans="2:7" x14ac:dyDescent="0.3">
      <c r="B914">
        <v>728.47</v>
      </c>
      <c r="C914" t="s">
        <v>7</v>
      </c>
      <c r="D914" t="s">
        <v>1541</v>
      </c>
      <c r="E914">
        <v>2E-3</v>
      </c>
      <c r="F914">
        <v>4.7000000000000002E-3</v>
      </c>
      <c r="G914" t="s">
        <v>1543</v>
      </c>
    </row>
    <row r="915" spans="2:7" x14ac:dyDescent="0.3">
      <c r="B915">
        <v>703.58</v>
      </c>
      <c r="C915" t="s">
        <v>440</v>
      </c>
      <c r="D915" t="s">
        <v>1566</v>
      </c>
      <c r="E915">
        <v>8.0000000000000004E-4</v>
      </c>
      <c r="F915">
        <v>-0.02</v>
      </c>
      <c r="G915" t="s">
        <v>1568</v>
      </c>
    </row>
    <row r="916" spans="2:7" x14ac:dyDescent="0.3">
      <c r="B916">
        <v>660.53</v>
      </c>
      <c r="C916" t="s">
        <v>332</v>
      </c>
      <c r="D916" t="s">
        <v>1596</v>
      </c>
      <c r="E916">
        <v>1.8E-3</v>
      </c>
      <c r="F916">
        <v>-3.8999999999999998E-3</v>
      </c>
      <c r="G916" t="s">
        <v>1598</v>
      </c>
    </row>
    <row r="917" spans="2:7" x14ac:dyDescent="0.3">
      <c r="B917">
        <v>655.42</v>
      </c>
      <c r="C917" t="s">
        <v>24</v>
      </c>
      <c r="D917" t="s">
        <v>1602</v>
      </c>
      <c r="E917">
        <v>2E-3</v>
      </c>
      <c r="F917">
        <v>-6.0400000000000002E-2</v>
      </c>
      <c r="G917" t="s">
        <v>1604</v>
      </c>
    </row>
    <row r="918" spans="2:7" x14ac:dyDescent="0.3">
      <c r="B918">
        <v>639.87</v>
      </c>
      <c r="C918" t="s">
        <v>1182</v>
      </c>
      <c r="D918" t="s">
        <v>1614</v>
      </c>
      <c r="E918">
        <v>3.5000000000000001E-3</v>
      </c>
      <c r="F918">
        <v>-3.1800000000000002E-2</v>
      </c>
      <c r="G918" t="s">
        <v>1616</v>
      </c>
    </row>
    <row r="919" spans="2:7" x14ac:dyDescent="0.3">
      <c r="B919">
        <v>634.92999999999995</v>
      </c>
      <c r="C919" t="s">
        <v>7</v>
      </c>
      <c r="D919" t="s">
        <v>1626</v>
      </c>
      <c r="E919">
        <v>1.1999999999999999E-3</v>
      </c>
      <c r="F919">
        <v>-1.47E-2</v>
      </c>
      <c r="G919" t="s">
        <v>1628</v>
      </c>
    </row>
    <row r="920" spans="2:7" x14ac:dyDescent="0.3">
      <c r="B920">
        <v>610.98</v>
      </c>
      <c r="C920" t="s">
        <v>280</v>
      </c>
      <c r="D920" t="s">
        <v>1655</v>
      </c>
      <c r="E920">
        <v>1.0500000000000001E-2</v>
      </c>
      <c r="F920">
        <v>-1.4800000000000001E-2</v>
      </c>
      <c r="G920" t="s">
        <v>1657</v>
      </c>
    </row>
    <row r="921" spans="2:7" x14ac:dyDescent="0.3">
      <c r="B921">
        <v>607.41999999999996</v>
      </c>
      <c r="C921" t="s">
        <v>486</v>
      </c>
      <c r="D921" t="s">
        <v>1661</v>
      </c>
      <c r="E921">
        <v>2.8999999999999998E-3</v>
      </c>
      <c r="F921">
        <v>-3.7900000000000003E-2</v>
      </c>
      <c r="G921" t="s">
        <v>1663</v>
      </c>
    </row>
    <row r="922" spans="2:7" x14ac:dyDescent="0.3">
      <c r="B922">
        <v>599.11</v>
      </c>
      <c r="C922" t="s">
        <v>1664</v>
      </c>
      <c r="D922" t="s">
        <v>1665</v>
      </c>
      <c r="E922">
        <v>3.8999999999999998E-3</v>
      </c>
      <c r="F922">
        <v>1.2800000000000001E-2</v>
      </c>
      <c r="G922" t="s">
        <v>1667</v>
      </c>
    </row>
    <row r="923" spans="2:7" x14ac:dyDescent="0.3">
      <c r="B923">
        <v>597.67999999999995</v>
      </c>
      <c r="C923" t="s">
        <v>7</v>
      </c>
      <c r="D923" t="s">
        <v>1668</v>
      </c>
      <c r="E923">
        <v>2E-3</v>
      </c>
      <c r="F923">
        <v>-1.52E-2</v>
      </c>
      <c r="G923" t="s">
        <v>1670</v>
      </c>
    </row>
    <row r="924" spans="2:7" x14ac:dyDescent="0.3">
      <c r="B924">
        <v>562.29</v>
      </c>
      <c r="C924" t="s">
        <v>280</v>
      </c>
      <c r="D924" t="s">
        <v>1696</v>
      </c>
      <c r="E924">
        <v>6.4999999999999997E-3</v>
      </c>
      <c r="F924">
        <v>-0.12959999999999999</v>
      </c>
      <c r="G924" t="s">
        <v>1698</v>
      </c>
    </row>
    <row r="925" spans="2:7" x14ac:dyDescent="0.3">
      <c r="B925">
        <v>497.15</v>
      </c>
      <c r="C925" t="s">
        <v>1799</v>
      </c>
      <c r="D925" t="s">
        <v>1800</v>
      </c>
      <c r="E925">
        <v>7.9000000000000008E-3</v>
      </c>
      <c r="F925">
        <v>-3.2099999999999997E-2</v>
      </c>
      <c r="G925" t="s">
        <v>1802</v>
      </c>
    </row>
    <row r="926" spans="2:7" x14ac:dyDescent="0.3">
      <c r="B926">
        <v>476.79</v>
      </c>
      <c r="C926" t="s">
        <v>1842</v>
      </c>
      <c r="D926" t="s">
        <v>1843</v>
      </c>
      <c r="E926">
        <v>2.8999999999999998E-3</v>
      </c>
      <c r="F926">
        <v>-2.76E-2</v>
      </c>
      <c r="G926" t="s">
        <v>1845</v>
      </c>
    </row>
    <row r="927" spans="2:7" x14ac:dyDescent="0.3">
      <c r="B927">
        <v>471.04</v>
      </c>
      <c r="C927" t="s">
        <v>1856</v>
      </c>
      <c r="D927" t="s">
        <v>1857</v>
      </c>
      <c r="E927">
        <v>4.4999999999999997E-3</v>
      </c>
      <c r="F927">
        <v>-2.9700000000000001E-2</v>
      </c>
      <c r="G927" t="s">
        <v>1859</v>
      </c>
    </row>
    <row r="928" spans="2:7" x14ac:dyDescent="0.3">
      <c r="B928">
        <v>462.19</v>
      </c>
      <c r="C928" t="s">
        <v>460</v>
      </c>
      <c r="D928" t="s">
        <v>1875</v>
      </c>
      <c r="E928">
        <v>2.8999999999999998E-3</v>
      </c>
      <c r="F928">
        <v>-3.3300000000000003E-2</v>
      </c>
      <c r="G928" t="s">
        <v>1877</v>
      </c>
    </row>
    <row r="929" spans="2:7" x14ac:dyDescent="0.3">
      <c r="B929">
        <v>435.4</v>
      </c>
      <c r="C929" t="s">
        <v>1904</v>
      </c>
      <c r="D929" t="s">
        <v>1905</v>
      </c>
      <c r="E929">
        <v>0</v>
      </c>
      <c r="F929">
        <v>-4.2799999999999998E-2</v>
      </c>
      <c r="G929" t="s">
        <v>1907</v>
      </c>
    </row>
    <row r="930" spans="2:7" x14ac:dyDescent="0.3">
      <c r="B930">
        <v>420.28</v>
      </c>
      <c r="C930" t="s">
        <v>7</v>
      </c>
      <c r="D930" t="s">
        <v>1937</v>
      </c>
      <c r="E930">
        <v>1E-3</v>
      </c>
      <c r="F930">
        <v>-1.7100000000000001E-2</v>
      </c>
      <c r="G930" t="s">
        <v>1939</v>
      </c>
    </row>
    <row r="931" spans="2:7" x14ac:dyDescent="0.3">
      <c r="B931">
        <v>416.85</v>
      </c>
      <c r="C931" t="s">
        <v>941</v>
      </c>
      <c r="D931" t="s">
        <v>1940</v>
      </c>
      <c r="E931">
        <v>6.0000000000000001E-3</v>
      </c>
      <c r="F931">
        <v>3.7900000000000003E-2</v>
      </c>
      <c r="G931" t="s">
        <v>1942</v>
      </c>
    </row>
    <row r="932" spans="2:7" x14ac:dyDescent="0.3">
      <c r="B932">
        <v>409.97</v>
      </c>
      <c r="C932" t="s">
        <v>280</v>
      </c>
      <c r="D932" t="s">
        <v>1966</v>
      </c>
      <c r="E932">
        <v>7.4999999999999997E-3</v>
      </c>
      <c r="F932">
        <v>1.2699999999999999E-2</v>
      </c>
      <c r="G932" t="s">
        <v>1968</v>
      </c>
    </row>
    <row r="933" spans="2:7" x14ac:dyDescent="0.3">
      <c r="B933">
        <v>395.48</v>
      </c>
      <c r="C933" t="s">
        <v>332</v>
      </c>
      <c r="D933" t="s">
        <v>2005</v>
      </c>
      <c r="E933">
        <v>1.1999999999999999E-3</v>
      </c>
      <c r="F933">
        <v>-3.0599999999999999E-2</v>
      </c>
      <c r="G933" t="s">
        <v>2007</v>
      </c>
    </row>
    <row r="934" spans="2:7" x14ac:dyDescent="0.3">
      <c r="B934">
        <v>387.73</v>
      </c>
      <c r="C934" t="s">
        <v>12</v>
      </c>
      <c r="D934" t="s">
        <v>2022</v>
      </c>
      <c r="E934">
        <v>8.0000000000000004E-4</v>
      </c>
      <c r="F934">
        <v>-3.3099999999999997E-2</v>
      </c>
      <c r="G934" t="s">
        <v>2024</v>
      </c>
    </row>
    <row r="935" spans="2:7" x14ac:dyDescent="0.3">
      <c r="B935">
        <v>380.34</v>
      </c>
      <c r="C935" t="s">
        <v>588</v>
      </c>
      <c r="D935" t="s">
        <v>2042</v>
      </c>
      <c r="E935">
        <v>3.5000000000000001E-3</v>
      </c>
      <c r="F935">
        <v>-9.4399999999999998E-2</v>
      </c>
      <c r="G935" t="s">
        <v>2044</v>
      </c>
    </row>
    <row r="936" spans="2:7" x14ac:dyDescent="0.3">
      <c r="B936">
        <v>378.88</v>
      </c>
      <c r="C936" t="s">
        <v>2051</v>
      </c>
      <c r="D936" t="s">
        <v>2052</v>
      </c>
      <c r="E936">
        <v>8.0999999999999996E-3</v>
      </c>
      <c r="F936">
        <v>-1.4E-2</v>
      </c>
      <c r="G936" t="s">
        <v>2054</v>
      </c>
    </row>
    <row r="937" spans="2:7" x14ac:dyDescent="0.3">
      <c r="B937">
        <v>369.04</v>
      </c>
      <c r="C937" t="s">
        <v>2083</v>
      </c>
      <c r="D937" t="s">
        <v>2084</v>
      </c>
      <c r="E937">
        <v>6.1999999999999998E-3</v>
      </c>
      <c r="F937">
        <v>-4.65E-2</v>
      </c>
      <c r="G937" t="s">
        <v>2086</v>
      </c>
    </row>
    <row r="938" spans="2:7" x14ac:dyDescent="0.3">
      <c r="B938">
        <v>361.43</v>
      </c>
      <c r="C938" t="s">
        <v>2103</v>
      </c>
      <c r="D938" t="s">
        <v>2104</v>
      </c>
      <c r="E938">
        <v>7.9000000000000008E-3</v>
      </c>
      <c r="F938">
        <v>-1.1599999999999999E-2</v>
      </c>
      <c r="G938" t="s">
        <v>2106</v>
      </c>
    </row>
    <row r="939" spans="2:7" x14ac:dyDescent="0.3">
      <c r="B939">
        <v>358.51</v>
      </c>
      <c r="C939" t="s">
        <v>964</v>
      </c>
      <c r="D939" t="s">
        <v>2107</v>
      </c>
      <c r="E939">
        <v>1.9E-3</v>
      </c>
      <c r="F939">
        <v>-1.6E-2</v>
      </c>
      <c r="G939" t="s">
        <v>2109</v>
      </c>
    </row>
    <row r="940" spans="2:7" x14ac:dyDescent="0.3">
      <c r="B940">
        <v>345.76</v>
      </c>
      <c r="C940" t="s">
        <v>2126</v>
      </c>
      <c r="D940" t="s">
        <v>2127</v>
      </c>
      <c r="E940">
        <v>1.15E-2</v>
      </c>
      <c r="F940">
        <v>-3.1399999999999997E-2</v>
      </c>
      <c r="G940" t="s">
        <v>2129</v>
      </c>
    </row>
    <row r="941" spans="2:7" x14ac:dyDescent="0.3">
      <c r="B941">
        <v>342.29</v>
      </c>
      <c r="C941" t="s">
        <v>2110</v>
      </c>
      <c r="D941" t="s">
        <v>2140</v>
      </c>
      <c r="E941">
        <v>1.15E-2</v>
      </c>
      <c r="F941">
        <v>-4.4400000000000002E-2</v>
      </c>
      <c r="G941" t="s">
        <v>2142</v>
      </c>
    </row>
    <row r="942" spans="2:7" x14ac:dyDescent="0.3">
      <c r="B942">
        <v>338.39</v>
      </c>
      <c r="C942" t="s">
        <v>280</v>
      </c>
      <c r="D942" t="s">
        <v>2143</v>
      </c>
      <c r="E942">
        <v>1.0500000000000001E-2</v>
      </c>
      <c r="F942">
        <v>-1.04E-2</v>
      </c>
      <c r="G942" t="s">
        <v>2145</v>
      </c>
    </row>
    <row r="943" spans="2:7" x14ac:dyDescent="0.3">
      <c r="B943">
        <v>336.04</v>
      </c>
      <c r="C943" t="s">
        <v>2103</v>
      </c>
      <c r="D943" t="s">
        <v>2155</v>
      </c>
      <c r="E943">
        <v>7.9000000000000008E-3</v>
      </c>
      <c r="F943">
        <v>-2.3E-2</v>
      </c>
      <c r="G943" t="s">
        <v>2157</v>
      </c>
    </row>
    <row r="944" spans="2:7" x14ac:dyDescent="0.3">
      <c r="B944">
        <v>334.77</v>
      </c>
      <c r="C944" t="s">
        <v>1182</v>
      </c>
      <c r="D944" t="s">
        <v>2158</v>
      </c>
      <c r="E944">
        <v>3.5000000000000001E-3</v>
      </c>
      <c r="F944">
        <v>-6.3E-3</v>
      </c>
      <c r="G944" t="s">
        <v>2160</v>
      </c>
    </row>
    <row r="945" spans="2:7" x14ac:dyDescent="0.3">
      <c r="B945">
        <v>330.46</v>
      </c>
      <c r="C945" t="s">
        <v>24</v>
      </c>
      <c r="D945" t="s">
        <v>2161</v>
      </c>
      <c r="E945">
        <v>4.0000000000000001E-3</v>
      </c>
      <c r="F945">
        <v>7.1999999999999998E-3</v>
      </c>
      <c r="G945" t="s">
        <v>2163</v>
      </c>
    </row>
    <row r="946" spans="2:7" x14ac:dyDescent="0.3">
      <c r="B946">
        <v>321.52999999999997</v>
      </c>
      <c r="C946" t="s">
        <v>1864</v>
      </c>
      <c r="D946" t="s">
        <v>2193</v>
      </c>
      <c r="E946">
        <v>2.5000000000000001E-3</v>
      </c>
      <c r="F946">
        <v>-4.4400000000000002E-2</v>
      </c>
      <c r="G946" t="s">
        <v>2195</v>
      </c>
    </row>
    <row r="947" spans="2:7" x14ac:dyDescent="0.3">
      <c r="B947">
        <v>308.08</v>
      </c>
      <c r="C947" t="s">
        <v>7</v>
      </c>
      <c r="D947" t="s">
        <v>2225</v>
      </c>
      <c r="E947">
        <v>2E-3</v>
      </c>
      <c r="F947">
        <v>-5.5800000000000002E-2</v>
      </c>
      <c r="G947" t="s">
        <v>2227</v>
      </c>
    </row>
    <row r="948" spans="2:7" x14ac:dyDescent="0.3">
      <c r="B948">
        <v>299.08</v>
      </c>
      <c r="C948" t="s">
        <v>2246</v>
      </c>
      <c r="D948" t="s">
        <v>2247</v>
      </c>
      <c r="E948">
        <v>3.5000000000000001E-3</v>
      </c>
      <c r="F948">
        <v>-8.7999999999999995E-2</v>
      </c>
      <c r="G948" t="s">
        <v>2249</v>
      </c>
    </row>
    <row r="949" spans="2:7" x14ac:dyDescent="0.3">
      <c r="B949">
        <v>298.3</v>
      </c>
      <c r="C949" t="s">
        <v>24</v>
      </c>
      <c r="D949" t="s">
        <v>2250</v>
      </c>
      <c r="E949">
        <v>5.3E-3</v>
      </c>
      <c r="F949">
        <v>-1.8E-3</v>
      </c>
      <c r="G949" t="s">
        <v>2252</v>
      </c>
    </row>
    <row r="950" spans="2:7" x14ac:dyDescent="0.3">
      <c r="B950">
        <v>280.52999999999997</v>
      </c>
      <c r="C950" t="s">
        <v>280</v>
      </c>
      <c r="D950" t="s">
        <v>2281</v>
      </c>
      <c r="E950">
        <v>8.5000000000000006E-3</v>
      </c>
      <c r="F950">
        <v>-3.6799999999999999E-2</v>
      </c>
      <c r="G950" t="s">
        <v>2283</v>
      </c>
    </row>
    <row r="951" spans="2:7" x14ac:dyDescent="0.3">
      <c r="B951">
        <v>276.97000000000003</v>
      </c>
      <c r="C951" t="s">
        <v>2290</v>
      </c>
      <c r="D951" t="s">
        <v>2291</v>
      </c>
      <c r="E951">
        <v>5.0000000000000001E-4</v>
      </c>
      <c r="F951">
        <v>-4.48E-2</v>
      </c>
      <c r="G951" t="s">
        <v>2293</v>
      </c>
    </row>
    <row r="952" spans="2:7" x14ac:dyDescent="0.3">
      <c r="B952">
        <v>274.70999999999998</v>
      </c>
      <c r="C952" t="s">
        <v>248</v>
      </c>
      <c r="D952" t="s">
        <v>2294</v>
      </c>
      <c r="E952">
        <v>2E-3</v>
      </c>
      <c r="F952">
        <v>-4.3700000000000003E-2</v>
      </c>
      <c r="G952" t="s">
        <v>2296</v>
      </c>
    </row>
    <row r="953" spans="2:7" x14ac:dyDescent="0.3">
      <c r="B953">
        <v>260.33</v>
      </c>
      <c r="C953" t="s">
        <v>1799</v>
      </c>
      <c r="D953" t="s">
        <v>2321</v>
      </c>
      <c r="E953">
        <v>7.9000000000000008E-3</v>
      </c>
      <c r="F953">
        <v>-1.37E-2</v>
      </c>
      <c r="G953" t="s">
        <v>2323</v>
      </c>
    </row>
    <row r="954" spans="2:7" x14ac:dyDescent="0.3">
      <c r="B954">
        <v>259.10000000000002</v>
      </c>
      <c r="C954" t="s">
        <v>2087</v>
      </c>
      <c r="D954" t="s">
        <v>2324</v>
      </c>
      <c r="E954">
        <v>5.0000000000000001E-3</v>
      </c>
      <c r="F954">
        <v>-2.2499999999999999E-2</v>
      </c>
      <c r="G954" t="s">
        <v>2326</v>
      </c>
    </row>
    <row r="955" spans="2:7" x14ac:dyDescent="0.3">
      <c r="B955">
        <v>258.52999999999997</v>
      </c>
      <c r="C955" t="s">
        <v>460</v>
      </c>
      <c r="D955" t="s">
        <v>2327</v>
      </c>
      <c r="E955">
        <v>2.8999999999999998E-3</v>
      </c>
      <c r="F955">
        <v>-2.41E-2</v>
      </c>
      <c r="G955" t="s">
        <v>2329</v>
      </c>
    </row>
    <row r="956" spans="2:7" x14ac:dyDescent="0.3">
      <c r="B956">
        <v>257.12</v>
      </c>
      <c r="C956" t="s">
        <v>7</v>
      </c>
      <c r="D956" t="s">
        <v>2333</v>
      </c>
      <c r="E956">
        <v>2E-3</v>
      </c>
      <c r="F956">
        <v>-0.14680000000000001</v>
      </c>
      <c r="G956" t="s">
        <v>2335</v>
      </c>
    </row>
    <row r="957" spans="2:7" x14ac:dyDescent="0.3">
      <c r="B957">
        <v>255.07</v>
      </c>
      <c r="C957" t="s">
        <v>979</v>
      </c>
      <c r="D957" t="s">
        <v>2336</v>
      </c>
      <c r="E957">
        <v>8.6999999999999994E-3</v>
      </c>
      <c r="F957">
        <v>8.0000000000000004E-4</v>
      </c>
      <c r="G957" t="s">
        <v>2338</v>
      </c>
    </row>
    <row r="958" spans="2:7" x14ac:dyDescent="0.3">
      <c r="B958">
        <v>253.08</v>
      </c>
      <c r="C958" t="s">
        <v>280</v>
      </c>
      <c r="D958" t="s">
        <v>2346</v>
      </c>
      <c r="E958">
        <v>8.5000000000000006E-3</v>
      </c>
      <c r="F958">
        <v>-1.4E-3</v>
      </c>
      <c r="G958" t="s">
        <v>2348</v>
      </c>
    </row>
    <row r="959" spans="2:7" x14ac:dyDescent="0.3">
      <c r="B959">
        <v>250.46</v>
      </c>
      <c r="C959" t="s">
        <v>1182</v>
      </c>
      <c r="D959" t="s">
        <v>2357</v>
      </c>
      <c r="E959">
        <v>3.5000000000000001E-3</v>
      </c>
      <c r="F959">
        <v>3.3099999999999997E-2</v>
      </c>
      <c r="G959" t="s">
        <v>2359</v>
      </c>
    </row>
    <row r="960" spans="2:7" x14ac:dyDescent="0.3">
      <c r="B960">
        <v>245.52</v>
      </c>
      <c r="C960" t="s">
        <v>2370</v>
      </c>
      <c r="D960" t="s">
        <v>2371</v>
      </c>
      <c r="E960">
        <v>8.0000000000000002E-3</v>
      </c>
      <c r="F960">
        <v>-4.4499999999999998E-2</v>
      </c>
      <c r="G960" t="s">
        <v>2373</v>
      </c>
    </row>
    <row r="961" spans="2:7" x14ac:dyDescent="0.3">
      <c r="B961">
        <v>239.37</v>
      </c>
      <c r="C961" t="s">
        <v>280</v>
      </c>
      <c r="D961" t="s">
        <v>2393</v>
      </c>
      <c r="E961">
        <v>8.5000000000000006E-3</v>
      </c>
      <c r="F961">
        <v>-7.9000000000000008E-3</v>
      </c>
      <c r="G961" t="s">
        <v>2395</v>
      </c>
    </row>
    <row r="962" spans="2:7" x14ac:dyDescent="0.3">
      <c r="B962">
        <v>238.77</v>
      </c>
      <c r="C962" t="s">
        <v>332</v>
      </c>
      <c r="D962" t="s">
        <v>2396</v>
      </c>
      <c r="E962">
        <v>1.1999999999999999E-3</v>
      </c>
      <c r="F962">
        <v>-9.4600000000000004E-2</v>
      </c>
      <c r="G962" t="s">
        <v>2398</v>
      </c>
    </row>
    <row r="963" spans="2:7" x14ac:dyDescent="0.3">
      <c r="B963">
        <v>214.44</v>
      </c>
      <c r="C963" t="s">
        <v>1799</v>
      </c>
      <c r="D963" t="s">
        <v>2487</v>
      </c>
      <c r="E963">
        <v>7.9000000000000008E-3</v>
      </c>
      <c r="F963">
        <v>-9.4000000000000004E-3</v>
      </c>
      <c r="G963" t="s">
        <v>2489</v>
      </c>
    </row>
    <row r="964" spans="2:7" x14ac:dyDescent="0.3">
      <c r="B964">
        <v>212.38</v>
      </c>
      <c r="C964" t="s">
        <v>1799</v>
      </c>
      <c r="D964" t="s">
        <v>2499</v>
      </c>
      <c r="E964">
        <v>7.9000000000000008E-3</v>
      </c>
      <c r="F964">
        <v>-6.7000000000000002E-3</v>
      </c>
      <c r="G964" t="s">
        <v>2501</v>
      </c>
    </row>
    <row r="965" spans="2:7" x14ac:dyDescent="0.3">
      <c r="B965">
        <v>210.52</v>
      </c>
      <c r="C965" t="s">
        <v>517</v>
      </c>
      <c r="D965" t="s">
        <v>2508</v>
      </c>
      <c r="E965">
        <v>2.8E-3</v>
      </c>
      <c r="F965">
        <v>-5.8999999999999999E-3</v>
      </c>
      <c r="G965" t="s">
        <v>2510</v>
      </c>
    </row>
    <row r="966" spans="2:7" x14ac:dyDescent="0.3">
      <c r="B966">
        <v>206.89</v>
      </c>
      <c r="C966" t="s">
        <v>941</v>
      </c>
      <c r="D966" t="s">
        <v>2539</v>
      </c>
      <c r="E966">
        <v>6.0000000000000001E-3</v>
      </c>
      <c r="F966">
        <v>-4.2200000000000001E-2</v>
      </c>
      <c r="G966" t="s">
        <v>2541</v>
      </c>
    </row>
    <row r="967" spans="2:7" x14ac:dyDescent="0.3">
      <c r="B967">
        <v>201.99</v>
      </c>
      <c r="C967" t="s">
        <v>1799</v>
      </c>
      <c r="D967" t="s">
        <v>2554</v>
      </c>
      <c r="E967">
        <v>7.9000000000000008E-3</v>
      </c>
      <c r="F967">
        <v>-2.06E-2</v>
      </c>
      <c r="G967" t="s">
        <v>2556</v>
      </c>
    </row>
    <row r="968" spans="2:7" x14ac:dyDescent="0.3">
      <c r="B968">
        <v>198.51</v>
      </c>
      <c r="C968" t="s">
        <v>280</v>
      </c>
      <c r="D968" t="s">
        <v>2574</v>
      </c>
      <c r="E968">
        <v>8.5000000000000006E-3</v>
      </c>
      <c r="F968">
        <v>-1.67E-2</v>
      </c>
      <c r="G968" t="s">
        <v>2576</v>
      </c>
    </row>
    <row r="969" spans="2:7" x14ac:dyDescent="0.3">
      <c r="B969">
        <v>196.76</v>
      </c>
      <c r="C969" t="s">
        <v>1799</v>
      </c>
      <c r="D969" t="s">
        <v>2577</v>
      </c>
      <c r="E969">
        <v>7.9000000000000008E-3</v>
      </c>
      <c r="F969">
        <v>-2.8E-3</v>
      </c>
      <c r="G969" t="s">
        <v>2579</v>
      </c>
    </row>
    <row r="970" spans="2:7" x14ac:dyDescent="0.3">
      <c r="B970">
        <v>193.48</v>
      </c>
      <c r="C970" t="s">
        <v>24</v>
      </c>
      <c r="D970" t="s">
        <v>2589</v>
      </c>
      <c r="E970">
        <v>1.9E-3</v>
      </c>
      <c r="F970">
        <v>3.7000000000000002E-3</v>
      </c>
      <c r="G970" t="s">
        <v>2591</v>
      </c>
    </row>
    <row r="971" spans="2:7" x14ac:dyDescent="0.3">
      <c r="B971">
        <v>192.77</v>
      </c>
      <c r="C971" t="s">
        <v>1799</v>
      </c>
      <c r="D971" t="s">
        <v>2592</v>
      </c>
      <c r="E971">
        <v>7.9000000000000008E-3</v>
      </c>
      <c r="F971">
        <v>-4.1500000000000002E-2</v>
      </c>
      <c r="G971" t="s">
        <v>2594</v>
      </c>
    </row>
    <row r="972" spans="2:7" x14ac:dyDescent="0.3">
      <c r="B972">
        <v>192.26</v>
      </c>
      <c r="C972" t="s">
        <v>1799</v>
      </c>
      <c r="D972" t="s">
        <v>2602</v>
      </c>
      <c r="E972">
        <v>7.9000000000000008E-3</v>
      </c>
      <c r="F972">
        <v>-7.4000000000000003E-3</v>
      </c>
      <c r="G972" t="s">
        <v>2604</v>
      </c>
    </row>
    <row r="973" spans="2:7" x14ac:dyDescent="0.3">
      <c r="B973">
        <v>185.68</v>
      </c>
      <c r="C973" t="s">
        <v>1799</v>
      </c>
      <c r="D973" t="s">
        <v>2633</v>
      </c>
      <c r="E973">
        <v>7.9000000000000008E-3</v>
      </c>
      <c r="F973">
        <v>-1.2E-2</v>
      </c>
      <c r="G973" t="s">
        <v>2635</v>
      </c>
    </row>
    <row r="974" spans="2:7" x14ac:dyDescent="0.3">
      <c r="B974">
        <v>176.68</v>
      </c>
      <c r="C974" t="s">
        <v>24</v>
      </c>
      <c r="D974" t="s">
        <v>2680</v>
      </c>
      <c r="E974">
        <v>6.9999999999999999E-4</v>
      </c>
      <c r="F974">
        <v>2.3099999999999999E-2</v>
      </c>
      <c r="G974" t="s">
        <v>2682</v>
      </c>
    </row>
    <row r="975" spans="2:7" x14ac:dyDescent="0.3">
      <c r="B975">
        <v>172.9</v>
      </c>
      <c r="C975" t="s">
        <v>1799</v>
      </c>
      <c r="D975" t="s">
        <v>2702</v>
      </c>
      <c r="E975">
        <v>7.9000000000000008E-3</v>
      </c>
      <c r="F975">
        <v>-1.0200000000000001E-2</v>
      </c>
      <c r="G975" t="s">
        <v>2704</v>
      </c>
    </row>
    <row r="976" spans="2:7" x14ac:dyDescent="0.3">
      <c r="B976">
        <v>170.27</v>
      </c>
      <c r="C976" t="s">
        <v>280</v>
      </c>
      <c r="D976" t="s">
        <v>2714</v>
      </c>
      <c r="E976">
        <v>8.5000000000000006E-3</v>
      </c>
      <c r="F976">
        <v>-2.18E-2</v>
      </c>
      <c r="G976" t="s">
        <v>2716</v>
      </c>
    </row>
    <row r="977" spans="2:7" x14ac:dyDescent="0.3">
      <c r="B977">
        <v>167.79</v>
      </c>
      <c r="C977" t="s">
        <v>24</v>
      </c>
      <c r="D977" t="s">
        <v>2729</v>
      </c>
      <c r="E977">
        <v>4.8999999999999998E-3</v>
      </c>
      <c r="F977">
        <v>-2.4299999999999999E-2</v>
      </c>
      <c r="G977" t="s">
        <v>2731</v>
      </c>
    </row>
    <row r="978" spans="2:7" x14ac:dyDescent="0.3">
      <c r="B978">
        <v>165.16</v>
      </c>
      <c r="C978" t="s">
        <v>618</v>
      </c>
      <c r="D978" t="s">
        <v>2739</v>
      </c>
      <c r="E978">
        <v>1.6999999999999999E-3</v>
      </c>
      <c r="F978">
        <v>-3.9E-2</v>
      </c>
      <c r="G978" t="s">
        <v>2741</v>
      </c>
    </row>
    <row r="979" spans="2:7" x14ac:dyDescent="0.3">
      <c r="B979">
        <v>163.16</v>
      </c>
      <c r="C979" t="s">
        <v>979</v>
      </c>
      <c r="D979" t="s">
        <v>2748</v>
      </c>
      <c r="E979">
        <v>8.6E-3</v>
      </c>
      <c r="F979">
        <v>2.3999999999999998E-3</v>
      </c>
      <c r="G979" t="s">
        <v>2750</v>
      </c>
    </row>
    <row r="980" spans="2:7" x14ac:dyDescent="0.3">
      <c r="B980">
        <v>161.84</v>
      </c>
      <c r="C980" t="s">
        <v>2761</v>
      </c>
      <c r="D980" t="s">
        <v>2762</v>
      </c>
      <c r="E980">
        <v>8.6999999999999994E-3</v>
      </c>
      <c r="F980">
        <v>-1.55E-2</v>
      </c>
      <c r="G980" t="s">
        <v>2764</v>
      </c>
    </row>
    <row r="981" spans="2:7" x14ac:dyDescent="0.3">
      <c r="B981">
        <v>157.38999999999999</v>
      </c>
      <c r="C981" t="s">
        <v>280</v>
      </c>
      <c r="D981" t="s">
        <v>2783</v>
      </c>
      <c r="E981">
        <v>8.5000000000000006E-3</v>
      </c>
      <c r="F981">
        <v>-1.95E-2</v>
      </c>
      <c r="G981" t="s">
        <v>2785</v>
      </c>
    </row>
    <row r="982" spans="2:7" x14ac:dyDescent="0.3">
      <c r="B982">
        <v>155.36000000000001</v>
      </c>
      <c r="C982" t="s">
        <v>2792</v>
      </c>
      <c r="D982" t="s">
        <v>2793</v>
      </c>
      <c r="E982">
        <v>5.1999999999999998E-3</v>
      </c>
      <c r="F982">
        <v>-3.7900000000000003E-2</v>
      </c>
      <c r="G982" t="s">
        <v>2795</v>
      </c>
    </row>
    <row r="983" spans="2:7" x14ac:dyDescent="0.3">
      <c r="B983">
        <v>153.61000000000001</v>
      </c>
      <c r="C983" t="s">
        <v>863</v>
      </c>
      <c r="D983" t="s">
        <v>2805</v>
      </c>
      <c r="E983">
        <v>3.8999999999999998E-3</v>
      </c>
      <c r="F983">
        <v>-4.0800000000000003E-2</v>
      </c>
      <c r="G983" t="s">
        <v>2807</v>
      </c>
    </row>
    <row r="984" spans="2:7" x14ac:dyDescent="0.3">
      <c r="B984">
        <v>148.38</v>
      </c>
      <c r="C984" t="s">
        <v>1799</v>
      </c>
      <c r="D984" t="s">
        <v>2829</v>
      </c>
      <c r="E984">
        <v>7.9000000000000008E-3</v>
      </c>
      <c r="F984">
        <v>-2.1999999999999999E-2</v>
      </c>
      <c r="G984" t="s">
        <v>2831</v>
      </c>
    </row>
    <row r="985" spans="2:7" x14ac:dyDescent="0.3">
      <c r="B985">
        <v>146.91</v>
      </c>
      <c r="C985" t="s">
        <v>280</v>
      </c>
      <c r="D985" t="s">
        <v>2845</v>
      </c>
      <c r="E985">
        <v>8.5000000000000006E-3</v>
      </c>
      <c r="F985">
        <v>1.52E-2</v>
      </c>
      <c r="G985" t="s">
        <v>2847</v>
      </c>
    </row>
    <row r="986" spans="2:7" x14ac:dyDescent="0.3">
      <c r="B986">
        <v>145.38</v>
      </c>
      <c r="C986" t="s">
        <v>280</v>
      </c>
      <c r="D986" t="s">
        <v>2848</v>
      </c>
      <c r="E986">
        <v>5.0000000000000001E-3</v>
      </c>
      <c r="F986">
        <v>-1.5699999999999999E-2</v>
      </c>
      <c r="G986" t="s">
        <v>2850</v>
      </c>
    </row>
    <row r="987" spans="2:7" x14ac:dyDescent="0.3">
      <c r="B987">
        <v>143.05000000000001</v>
      </c>
      <c r="C987" t="s">
        <v>280</v>
      </c>
      <c r="D987" t="s">
        <v>2857</v>
      </c>
      <c r="E987">
        <v>8.5000000000000006E-3</v>
      </c>
      <c r="F987">
        <v>-1.17E-2</v>
      </c>
      <c r="G987" t="s">
        <v>2859</v>
      </c>
    </row>
    <row r="988" spans="2:7" x14ac:dyDescent="0.3">
      <c r="B988">
        <v>142.57</v>
      </c>
      <c r="C988" t="s">
        <v>1799</v>
      </c>
      <c r="D988" t="s">
        <v>2872</v>
      </c>
      <c r="E988">
        <v>7.9000000000000008E-3</v>
      </c>
      <c r="F988">
        <v>-6.1999999999999998E-3</v>
      </c>
      <c r="G988" t="s">
        <v>2874</v>
      </c>
    </row>
    <row r="989" spans="2:7" x14ac:dyDescent="0.3">
      <c r="B989">
        <v>142.52000000000001</v>
      </c>
      <c r="C989" t="s">
        <v>280</v>
      </c>
      <c r="D989" t="s">
        <v>2875</v>
      </c>
      <c r="E989">
        <v>8.5000000000000006E-3</v>
      </c>
      <c r="F989">
        <v>-1.66E-2</v>
      </c>
      <c r="G989" t="s">
        <v>2877</v>
      </c>
    </row>
    <row r="990" spans="2:7" x14ac:dyDescent="0.3">
      <c r="B990">
        <v>140.81</v>
      </c>
      <c r="C990" t="s">
        <v>280</v>
      </c>
      <c r="D990" t="s">
        <v>2887</v>
      </c>
      <c r="E990">
        <v>8.5000000000000006E-3</v>
      </c>
      <c r="F990">
        <v>-1.29E-2</v>
      </c>
      <c r="G990" t="s">
        <v>2889</v>
      </c>
    </row>
    <row r="991" spans="2:7" x14ac:dyDescent="0.3">
      <c r="B991">
        <v>140.08000000000001</v>
      </c>
      <c r="C991" t="s">
        <v>280</v>
      </c>
      <c r="D991" t="s">
        <v>2897</v>
      </c>
      <c r="E991">
        <v>8.5000000000000006E-3</v>
      </c>
      <c r="F991">
        <v>-2.4199999999999999E-2</v>
      </c>
      <c r="G991" t="s">
        <v>2899</v>
      </c>
    </row>
    <row r="992" spans="2:7" x14ac:dyDescent="0.3">
      <c r="B992">
        <v>138.76</v>
      </c>
      <c r="C992" t="s">
        <v>444</v>
      </c>
      <c r="D992" t="s">
        <v>2909</v>
      </c>
      <c r="E992">
        <v>3.2000000000000002E-3</v>
      </c>
      <c r="F992">
        <v>-2.07E-2</v>
      </c>
      <c r="G992" t="s">
        <v>2911</v>
      </c>
    </row>
    <row r="993" spans="2:7" x14ac:dyDescent="0.3">
      <c r="B993">
        <v>136.12</v>
      </c>
      <c r="C993" t="s">
        <v>280</v>
      </c>
      <c r="D993" t="s">
        <v>2935</v>
      </c>
      <c r="E993">
        <v>8.5000000000000006E-3</v>
      </c>
      <c r="F993">
        <v>-1.9199999999999998E-2</v>
      </c>
      <c r="G993" t="s">
        <v>2937</v>
      </c>
    </row>
    <row r="994" spans="2:7" x14ac:dyDescent="0.3">
      <c r="B994">
        <v>135.63</v>
      </c>
      <c r="C994" t="s">
        <v>1025</v>
      </c>
      <c r="D994" t="s">
        <v>2938</v>
      </c>
      <c r="E994">
        <v>1.5E-3</v>
      </c>
      <c r="F994">
        <v>-4.2900000000000001E-2</v>
      </c>
      <c r="G994" t="s">
        <v>2940</v>
      </c>
    </row>
    <row r="995" spans="2:7" x14ac:dyDescent="0.3">
      <c r="B995">
        <v>129.77000000000001</v>
      </c>
      <c r="C995" t="s">
        <v>1182</v>
      </c>
      <c r="D995" t="s">
        <v>2982</v>
      </c>
      <c r="E995">
        <v>1.8E-3</v>
      </c>
      <c r="F995">
        <v>-0.17380000000000001</v>
      </c>
      <c r="G995" t="s">
        <v>2984</v>
      </c>
    </row>
    <row r="996" spans="2:7" x14ac:dyDescent="0.3">
      <c r="B996">
        <v>129.34</v>
      </c>
      <c r="C996" t="s">
        <v>2087</v>
      </c>
      <c r="D996" t="s">
        <v>2988</v>
      </c>
      <c r="E996">
        <v>4.8999999999999998E-3</v>
      </c>
      <c r="F996">
        <v>-1.5800000000000002E-2</v>
      </c>
      <c r="G996" t="s">
        <v>2990</v>
      </c>
    </row>
    <row r="997" spans="2:7" x14ac:dyDescent="0.3">
      <c r="B997">
        <v>128.88999999999999</v>
      </c>
      <c r="C997" t="s">
        <v>280</v>
      </c>
      <c r="D997" t="s">
        <v>3005</v>
      </c>
      <c r="E997">
        <v>7.0000000000000001E-3</v>
      </c>
      <c r="F997">
        <v>1.6899999999999998E-2</v>
      </c>
      <c r="G997" t="s">
        <v>3007</v>
      </c>
    </row>
    <row r="998" spans="2:7" x14ac:dyDescent="0.3">
      <c r="B998">
        <v>128.69999999999999</v>
      </c>
      <c r="C998" t="s">
        <v>3008</v>
      </c>
      <c r="D998" t="s">
        <v>3009</v>
      </c>
      <c r="E998">
        <v>6.0000000000000001E-3</v>
      </c>
      <c r="F998">
        <v>-7.0499999999999993E-2</v>
      </c>
      <c r="G998" t="s">
        <v>3011</v>
      </c>
    </row>
    <row r="999" spans="2:7" x14ac:dyDescent="0.3">
      <c r="B999">
        <v>126.93</v>
      </c>
      <c r="C999" t="s">
        <v>2931</v>
      </c>
      <c r="D999" t="s">
        <v>3024</v>
      </c>
      <c r="E999">
        <v>7.4999999999999997E-3</v>
      </c>
      <c r="F999">
        <v>-4.5699999999999998E-2</v>
      </c>
      <c r="G999" t="s">
        <v>3026</v>
      </c>
    </row>
    <row r="1000" spans="2:7" x14ac:dyDescent="0.3">
      <c r="B1000">
        <v>126.19</v>
      </c>
      <c r="C1000" t="s">
        <v>1799</v>
      </c>
      <c r="D1000" t="s">
        <v>3027</v>
      </c>
      <c r="E1000">
        <v>7.9000000000000008E-3</v>
      </c>
      <c r="F1000">
        <v>7.1999999999999998E-3</v>
      </c>
      <c r="G1000" t="s">
        <v>3029</v>
      </c>
    </row>
    <row r="1001" spans="2:7" x14ac:dyDescent="0.3">
      <c r="B1001">
        <v>125.51</v>
      </c>
      <c r="C1001" t="s">
        <v>280</v>
      </c>
      <c r="D1001" t="s">
        <v>3033</v>
      </c>
      <c r="E1001">
        <v>6.0000000000000001E-3</v>
      </c>
      <c r="F1001">
        <v>-8.2699999999999996E-2</v>
      </c>
      <c r="G1001" t="s">
        <v>3035</v>
      </c>
    </row>
    <row r="1002" spans="2:7" x14ac:dyDescent="0.3">
      <c r="B1002">
        <v>122.64</v>
      </c>
      <c r="C1002" t="s">
        <v>1799</v>
      </c>
      <c r="D1002" t="s">
        <v>3075</v>
      </c>
      <c r="E1002">
        <v>7.9000000000000008E-3</v>
      </c>
      <c r="F1002">
        <v>-4.8500000000000001E-2</v>
      </c>
      <c r="G1002" t="s">
        <v>3077</v>
      </c>
    </row>
    <row r="1003" spans="2:7" x14ac:dyDescent="0.3">
      <c r="B1003">
        <v>120.83</v>
      </c>
      <c r="C1003" t="s">
        <v>1348</v>
      </c>
      <c r="D1003" t="s">
        <v>3084</v>
      </c>
      <c r="E1003">
        <v>3.0000000000000001E-3</v>
      </c>
      <c r="F1003">
        <v>-2.87E-2</v>
      </c>
      <c r="G1003" t="s">
        <v>3086</v>
      </c>
    </row>
    <row r="1004" spans="2:7" x14ac:dyDescent="0.3">
      <c r="B1004">
        <v>118.32</v>
      </c>
      <c r="C1004" t="s">
        <v>280</v>
      </c>
      <c r="D1004" t="s">
        <v>3103</v>
      </c>
      <c r="E1004">
        <v>8.5000000000000006E-3</v>
      </c>
      <c r="F1004">
        <v>-1.11E-2</v>
      </c>
      <c r="G1004" t="s">
        <v>3105</v>
      </c>
    </row>
    <row r="1005" spans="2:7" x14ac:dyDescent="0.3">
      <c r="B1005">
        <v>118.31</v>
      </c>
      <c r="C1005" t="s">
        <v>3106</v>
      </c>
      <c r="D1005" t="s">
        <v>3107</v>
      </c>
      <c r="E1005">
        <v>4.8999999999999998E-3</v>
      </c>
      <c r="F1005">
        <v>-7.7100000000000002E-2</v>
      </c>
      <c r="G1005" t="s">
        <v>3109</v>
      </c>
    </row>
    <row r="1006" spans="2:7" x14ac:dyDescent="0.3">
      <c r="B1006">
        <v>117.93</v>
      </c>
      <c r="C1006" t="s">
        <v>24</v>
      </c>
      <c r="D1006" t="s">
        <v>3110</v>
      </c>
      <c r="E1006">
        <v>2.5000000000000001E-3</v>
      </c>
      <c r="F1006">
        <v>-1.0800000000000001E-2</v>
      </c>
      <c r="G1006" t="s">
        <v>3112</v>
      </c>
    </row>
    <row r="1007" spans="2:7" x14ac:dyDescent="0.3">
      <c r="B1007">
        <v>116.14</v>
      </c>
      <c r="C1007" t="s">
        <v>460</v>
      </c>
      <c r="D1007" t="s">
        <v>3129</v>
      </c>
      <c r="E1007">
        <v>2.8999999999999998E-3</v>
      </c>
      <c r="F1007">
        <v>-6.4199999999999993E-2</v>
      </c>
      <c r="G1007" t="s">
        <v>3131</v>
      </c>
    </row>
    <row r="1008" spans="2:7" x14ac:dyDescent="0.3">
      <c r="B1008">
        <v>114.19</v>
      </c>
      <c r="C1008" t="s">
        <v>1799</v>
      </c>
      <c r="D1008" t="s">
        <v>3145</v>
      </c>
      <c r="E1008">
        <v>7.9000000000000008E-3</v>
      </c>
      <c r="F1008">
        <v>-9.7000000000000003E-3</v>
      </c>
      <c r="G1008" t="s">
        <v>3147</v>
      </c>
    </row>
    <row r="1009" spans="2:7" x14ac:dyDescent="0.3">
      <c r="B1009">
        <v>113.02</v>
      </c>
      <c r="C1009" t="s">
        <v>3151</v>
      </c>
      <c r="D1009" t="s">
        <v>3152</v>
      </c>
      <c r="E1009">
        <v>1.46E-2</v>
      </c>
      <c r="F1009">
        <v>-0.1066</v>
      </c>
      <c r="G1009" t="s">
        <v>3154</v>
      </c>
    </row>
    <row r="1010" spans="2:7" x14ac:dyDescent="0.3">
      <c r="B1010">
        <v>112.09</v>
      </c>
      <c r="C1010" t="s">
        <v>280</v>
      </c>
      <c r="D1010" t="s">
        <v>3164</v>
      </c>
      <c r="E1010">
        <v>8.5000000000000006E-3</v>
      </c>
      <c r="F1010">
        <v>-1.1299999999999999E-2</v>
      </c>
      <c r="G1010" t="s">
        <v>3166</v>
      </c>
    </row>
    <row r="1011" spans="2:7" x14ac:dyDescent="0.3">
      <c r="B1011">
        <v>110.92</v>
      </c>
      <c r="C1011" t="s">
        <v>1799</v>
      </c>
      <c r="D1011" t="s">
        <v>3170</v>
      </c>
      <c r="E1011">
        <v>7.9000000000000008E-3</v>
      </c>
      <c r="F1011">
        <v>-1.8100000000000002E-2</v>
      </c>
      <c r="G1011" t="s">
        <v>3172</v>
      </c>
    </row>
    <row r="1012" spans="2:7" x14ac:dyDescent="0.3">
      <c r="B1012">
        <v>110.5</v>
      </c>
      <c r="C1012" t="s">
        <v>3173</v>
      </c>
      <c r="D1012" t="s">
        <v>3174</v>
      </c>
      <c r="E1012">
        <v>5.0000000000000001E-3</v>
      </c>
      <c r="F1012">
        <v>-8.6999999999999994E-3</v>
      </c>
      <c r="G1012" t="s">
        <v>3176</v>
      </c>
    </row>
    <row r="1013" spans="2:7" x14ac:dyDescent="0.3">
      <c r="B1013">
        <v>107.67</v>
      </c>
      <c r="C1013" t="s">
        <v>1842</v>
      </c>
      <c r="D1013" t="s">
        <v>3195</v>
      </c>
      <c r="E1013">
        <v>2.8999999999999998E-3</v>
      </c>
      <c r="F1013">
        <v>-3.7600000000000001E-2</v>
      </c>
      <c r="G1013" t="s">
        <v>3197</v>
      </c>
    </row>
    <row r="1014" spans="2:7" x14ac:dyDescent="0.3">
      <c r="B1014">
        <v>106.64</v>
      </c>
      <c r="C1014" t="s">
        <v>280</v>
      </c>
      <c r="D1014" t="s">
        <v>3202</v>
      </c>
      <c r="E1014">
        <v>8.5000000000000006E-3</v>
      </c>
      <c r="F1014">
        <v>-8.0000000000000002E-3</v>
      </c>
      <c r="G1014" t="s">
        <v>3204</v>
      </c>
    </row>
    <row r="1015" spans="2:7" x14ac:dyDescent="0.3">
      <c r="B1015">
        <v>106.06</v>
      </c>
      <c r="C1015" t="s">
        <v>1799</v>
      </c>
      <c r="D1015" t="s">
        <v>3205</v>
      </c>
      <c r="E1015">
        <v>7.9000000000000008E-3</v>
      </c>
      <c r="F1015">
        <v>-1E-3</v>
      </c>
      <c r="G1015" t="s">
        <v>3207</v>
      </c>
    </row>
    <row r="1016" spans="2:7" x14ac:dyDescent="0.3">
      <c r="B1016">
        <v>102.74</v>
      </c>
      <c r="C1016" t="s">
        <v>3230</v>
      </c>
      <c r="D1016" t="s">
        <v>3231</v>
      </c>
      <c r="E1016">
        <v>3.0000000000000001E-3</v>
      </c>
      <c r="F1016">
        <v>-1.5800000000000002E-2</v>
      </c>
      <c r="G1016" t="s">
        <v>3233</v>
      </c>
    </row>
    <row r="1017" spans="2:7" x14ac:dyDescent="0.3">
      <c r="B1017">
        <v>102.44</v>
      </c>
      <c r="C1017" t="s">
        <v>1799</v>
      </c>
      <c r="D1017" t="s">
        <v>3238</v>
      </c>
      <c r="E1017">
        <v>7.9000000000000008E-3</v>
      </c>
      <c r="F1017">
        <v>-2.53E-2</v>
      </c>
      <c r="G1017" t="s">
        <v>3240</v>
      </c>
    </row>
    <row r="1018" spans="2:7" x14ac:dyDescent="0.3">
      <c r="B1018">
        <v>100.69</v>
      </c>
      <c r="C1018" t="s">
        <v>1025</v>
      </c>
      <c r="D1018" t="s">
        <v>3250</v>
      </c>
      <c r="E1018">
        <v>1.5E-3</v>
      </c>
      <c r="F1018">
        <v>-3.5200000000000002E-2</v>
      </c>
      <c r="G1018" t="s">
        <v>3252</v>
      </c>
    </row>
    <row r="1019" spans="2:7" x14ac:dyDescent="0.3">
      <c r="B1019">
        <v>98.72</v>
      </c>
      <c r="C1019" t="s">
        <v>280</v>
      </c>
      <c r="D1019" t="s">
        <v>3265</v>
      </c>
      <c r="E1019">
        <v>8.5000000000000006E-3</v>
      </c>
      <c r="F1019">
        <v>-1.4999999999999999E-2</v>
      </c>
      <c r="G1019" t="s">
        <v>3267</v>
      </c>
    </row>
    <row r="1020" spans="2:7" x14ac:dyDescent="0.3">
      <c r="B1020">
        <v>94.54</v>
      </c>
      <c r="C1020" t="s">
        <v>3223</v>
      </c>
      <c r="D1020" t="s">
        <v>3302</v>
      </c>
      <c r="E1020">
        <v>7.4000000000000003E-3</v>
      </c>
      <c r="F1020">
        <v>-2.5399999999999999E-2</v>
      </c>
      <c r="G1020" t="s">
        <v>3304</v>
      </c>
    </row>
    <row r="1021" spans="2:7" x14ac:dyDescent="0.3">
      <c r="B1021">
        <v>94.49</v>
      </c>
      <c r="C1021" t="s">
        <v>1799</v>
      </c>
      <c r="D1021" t="s">
        <v>3305</v>
      </c>
      <c r="E1021">
        <v>7.9000000000000008E-3</v>
      </c>
      <c r="F1021">
        <v>-1.43E-2</v>
      </c>
      <c r="G1021" t="s">
        <v>3307</v>
      </c>
    </row>
    <row r="1022" spans="2:7" x14ac:dyDescent="0.3">
      <c r="B1022">
        <v>94.38</v>
      </c>
      <c r="C1022" t="s">
        <v>280</v>
      </c>
      <c r="D1022" t="s">
        <v>3308</v>
      </c>
      <c r="E1022">
        <v>8.5000000000000006E-3</v>
      </c>
      <c r="F1022">
        <v>-4.3E-3</v>
      </c>
      <c r="G1022" t="s">
        <v>3310</v>
      </c>
    </row>
    <row r="1023" spans="2:7" x14ac:dyDescent="0.3">
      <c r="B1023">
        <v>93.94</v>
      </c>
      <c r="C1023" t="s">
        <v>1289</v>
      </c>
      <c r="D1023" t="s">
        <v>3319</v>
      </c>
      <c r="E1023">
        <v>1.0999999999999999E-2</v>
      </c>
      <c r="F1023">
        <v>-4.6699999999999998E-2</v>
      </c>
      <c r="G1023" t="s">
        <v>3321</v>
      </c>
    </row>
    <row r="1024" spans="2:7" x14ac:dyDescent="0.3">
      <c r="B1024">
        <v>93.38</v>
      </c>
      <c r="C1024" t="s">
        <v>280</v>
      </c>
      <c r="D1024" t="s">
        <v>3325</v>
      </c>
      <c r="E1024">
        <v>1.0500000000000001E-2</v>
      </c>
      <c r="F1024" t="s">
        <v>662</v>
      </c>
      <c r="G1024" t="s">
        <v>3327</v>
      </c>
    </row>
    <row r="1025" spans="2:7" x14ac:dyDescent="0.3">
      <c r="B1025">
        <v>92.43</v>
      </c>
      <c r="C1025" t="s">
        <v>2087</v>
      </c>
      <c r="D1025" t="s">
        <v>3348</v>
      </c>
      <c r="E1025">
        <v>8.3000000000000001E-3</v>
      </c>
      <c r="F1025">
        <v>-3.4599999999999999E-2</v>
      </c>
      <c r="G1025" t="s">
        <v>3350</v>
      </c>
    </row>
    <row r="1026" spans="2:7" x14ac:dyDescent="0.3">
      <c r="B1026">
        <v>91.65</v>
      </c>
      <c r="C1026" t="s">
        <v>280</v>
      </c>
      <c r="D1026" t="s">
        <v>3360</v>
      </c>
      <c r="E1026">
        <v>8.5000000000000006E-3</v>
      </c>
      <c r="F1026">
        <v>-1.2999999999999999E-2</v>
      </c>
      <c r="G1026" t="s">
        <v>3362</v>
      </c>
    </row>
    <row r="1027" spans="2:7" x14ac:dyDescent="0.3">
      <c r="B1027">
        <v>88.87</v>
      </c>
      <c r="C1027" t="s">
        <v>24</v>
      </c>
      <c r="D1027" t="s">
        <v>3383</v>
      </c>
      <c r="E1027">
        <v>1.2999999999999999E-3</v>
      </c>
      <c r="F1027">
        <v>-7.0699999999999999E-2</v>
      </c>
      <c r="G1027" t="s">
        <v>3385</v>
      </c>
    </row>
    <row r="1028" spans="2:7" x14ac:dyDescent="0.3">
      <c r="B1028">
        <v>88.71</v>
      </c>
      <c r="C1028" t="s">
        <v>280</v>
      </c>
      <c r="D1028" t="s">
        <v>3389</v>
      </c>
      <c r="E1028">
        <v>8.9999999999999993E-3</v>
      </c>
      <c r="F1028">
        <v>-3.8800000000000001E-2</v>
      </c>
      <c r="G1028" t="s">
        <v>3390</v>
      </c>
    </row>
    <row r="1029" spans="2:7" x14ac:dyDescent="0.3">
      <c r="B1029">
        <v>87.72</v>
      </c>
      <c r="C1029" t="s">
        <v>941</v>
      </c>
      <c r="D1029" t="s">
        <v>3398</v>
      </c>
      <c r="E1029">
        <v>6.0000000000000001E-3</v>
      </c>
      <c r="F1029">
        <v>-3.9199999999999999E-2</v>
      </c>
      <c r="G1029" t="s">
        <v>3400</v>
      </c>
    </row>
    <row r="1030" spans="2:7" x14ac:dyDescent="0.3">
      <c r="B1030">
        <v>86.02</v>
      </c>
      <c r="C1030" t="s">
        <v>1799</v>
      </c>
      <c r="D1030" t="s">
        <v>3419</v>
      </c>
      <c r="E1030">
        <v>9.9000000000000008E-3</v>
      </c>
      <c r="F1030">
        <v>8.9999999999999998E-4</v>
      </c>
      <c r="G1030" t="s">
        <v>3421</v>
      </c>
    </row>
    <row r="1031" spans="2:7" x14ac:dyDescent="0.3">
      <c r="B1031">
        <v>84.15</v>
      </c>
      <c r="C1031" t="s">
        <v>280</v>
      </c>
      <c r="D1031" t="s">
        <v>3428</v>
      </c>
      <c r="E1031">
        <v>8.5000000000000006E-3</v>
      </c>
      <c r="F1031">
        <v>-6.1000000000000004E-3</v>
      </c>
      <c r="G1031" t="s">
        <v>3430</v>
      </c>
    </row>
    <row r="1032" spans="2:7" x14ac:dyDescent="0.3">
      <c r="B1032">
        <v>82.73</v>
      </c>
      <c r="C1032" t="s">
        <v>1799</v>
      </c>
      <c r="D1032" t="s">
        <v>3455</v>
      </c>
      <c r="E1032">
        <v>7.9000000000000008E-3</v>
      </c>
      <c r="F1032">
        <v>-2.87E-2</v>
      </c>
      <c r="G1032" t="s">
        <v>3457</v>
      </c>
    </row>
    <row r="1033" spans="2:7" x14ac:dyDescent="0.3">
      <c r="B1033">
        <v>81.75</v>
      </c>
      <c r="C1033" t="s">
        <v>280</v>
      </c>
      <c r="D1033" t="s">
        <v>3468</v>
      </c>
      <c r="E1033">
        <v>8.5000000000000006E-3</v>
      </c>
      <c r="F1033">
        <v>-1.01E-2</v>
      </c>
      <c r="G1033" t="s">
        <v>3470</v>
      </c>
    </row>
    <row r="1034" spans="2:7" x14ac:dyDescent="0.3">
      <c r="B1034">
        <v>78.569999999999993</v>
      </c>
      <c r="C1034" t="s">
        <v>440</v>
      </c>
      <c r="D1034" t="s">
        <v>3499</v>
      </c>
      <c r="E1034">
        <v>4.4000000000000003E-3</v>
      </c>
      <c r="F1034">
        <v>-1.9400000000000001E-2</v>
      </c>
      <c r="G1034" t="s">
        <v>3501</v>
      </c>
    </row>
    <row r="1035" spans="2:7" x14ac:dyDescent="0.3">
      <c r="B1035">
        <v>77.98</v>
      </c>
      <c r="C1035" t="s">
        <v>1799</v>
      </c>
      <c r="D1035" t="s">
        <v>3514</v>
      </c>
      <c r="E1035">
        <v>7.9000000000000008E-3</v>
      </c>
      <c r="F1035">
        <v>-1.9099999999999999E-2</v>
      </c>
      <c r="G1035" t="s">
        <v>3516</v>
      </c>
    </row>
    <row r="1036" spans="2:7" x14ac:dyDescent="0.3">
      <c r="B1036">
        <v>77.42</v>
      </c>
      <c r="C1036" t="s">
        <v>1799</v>
      </c>
      <c r="D1036" t="s">
        <v>3519</v>
      </c>
      <c r="E1036">
        <v>7.9000000000000008E-3</v>
      </c>
      <c r="F1036">
        <v>-1.7100000000000001E-2</v>
      </c>
      <c r="G1036" t="s">
        <v>3521</v>
      </c>
    </row>
    <row r="1037" spans="2:7" x14ac:dyDescent="0.3">
      <c r="B1037">
        <v>76.95</v>
      </c>
      <c r="C1037" t="s">
        <v>3533</v>
      </c>
      <c r="D1037" t="s">
        <v>3534</v>
      </c>
      <c r="E1037">
        <v>6.6E-3</v>
      </c>
      <c r="F1037">
        <v>-5.7500000000000002E-2</v>
      </c>
      <c r="G1037" t="s">
        <v>3536</v>
      </c>
    </row>
    <row r="1038" spans="2:7" x14ac:dyDescent="0.3">
      <c r="B1038">
        <v>76.63</v>
      </c>
      <c r="C1038" t="s">
        <v>979</v>
      </c>
      <c r="D1038" t="s">
        <v>3541</v>
      </c>
      <c r="E1038">
        <v>7.4999999999999997E-3</v>
      </c>
      <c r="F1038">
        <v>-3.56E-2</v>
      </c>
      <c r="G1038" t="s">
        <v>3543</v>
      </c>
    </row>
    <row r="1039" spans="2:7" x14ac:dyDescent="0.3">
      <c r="B1039">
        <v>75.64</v>
      </c>
      <c r="C1039" t="s">
        <v>1799</v>
      </c>
      <c r="D1039" t="s">
        <v>3560</v>
      </c>
      <c r="E1039">
        <v>6.8999999999999999E-3</v>
      </c>
      <c r="F1039">
        <v>-7.4999999999999997E-3</v>
      </c>
      <c r="G1039" t="s">
        <v>3562</v>
      </c>
    </row>
    <row r="1040" spans="2:7" x14ac:dyDescent="0.3">
      <c r="B1040">
        <v>72.88</v>
      </c>
      <c r="C1040" t="s">
        <v>941</v>
      </c>
      <c r="D1040" t="s">
        <v>3583</v>
      </c>
      <c r="E1040">
        <v>9.2999999999999992E-3</v>
      </c>
      <c r="F1040">
        <v>-1.7600000000000001E-2</v>
      </c>
      <c r="G1040" t="s">
        <v>3585</v>
      </c>
    </row>
    <row r="1041" spans="2:7" x14ac:dyDescent="0.3">
      <c r="B1041">
        <v>70.66</v>
      </c>
      <c r="C1041" t="s">
        <v>280</v>
      </c>
      <c r="D1041" t="s">
        <v>3624</v>
      </c>
      <c r="E1041">
        <v>8.5000000000000006E-3</v>
      </c>
      <c r="F1041">
        <v>-9.5999999999999992E-3</v>
      </c>
      <c r="G1041" t="s">
        <v>3626</v>
      </c>
    </row>
    <row r="1042" spans="2:7" x14ac:dyDescent="0.3">
      <c r="B1042">
        <v>69.03</v>
      </c>
      <c r="C1042" t="s">
        <v>1799</v>
      </c>
      <c r="D1042" t="s">
        <v>3645</v>
      </c>
      <c r="E1042">
        <v>7.9000000000000008E-3</v>
      </c>
      <c r="F1042">
        <v>-1.0200000000000001E-2</v>
      </c>
      <c r="G1042" t="s">
        <v>3647</v>
      </c>
    </row>
    <row r="1043" spans="2:7" x14ac:dyDescent="0.3">
      <c r="B1043">
        <v>67.650000000000006</v>
      </c>
      <c r="C1043" t="s">
        <v>280</v>
      </c>
      <c r="D1043" t="s">
        <v>3668</v>
      </c>
      <c r="E1043">
        <v>8.5000000000000006E-3</v>
      </c>
      <c r="F1043">
        <v>-9.1999999999999998E-3</v>
      </c>
      <c r="G1043" t="s">
        <v>3670</v>
      </c>
    </row>
    <row r="1044" spans="2:7" x14ac:dyDescent="0.3">
      <c r="B1044">
        <v>66.88</v>
      </c>
      <c r="C1044" t="s">
        <v>1799</v>
      </c>
      <c r="D1044" t="s">
        <v>3674</v>
      </c>
      <c r="E1044">
        <v>7.9000000000000008E-3</v>
      </c>
      <c r="F1044">
        <v>-1.52E-2</v>
      </c>
      <c r="G1044" t="s">
        <v>3676</v>
      </c>
    </row>
    <row r="1045" spans="2:7" x14ac:dyDescent="0.3">
      <c r="B1045">
        <v>64.55</v>
      </c>
      <c r="C1045" t="s">
        <v>280</v>
      </c>
      <c r="D1045" t="s">
        <v>3696</v>
      </c>
      <c r="E1045">
        <v>8.5000000000000006E-3</v>
      </c>
      <c r="F1045">
        <v>7.1999999999999998E-3</v>
      </c>
      <c r="G1045" t="s">
        <v>3697</v>
      </c>
    </row>
    <row r="1046" spans="2:7" x14ac:dyDescent="0.3">
      <c r="C1046" t="s">
        <v>2792</v>
      </c>
      <c r="D1046" t="s">
        <v>3693</v>
      </c>
      <c r="E1046">
        <v>5.1999999999999998E-3</v>
      </c>
      <c r="F1046">
        <v>-3.5099999999999999E-2</v>
      </c>
      <c r="G1046" t="s">
        <v>3695</v>
      </c>
    </row>
    <row r="1047" spans="2:7" x14ac:dyDescent="0.3">
      <c r="B1047">
        <v>62.78</v>
      </c>
      <c r="C1047" t="s">
        <v>280</v>
      </c>
      <c r="D1047" t="s">
        <v>3710</v>
      </c>
      <c r="E1047">
        <v>8.5000000000000006E-3</v>
      </c>
      <c r="F1047">
        <v>-1.23E-2</v>
      </c>
      <c r="G1047" t="s">
        <v>3712</v>
      </c>
    </row>
    <row r="1048" spans="2:7" x14ac:dyDescent="0.3">
      <c r="B1048">
        <v>62.56</v>
      </c>
      <c r="C1048" t="s">
        <v>1799</v>
      </c>
      <c r="D1048" t="s">
        <v>3713</v>
      </c>
      <c r="E1048">
        <v>7.9000000000000008E-3</v>
      </c>
      <c r="F1048">
        <v>4.5999999999999999E-3</v>
      </c>
      <c r="G1048" t="s">
        <v>3715</v>
      </c>
    </row>
    <row r="1049" spans="2:7" x14ac:dyDescent="0.3">
      <c r="B1049">
        <v>61.66</v>
      </c>
      <c r="C1049" t="s">
        <v>1799</v>
      </c>
      <c r="D1049" t="s">
        <v>3722</v>
      </c>
      <c r="E1049">
        <v>7.9000000000000008E-3</v>
      </c>
      <c r="F1049">
        <v>-1.4E-2</v>
      </c>
      <c r="G1049" t="s">
        <v>3724</v>
      </c>
    </row>
    <row r="1050" spans="2:7" x14ac:dyDescent="0.3">
      <c r="B1050">
        <v>61.52</v>
      </c>
      <c r="C1050" t="s">
        <v>1799</v>
      </c>
      <c r="D1050" t="s">
        <v>3725</v>
      </c>
      <c r="E1050">
        <v>7.9000000000000008E-3</v>
      </c>
      <c r="F1050">
        <v>-1.1900000000000001E-2</v>
      </c>
      <c r="G1050" t="s">
        <v>3727</v>
      </c>
    </row>
    <row r="1051" spans="2:7" x14ac:dyDescent="0.3">
      <c r="B1051">
        <v>60.4</v>
      </c>
      <c r="C1051" t="s">
        <v>1799</v>
      </c>
      <c r="D1051" t="s">
        <v>3753</v>
      </c>
      <c r="E1051">
        <v>8.0999999999999996E-3</v>
      </c>
      <c r="F1051">
        <v>-2.8299999999999999E-2</v>
      </c>
      <c r="G1051" t="s">
        <v>3755</v>
      </c>
    </row>
    <row r="1052" spans="2:7" x14ac:dyDescent="0.3">
      <c r="B1052">
        <v>60.3</v>
      </c>
      <c r="C1052" t="s">
        <v>280</v>
      </c>
      <c r="D1052" t="s">
        <v>3759</v>
      </c>
      <c r="E1052">
        <v>1.0500000000000001E-2</v>
      </c>
      <c r="F1052" t="s">
        <v>662</v>
      </c>
      <c r="G1052" t="s">
        <v>3761</v>
      </c>
    </row>
    <row r="1053" spans="2:7" x14ac:dyDescent="0.3">
      <c r="B1053">
        <v>57.33</v>
      </c>
      <c r="C1053" t="s">
        <v>1799</v>
      </c>
      <c r="D1053" t="s">
        <v>3790</v>
      </c>
      <c r="E1053">
        <v>7.9000000000000008E-3</v>
      </c>
      <c r="F1053">
        <v>-7.0000000000000001E-3</v>
      </c>
      <c r="G1053" t="s">
        <v>3792</v>
      </c>
    </row>
    <row r="1054" spans="2:7" x14ac:dyDescent="0.3">
      <c r="B1054">
        <v>56.5</v>
      </c>
      <c r="C1054" t="s">
        <v>24</v>
      </c>
      <c r="D1054" t="s">
        <v>3802</v>
      </c>
      <c r="E1054">
        <v>2.5000000000000001E-3</v>
      </c>
      <c r="F1054">
        <v>3.8E-3</v>
      </c>
      <c r="G1054" t="s">
        <v>3804</v>
      </c>
    </row>
    <row r="1055" spans="2:7" x14ac:dyDescent="0.3">
      <c r="B1055">
        <v>56.21</v>
      </c>
      <c r="C1055" t="s">
        <v>2462</v>
      </c>
      <c r="D1055" t="s">
        <v>3809</v>
      </c>
      <c r="E1055">
        <v>4.3E-3</v>
      </c>
      <c r="F1055">
        <v>-1.6799999999999999E-2</v>
      </c>
      <c r="G1055" t="s">
        <v>3811</v>
      </c>
    </row>
    <row r="1056" spans="2:7" x14ac:dyDescent="0.3">
      <c r="B1056">
        <v>55.67</v>
      </c>
      <c r="C1056" t="s">
        <v>1289</v>
      </c>
      <c r="D1056" t="s">
        <v>3823</v>
      </c>
      <c r="E1056">
        <v>9.5999999999999992E-3</v>
      </c>
      <c r="F1056">
        <v>-0.19289999999999999</v>
      </c>
      <c r="G1056" t="s">
        <v>3825</v>
      </c>
    </row>
    <row r="1057" spans="2:7" x14ac:dyDescent="0.3">
      <c r="B1057">
        <v>54.9</v>
      </c>
      <c r="C1057" t="s">
        <v>3833</v>
      </c>
      <c r="D1057" t="s">
        <v>3834</v>
      </c>
      <c r="E1057">
        <v>7.6E-3</v>
      </c>
      <c r="F1057" t="s">
        <v>662</v>
      </c>
      <c r="G1057" t="s">
        <v>3836</v>
      </c>
    </row>
    <row r="1058" spans="2:7" x14ac:dyDescent="0.3">
      <c r="B1058">
        <v>53.17</v>
      </c>
      <c r="C1058" t="s">
        <v>332</v>
      </c>
      <c r="D1058" t="s">
        <v>3847</v>
      </c>
      <c r="E1058">
        <v>1.1999999999999999E-3</v>
      </c>
      <c r="F1058">
        <v>2.06E-2</v>
      </c>
      <c r="G1058" t="s">
        <v>3849</v>
      </c>
    </row>
    <row r="1059" spans="2:7" x14ac:dyDescent="0.3">
      <c r="B1059">
        <v>51.27</v>
      </c>
      <c r="C1059" t="s">
        <v>486</v>
      </c>
      <c r="D1059" t="s">
        <v>3880</v>
      </c>
      <c r="E1059">
        <v>6.0000000000000001E-3</v>
      </c>
      <c r="F1059">
        <v>-6.7100000000000007E-2</v>
      </c>
      <c r="G1059" t="s">
        <v>3882</v>
      </c>
    </row>
    <row r="1060" spans="2:7" x14ac:dyDescent="0.3">
      <c r="B1060">
        <v>50.09</v>
      </c>
      <c r="C1060" t="s">
        <v>3223</v>
      </c>
      <c r="D1060" t="s">
        <v>3900</v>
      </c>
      <c r="E1060">
        <v>7.4000000000000003E-3</v>
      </c>
      <c r="F1060">
        <v>-4.0899999999999999E-2</v>
      </c>
      <c r="G1060" t="s">
        <v>3902</v>
      </c>
    </row>
    <row r="1061" spans="2:7" x14ac:dyDescent="0.3">
      <c r="B1061">
        <v>46.26</v>
      </c>
      <c r="C1061" t="s">
        <v>1799</v>
      </c>
      <c r="D1061" t="s">
        <v>3990</v>
      </c>
      <c r="E1061">
        <v>7.9000000000000008E-3</v>
      </c>
      <c r="F1061">
        <v>-2.4500000000000001E-2</v>
      </c>
      <c r="G1061" t="s">
        <v>3992</v>
      </c>
    </row>
    <row r="1062" spans="2:7" x14ac:dyDescent="0.3">
      <c r="B1062">
        <v>45.34</v>
      </c>
      <c r="C1062" t="s">
        <v>1799</v>
      </c>
      <c r="D1062" t="s">
        <v>3999</v>
      </c>
      <c r="E1062">
        <v>7.9000000000000008E-3</v>
      </c>
      <c r="F1062">
        <v>-7.7000000000000002E-3</v>
      </c>
      <c r="G1062" t="s">
        <v>4001</v>
      </c>
    </row>
    <row r="1063" spans="2:7" x14ac:dyDescent="0.3">
      <c r="B1063">
        <v>44.83</v>
      </c>
      <c r="C1063" t="s">
        <v>400</v>
      </c>
      <c r="D1063" t="s">
        <v>4005</v>
      </c>
      <c r="E1063">
        <v>4.1999999999999997E-3</v>
      </c>
      <c r="F1063">
        <v>-2.3099999999999999E-2</v>
      </c>
      <c r="G1063" t="s">
        <v>4007</v>
      </c>
    </row>
    <row r="1064" spans="2:7" x14ac:dyDescent="0.3">
      <c r="B1064">
        <v>42.39</v>
      </c>
      <c r="C1064" t="s">
        <v>3223</v>
      </c>
      <c r="D1064" t="s">
        <v>4059</v>
      </c>
      <c r="E1064">
        <v>7.4000000000000003E-3</v>
      </c>
      <c r="F1064">
        <v>-1.5800000000000002E-2</v>
      </c>
      <c r="G1064" t="s">
        <v>4061</v>
      </c>
    </row>
    <row r="1065" spans="2:7" x14ac:dyDescent="0.3">
      <c r="B1065">
        <v>42.15</v>
      </c>
      <c r="C1065" t="s">
        <v>1799</v>
      </c>
      <c r="D1065" t="s">
        <v>4062</v>
      </c>
      <c r="E1065">
        <v>7.9000000000000008E-3</v>
      </c>
      <c r="F1065">
        <v>-3.8999999999999998E-3</v>
      </c>
      <c r="G1065" t="s">
        <v>4064</v>
      </c>
    </row>
    <row r="1066" spans="2:7" x14ac:dyDescent="0.3">
      <c r="B1066">
        <v>41.74</v>
      </c>
      <c r="C1066" t="s">
        <v>272</v>
      </c>
      <c r="D1066" t="s">
        <v>4068</v>
      </c>
      <c r="E1066">
        <v>5.7999999999999996E-3</v>
      </c>
      <c r="F1066">
        <v>-3.0200000000000001E-2</v>
      </c>
      <c r="G1066" t="s">
        <v>4070</v>
      </c>
    </row>
    <row r="1067" spans="2:7" x14ac:dyDescent="0.3">
      <c r="B1067">
        <v>41.62</v>
      </c>
      <c r="C1067" t="s">
        <v>1799</v>
      </c>
      <c r="D1067" t="s">
        <v>4075</v>
      </c>
      <c r="E1067">
        <v>7.9000000000000008E-3</v>
      </c>
      <c r="F1067">
        <v>-8.6999999999999994E-3</v>
      </c>
      <c r="G1067" t="s">
        <v>4077</v>
      </c>
    </row>
    <row r="1068" spans="2:7" x14ac:dyDescent="0.3">
      <c r="B1068">
        <v>41.3</v>
      </c>
      <c r="C1068" t="s">
        <v>1799</v>
      </c>
      <c r="D1068" t="s">
        <v>4084</v>
      </c>
      <c r="E1068">
        <v>7.9000000000000008E-3</v>
      </c>
      <c r="F1068">
        <v>-8.0999999999999996E-3</v>
      </c>
      <c r="G1068" t="s">
        <v>4086</v>
      </c>
    </row>
    <row r="1069" spans="2:7" x14ac:dyDescent="0.3">
      <c r="B1069">
        <v>37.99</v>
      </c>
      <c r="C1069" t="s">
        <v>4172</v>
      </c>
      <c r="D1069" t="s">
        <v>4173</v>
      </c>
      <c r="E1069">
        <v>8.5000000000000006E-3</v>
      </c>
      <c r="F1069">
        <v>-9.9000000000000008E-3</v>
      </c>
      <c r="G1069" t="s">
        <v>4175</v>
      </c>
    </row>
    <row r="1070" spans="2:7" x14ac:dyDescent="0.3">
      <c r="B1070">
        <v>37.94</v>
      </c>
      <c r="C1070" t="s">
        <v>486</v>
      </c>
      <c r="D1070" t="s">
        <v>4176</v>
      </c>
      <c r="E1070">
        <v>6.0000000000000001E-3</v>
      </c>
      <c r="F1070">
        <v>-2.5499999999999998E-2</v>
      </c>
      <c r="G1070" t="s">
        <v>4178</v>
      </c>
    </row>
    <row r="1071" spans="2:7" x14ac:dyDescent="0.3">
      <c r="B1071">
        <v>37.26</v>
      </c>
      <c r="C1071" t="s">
        <v>1799</v>
      </c>
      <c r="D1071" t="s">
        <v>4197</v>
      </c>
      <c r="E1071">
        <v>7.9000000000000008E-3</v>
      </c>
      <c r="F1071">
        <v>-1.6500000000000001E-2</v>
      </c>
      <c r="G1071" t="s">
        <v>4199</v>
      </c>
    </row>
    <row r="1072" spans="2:7" x14ac:dyDescent="0.3">
      <c r="C1072" t="s">
        <v>3223</v>
      </c>
      <c r="D1072" t="s">
        <v>4200</v>
      </c>
      <c r="E1072">
        <v>7.4000000000000003E-3</v>
      </c>
      <c r="F1072">
        <v>-8.9999999999999993E-3</v>
      </c>
      <c r="G1072" t="s">
        <v>4201</v>
      </c>
    </row>
    <row r="1073" spans="2:7" x14ac:dyDescent="0.3">
      <c r="B1073">
        <v>36.880000000000003</v>
      </c>
      <c r="C1073" t="s">
        <v>1799</v>
      </c>
      <c r="D1073" t="s">
        <v>4205</v>
      </c>
      <c r="E1073">
        <v>7.9000000000000008E-3</v>
      </c>
      <c r="F1073">
        <v>-1.12E-2</v>
      </c>
      <c r="G1073" t="s">
        <v>4207</v>
      </c>
    </row>
    <row r="1074" spans="2:7" x14ac:dyDescent="0.3">
      <c r="B1074">
        <v>36.409999999999997</v>
      </c>
      <c r="C1074" t="s">
        <v>2462</v>
      </c>
      <c r="D1074" t="s">
        <v>4218</v>
      </c>
      <c r="E1074">
        <v>1.4999999999999999E-2</v>
      </c>
      <c r="F1074">
        <v>-2.81E-2</v>
      </c>
      <c r="G1074" t="s">
        <v>4220</v>
      </c>
    </row>
    <row r="1075" spans="2:7" x14ac:dyDescent="0.3">
      <c r="B1075">
        <v>36.22</v>
      </c>
      <c r="C1075" t="s">
        <v>3223</v>
      </c>
      <c r="D1075" t="s">
        <v>4224</v>
      </c>
      <c r="E1075">
        <v>7.4000000000000003E-3</v>
      </c>
      <c r="F1075">
        <v>-6.6E-3</v>
      </c>
      <c r="G1075" t="s">
        <v>4226</v>
      </c>
    </row>
    <row r="1076" spans="2:7" x14ac:dyDescent="0.3">
      <c r="B1076">
        <v>34.869999999999997</v>
      </c>
      <c r="C1076" t="s">
        <v>2246</v>
      </c>
      <c r="D1076" t="s">
        <v>4270</v>
      </c>
      <c r="E1076">
        <v>8.5000000000000006E-3</v>
      </c>
      <c r="F1076">
        <v>-0.17050000000000001</v>
      </c>
      <c r="G1076" t="s">
        <v>4272</v>
      </c>
    </row>
    <row r="1077" spans="2:7" x14ac:dyDescent="0.3">
      <c r="B1077">
        <v>33.42</v>
      </c>
      <c r="C1077" t="s">
        <v>4310</v>
      </c>
      <c r="D1077" t="s">
        <v>4311</v>
      </c>
      <c r="E1077">
        <v>6.0000000000000001E-3</v>
      </c>
      <c r="F1077">
        <v>-8.3000000000000004E-2</v>
      </c>
      <c r="G1077" t="s">
        <v>4313</v>
      </c>
    </row>
    <row r="1078" spans="2:7" x14ac:dyDescent="0.3">
      <c r="B1078">
        <v>32.159999999999997</v>
      </c>
      <c r="C1078" t="s">
        <v>1799</v>
      </c>
      <c r="D1078" t="s">
        <v>4332</v>
      </c>
      <c r="E1078">
        <v>7.9000000000000008E-3</v>
      </c>
      <c r="F1078">
        <v>-1.23E-2</v>
      </c>
      <c r="G1078" t="s">
        <v>4334</v>
      </c>
    </row>
    <row r="1079" spans="2:7" x14ac:dyDescent="0.3">
      <c r="B1079">
        <v>32.04</v>
      </c>
      <c r="C1079" t="s">
        <v>4335</v>
      </c>
      <c r="D1079" t="s">
        <v>4336</v>
      </c>
      <c r="E1079">
        <v>7.4999999999999997E-3</v>
      </c>
      <c r="F1079">
        <v>-2.87E-2</v>
      </c>
      <c r="G1079" t="s">
        <v>4338</v>
      </c>
    </row>
    <row r="1080" spans="2:7" x14ac:dyDescent="0.3">
      <c r="B1080">
        <v>29.76</v>
      </c>
      <c r="C1080" t="s">
        <v>4406</v>
      </c>
      <c r="D1080" t="s">
        <v>4407</v>
      </c>
      <c r="E1080">
        <v>1.2500000000000001E-2</v>
      </c>
      <c r="F1080">
        <v>-0.1033</v>
      </c>
      <c r="G1080" t="s">
        <v>4409</v>
      </c>
    </row>
    <row r="1081" spans="2:7" x14ac:dyDescent="0.3">
      <c r="B1081">
        <v>29.53</v>
      </c>
      <c r="C1081" t="s">
        <v>280</v>
      </c>
      <c r="D1081" t="s">
        <v>4420</v>
      </c>
      <c r="E1081">
        <v>6.0000000000000001E-3</v>
      </c>
      <c r="F1081">
        <v>-1.8100000000000002E-2</v>
      </c>
      <c r="G1081" t="s">
        <v>4422</v>
      </c>
    </row>
    <row r="1082" spans="2:7" x14ac:dyDescent="0.3">
      <c r="B1082">
        <v>28.15</v>
      </c>
      <c r="C1082" t="s">
        <v>780</v>
      </c>
      <c r="D1082" t="s">
        <v>4456</v>
      </c>
      <c r="E1082">
        <v>2E-3</v>
      </c>
      <c r="F1082">
        <v>-6.2899999999999998E-2</v>
      </c>
      <c r="G1082" t="s">
        <v>4458</v>
      </c>
    </row>
    <row r="1083" spans="2:7" x14ac:dyDescent="0.3">
      <c r="B1083">
        <v>27.58</v>
      </c>
      <c r="C1083" t="s">
        <v>280</v>
      </c>
      <c r="D1083" t="s">
        <v>4471</v>
      </c>
      <c r="E1083">
        <v>8.9999999999999993E-3</v>
      </c>
      <c r="F1083">
        <v>-3.95E-2</v>
      </c>
      <c r="G1083" t="s">
        <v>4473</v>
      </c>
    </row>
    <row r="1084" spans="2:7" x14ac:dyDescent="0.3">
      <c r="B1084">
        <v>27.35</v>
      </c>
      <c r="C1084" t="s">
        <v>1799</v>
      </c>
      <c r="D1084" t="s">
        <v>4474</v>
      </c>
      <c r="E1084">
        <v>7.9000000000000008E-3</v>
      </c>
      <c r="F1084">
        <v>1.9E-3</v>
      </c>
      <c r="G1084" t="s">
        <v>4476</v>
      </c>
    </row>
    <row r="1085" spans="2:7" x14ac:dyDescent="0.3">
      <c r="B1085">
        <v>27.23</v>
      </c>
      <c r="C1085" t="s">
        <v>332</v>
      </c>
      <c r="D1085" t="s">
        <v>4480</v>
      </c>
      <c r="E1085">
        <v>1.6999999999999999E-3</v>
      </c>
      <c r="F1085">
        <v>-3.39E-2</v>
      </c>
      <c r="G1085" t="s">
        <v>4481</v>
      </c>
    </row>
    <row r="1086" spans="2:7" x14ac:dyDescent="0.3">
      <c r="B1086">
        <v>26.82</v>
      </c>
      <c r="C1086" t="s">
        <v>24</v>
      </c>
      <c r="D1086" t="s">
        <v>4495</v>
      </c>
      <c r="E1086">
        <v>1E-3</v>
      </c>
      <c r="F1086">
        <v>2.5999999999999999E-3</v>
      </c>
      <c r="G1086" t="s">
        <v>4497</v>
      </c>
    </row>
    <row r="1087" spans="2:7" x14ac:dyDescent="0.3">
      <c r="B1087">
        <v>26.38</v>
      </c>
      <c r="C1087" t="s">
        <v>1348</v>
      </c>
      <c r="D1087" t="s">
        <v>4514</v>
      </c>
      <c r="E1087">
        <v>6.7999999999999996E-3</v>
      </c>
      <c r="F1087" t="s">
        <v>662</v>
      </c>
      <c r="G1087" t="s">
        <v>4516</v>
      </c>
    </row>
    <row r="1088" spans="2:7" x14ac:dyDescent="0.3">
      <c r="B1088">
        <v>26</v>
      </c>
      <c r="C1088" t="s">
        <v>486</v>
      </c>
      <c r="D1088" t="s">
        <v>4523</v>
      </c>
      <c r="E1088">
        <v>2E-3</v>
      </c>
      <c r="F1088">
        <v>1.44E-2</v>
      </c>
      <c r="G1088" t="s">
        <v>4525</v>
      </c>
    </row>
    <row r="1089" spans="2:7" x14ac:dyDescent="0.3">
      <c r="B1089">
        <v>25.71</v>
      </c>
      <c r="C1089" t="s">
        <v>941</v>
      </c>
      <c r="D1089" t="s">
        <v>4535</v>
      </c>
      <c r="E1089">
        <v>7.4999999999999997E-3</v>
      </c>
      <c r="F1089">
        <v>-1.8499999999999999E-2</v>
      </c>
      <c r="G1089" t="s">
        <v>4537</v>
      </c>
    </row>
    <row r="1090" spans="2:7" x14ac:dyDescent="0.3">
      <c r="B1090">
        <v>25.36</v>
      </c>
      <c r="C1090" t="s">
        <v>280</v>
      </c>
      <c r="D1090" t="s">
        <v>4553</v>
      </c>
      <c r="E1090">
        <v>8.5000000000000006E-3</v>
      </c>
      <c r="F1090" t="s">
        <v>662</v>
      </c>
      <c r="G1090" t="s">
        <v>4555</v>
      </c>
    </row>
    <row r="1091" spans="2:7" x14ac:dyDescent="0.3">
      <c r="B1091">
        <v>25.19</v>
      </c>
      <c r="C1091" t="s">
        <v>1799</v>
      </c>
      <c r="D1091" t="s">
        <v>4572</v>
      </c>
      <c r="E1091">
        <v>7.9000000000000008E-3</v>
      </c>
      <c r="F1091">
        <v>6.4999999999999997E-3</v>
      </c>
      <c r="G1091" t="s">
        <v>4574</v>
      </c>
    </row>
    <row r="1092" spans="2:7" x14ac:dyDescent="0.3">
      <c r="B1092">
        <v>24.58</v>
      </c>
      <c r="C1092" t="s">
        <v>3223</v>
      </c>
      <c r="D1092" t="s">
        <v>4593</v>
      </c>
      <c r="E1092">
        <v>7.4000000000000003E-3</v>
      </c>
      <c r="F1092" t="s">
        <v>662</v>
      </c>
      <c r="G1092" t="s">
        <v>4595</v>
      </c>
    </row>
    <row r="1093" spans="2:7" x14ac:dyDescent="0.3">
      <c r="B1093">
        <v>24.43</v>
      </c>
      <c r="C1093" t="s">
        <v>3982</v>
      </c>
      <c r="D1093" t="s">
        <v>4600</v>
      </c>
      <c r="E1093">
        <v>7.9000000000000008E-3</v>
      </c>
      <c r="F1093">
        <v>-2.12E-2</v>
      </c>
      <c r="G1093" t="s">
        <v>4602</v>
      </c>
    </row>
    <row r="1094" spans="2:7" x14ac:dyDescent="0.3">
      <c r="B1094">
        <v>24.23</v>
      </c>
      <c r="C1094" t="s">
        <v>4603</v>
      </c>
      <c r="D1094" t="s">
        <v>4604</v>
      </c>
      <c r="E1094">
        <v>2.8999999999999998E-3</v>
      </c>
      <c r="F1094">
        <v>-3.2199999999999999E-2</v>
      </c>
      <c r="G1094" t="s">
        <v>4606</v>
      </c>
    </row>
    <row r="1095" spans="2:7" x14ac:dyDescent="0.3">
      <c r="B1095">
        <v>22.54</v>
      </c>
      <c r="C1095" t="s">
        <v>979</v>
      </c>
      <c r="D1095" t="s">
        <v>4683</v>
      </c>
      <c r="E1095">
        <v>7.4999999999999997E-3</v>
      </c>
      <c r="F1095">
        <v>-0.21329999999999999</v>
      </c>
      <c r="G1095" t="s">
        <v>4685</v>
      </c>
    </row>
    <row r="1096" spans="2:7" x14ac:dyDescent="0.3">
      <c r="B1096">
        <v>22.41</v>
      </c>
      <c r="C1096" t="s">
        <v>280</v>
      </c>
      <c r="D1096" t="s">
        <v>4689</v>
      </c>
      <c r="E1096">
        <v>8.9999999999999993E-3</v>
      </c>
      <c r="F1096">
        <v>-2.98E-2</v>
      </c>
      <c r="G1096" t="s">
        <v>4691</v>
      </c>
    </row>
    <row r="1097" spans="2:7" x14ac:dyDescent="0.3">
      <c r="B1097">
        <v>22.06</v>
      </c>
      <c r="C1097" t="s">
        <v>2951</v>
      </c>
      <c r="D1097" t="s">
        <v>4709</v>
      </c>
      <c r="E1097">
        <v>1.5E-3</v>
      </c>
      <c r="F1097">
        <v>-7.9000000000000008E-3</v>
      </c>
      <c r="G1097" t="s">
        <v>4710</v>
      </c>
    </row>
    <row r="1098" spans="2:7" x14ac:dyDescent="0.3">
      <c r="B1098">
        <v>20.36</v>
      </c>
      <c r="C1098" t="s">
        <v>618</v>
      </c>
      <c r="D1098" t="s">
        <v>4787</v>
      </c>
      <c r="E1098">
        <v>1.9E-3</v>
      </c>
      <c r="F1098">
        <v>-2.0400000000000001E-2</v>
      </c>
      <c r="G1098" t="s">
        <v>4788</v>
      </c>
    </row>
    <row r="1099" spans="2:7" x14ac:dyDescent="0.3">
      <c r="B1099">
        <v>20.27</v>
      </c>
      <c r="C1099" t="s">
        <v>2370</v>
      </c>
      <c r="D1099" t="s">
        <v>4792</v>
      </c>
      <c r="E1099">
        <v>8.3000000000000001E-3</v>
      </c>
      <c r="F1099">
        <v>-3.1E-2</v>
      </c>
      <c r="G1099" t="s">
        <v>4794</v>
      </c>
    </row>
    <row r="1100" spans="2:7" x14ac:dyDescent="0.3">
      <c r="B1100">
        <v>20.239999999999998</v>
      </c>
      <c r="C1100" t="s">
        <v>1799</v>
      </c>
      <c r="D1100" t="s">
        <v>4795</v>
      </c>
      <c r="E1100">
        <v>7.9000000000000008E-3</v>
      </c>
      <c r="F1100">
        <v>-2.3999999999999998E-3</v>
      </c>
      <c r="G1100" t="s">
        <v>4797</v>
      </c>
    </row>
    <row r="1101" spans="2:7" x14ac:dyDescent="0.3">
      <c r="B1101">
        <v>20.18</v>
      </c>
      <c r="C1101" t="s">
        <v>332</v>
      </c>
      <c r="D1101" t="s">
        <v>4798</v>
      </c>
      <c r="E1101">
        <v>1.1999999999999999E-3</v>
      </c>
      <c r="F1101">
        <v>1.14E-2</v>
      </c>
      <c r="G1101" t="s">
        <v>4800</v>
      </c>
    </row>
    <row r="1102" spans="2:7" x14ac:dyDescent="0.3">
      <c r="B1102">
        <v>20.059999999999999</v>
      </c>
      <c r="C1102" t="s">
        <v>3223</v>
      </c>
      <c r="D1102" t="s">
        <v>4812</v>
      </c>
      <c r="E1102">
        <v>7.4000000000000003E-3</v>
      </c>
      <c r="F1102">
        <v>-7.1999999999999998E-3</v>
      </c>
      <c r="G1102" t="s">
        <v>4814</v>
      </c>
    </row>
    <row r="1103" spans="2:7" x14ac:dyDescent="0.3">
      <c r="B1103">
        <v>19.079999999999998</v>
      </c>
      <c r="C1103" t="s">
        <v>1348</v>
      </c>
      <c r="D1103" t="s">
        <v>4830</v>
      </c>
      <c r="E1103">
        <v>6.7999999999999996E-3</v>
      </c>
      <c r="F1103" t="s">
        <v>662</v>
      </c>
      <c r="G1103" t="s">
        <v>4832</v>
      </c>
    </row>
    <row r="1104" spans="2:7" x14ac:dyDescent="0.3">
      <c r="B1104">
        <v>18.920000000000002</v>
      </c>
      <c r="C1104" t="s">
        <v>1842</v>
      </c>
      <c r="D1104" t="s">
        <v>4836</v>
      </c>
      <c r="E1104">
        <v>2.8999999999999998E-3</v>
      </c>
      <c r="F1104">
        <v>-5.5599999999999997E-2</v>
      </c>
      <c r="G1104" t="s">
        <v>4838</v>
      </c>
    </row>
    <row r="1105" spans="2:7" x14ac:dyDescent="0.3">
      <c r="B1105">
        <v>18.739999999999998</v>
      </c>
      <c r="C1105" t="s">
        <v>1799</v>
      </c>
      <c r="D1105" t="s">
        <v>4848</v>
      </c>
      <c r="E1105">
        <v>7.9000000000000008E-3</v>
      </c>
      <c r="F1105">
        <v>-9.2999999999999992E-3</v>
      </c>
      <c r="G1105" t="s">
        <v>4850</v>
      </c>
    </row>
    <row r="1106" spans="2:7" x14ac:dyDescent="0.3">
      <c r="B1106">
        <v>18.579999999999998</v>
      </c>
      <c r="C1106" t="s">
        <v>1799</v>
      </c>
      <c r="D1106" t="s">
        <v>4857</v>
      </c>
      <c r="E1106">
        <v>7.9000000000000008E-3</v>
      </c>
      <c r="F1106">
        <v>-2.6700000000000002E-2</v>
      </c>
      <c r="G1106" t="s">
        <v>4859</v>
      </c>
    </row>
    <row r="1107" spans="2:7" x14ac:dyDescent="0.3">
      <c r="B1107">
        <v>18.510000000000002</v>
      </c>
      <c r="C1107" t="s">
        <v>979</v>
      </c>
      <c r="D1107" t="s">
        <v>4860</v>
      </c>
      <c r="E1107">
        <v>7.4999999999999997E-3</v>
      </c>
      <c r="F1107">
        <v>-7.6399999999999996E-2</v>
      </c>
      <c r="G1107" t="s">
        <v>4862</v>
      </c>
    </row>
    <row r="1108" spans="2:7" x14ac:dyDescent="0.3">
      <c r="B1108">
        <v>17.98</v>
      </c>
      <c r="C1108" t="s">
        <v>1842</v>
      </c>
      <c r="D1108" t="s">
        <v>4888</v>
      </c>
      <c r="E1108">
        <v>4.4999999999999997E-3</v>
      </c>
      <c r="F1108">
        <v>-5.9400000000000001E-2</v>
      </c>
      <c r="G1108" t="s">
        <v>4890</v>
      </c>
    </row>
    <row r="1109" spans="2:7" x14ac:dyDescent="0.3">
      <c r="B1109">
        <v>17.940000000000001</v>
      </c>
      <c r="C1109" t="s">
        <v>280</v>
      </c>
      <c r="D1109" t="s">
        <v>4891</v>
      </c>
      <c r="E1109">
        <v>5.0000000000000001E-3</v>
      </c>
      <c r="F1109">
        <v>2E-3</v>
      </c>
      <c r="G1109" t="s">
        <v>4893</v>
      </c>
    </row>
    <row r="1110" spans="2:7" x14ac:dyDescent="0.3">
      <c r="B1110">
        <v>17.72</v>
      </c>
      <c r="C1110" t="s">
        <v>3223</v>
      </c>
      <c r="D1110" t="s">
        <v>4909</v>
      </c>
      <c r="E1110">
        <v>7.4000000000000003E-3</v>
      </c>
      <c r="F1110">
        <v>-1.3899999999999999E-2</v>
      </c>
      <c r="G1110" t="s">
        <v>4910</v>
      </c>
    </row>
    <row r="1111" spans="2:7" x14ac:dyDescent="0.3">
      <c r="B1111">
        <v>17.71</v>
      </c>
      <c r="C1111" t="s">
        <v>941</v>
      </c>
      <c r="D1111" t="s">
        <v>4911</v>
      </c>
      <c r="E1111">
        <v>7.4999999999999997E-3</v>
      </c>
      <c r="F1111">
        <v>-1.8700000000000001E-2</v>
      </c>
      <c r="G1111" t="s">
        <v>4913</v>
      </c>
    </row>
    <row r="1112" spans="2:7" x14ac:dyDescent="0.3">
      <c r="B1112">
        <v>17.5</v>
      </c>
      <c r="C1112" t="s">
        <v>3982</v>
      </c>
      <c r="D1112" t="s">
        <v>4920</v>
      </c>
      <c r="E1112">
        <v>7.9000000000000008E-3</v>
      </c>
      <c r="F1112">
        <v>-2.1899999999999999E-2</v>
      </c>
      <c r="G1112" t="s">
        <v>4922</v>
      </c>
    </row>
    <row r="1113" spans="2:7" x14ac:dyDescent="0.3">
      <c r="B1113">
        <v>17.100000000000001</v>
      </c>
      <c r="C1113" t="s">
        <v>486</v>
      </c>
      <c r="D1113" t="s">
        <v>4935</v>
      </c>
      <c r="E1113">
        <v>6.0000000000000001E-3</v>
      </c>
      <c r="F1113">
        <v>-2.87E-2</v>
      </c>
      <c r="G1113" t="s">
        <v>4937</v>
      </c>
    </row>
    <row r="1114" spans="2:7" x14ac:dyDescent="0.3">
      <c r="B1114">
        <v>16.61</v>
      </c>
      <c r="C1114" t="s">
        <v>460</v>
      </c>
      <c r="D1114" t="s">
        <v>4973</v>
      </c>
      <c r="E1114">
        <v>2.8999999999999998E-3</v>
      </c>
      <c r="F1114">
        <v>-1.14E-2</v>
      </c>
      <c r="G1114" t="s">
        <v>4975</v>
      </c>
    </row>
    <row r="1115" spans="2:7" x14ac:dyDescent="0.3">
      <c r="B1115">
        <v>16.420000000000002</v>
      </c>
      <c r="C1115" t="s">
        <v>280</v>
      </c>
      <c r="D1115" t="s">
        <v>4986</v>
      </c>
      <c r="E1115">
        <v>8.9999999999999993E-3</v>
      </c>
      <c r="F1115">
        <v>-1.9099999999999999E-2</v>
      </c>
      <c r="G1115" t="s">
        <v>4988</v>
      </c>
    </row>
    <row r="1116" spans="2:7" x14ac:dyDescent="0.3">
      <c r="B1116">
        <v>15.89</v>
      </c>
      <c r="C1116" t="s">
        <v>486</v>
      </c>
      <c r="D1116" t="s">
        <v>5011</v>
      </c>
      <c r="E1116">
        <v>6.0000000000000001E-3</v>
      </c>
      <c r="F1116">
        <v>-5.96E-2</v>
      </c>
      <c r="G1116" t="s">
        <v>5013</v>
      </c>
    </row>
    <row r="1117" spans="2:7" x14ac:dyDescent="0.3">
      <c r="B1117">
        <v>15.35</v>
      </c>
      <c r="C1117" t="s">
        <v>5043</v>
      </c>
      <c r="D1117" t="s">
        <v>5044</v>
      </c>
      <c r="E1117">
        <v>4.4999999999999997E-3</v>
      </c>
      <c r="F1117">
        <v>-5.4800000000000001E-2</v>
      </c>
      <c r="G1117" t="s">
        <v>5046</v>
      </c>
    </row>
    <row r="1118" spans="2:7" x14ac:dyDescent="0.3">
      <c r="B1118">
        <v>14.96</v>
      </c>
      <c r="C1118" t="s">
        <v>941</v>
      </c>
      <c r="D1118" t="s">
        <v>5050</v>
      </c>
      <c r="E1118">
        <v>7.4999999999999997E-3</v>
      </c>
      <c r="F1118">
        <v>-1.1299999999999999E-2</v>
      </c>
      <c r="G1118" t="s">
        <v>5052</v>
      </c>
    </row>
    <row r="1119" spans="2:7" x14ac:dyDescent="0.3">
      <c r="B1119">
        <v>14.1</v>
      </c>
      <c r="C1119" t="s">
        <v>3982</v>
      </c>
      <c r="D1119" t="s">
        <v>5069</v>
      </c>
      <c r="E1119">
        <v>7.9000000000000008E-3</v>
      </c>
      <c r="F1119">
        <v>-2.35E-2</v>
      </c>
      <c r="G1119" t="s">
        <v>5071</v>
      </c>
    </row>
    <row r="1120" spans="2:7" x14ac:dyDescent="0.3">
      <c r="B1120">
        <v>13.9</v>
      </c>
      <c r="C1120" t="s">
        <v>1842</v>
      </c>
      <c r="D1120" t="s">
        <v>5075</v>
      </c>
      <c r="E1120">
        <v>4.4999999999999997E-3</v>
      </c>
      <c r="F1120">
        <v>-6.2300000000000001E-2</v>
      </c>
      <c r="G1120" t="s">
        <v>5077</v>
      </c>
    </row>
    <row r="1121" spans="2:7" x14ac:dyDescent="0.3">
      <c r="B1121">
        <v>13.55</v>
      </c>
      <c r="C1121" t="s">
        <v>1799</v>
      </c>
      <c r="D1121" t="s">
        <v>5088</v>
      </c>
      <c r="E1121">
        <v>7.9000000000000008E-3</v>
      </c>
      <c r="F1121">
        <v>-8.2900000000000001E-2</v>
      </c>
      <c r="G1121" t="s">
        <v>5090</v>
      </c>
    </row>
    <row r="1122" spans="2:7" x14ac:dyDescent="0.3">
      <c r="B1122">
        <v>13.39</v>
      </c>
      <c r="C1122" t="s">
        <v>3982</v>
      </c>
      <c r="D1122" t="s">
        <v>5100</v>
      </c>
      <c r="E1122">
        <v>7.9000000000000008E-3</v>
      </c>
      <c r="F1122">
        <v>-2.01E-2</v>
      </c>
      <c r="G1122" t="s">
        <v>5102</v>
      </c>
    </row>
    <row r="1123" spans="2:7" x14ac:dyDescent="0.3">
      <c r="B1123">
        <v>13.36</v>
      </c>
      <c r="C1123" t="s">
        <v>1842</v>
      </c>
      <c r="D1123" t="s">
        <v>5103</v>
      </c>
      <c r="E1123">
        <v>5.3E-3</v>
      </c>
      <c r="F1123" t="s">
        <v>662</v>
      </c>
      <c r="G1123" t="s">
        <v>5105</v>
      </c>
    </row>
    <row r="1124" spans="2:7" x14ac:dyDescent="0.3">
      <c r="B1124">
        <v>13.29</v>
      </c>
      <c r="C1124" t="s">
        <v>5106</v>
      </c>
      <c r="D1124" t="s">
        <v>5107</v>
      </c>
      <c r="E1124">
        <v>7.1999999999999998E-3</v>
      </c>
      <c r="F1124">
        <v>-7.0000000000000001E-3</v>
      </c>
      <c r="G1124" t="s">
        <v>5109</v>
      </c>
    </row>
    <row r="1125" spans="2:7" x14ac:dyDescent="0.3">
      <c r="B1125">
        <v>12.84</v>
      </c>
      <c r="C1125" t="s">
        <v>3223</v>
      </c>
      <c r="D1125" t="s">
        <v>5141</v>
      </c>
      <c r="E1125">
        <v>7.4000000000000003E-3</v>
      </c>
      <c r="F1125">
        <v>-8.6E-3</v>
      </c>
      <c r="G1125" t="s">
        <v>5143</v>
      </c>
    </row>
    <row r="1126" spans="2:7" x14ac:dyDescent="0.3">
      <c r="B1126">
        <v>12.82</v>
      </c>
      <c r="C1126" t="s">
        <v>3223</v>
      </c>
      <c r="D1126" t="s">
        <v>5148</v>
      </c>
      <c r="E1126">
        <v>7.4000000000000003E-3</v>
      </c>
      <c r="F1126">
        <v>-2.3E-3</v>
      </c>
      <c r="G1126" t="s">
        <v>5150</v>
      </c>
    </row>
    <row r="1127" spans="2:7" x14ac:dyDescent="0.3">
      <c r="B1127">
        <v>11.98</v>
      </c>
      <c r="C1127" t="s">
        <v>280</v>
      </c>
      <c r="D1127" t="s">
        <v>5174</v>
      </c>
      <c r="E1127">
        <v>8.5000000000000006E-3</v>
      </c>
      <c r="F1127">
        <v>-8.6999999999999994E-3</v>
      </c>
      <c r="G1127" t="s">
        <v>5176</v>
      </c>
    </row>
    <row r="1128" spans="2:7" x14ac:dyDescent="0.3">
      <c r="B1128">
        <v>11.43</v>
      </c>
      <c r="C1128" t="s">
        <v>941</v>
      </c>
      <c r="D1128" t="s">
        <v>5199</v>
      </c>
      <c r="E1128">
        <v>7.4999999999999997E-3</v>
      </c>
      <c r="F1128">
        <v>-7.4000000000000003E-3</v>
      </c>
      <c r="G1128" t="s">
        <v>5201</v>
      </c>
    </row>
    <row r="1129" spans="2:7" x14ac:dyDescent="0.3">
      <c r="B1129">
        <v>11.39</v>
      </c>
      <c r="C1129" t="s">
        <v>280</v>
      </c>
      <c r="D1129" t="s">
        <v>5204</v>
      </c>
      <c r="E1129">
        <v>6.0000000000000001E-3</v>
      </c>
      <c r="F1129">
        <v>-3.61E-2</v>
      </c>
      <c r="G1129" t="s">
        <v>5206</v>
      </c>
    </row>
    <row r="1130" spans="2:7" x14ac:dyDescent="0.3">
      <c r="B1130">
        <v>11.1</v>
      </c>
      <c r="C1130" t="s">
        <v>1799</v>
      </c>
      <c r="D1130" t="s">
        <v>5211</v>
      </c>
      <c r="E1130">
        <v>7.9000000000000008E-3</v>
      </c>
      <c r="F1130">
        <v>-1.0999999999999999E-2</v>
      </c>
      <c r="G1130" t="s">
        <v>5213</v>
      </c>
    </row>
    <row r="1131" spans="2:7" x14ac:dyDescent="0.3">
      <c r="B1131">
        <v>10.56</v>
      </c>
      <c r="C1131" t="s">
        <v>1799</v>
      </c>
      <c r="D1131" t="s">
        <v>5244</v>
      </c>
      <c r="E1131">
        <v>7.9000000000000008E-3</v>
      </c>
      <c r="F1131" t="s">
        <v>662</v>
      </c>
      <c r="G1131" t="s">
        <v>5246</v>
      </c>
    </row>
    <row r="1132" spans="2:7" x14ac:dyDescent="0.3">
      <c r="B1132">
        <v>10.050000000000001</v>
      </c>
      <c r="C1132" t="s">
        <v>24</v>
      </c>
      <c r="D1132" t="s">
        <v>5272</v>
      </c>
      <c r="E1132">
        <v>3.5000000000000001E-3</v>
      </c>
      <c r="F1132">
        <v>1.15E-2</v>
      </c>
      <c r="G1132" t="s">
        <v>5274</v>
      </c>
    </row>
    <row r="1133" spans="2:7" x14ac:dyDescent="0.3">
      <c r="B1133">
        <v>9.4</v>
      </c>
      <c r="C1133" t="s">
        <v>24</v>
      </c>
      <c r="D1133" t="s">
        <v>5319</v>
      </c>
      <c r="E1133">
        <v>2E-3</v>
      </c>
      <c r="F1133" t="s">
        <v>662</v>
      </c>
      <c r="G1133" t="s">
        <v>5321</v>
      </c>
    </row>
    <row r="1134" spans="2:7" x14ac:dyDescent="0.3">
      <c r="B1134">
        <v>9.25</v>
      </c>
      <c r="C1134" t="s">
        <v>3982</v>
      </c>
      <c r="D1134" t="s">
        <v>5325</v>
      </c>
      <c r="E1134">
        <v>5.7999999999999996E-3</v>
      </c>
      <c r="F1134">
        <v>-8.3000000000000004E-2</v>
      </c>
      <c r="G1134" t="s">
        <v>5327</v>
      </c>
    </row>
    <row r="1135" spans="2:7" x14ac:dyDescent="0.3">
      <c r="B1135">
        <v>9.23</v>
      </c>
      <c r="C1135" t="s">
        <v>1799</v>
      </c>
      <c r="D1135" t="s">
        <v>5330</v>
      </c>
      <c r="E1135">
        <v>7.9000000000000008E-3</v>
      </c>
      <c r="F1135">
        <v>-2.0500000000000001E-2</v>
      </c>
      <c r="G1135" t="s">
        <v>5332</v>
      </c>
    </row>
    <row r="1136" spans="2:7" x14ac:dyDescent="0.3">
      <c r="B1136">
        <v>8.49</v>
      </c>
      <c r="C1136" t="s">
        <v>280</v>
      </c>
      <c r="D1136" t="s">
        <v>5372</v>
      </c>
      <c r="E1136">
        <v>8.5000000000000006E-3</v>
      </c>
      <c r="F1136">
        <v>-2.24E-2</v>
      </c>
      <c r="G1136" t="s">
        <v>5374</v>
      </c>
    </row>
    <row r="1137" spans="2:7" x14ac:dyDescent="0.3">
      <c r="B1137">
        <v>8.36</v>
      </c>
      <c r="C1137" t="s">
        <v>1799</v>
      </c>
      <c r="D1137" t="s">
        <v>5382</v>
      </c>
      <c r="E1137">
        <v>7.9000000000000008E-3</v>
      </c>
      <c r="F1137">
        <v>-5.21E-2</v>
      </c>
      <c r="G1137" t="s">
        <v>5384</v>
      </c>
    </row>
    <row r="1138" spans="2:7" x14ac:dyDescent="0.3">
      <c r="B1138">
        <v>7.83</v>
      </c>
      <c r="C1138" t="s">
        <v>941</v>
      </c>
      <c r="D1138" t="s">
        <v>5413</v>
      </c>
      <c r="E1138">
        <v>7.4999999999999997E-3</v>
      </c>
      <c r="F1138">
        <v>-1.29E-2</v>
      </c>
      <c r="G1138" t="s">
        <v>5415</v>
      </c>
    </row>
    <row r="1139" spans="2:7" x14ac:dyDescent="0.3">
      <c r="B1139">
        <v>7.71</v>
      </c>
      <c r="C1139" t="s">
        <v>3982</v>
      </c>
      <c r="D1139" t="s">
        <v>5427</v>
      </c>
      <c r="E1139">
        <v>7.9000000000000008E-3</v>
      </c>
      <c r="F1139">
        <v>-2.3199999999999998E-2</v>
      </c>
      <c r="G1139" t="s">
        <v>5429</v>
      </c>
    </row>
    <row r="1140" spans="2:7" x14ac:dyDescent="0.3">
      <c r="B1140">
        <v>7.7</v>
      </c>
      <c r="C1140" t="s">
        <v>1799</v>
      </c>
      <c r="D1140" t="s">
        <v>5430</v>
      </c>
      <c r="E1140">
        <v>7.9000000000000008E-3</v>
      </c>
      <c r="F1140">
        <v>-9.5999999999999992E-3</v>
      </c>
      <c r="G1140" t="s">
        <v>5432</v>
      </c>
    </row>
    <row r="1141" spans="2:7" x14ac:dyDescent="0.3">
      <c r="B1141">
        <v>7.68</v>
      </c>
      <c r="C1141" t="s">
        <v>1799</v>
      </c>
      <c r="D1141" t="s">
        <v>5442</v>
      </c>
      <c r="E1141">
        <v>7.9000000000000008E-3</v>
      </c>
      <c r="F1141">
        <v>-7.4999999999999997E-3</v>
      </c>
      <c r="G1141" t="s">
        <v>5443</v>
      </c>
    </row>
    <row r="1142" spans="2:7" x14ac:dyDescent="0.3">
      <c r="B1142">
        <v>7.42</v>
      </c>
      <c r="C1142" t="s">
        <v>248</v>
      </c>
      <c r="D1142" t="s">
        <v>5463</v>
      </c>
      <c r="E1142">
        <v>2E-3</v>
      </c>
      <c r="F1142" t="s">
        <v>662</v>
      </c>
      <c r="G1142" t="s">
        <v>5464</v>
      </c>
    </row>
    <row r="1143" spans="2:7" x14ac:dyDescent="0.3">
      <c r="C1143" t="s">
        <v>5459</v>
      </c>
      <c r="D1143" t="s">
        <v>5460</v>
      </c>
      <c r="E1143">
        <v>6.4999999999999997E-3</v>
      </c>
      <c r="F1143">
        <v>-9.7000000000000003E-2</v>
      </c>
      <c r="G1143" t="s">
        <v>5462</v>
      </c>
    </row>
    <row r="1144" spans="2:7" x14ac:dyDescent="0.3">
      <c r="B1144">
        <v>7.24</v>
      </c>
      <c r="C1144" t="s">
        <v>2353</v>
      </c>
      <c r="D1144" t="s">
        <v>5468</v>
      </c>
      <c r="E1144">
        <v>1.0500000000000001E-2</v>
      </c>
      <c r="F1144">
        <v>-3.7900000000000003E-2</v>
      </c>
      <c r="G1144" t="s">
        <v>5470</v>
      </c>
    </row>
    <row r="1145" spans="2:7" x14ac:dyDescent="0.3">
      <c r="B1145">
        <v>7.19</v>
      </c>
      <c r="C1145" t="s">
        <v>3982</v>
      </c>
      <c r="D1145" t="s">
        <v>5477</v>
      </c>
      <c r="E1145">
        <v>7.9000000000000008E-3</v>
      </c>
      <c r="F1145">
        <v>-2.8500000000000001E-2</v>
      </c>
      <c r="G1145" t="s">
        <v>5479</v>
      </c>
    </row>
    <row r="1146" spans="2:7" x14ac:dyDescent="0.3">
      <c r="B1146">
        <v>7.12</v>
      </c>
      <c r="C1146" t="s">
        <v>941</v>
      </c>
      <c r="D1146" t="s">
        <v>5483</v>
      </c>
      <c r="E1146">
        <v>7.4999999999999997E-3</v>
      </c>
      <c r="F1146">
        <v>-1.5800000000000002E-2</v>
      </c>
      <c r="G1146" t="s">
        <v>5485</v>
      </c>
    </row>
    <row r="1147" spans="2:7" x14ac:dyDescent="0.3">
      <c r="B1147">
        <v>7.1</v>
      </c>
      <c r="C1147" t="s">
        <v>941</v>
      </c>
      <c r="D1147" t="s">
        <v>5489</v>
      </c>
      <c r="E1147">
        <v>7.4999999999999997E-3</v>
      </c>
      <c r="F1147">
        <v>-6.3E-3</v>
      </c>
      <c r="G1147" t="s">
        <v>5490</v>
      </c>
    </row>
    <row r="1148" spans="2:7" x14ac:dyDescent="0.3">
      <c r="B1148">
        <v>6.81</v>
      </c>
      <c r="C1148" t="s">
        <v>1799</v>
      </c>
      <c r="D1148" t="s">
        <v>5507</v>
      </c>
      <c r="E1148">
        <v>7.9000000000000008E-3</v>
      </c>
      <c r="F1148" t="s">
        <v>662</v>
      </c>
      <c r="G1148" t="s">
        <v>5509</v>
      </c>
    </row>
    <row r="1149" spans="2:7" x14ac:dyDescent="0.3">
      <c r="B1149">
        <v>6.54</v>
      </c>
      <c r="C1149" t="s">
        <v>941</v>
      </c>
      <c r="D1149" t="s">
        <v>5522</v>
      </c>
      <c r="E1149">
        <v>6.0000000000000001E-3</v>
      </c>
      <c r="F1149">
        <v>2.64E-2</v>
      </c>
      <c r="G1149" t="s">
        <v>5524</v>
      </c>
    </row>
    <row r="1150" spans="2:7" x14ac:dyDescent="0.3">
      <c r="B1150">
        <v>6.52</v>
      </c>
      <c r="C1150" t="s">
        <v>24</v>
      </c>
      <c r="D1150" t="s">
        <v>5525</v>
      </c>
      <c r="E1150">
        <v>4.7999999999999996E-3</v>
      </c>
      <c r="F1150">
        <v>-5.3699999999999998E-2</v>
      </c>
      <c r="G1150" t="s">
        <v>5527</v>
      </c>
    </row>
    <row r="1151" spans="2:7" x14ac:dyDescent="0.3">
      <c r="B1151">
        <v>6.3</v>
      </c>
      <c r="C1151" t="s">
        <v>1799</v>
      </c>
      <c r="D1151" t="s">
        <v>5548</v>
      </c>
      <c r="E1151">
        <v>7.9000000000000008E-3</v>
      </c>
      <c r="F1151" t="s">
        <v>662</v>
      </c>
      <c r="G1151" t="s">
        <v>5550</v>
      </c>
    </row>
    <row r="1152" spans="2:7" x14ac:dyDescent="0.3">
      <c r="B1152">
        <v>6.25</v>
      </c>
      <c r="C1152" t="s">
        <v>941</v>
      </c>
      <c r="D1152" t="s">
        <v>5551</v>
      </c>
      <c r="E1152">
        <v>7.4999999999999997E-3</v>
      </c>
      <c r="F1152">
        <v>-1.5800000000000002E-2</v>
      </c>
      <c r="G1152" t="s">
        <v>5553</v>
      </c>
    </row>
    <row r="1153" spans="2:7" x14ac:dyDescent="0.3">
      <c r="B1153">
        <v>6.02</v>
      </c>
      <c r="C1153" t="s">
        <v>1799</v>
      </c>
      <c r="D1153" t="s">
        <v>5581</v>
      </c>
      <c r="E1153">
        <v>7.9000000000000008E-3</v>
      </c>
      <c r="F1153">
        <v>-5.1400000000000001E-2</v>
      </c>
      <c r="G1153" t="s">
        <v>5582</v>
      </c>
    </row>
    <row r="1154" spans="2:7" x14ac:dyDescent="0.3">
      <c r="C1154" t="s">
        <v>3982</v>
      </c>
      <c r="D1154" t="s">
        <v>5578</v>
      </c>
      <c r="E1154">
        <v>7.9000000000000008E-3</v>
      </c>
      <c r="F1154">
        <v>-2.3800000000000002E-2</v>
      </c>
      <c r="G1154" t="s">
        <v>5580</v>
      </c>
    </row>
    <row r="1155" spans="2:7" x14ac:dyDescent="0.3">
      <c r="B1155">
        <v>5.95</v>
      </c>
      <c r="C1155" t="s">
        <v>1864</v>
      </c>
      <c r="D1155" t="s">
        <v>5586</v>
      </c>
      <c r="E1155">
        <v>4.4999999999999997E-3</v>
      </c>
      <c r="F1155">
        <v>-4.48E-2</v>
      </c>
      <c r="G1155" t="s">
        <v>5588</v>
      </c>
    </row>
    <row r="1156" spans="2:7" x14ac:dyDescent="0.3">
      <c r="B1156">
        <v>5.47</v>
      </c>
      <c r="C1156" t="s">
        <v>1799</v>
      </c>
      <c r="D1156" t="s">
        <v>5623</v>
      </c>
      <c r="E1156">
        <v>7.9000000000000008E-3</v>
      </c>
      <c r="F1156">
        <v>-1.44E-2</v>
      </c>
      <c r="G1156" t="s">
        <v>5625</v>
      </c>
    </row>
    <row r="1157" spans="2:7" x14ac:dyDescent="0.3">
      <c r="B1157">
        <v>5.42</v>
      </c>
      <c r="C1157" t="s">
        <v>941</v>
      </c>
      <c r="D1157" t="s">
        <v>5635</v>
      </c>
      <c r="E1157">
        <v>6.0000000000000001E-3</v>
      </c>
      <c r="F1157">
        <v>-0.1736</v>
      </c>
      <c r="G1157" t="s">
        <v>5636</v>
      </c>
    </row>
    <row r="1158" spans="2:7" x14ac:dyDescent="0.3">
      <c r="B1158">
        <v>5.34</v>
      </c>
      <c r="C1158" t="s">
        <v>3982</v>
      </c>
      <c r="D1158" t="s">
        <v>5643</v>
      </c>
      <c r="E1158">
        <v>7.9000000000000008E-3</v>
      </c>
      <c r="F1158">
        <v>-3.27E-2</v>
      </c>
      <c r="G1158" t="s">
        <v>5645</v>
      </c>
    </row>
    <row r="1159" spans="2:7" x14ac:dyDescent="0.3">
      <c r="B1159">
        <v>5.29</v>
      </c>
      <c r="C1159" t="s">
        <v>1799</v>
      </c>
      <c r="D1159" t="s">
        <v>5652</v>
      </c>
      <c r="E1159">
        <v>7.9000000000000008E-3</v>
      </c>
      <c r="F1159">
        <v>-2.24E-2</v>
      </c>
      <c r="G1159" t="s">
        <v>5654</v>
      </c>
    </row>
    <row r="1160" spans="2:7" x14ac:dyDescent="0.3">
      <c r="B1160">
        <v>5.24</v>
      </c>
      <c r="C1160" t="s">
        <v>941</v>
      </c>
      <c r="D1160" t="s">
        <v>5655</v>
      </c>
      <c r="E1160">
        <v>7.4999999999999997E-3</v>
      </c>
      <c r="F1160">
        <v>-9.9000000000000008E-3</v>
      </c>
      <c r="G1160" t="s">
        <v>5657</v>
      </c>
    </row>
    <row r="1161" spans="2:7" x14ac:dyDescent="0.3">
      <c r="B1161">
        <v>5.09</v>
      </c>
      <c r="C1161" t="s">
        <v>3982</v>
      </c>
      <c r="D1161" t="s">
        <v>5668</v>
      </c>
      <c r="E1161">
        <v>7.9000000000000008E-3</v>
      </c>
      <c r="F1161">
        <v>-2.4199999999999999E-2</v>
      </c>
      <c r="G1161" t="s">
        <v>5670</v>
      </c>
    </row>
    <row r="1162" spans="2:7" x14ac:dyDescent="0.3">
      <c r="B1162">
        <v>4.9000000000000004</v>
      </c>
      <c r="C1162" t="s">
        <v>1799</v>
      </c>
      <c r="D1162" t="s">
        <v>5677</v>
      </c>
      <c r="E1162">
        <v>7.9000000000000008E-3</v>
      </c>
      <c r="F1162" t="s">
        <v>662</v>
      </c>
      <c r="G1162" t="s">
        <v>5679</v>
      </c>
    </row>
    <row r="1163" spans="2:7" x14ac:dyDescent="0.3">
      <c r="B1163">
        <v>4.7699999999999996</v>
      </c>
      <c r="C1163" t="s">
        <v>24</v>
      </c>
      <c r="D1163" t="s">
        <v>5689</v>
      </c>
      <c r="E1163">
        <v>2E-3</v>
      </c>
      <c r="F1163" t="s">
        <v>662</v>
      </c>
      <c r="G1163" t="s">
        <v>5691</v>
      </c>
    </row>
    <row r="1164" spans="2:7" x14ac:dyDescent="0.3">
      <c r="B1164">
        <v>4.1100000000000003</v>
      </c>
      <c r="C1164" t="s">
        <v>3982</v>
      </c>
      <c r="D1164" t="s">
        <v>5740</v>
      </c>
      <c r="E1164">
        <v>7.9000000000000008E-3</v>
      </c>
      <c r="F1164">
        <v>-2.12E-2</v>
      </c>
      <c r="G1164" t="s">
        <v>5742</v>
      </c>
    </row>
    <row r="1165" spans="2:7" x14ac:dyDescent="0.3">
      <c r="B1165">
        <v>3.88</v>
      </c>
      <c r="C1165" t="s">
        <v>3982</v>
      </c>
      <c r="D1165" t="s">
        <v>5756</v>
      </c>
      <c r="E1165">
        <v>7.9000000000000008E-3</v>
      </c>
      <c r="F1165">
        <v>-2.3E-2</v>
      </c>
      <c r="G1165" t="s">
        <v>5758</v>
      </c>
    </row>
    <row r="1166" spans="2:7" x14ac:dyDescent="0.3">
      <c r="B1166">
        <v>3.87</v>
      </c>
      <c r="C1166" t="s">
        <v>280</v>
      </c>
      <c r="D1166" t="s">
        <v>5761</v>
      </c>
      <c r="E1166">
        <v>5.4999999999999997E-3</v>
      </c>
      <c r="F1166">
        <v>-3.1899999999999998E-2</v>
      </c>
      <c r="G1166" t="s">
        <v>5763</v>
      </c>
    </row>
    <row r="1167" spans="2:7" x14ac:dyDescent="0.3">
      <c r="B1167">
        <v>3.72</v>
      </c>
      <c r="C1167" t="s">
        <v>486</v>
      </c>
      <c r="D1167" t="s">
        <v>5773</v>
      </c>
      <c r="E1167">
        <v>6.0000000000000001E-3</v>
      </c>
      <c r="F1167">
        <v>-5.3800000000000001E-2</v>
      </c>
      <c r="G1167" t="s">
        <v>5775</v>
      </c>
    </row>
    <row r="1168" spans="2:7" x14ac:dyDescent="0.3">
      <c r="B1168">
        <v>3.6</v>
      </c>
      <c r="C1168" t="s">
        <v>941</v>
      </c>
      <c r="D1168" t="s">
        <v>5786</v>
      </c>
      <c r="E1168">
        <v>7.4999999999999997E-3</v>
      </c>
      <c r="F1168">
        <v>-1.15E-2</v>
      </c>
      <c r="G1168" t="s">
        <v>5788</v>
      </c>
    </row>
    <row r="1169" spans="2:7" x14ac:dyDescent="0.3">
      <c r="B1169">
        <v>3.52</v>
      </c>
      <c r="C1169" t="s">
        <v>3982</v>
      </c>
      <c r="D1169" t="s">
        <v>5803</v>
      </c>
      <c r="E1169">
        <v>7.9000000000000008E-3</v>
      </c>
      <c r="F1169">
        <v>-2.7099999999999999E-2</v>
      </c>
      <c r="G1169" t="s">
        <v>5805</v>
      </c>
    </row>
    <row r="1170" spans="2:7" x14ac:dyDescent="0.3">
      <c r="B1170">
        <v>3.41</v>
      </c>
      <c r="C1170" t="s">
        <v>486</v>
      </c>
      <c r="D1170" t="s">
        <v>5822</v>
      </c>
      <c r="E1170">
        <v>6.0000000000000001E-3</v>
      </c>
      <c r="F1170">
        <v>-2.1499999999999998E-2</v>
      </c>
      <c r="G1170" t="s">
        <v>5823</v>
      </c>
    </row>
    <row r="1171" spans="2:7" x14ac:dyDescent="0.3">
      <c r="B1171">
        <v>3.3</v>
      </c>
      <c r="C1171" t="s">
        <v>3335</v>
      </c>
      <c r="D1171" t="s">
        <v>5827</v>
      </c>
      <c r="E1171">
        <v>7.4999999999999997E-3</v>
      </c>
      <c r="F1171">
        <v>-3.7999999999999999E-2</v>
      </c>
      <c r="G1171" t="s">
        <v>5829</v>
      </c>
    </row>
    <row r="1172" spans="2:7" x14ac:dyDescent="0.3">
      <c r="B1172">
        <v>3.24</v>
      </c>
      <c r="C1172" t="s">
        <v>941</v>
      </c>
      <c r="D1172" t="s">
        <v>5833</v>
      </c>
      <c r="E1172">
        <v>7.4999999999999997E-3</v>
      </c>
      <c r="F1172">
        <v>-6.4999999999999997E-3</v>
      </c>
      <c r="G1172" t="s">
        <v>5835</v>
      </c>
    </row>
    <row r="1173" spans="2:7" x14ac:dyDescent="0.3">
      <c r="B1173">
        <v>3.2</v>
      </c>
      <c r="C1173" t="s">
        <v>2475</v>
      </c>
      <c r="D1173" t="s">
        <v>5844</v>
      </c>
      <c r="E1173">
        <v>5.0000000000000001E-3</v>
      </c>
      <c r="F1173">
        <v>-5.2299999999999999E-2</v>
      </c>
      <c r="G1173" t="s">
        <v>5845</v>
      </c>
    </row>
    <row r="1174" spans="2:7" x14ac:dyDescent="0.3">
      <c r="B1174">
        <v>3.12</v>
      </c>
      <c r="C1174" t="s">
        <v>486</v>
      </c>
      <c r="D1174" t="s">
        <v>5849</v>
      </c>
      <c r="E1174">
        <v>6.0000000000000001E-3</v>
      </c>
      <c r="F1174">
        <v>-2.6800000000000001E-2</v>
      </c>
      <c r="G1174" t="s">
        <v>5851</v>
      </c>
    </row>
    <row r="1175" spans="2:7" x14ac:dyDescent="0.3">
      <c r="B1175">
        <v>3.11</v>
      </c>
      <c r="C1175" t="s">
        <v>486</v>
      </c>
      <c r="D1175" t="s">
        <v>5852</v>
      </c>
      <c r="E1175">
        <v>6.0000000000000001E-3</v>
      </c>
      <c r="F1175">
        <v>-3.5400000000000001E-2</v>
      </c>
      <c r="G1175" t="s">
        <v>5854</v>
      </c>
    </row>
    <row r="1176" spans="2:7" x14ac:dyDescent="0.3">
      <c r="B1176">
        <v>3.1</v>
      </c>
      <c r="C1176" t="s">
        <v>941</v>
      </c>
      <c r="D1176" t="s">
        <v>5855</v>
      </c>
      <c r="E1176">
        <v>7.4999999999999997E-3</v>
      </c>
      <c r="F1176">
        <v>-8.8999999999999999E-3</v>
      </c>
      <c r="G1176" t="s">
        <v>5857</v>
      </c>
    </row>
    <row r="1177" spans="2:7" x14ac:dyDescent="0.3">
      <c r="B1177">
        <v>3.07</v>
      </c>
      <c r="C1177" t="s">
        <v>4310</v>
      </c>
      <c r="D1177" t="s">
        <v>5858</v>
      </c>
      <c r="E1177">
        <v>8.9999999999999993E-3</v>
      </c>
      <c r="F1177">
        <v>-5.0599999999999999E-2</v>
      </c>
      <c r="G1177" t="s">
        <v>5860</v>
      </c>
    </row>
    <row r="1178" spans="2:7" x14ac:dyDescent="0.3">
      <c r="B1178">
        <v>2.73</v>
      </c>
      <c r="C1178" t="s">
        <v>24</v>
      </c>
      <c r="D1178" t="s">
        <v>5896</v>
      </c>
      <c r="E1178">
        <v>2.8999999999999998E-3</v>
      </c>
      <c r="F1178">
        <v>-3.1199999999999999E-2</v>
      </c>
      <c r="G1178" t="s">
        <v>5898</v>
      </c>
    </row>
    <row r="1179" spans="2:7" x14ac:dyDescent="0.3">
      <c r="B1179">
        <v>2.65</v>
      </c>
      <c r="C1179" t="s">
        <v>1856</v>
      </c>
      <c r="D1179" t="s">
        <v>5902</v>
      </c>
      <c r="E1179">
        <v>4.4999999999999997E-3</v>
      </c>
      <c r="F1179">
        <v>-4.8999999999999998E-3</v>
      </c>
      <c r="G1179" t="s">
        <v>5904</v>
      </c>
    </row>
    <row r="1180" spans="2:7" x14ac:dyDescent="0.3">
      <c r="B1180">
        <v>2.5299999999999998</v>
      </c>
      <c r="C1180" t="s">
        <v>444</v>
      </c>
      <c r="D1180" t="s">
        <v>5912</v>
      </c>
      <c r="E1180">
        <v>8.9999999999999998E-4</v>
      </c>
      <c r="F1180">
        <v>-2.9899999999999999E-2</v>
      </c>
      <c r="G1180" t="s">
        <v>5914</v>
      </c>
    </row>
    <row r="1181" spans="2:7" x14ac:dyDescent="0.3">
      <c r="B1181">
        <v>2.1800000000000002</v>
      </c>
      <c r="C1181" t="s">
        <v>24</v>
      </c>
      <c r="D1181" t="s">
        <v>5943</v>
      </c>
      <c r="E1181">
        <v>2E-3</v>
      </c>
      <c r="F1181" t="s">
        <v>662</v>
      </c>
      <c r="G1181" t="s">
        <v>5945</v>
      </c>
    </row>
    <row r="1182" spans="2:7" x14ac:dyDescent="0.3">
      <c r="B1182">
        <v>1.83</v>
      </c>
      <c r="C1182" t="s">
        <v>1799</v>
      </c>
      <c r="D1182" t="s">
        <v>5964</v>
      </c>
      <c r="E1182">
        <v>7.9000000000000008E-3</v>
      </c>
      <c r="F1182">
        <v>-2.3199999999999998E-2</v>
      </c>
      <c r="G1182" t="s">
        <v>5966</v>
      </c>
    </row>
    <row r="1183" spans="2:7" x14ac:dyDescent="0.3">
      <c r="B1183">
        <v>1.48</v>
      </c>
      <c r="C1183" t="s">
        <v>5990</v>
      </c>
      <c r="D1183" t="s">
        <v>5991</v>
      </c>
      <c r="E1183">
        <v>7.4999999999999997E-3</v>
      </c>
      <c r="F1183">
        <v>-4.19E-2</v>
      </c>
      <c r="G1183" t="s">
        <v>5993</v>
      </c>
    </row>
    <row r="1184" spans="2:7" x14ac:dyDescent="0.3">
      <c r="B1184">
        <v>1.27</v>
      </c>
      <c r="C1184" t="s">
        <v>5885</v>
      </c>
      <c r="D1184" t="s">
        <v>6010</v>
      </c>
      <c r="E1184">
        <v>2.8999999999999998E-3</v>
      </c>
      <c r="F1184">
        <v>5.9299999999999999E-2</v>
      </c>
      <c r="G1184" t="s">
        <v>6012</v>
      </c>
    </row>
    <row r="1185" spans="1:7" x14ac:dyDescent="0.3">
      <c r="B1185">
        <v>1.1399999999999999</v>
      </c>
      <c r="C1185" t="s">
        <v>1799</v>
      </c>
      <c r="D1185" t="s">
        <v>6023</v>
      </c>
      <c r="E1185">
        <v>7.9000000000000008E-3</v>
      </c>
      <c r="F1185" t="s">
        <v>662</v>
      </c>
      <c r="G1185" t="s">
        <v>6025</v>
      </c>
    </row>
    <row r="1186" spans="1:7" x14ac:dyDescent="0.3">
      <c r="B1186">
        <v>1.1100000000000001</v>
      </c>
      <c r="C1186" t="s">
        <v>6029</v>
      </c>
      <c r="D1186" t="s">
        <v>6030</v>
      </c>
      <c r="E1186">
        <v>7.4999999999999997E-3</v>
      </c>
      <c r="F1186" t="s">
        <v>662</v>
      </c>
      <c r="G1186" t="s">
        <v>6032</v>
      </c>
    </row>
    <row r="1187" spans="1:7" x14ac:dyDescent="0.3">
      <c r="B1187">
        <v>0.42775000000000002</v>
      </c>
      <c r="C1187" t="s">
        <v>6092</v>
      </c>
      <c r="D1187" t="s">
        <v>6093</v>
      </c>
      <c r="E1187">
        <v>6.7000000000000002E-3</v>
      </c>
      <c r="F1187" t="s">
        <v>662</v>
      </c>
      <c r="G1187" t="s">
        <v>6095</v>
      </c>
    </row>
    <row r="1188" spans="1:7" x14ac:dyDescent="0.3">
      <c r="A1188" t="s">
        <v>46</v>
      </c>
      <c r="B1188" t="s">
        <v>662</v>
      </c>
      <c r="C1188" t="s">
        <v>588</v>
      </c>
      <c r="D1188" t="s">
        <v>6159</v>
      </c>
      <c r="E1188">
        <v>4.0000000000000001E-3</v>
      </c>
      <c r="F1188">
        <v>0</v>
      </c>
      <c r="G1188" t="s">
        <v>6160</v>
      </c>
    </row>
    <row r="1189" spans="1:7" x14ac:dyDescent="0.3">
      <c r="B1189">
        <v>78940</v>
      </c>
      <c r="C1189" t="s">
        <v>16</v>
      </c>
      <c r="D1189" t="s">
        <v>44</v>
      </c>
      <c r="E1189">
        <v>4.0000000000000002E-4</v>
      </c>
      <c r="F1189">
        <v>-9.2499999999999999E-2</v>
      </c>
      <c r="G1189" t="s">
        <v>47</v>
      </c>
    </row>
    <row r="1190" spans="1:7" x14ac:dyDescent="0.3">
      <c r="B1190">
        <v>68160</v>
      </c>
      <c r="C1190" t="s">
        <v>12</v>
      </c>
      <c r="D1190" t="s">
        <v>55</v>
      </c>
      <c r="E1190">
        <v>1.9E-3</v>
      </c>
      <c r="F1190">
        <v>-8.0299999999999996E-2</v>
      </c>
      <c r="G1190" t="s">
        <v>57</v>
      </c>
    </row>
    <row r="1191" spans="1:7" x14ac:dyDescent="0.3">
      <c r="B1191">
        <v>35230</v>
      </c>
      <c r="C1191" t="s">
        <v>12</v>
      </c>
      <c r="D1191" t="s">
        <v>109</v>
      </c>
      <c r="E1191">
        <v>1.8E-3</v>
      </c>
      <c r="F1191">
        <v>-6.0600000000000001E-2</v>
      </c>
      <c r="G1191" t="s">
        <v>111</v>
      </c>
    </row>
    <row r="1192" spans="1:7" x14ac:dyDescent="0.3">
      <c r="B1192">
        <v>15480</v>
      </c>
      <c r="C1192" t="s">
        <v>116</v>
      </c>
      <c r="D1192" t="s">
        <v>216</v>
      </c>
      <c r="E1192">
        <v>4.0000000000000002E-4</v>
      </c>
      <c r="F1192">
        <v>-9.4299999999999995E-2</v>
      </c>
      <c r="G1192" t="s">
        <v>218</v>
      </c>
    </row>
    <row r="1193" spans="1:7" x14ac:dyDescent="0.3">
      <c r="B1193">
        <v>13490</v>
      </c>
      <c r="C1193" t="s">
        <v>7</v>
      </c>
      <c r="D1193" t="s">
        <v>256</v>
      </c>
      <c r="E1193">
        <v>4.0000000000000002E-4</v>
      </c>
      <c r="F1193">
        <v>-5.9499999999999997E-2</v>
      </c>
      <c r="G1193" t="s">
        <v>258</v>
      </c>
    </row>
    <row r="1194" spans="1:7" x14ac:dyDescent="0.3">
      <c r="B1194">
        <v>12780</v>
      </c>
      <c r="C1194" t="s">
        <v>16</v>
      </c>
      <c r="D1194" t="s">
        <v>277</v>
      </c>
      <c r="E1194">
        <v>6.9999999999999999E-4</v>
      </c>
      <c r="F1194">
        <v>-8.1600000000000006E-2</v>
      </c>
      <c r="G1194" t="s">
        <v>279</v>
      </c>
    </row>
    <row r="1195" spans="1:7" x14ac:dyDescent="0.3">
      <c r="B1195">
        <v>7320</v>
      </c>
      <c r="C1195" t="s">
        <v>16</v>
      </c>
      <c r="D1195" t="s">
        <v>412</v>
      </c>
      <c r="E1195">
        <v>8.0000000000000004E-4</v>
      </c>
      <c r="F1195">
        <v>-8.0299999999999996E-2</v>
      </c>
      <c r="G1195" t="s">
        <v>414</v>
      </c>
    </row>
    <row r="1196" spans="1:7" x14ac:dyDescent="0.3">
      <c r="B1196">
        <v>7090</v>
      </c>
      <c r="C1196" t="s">
        <v>16</v>
      </c>
      <c r="D1196" t="s">
        <v>418</v>
      </c>
      <c r="E1196">
        <v>1E-3</v>
      </c>
      <c r="F1196">
        <v>-5.9900000000000002E-2</v>
      </c>
      <c r="G1196" t="s">
        <v>420</v>
      </c>
    </row>
    <row r="1197" spans="1:7" x14ac:dyDescent="0.3">
      <c r="B1197">
        <v>4450</v>
      </c>
      <c r="C1197" t="s">
        <v>12</v>
      </c>
      <c r="D1197" t="s">
        <v>612</v>
      </c>
      <c r="E1197">
        <v>2E-3</v>
      </c>
      <c r="F1197">
        <v>-5.4899999999999997E-2</v>
      </c>
      <c r="G1197" t="s">
        <v>614</v>
      </c>
    </row>
    <row r="1198" spans="1:7" x14ac:dyDescent="0.3">
      <c r="B1198">
        <v>2880</v>
      </c>
      <c r="C1198" t="s">
        <v>24</v>
      </c>
      <c r="D1198" t="s">
        <v>777</v>
      </c>
      <c r="E1198">
        <v>3.5000000000000001E-3</v>
      </c>
      <c r="F1198">
        <v>-0.12939999999999999</v>
      </c>
      <c r="G1198" t="s">
        <v>779</v>
      </c>
    </row>
    <row r="1199" spans="1:7" x14ac:dyDescent="0.3">
      <c r="B1199">
        <v>1080</v>
      </c>
      <c r="C1199" t="s">
        <v>280</v>
      </c>
      <c r="D1199" t="s">
        <v>1233</v>
      </c>
      <c r="E1199">
        <v>6.0000000000000001E-3</v>
      </c>
      <c r="F1199">
        <v>-0.1313</v>
      </c>
      <c r="G1199" t="s">
        <v>1234</v>
      </c>
    </row>
    <row r="1200" spans="1:7" x14ac:dyDescent="0.3">
      <c r="B1200">
        <v>836.57</v>
      </c>
      <c r="C1200" t="s">
        <v>24</v>
      </c>
      <c r="D1200" t="s">
        <v>1418</v>
      </c>
      <c r="E1200">
        <v>3.5999999999999999E-3</v>
      </c>
      <c r="F1200">
        <v>-2.47E-2</v>
      </c>
      <c r="G1200" t="s">
        <v>1420</v>
      </c>
    </row>
    <row r="1201" spans="1:7" x14ac:dyDescent="0.3">
      <c r="B1201">
        <v>831.17</v>
      </c>
      <c r="C1201" t="s">
        <v>780</v>
      </c>
      <c r="D1201" t="s">
        <v>1427</v>
      </c>
      <c r="E1201">
        <v>2.5000000000000001E-3</v>
      </c>
      <c r="F1201">
        <v>-0.1095</v>
      </c>
      <c r="G1201" t="s">
        <v>1429</v>
      </c>
    </row>
    <row r="1202" spans="1:7" x14ac:dyDescent="0.3">
      <c r="B1202">
        <v>720.83</v>
      </c>
      <c r="C1202" t="s">
        <v>24</v>
      </c>
      <c r="D1202" t="s">
        <v>1544</v>
      </c>
      <c r="E1202">
        <v>5.5999999999999999E-3</v>
      </c>
      <c r="F1202">
        <v>-9.6100000000000005E-2</v>
      </c>
      <c r="G1202" t="s">
        <v>1546</v>
      </c>
    </row>
    <row r="1203" spans="1:7" x14ac:dyDescent="0.3">
      <c r="B1203">
        <v>368.33</v>
      </c>
      <c r="C1203" t="s">
        <v>2087</v>
      </c>
      <c r="D1203" t="s">
        <v>2088</v>
      </c>
      <c r="E1203">
        <v>0</v>
      </c>
      <c r="F1203">
        <v>-5.8200000000000002E-2</v>
      </c>
      <c r="G1203" t="s">
        <v>2090</v>
      </c>
    </row>
    <row r="1204" spans="1:7" x14ac:dyDescent="0.3">
      <c r="B1204">
        <v>119.98</v>
      </c>
      <c r="C1204" t="s">
        <v>280</v>
      </c>
      <c r="D1204" t="s">
        <v>3090</v>
      </c>
      <c r="E1204">
        <v>8.5000000000000006E-3</v>
      </c>
      <c r="F1204">
        <v>-0.20810000000000001</v>
      </c>
      <c r="G1204" t="s">
        <v>3092</v>
      </c>
    </row>
    <row r="1205" spans="1:7" x14ac:dyDescent="0.3">
      <c r="B1205">
        <v>71.72</v>
      </c>
      <c r="C1205" t="s">
        <v>964</v>
      </c>
      <c r="D1205" t="s">
        <v>3608</v>
      </c>
      <c r="E1205">
        <v>5.8999999999999999E-3</v>
      </c>
      <c r="F1205" t="s">
        <v>662</v>
      </c>
      <c r="G1205" t="s">
        <v>3610</v>
      </c>
    </row>
    <row r="1206" spans="1:7" x14ac:dyDescent="0.3">
      <c r="B1206">
        <v>59.38</v>
      </c>
      <c r="C1206" t="s">
        <v>3281</v>
      </c>
      <c r="D1206" t="s">
        <v>3765</v>
      </c>
      <c r="E1206">
        <v>5.8999999999999999E-3</v>
      </c>
      <c r="F1206">
        <v>-0.1772</v>
      </c>
      <c r="G1206" t="s">
        <v>3767</v>
      </c>
    </row>
    <row r="1207" spans="1:7" x14ac:dyDescent="0.3">
      <c r="B1207">
        <v>16.64</v>
      </c>
      <c r="C1207" t="s">
        <v>588</v>
      </c>
      <c r="D1207" t="s">
        <v>4970</v>
      </c>
      <c r="E1207">
        <v>6.3E-3</v>
      </c>
      <c r="F1207">
        <v>-0.114</v>
      </c>
      <c r="G1207" t="s">
        <v>4972</v>
      </c>
    </row>
    <row r="1208" spans="1:7" x14ac:dyDescent="0.3">
      <c r="B1208">
        <v>9.59</v>
      </c>
      <c r="C1208" t="s">
        <v>4705</v>
      </c>
      <c r="D1208" t="s">
        <v>5302</v>
      </c>
      <c r="E1208">
        <v>5.4999999999999997E-3</v>
      </c>
      <c r="F1208">
        <v>-0.10150000000000001</v>
      </c>
      <c r="G1208" t="s">
        <v>5304</v>
      </c>
    </row>
    <row r="1209" spans="1:7" x14ac:dyDescent="0.3">
      <c r="B1209">
        <v>6.5</v>
      </c>
      <c r="C1209" t="s">
        <v>863</v>
      </c>
      <c r="D1209" t="s">
        <v>5531</v>
      </c>
      <c r="E1209">
        <v>3.8999999999999998E-3</v>
      </c>
      <c r="F1209">
        <v>-6.2700000000000006E-2</v>
      </c>
      <c r="G1209" t="s">
        <v>5532</v>
      </c>
    </row>
    <row r="1210" spans="1:7" x14ac:dyDescent="0.3">
      <c r="B1210">
        <v>5.31</v>
      </c>
      <c r="C1210" t="s">
        <v>12</v>
      </c>
      <c r="D1210" t="s">
        <v>5646</v>
      </c>
      <c r="E1210">
        <v>2.5000000000000001E-3</v>
      </c>
      <c r="F1210">
        <v>-7.1599999999999997E-2</v>
      </c>
      <c r="G1210" t="s">
        <v>5648</v>
      </c>
    </row>
    <row r="1211" spans="1:7" x14ac:dyDescent="0.3">
      <c r="B1211">
        <v>5.22</v>
      </c>
      <c r="C1211" t="s">
        <v>780</v>
      </c>
      <c r="D1211" t="s">
        <v>5658</v>
      </c>
      <c r="E1211">
        <v>6.4000000000000003E-3</v>
      </c>
      <c r="F1211">
        <v>-0.1172</v>
      </c>
      <c r="G1211" t="s">
        <v>5660</v>
      </c>
    </row>
    <row r="1212" spans="1:7" x14ac:dyDescent="0.3">
      <c r="B1212">
        <v>0.61535000000000006</v>
      </c>
      <c r="C1212" t="s">
        <v>6062</v>
      </c>
      <c r="D1212" t="s">
        <v>6063</v>
      </c>
      <c r="E1212">
        <v>8.5000000000000006E-3</v>
      </c>
      <c r="F1212" t="s">
        <v>662</v>
      </c>
      <c r="G1212" t="s">
        <v>6065</v>
      </c>
    </row>
    <row r="1213" spans="1:7" x14ac:dyDescent="0.3">
      <c r="A1213" t="s">
        <v>38</v>
      </c>
      <c r="B1213">
        <v>92170</v>
      </c>
      <c r="C1213" t="s">
        <v>16</v>
      </c>
      <c r="D1213" t="s">
        <v>36</v>
      </c>
      <c r="E1213">
        <v>4.0000000000000002E-4</v>
      </c>
      <c r="F1213">
        <v>1.1599999999999999E-2</v>
      </c>
      <c r="G1213" t="s">
        <v>39</v>
      </c>
    </row>
    <row r="1214" spans="1:7" x14ac:dyDescent="0.3">
      <c r="B1214">
        <v>56870</v>
      </c>
      <c r="C1214" t="s">
        <v>12</v>
      </c>
      <c r="D1214" t="s">
        <v>68</v>
      </c>
      <c r="E1214">
        <v>1.9E-3</v>
      </c>
      <c r="F1214">
        <v>-1.46E-2</v>
      </c>
      <c r="G1214" t="s">
        <v>70</v>
      </c>
    </row>
    <row r="1215" spans="1:7" x14ac:dyDescent="0.3">
      <c r="B1215">
        <v>24040</v>
      </c>
      <c r="C1215" t="s">
        <v>12</v>
      </c>
      <c r="D1215" t="s">
        <v>162</v>
      </c>
      <c r="E1215">
        <v>1.8E-3</v>
      </c>
      <c r="F1215">
        <v>-1.6000000000000001E-3</v>
      </c>
      <c r="G1215" t="s">
        <v>164</v>
      </c>
    </row>
    <row r="1216" spans="1:7" x14ac:dyDescent="0.3">
      <c r="B1216">
        <v>13130</v>
      </c>
      <c r="C1216" t="s">
        <v>7</v>
      </c>
      <c r="D1216" t="s">
        <v>259</v>
      </c>
      <c r="E1216">
        <v>4.0000000000000002E-4</v>
      </c>
      <c r="F1216">
        <v>-8.0000000000000004E-4</v>
      </c>
      <c r="G1216" t="s">
        <v>261</v>
      </c>
    </row>
    <row r="1217" spans="2:7" x14ac:dyDescent="0.3">
      <c r="B1217">
        <v>10120</v>
      </c>
      <c r="C1217" t="s">
        <v>116</v>
      </c>
      <c r="D1217" t="s">
        <v>320</v>
      </c>
      <c r="E1217">
        <v>4.0000000000000002E-4</v>
      </c>
      <c r="F1217">
        <v>-6.7999999999999996E-3</v>
      </c>
      <c r="G1217" t="s">
        <v>322</v>
      </c>
    </row>
    <row r="1218" spans="2:7" x14ac:dyDescent="0.3">
      <c r="B1218">
        <v>6870</v>
      </c>
      <c r="C1218" t="s">
        <v>16</v>
      </c>
      <c r="D1218" t="s">
        <v>431</v>
      </c>
      <c r="E1218">
        <v>8.0000000000000004E-4</v>
      </c>
      <c r="F1218">
        <v>-1.43E-2</v>
      </c>
      <c r="G1218" t="s">
        <v>433</v>
      </c>
    </row>
    <row r="1219" spans="2:7" x14ac:dyDescent="0.3">
      <c r="B1219">
        <v>5050</v>
      </c>
      <c r="C1219" t="s">
        <v>16</v>
      </c>
      <c r="D1219" t="s">
        <v>574</v>
      </c>
      <c r="E1219">
        <v>6.9999999999999999E-4</v>
      </c>
      <c r="F1219">
        <v>1.89E-2</v>
      </c>
      <c r="G1219" t="s">
        <v>575</v>
      </c>
    </row>
    <row r="1220" spans="2:7" x14ac:dyDescent="0.3">
      <c r="B1220">
        <v>3090</v>
      </c>
      <c r="C1220" t="s">
        <v>24</v>
      </c>
      <c r="D1220" t="s">
        <v>760</v>
      </c>
      <c r="E1220">
        <v>3.5000000000000001E-3</v>
      </c>
      <c r="F1220">
        <v>1.0699999999999999E-2</v>
      </c>
      <c r="G1220" t="s">
        <v>762</v>
      </c>
    </row>
    <row r="1221" spans="2:7" x14ac:dyDescent="0.3">
      <c r="B1221">
        <v>2630</v>
      </c>
      <c r="C1221" t="s">
        <v>16</v>
      </c>
      <c r="D1221" t="s">
        <v>820</v>
      </c>
      <c r="E1221">
        <v>1E-3</v>
      </c>
      <c r="F1221">
        <v>-1.1999999999999999E-3</v>
      </c>
      <c r="G1221" t="s">
        <v>821</v>
      </c>
    </row>
    <row r="1222" spans="2:7" x14ac:dyDescent="0.3">
      <c r="B1222">
        <v>1270</v>
      </c>
      <c r="C1222" t="s">
        <v>780</v>
      </c>
      <c r="D1222" t="s">
        <v>1129</v>
      </c>
      <c r="E1222">
        <v>2.5000000000000001E-3</v>
      </c>
      <c r="F1222">
        <v>-1.17E-2</v>
      </c>
      <c r="G1222" t="s">
        <v>1130</v>
      </c>
    </row>
    <row r="1223" spans="2:7" x14ac:dyDescent="0.3">
      <c r="B1223">
        <v>1200</v>
      </c>
      <c r="C1223" t="s">
        <v>12</v>
      </c>
      <c r="D1223" t="s">
        <v>1163</v>
      </c>
      <c r="E1223">
        <v>2E-3</v>
      </c>
      <c r="F1223">
        <v>-2.0999999999999999E-3</v>
      </c>
      <c r="G1223" t="s">
        <v>1165</v>
      </c>
    </row>
    <row r="1224" spans="2:7" x14ac:dyDescent="0.3">
      <c r="B1224">
        <v>1180</v>
      </c>
      <c r="C1224" t="s">
        <v>280</v>
      </c>
      <c r="D1224" t="s">
        <v>1174</v>
      </c>
      <c r="E1224">
        <v>6.0000000000000001E-3</v>
      </c>
      <c r="F1224">
        <v>1.37E-2</v>
      </c>
      <c r="G1224" t="s">
        <v>1176</v>
      </c>
    </row>
    <row r="1225" spans="2:7" x14ac:dyDescent="0.3">
      <c r="B1225">
        <v>820.98</v>
      </c>
      <c r="C1225" t="s">
        <v>24</v>
      </c>
      <c r="D1225" t="s">
        <v>1445</v>
      </c>
      <c r="E1225">
        <v>5.7999999999999996E-3</v>
      </c>
      <c r="F1225">
        <v>2.5600000000000001E-2</v>
      </c>
      <c r="G1225" t="s">
        <v>1447</v>
      </c>
    </row>
    <row r="1226" spans="2:7" x14ac:dyDescent="0.3">
      <c r="B1226">
        <v>484.82</v>
      </c>
      <c r="C1226" t="s">
        <v>332</v>
      </c>
      <c r="D1226" t="s">
        <v>1819</v>
      </c>
      <c r="E1226">
        <v>1.1999999999999999E-3</v>
      </c>
      <c r="F1226">
        <v>-1.1900000000000001E-2</v>
      </c>
      <c r="G1226" t="s">
        <v>1821</v>
      </c>
    </row>
    <row r="1227" spans="2:7" x14ac:dyDescent="0.3">
      <c r="B1227">
        <v>456.15</v>
      </c>
      <c r="C1227" t="s">
        <v>460</v>
      </c>
      <c r="D1227" t="s">
        <v>1878</v>
      </c>
      <c r="E1227">
        <v>2.8999999999999998E-3</v>
      </c>
      <c r="F1227">
        <v>-7.4999999999999997E-3</v>
      </c>
      <c r="G1227" t="s">
        <v>1880</v>
      </c>
    </row>
    <row r="1228" spans="2:7" x14ac:dyDescent="0.3">
      <c r="B1228">
        <v>232.97</v>
      </c>
      <c r="C1228" t="s">
        <v>863</v>
      </c>
      <c r="D1228" t="s">
        <v>2420</v>
      </c>
      <c r="E1228">
        <v>4.1999999999999997E-3</v>
      </c>
      <c r="F1228">
        <v>2.0999999999999999E-3</v>
      </c>
      <c r="G1228" t="s">
        <v>2422</v>
      </c>
    </row>
    <row r="1229" spans="2:7" x14ac:dyDescent="0.3">
      <c r="B1229">
        <v>158.33000000000001</v>
      </c>
      <c r="C1229" t="s">
        <v>24</v>
      </c>
      <c r="D1229" t="s">
        <v>2780</v>
      </c>
      <c r="E1229">
        <v>1.2999999999999999E-3</v>
      </c>
      <c r="F1229">
        <v>2.1100000000000001E-2</v>
      </c>
      <c r="G1229" t="s">
        <v>2782</v>
      </c>
    </row>
    <row r="1230" spans="2:7" x14ac:dyDescent="0.3">
      <c r="B1230">
        <v>129</v>
      </c>
      <c r="C1230" t="s">
        <v>863</v>
      </c>
      <c r="D1230" t="s">
        <v>2998</v>
      </c>
      <c r="E1230">
        <v>1.5E-3</v>
      </c>
      <c r="F1230">
        <v>-2.75E-2</v>
      </c>
      <c r="G1230" t="s">
        <v>3000</v>
      </c>
    </row>
    <row r="1231" spans="2:7" x14ac:dyDescent="0.3">
      <c r="B1231">
        <v>52.38</v>
      </c>
      <c r="C1231" t="s">
        <v>3867</v>
      </c>
      <c r="D1231" t="s">
        <v>3868</v>
      </c>
      <c r="E1231">
        <v>2.8999999999999998E-3</v>
      </c>
      <c r="F1231">
        <v>1.43E-2</v>
      </c>
      <c r="G1231" t="s">
        <v>3870</v>
      </c>
    </row>
    <row r="1232" spans="2:7" x14ac:dyDescent="0.3">
      <c r="B1232">
        <v>44.15</v>
      </c>
      <c r="C1232" t="s">
        <v>4014</v>
      </c>
      <c r="D1232" t="s">
        <v>4015</v>
      </c>
      <c r="E1232">
        <v>8.8999999999999999E-3</v>
      </c>
      <c r="F1232">
        <v>-9.4000000000000004E-3</v>
      </c>
      <c r="G1232" t="s">
        <v>4017</v>
      </c>
    </row>
    <row r="1233" spans="1:7" x14ac:dyDescent="0.3">
      <c r="B1233">
        <v>39.729999999999997</v>
      </c>
      <c r="C1233" t="s">
        <v>24</v>
      </c>
      <c r="D1233" t="s">
        <v>4118</v>
      </c>
      <c r="E1233">
        <v>3.8999999999999998E-3</v>
      </c>
      <c r="F1233">
        <v>-2.5999999999999999E-3</v>
      </c>
      <c r="G1233" t="s">
        <v>4120</v>
      </c>
    </row>
    <row r="1234" spans="1:7" x14ac:dyDescent="0.3">
      <c r="B1234">
        <v>34.270000000000003</v>
      </c>
      <c r="C1234" t="s">
        <v>588</v>
      </c>
      <c r="D1234" t="s">
        <v>4273</v>
      </c>
      <c r="E1234">
        <v>6.4000000000000003E-3</v>
      </c>
      <c r="F1234">
        <v>4.4000000000000003E-3</v>
      </c>
      <c r="G1234" t="s">
        <v>4275</v>
      </c>
    </row>
    <row r="1235" spans="1:7" x14ac:dyDescent="0.3">
      <c r="B1235">
        <v>32.909999999999997</v>
      </c>
      <c r="C1235" t="s">
        <v>2564</v>
      </c>
      <c r="D1235" t="s">
        <v>4317</v>
      </c>
      <c r="E1235">
        <v>9.4999999999999998E-3</v>
      </c>
      <c r="F1235">
        <v>-3.7400000000000003E-2</v>
      </c>
      <c r="G1235" t="s">
        <v>4319</v>
      </c>
    </row>
    <row r="1236" spans="1:7" x14ac:dyDescent="0.3">
      <c r="B1236">
        <v>29.81</v>
      </c>
      <c r="C1236" t="s">
        <v>400</v>
      </c>
      <c r="D1236" t="s">
        <v>4403</v>
      </c>
      <c r="E1236">
        <v>5.5999999999999999E-3</v>
      </c>
      <c r="F1236">
        <v>1.21E-2</v>
      </c>
      <c r="G1236" t="s">
        <v>4405</v>
      </c>
    </row>
    <row r="1237" spans="1:7" x14ac:dyDescent="0.3">
      <c r="B1237">
        <v>29.7</v>
      </c>
      <c r="C1237" t="s">
        <v>332</v>
      </c>
      <c r="D1237" t="s">
        <v>4414</v>
      </c>
      <c r="E1237">
        <v>4.4000000000000003E-3</v>
      </c>
      <c r="F1237">
        <v>6.8999999999999999E-3</v>
      </c>
      <c r="G1237" t="s">
        <v>4416</v>
      </c>
    </row>
    <row r="1238" spans="1:7" x14ac:dyDescent="0.3">
      <c r="B1238">
        <v>22.8</v>
      </c>
      <c r="C1238" t="s">
        <v>2951</v>
      </c>
      <c r="D1238" t="s">
        <v>4667</v>
      </c>
      <c r="E1238">
        <v>1.9E-3</v>
      </c>
      <c r="F1238">
        <v>-1.4200000000000001E-2</v>
      </c>
      <c r="G1238" t="s">
        <v>4669</v>
      </c>
    </row>
    <row r="1239" spans="1:7" x14ac:dyDescent="0.3">
      <c r="B1239">
        <v>22.06</v>
      </c>
      <c r="C1239" t="s">
        <v>4705</v>
      </c>
      <c r="D1239" t="s">
        <v>4706</v>
      </c>
      <c r="E1239">
        <v>5.4999999999999997E-3</v>
      </c>
      <c r="F1239">
        <v>-1.9E-2</v>
      </c>
      <c r="G1239" t="s">
        <v>4708</v>
      </c>
    </row>
    <row r="1240" spans="1:7" x14ac:dyDescent="0.3">
      <c r="B1240">
        <v>7.23</v>
      </c>
      <c r="C1240" t="s">
        <v>12</v>
      </c>
      <c r="D1240" t="s">
        <v>5471</v>
      </c>
      <c r="E1240">
        <v>2.5000000000000001E-3</v>
      </c>
      <c r="F1240">
        <v>-2.4199999999999999E-2</v>
      </c>
      <c r="G1240" t="s">
        <v>5473</v>
      </c>
    </row>
    <row r="1241" spans="1:7" x14ac:dyDescent="0.3">
      <c r="B1241">
        <v>5.52</v>
      </c>
      <c r="C1241" t="s">
        <v>517</v>
      </c>
      <c r="D1241" t="s">
        <v>5618</v>
      </c>
      <c r="E1241">
        <v>5.4999999999999997E-3</v>
      </c>
      <c r="F1241">
        <v>-3.2000000000000001E-2</v>
      </c>
      <c r="G1241" t="s">
        <v>5619</v>
      </c>
    </row>
    <row r="1242" spans="1:7" x14ac:dyDescent="0.3">
      <c r="B1242">
        <v>3.53</v>
      </c>
      <c r="C1242" t="s">
        <v>1340</v>
      </c>
      <c r="D1242" t="s">
        <v>5800</v>
      </c>
      <c r="E1242">
        <v>4.8999999999999998E-3</v>
      </c>
      <c r="F1242">
        <v>-6.7500000000000004E-2</v>
      </c>
      <c r="G1242" t="s">
        <v>5802</v>
      </c>
    </row>
    <row r="1243" spans="1:7" x14ac:dyDescent="0.3">
      <c r="B1243">
        <v>0.51451000000000002</v>
      </c>
      <c r="C1243" t="s">
        <v>6062</v>
      </c>
      <c r="D1243" t="s">
        <v>6080</v>
      </c>
      <c r="E1243">
        <v>8.5000000000000006E-3</v>
      </c>
      <c r="F1243" t="s">
        <v>662</v>
      </c>
      <c r="G1243" t="s">
        <v>6082</v>
      </c>
    </row>
    <row r="1244" spans="1:7" x14ac:dyDescent="0.3">
      <c r="A1244" t="s">
        <v>1228</v>
      </c>
      <c r="B1244">
        <v>1090</v>
      </c>
      <c r="C1244" t="s">
        <v>12</v>
      </c>
      <c r="D1244" t="s">
        <v>1227</v>
      </c>
      <c r="E1244">
        <v>6.0000000000000001E-3</v>
      </c>
      <c r="F1244">
        <v>-0.159</v>
      </c>
      <c r="G1244" t="s">
        <v>1229</v>
      </c>
    </row>
    <row r="1245" spans="1:7" x14ac:dyDescent="0.3">
      <c r="B1245">
        <v>169.36</v>
      </c>
      <c r="C1245" t="s">
        <v>280</v>
      </c>
      <c r="D1245" t="s">
        <v>2720</v>
      </c>
      <c r="E1245">
        <v>6.0000000000000001E-3</v>
      </c>
      <c r="F1245">
        <v>-4.2700000000000002E-2</v>
      </c>
      <c r="G1245" t="s">
        <v>2722</v>
      </c>
    </row>
    <row r="1246" spans="1:7" x14ac:dyDescent="0.3">
      <c r="B1246">
        <v>6.86</v>
      </c>
      <c r="C1246" t="s">
        <v>1289</v>
      </c>
      <c r="D1246" t="s">
        <v>5501</v>
      </c>
      <c r="E1246">
        <v>1.2699999999999999E-2</v>
      </c>
      <c r="F1246">
        <v>-0.11</v>
      </c>
      <c r="G1246" t="s">
        <v>5503</v>
      </c>
    </row>
    <row r="1247" spans="1:7" x14ac:dyDescent="0.3">
      <c r="A1247" t="s">
        <v>63</v>
      </c>
      <c r="B1247" t="s">
        <v>662</v>
      </c>
      <c r="C1247" t="s">
        <v>12</v>
      </c>
      <c r="D1247" t="s">
        <v>6167</v>
      </c>
      <c r="E1247">
        <v>3.0000000000000001E-3</v>
      </c>
      <c r="F1247">
        <v>0</v>
      </c>
      <c r="G1247" t="s">
        <v>6168</v>
      </c>
    </row>
    <row r="1248" spans="1:7" x14ac:dyDescent="0.3">
      <c r="C1248" t="s">
        <v>6113</v>
      </c>
      <c r="D1248" t="s">
        <v>6207</v>
      </c>
      <c r="E1248">
        <v>4.1000000000000003E-3</v>
      </c>
      <c r="F1248">
        <v>-4.7000000000000002E-3</v>
      </c>
      <c r="G1248" t="s">
        <v>6208</v>
      </c>
    </row>
    <row r="1249" spans="2:7" x14ac:dyDescent="0.3">
      <c r="B1249">
        <v>62810</v>
      </c>
      <c r="C1249" t="s">
        <v>12</v>
      </c>
      <c r="D1249" t="s">
        <v>61</v>
      </c>
      <c r="E1249">
        <v>5.0000000000000001E-4</v>
      </c>
      <c r="F1249">
        <v>-6.8199999999999997E-2</v>
      </c>
      <c r="G1249" t="s">
        <v>64</v>
      </c>
    </row>
    <row r="1250" spans="2:7" x14ac:dyDescent="0.3">
      <c r="B1250">
        <v>52300</v>
      </c>
      <c r="C1250" t="s">
        <v>16</v>
      </c>
      <c r="D1250" t="s">
        <v>78</v>
      </c>
      <c r="E1250">
        <v>4.0000000000000002E-4</v>
      </c>
      <c r="F1250">
        <v>-8.7800000000000003E-2</v>
      </c>
      <c r="G1250" t="s">
        <v>80</v>
      </c>
    </row>
    <row r="1251" spans="2:7" x14ac:dyDescent="0.3">
      <c r="B1251">
        <v>28630</v>
      </c>
      <c r="C1251" t="s">
        <v>12</v>
      </c>
      <c r="D1251" t="s">
        <v>145</v>
      </c>
      <c r="E1251">
        <v>1.9E-3</v>
      </c>
      <c r="F1251">
        <v>-9.3399999999999997E-2</v>
      </c>
      <c r="G1251" t="s">
        <v>147</v>
      </c>
    </row>
    <row r="1252" spans="2:7" x14ac:dyDescent="0.3">
      <c r="B1252">
        <v>19690</v>
      </c>
      <c r="C1252" t="s">
        <v>7</v>
      </c>
      <c r="D1252" t="s">
        <v>191</v>
      </c>
      <c r="E1252">
        <v>2.3E-3</v>
      </c>
      <c r="F1252">
        <v>-6.9000000000000006E-2</v>
      </c>
      <c r="G1252" t="s">
        <v>193</v>
      </c>
    </row>
    <row r="1253" spans="2:7" x14ac:dyDescent="0.3">
      <c r="B1253">
        <v>9450</v>
      </c>
      <c r="C1253" t="s">
        <v>116</v>
      </c>
      <c r="D1253" t="s">
        <v>336</v>
      </c>
      <c r="E1253">
        <v>4.0000000000000002E-4</v>
      </c>
      <c r="F1253">
        <v>-9.5100000000000004E-2</v>
      </c>
      <c r="G1253" t="s">
        <v>338</v>
      </c>
    </row>
    <row r="1254" spans="2:7" x14ac:dyDescent="0.3">
      <c r="B1254">
        <v>5030</v>
      </c>
      <c r="C1254" t="s">
        <v>7</v>
      </c>
      <c r="D1254" t="s">
        <v>576</v>
      </c>
      <c r="E1254">
        <v>5.0000000000000001E-4</v>
      </c>
      <c r="F1254">
        <v>-6.8500000000000005E-2</v>
      </c>
      <c r="G1254" t="s">
        <v>578</v>
      </c>
    </row>
    <row r="1255" spans="2:7" x14ac:dyDescent="0.3">
      <c r="B1255">
        <v>3010</v>
      </c>
      <c r="C1255" t="s">
        <v>440</v>
      </c>
      <c r="D1255" t="s">
        <v>767</v>
      </c>
      <c r="E1255">
        <v>3.8E-3</v>
      </c>
      <c r="F1255">
        <v>-2.1100000000000001E-2</v>
      </c>
      <c r="G1255" t="s">
        <v>769</v>
      </c>
    </row>
    <row r="1256" spans="2:7" x14ac:dyDescent="0.3">
      <c r="B1256">
        <v>2440</v>
      </c>
      <c r="C1256" t="s">
        <v>839</v>
      </c>
      <c r="D1256" t="s">
        <v>840</v>
      </c>
      <c r="E1256">
        <v>4.1000000000000003E-3</v>
      </c>
      <c r="F1256">
        <v>-6.88E-2</v>
      </c>
      <c r="G1256" t="s">
        <v>842</v>
      </c>
    </row>
    <row r="1257" spans="2:7" x14ac:dyDescent="0.3">
      <c r="B1257">
        <v>1450</v>
      </c>
      <c r="C1257" t="s">
        <v>16</v>
      </c>
      <c r="D1257" t="s">
        <v>1065</v>
      </c>
      <c r="E1257">
        <v>1E-3</v>
      </c>
      <c r="F1257">
        <v>-6.8599999999999994E-2</v>
      </c>
      <c r="G1257" t="s">
        <v>1067</v>
      </c>
    </row>
    <row r="1258" spans="2:7" x14ac:dyDescent="0.3">
      <c r="B1258">
        <v>1410</v>
      </c>
      <c r="C1258" t="s">
        <v>332</v>
      </c>
      <c r="D1258" t="s">
        <v>1086</v>
      </c>
      <c r="E1258">
        <v>6.9999999999999999E-4</v>
      </c>
      <c r="F1258">
        <v>-0.1167</v>
      </c>
      <c r="G1258" t="s">
        <v>1088</v>
      </c>
    </row>
    <row r="1259" spans="2:7" x14ac:dyDescent="0.3">
      <c r="B1259">
        <v>1270</v>
      </c>
      <c r="C1259" t="s">
        <v>24</v>
      </c>
      <c r="D1259" t="s">
        <v>1126</v>
      </c>
      <c r="E1259">
        <v>2.5000000000000001E-3</v>
      </c>
      <c r="F1259">
        <v>-7.7999999999999996E-3</v>
      </c>
      <c r="G1259" t="s">
        <v>1128</v>
      </c>
    </row>
    <row r="1260" spans="2:7" x14ac:dyDescent="0.3">
      <c r="B1260">
        <v>979.45</v>
      </c>
      <c r="C1260" t="s">
        <v>280</v>
      </c>
      <c r="D1260" t="s">
        <v>1286</v>
      </c>
      <c r="E1260">
        <v>6.0000000000000001E-3</v>
      </c>
      <c r="F1260">
        <v>-7.9500000000000001E-2</v>
      </c>
      <c r="G1260" t="s">
        <v>1288</v>
      </c>
    </row>
    <row r="1261" spans="2:7" x14ac:dyDescent="0.3">
      <c r="B1261">
        <v>844.49</v>
      </c>
      <c r="C1261" t="s">
        <v>24</v>
      </c>
      <c r="D1261" t="s">
        <v>1405</v>
      </c>
      <c r="E1261">
        <v>3.3E-3</v>
      </c>
      <c r="F1261">
        <v>-9.5299999999999996E-2</v>
      </c>
      <c r="G1261" t="s">
        <v>1407</v>
      </c>
    </row>
    <row r="1262" spans="2:7" x14ac:dyDescent="0.3">
      <c r="B1262">
        <v>821.24</v>
      </c>
      <c r="C1262" t="s">
        <v>12</v>
      </c>
      <c r="D1262" t="s">
        <v>1442</v>
      </c>
      <c r="E1262">
        <v>4.0000000000000002E-4</v>
      </c>
      <c r="F1262">
        <v>-7.7799999999999994E-2</v>
      </c>
      <c r="G1262" t="s">
        <v>1444</v>
      </c>
    </row>
    <row r="1263" spans="2:7" x14ac:dyDescent="0.3">
      <c r="B1263">
        <v>800.63</v>
      </c>
      <c r="C1263" t="s">
        <v>440</v>
      </c>
      <c r="D1263" t="s">
        <v>1465</v>
      </c>
      <c r="E1263">
        <v>3.8E-3</v>
      </c>
      <c r="F1263">
        <v>-4.3299999999999998E-2</v>
      </c>
      <c r="G1263" t="s">
        <v>1467</v>
      </c>
    </row>
    <row r="1264" spans="2:7" x14ac:dyDescent="0.3">
      <c r="B1264">
        <v>425.56</v>
      </c>
      <c r="C1264" t="s">
        <v>941</v>
      </c>
      <c r="D1264" t="s">
        <v>1931</v>
      </c>
      <c r="E1264">
        <v>6.0000000000000001E-3</v>
      </c>
      <c r="F1264">
        <v>-3.9300000000000002E-2</v>
      </c>
      <c r="G1264" t="s">
        <v>1933</v>
      </c>
    </row>
    <row r="1265" spans="2:7" x14ac:dyDescent="0.3">
      <c r="B1265">
        <v>378.96</v>
      </c>
      <c r="C1265" t="s">
        <v>24</v>
      </c>
      <c r="D1265" t="s">
        <v>2048</v>
      </c>
      <c r="E1265">
        <v>3.8999999999999998E-3</v>
      </c>
      <c r="F1265">
        <v>-4.65E-2</v>
      </c>
      <c r="G1265" t="s">
        <v>2050</v>
      </c>
    </row>
    <row r="1266" spans="2:7" x14ac:dyDescent="0.3">
      <c r="B1266">
        <v>310.31</v>
      </c>
      <c r="C1266" t="s">
        <v>24</v>
      </c>
      <c r="D1266" t="s">
        <v>2222</v>
      </c>
      <c r="E1266">
        <v>2.5000000000000001E-3</v>
      </c>
      <c r="F1266">
        <v>-7.9600000000000004E-2</v>
      </c>
      <c r="G1266" t="s">
        <v>2224</v>
      </c>
    </row>
    <row r="1267" spans="2:7" x14ac:dyDescent="0.3">
      <c r="B1267">
        <v>222</v>
      </c>
      <c r="C1267" t="s">
        <v>332</v>
      </c>
      <c r="D1267" t="s">
        <v>2459</v>
      </c>
      <c r="E1267">
        <v>2.3999999999999998E-3</v>
      </c>
      <c r="F1267">
        <v>-2.9899999999999999E-2</v>
      </c>
      <c r="G1267" t="s">
        <v>2461</v>
      </c>
    </row>
    <row r="1268" spans="2:7" x14ac:dyDescent="0.3">
      <c r="B1268">
        <v>213.42</v>
      </c>
      <c r="C1268" t="s">
        <v>24</v>
      </c>
      <c r="D1268" t="s">
        <v>2493</v>
      </c>
      <c r="E1268">
        <v>6.8999999999999999E-3</v>
      </c>
      <c r="F1268">
        <v>-3.1800000000000002E-2</v>
      </c>
      <c r="G1268" t="s">
        <v>2495</v>
      </c>
    </row>
    <row r="1269" spans="2:7" x14ac:dyDescent="0.3">
      <c r="B1269">
        <v>195.78</v>
      </c>
      <c r="C1269" t="s">
        <v>24</v>
      </c>
      <c r="D1269" t="s">
        <v>2583</v>
      </c>
      <c r="E1269">
        <v>1.5E-3</v>
      </c>
      <c r="F1269">
        <v>-6.0900000000000003E-2</v>
      </c>
      <c r="G1269" t="s">
        <v>2585</v>
      </c>
    </row>
    <row r="1270" spans="2:7" x14ac:dyDescent="0.3">
      <c r="B1270">
        <v>127.1</v>
      </c>
      <c r="C1270" t="s">
        <v>24</v>
      </c>
      <c r="D1270" t="s">
        <v>3021</v>
      </c>
      <c r="E1270">
        <v>4.0000000000000001E-3</v>
      </c>
      <c r="F1270">
        <v>-5.3600000000000002E-2</v>
      </c>
      <c r="G1270" t="s">
        <v>3023</v>
      </c>
    </row>
    <row r="1271" spans="2:7" x14ac:dyDescent="0.3">
      <c r="B1271">
        <v>108.17</v>
      </c>
      <c r="C1271" t="s">
        <v>1904</v>
      </c>
      <c r="D1271" t="s">
        <v>3189</v>
      </c>
      <c r="E1271">
        <v>4.0000000000000002E-4</v>
      </c>
      <c r="F1271">
        <v>-0.08</v>
      </c>
      <c r="G1271" t="s">
        <v>3191</v>
      </c>
    </row>
    <row r="1272" spans="2:7" x14ac:dyDescent="0.3">
      <c r="B1272">
        <v>63.77</v>
      </c>
      <c r="C1272" t="s">
        <v>12</v>
      </c>
      <c r="D1272" t="s">
        <v>3704</v>
      </c>
      <c r="E1272">
        <v>1.1999999999999999E-3</v>
      </c>
      <c r="F1272">
        <v>-6.7400000000000002E-2</v>
      </c>
      <c r="G1272" t="s">
        <v>3706</v>
      </c>
    </row>
    <row r="1273" spans="2:7" x14ac:dyDescent="0.3">
      <c r="B1273">
        <v>52.7</v>
      </c>
      <c r="C1273" t="s">
        <v>1340</v>
      </c>
      <c r="D1273" t="s">
        <v>3856</v>
      </c>
      <c r="E1273">
        <v>3.0000000000000001E-3</v>
      </c>
      <c r="F1273">
        <v>-4.48E-2</v>
      </c>
      <c r="G1273" t="s">
        <v>3858</v>
      </c>
    </row>
    <row r="1274" spans="2:7" x14ac:dyDescent="0.3">
      <c r="B1274">
        <v>35.28</v>
      </c>
      <c r="C1274" t="s">
        <v>941</v>
      </c>
      <c r="D1274" t="s">
        <v>4247</v>
      </c>
      <c r="E1274">
        <v>6.0000000000000001E-3</v>
      </c>
      <c r="F1274">
        <v>-7.8200000000000006E-2</v>
      </c>
      <c r="G1274" t="s">
        <v>4249</v>
      </c>
    </row>
    <row r="1275" spans="2:7" x14ac:dyDescent="0.3">
      <c r="B1275">
        <v>25.52</v>
      </c>
      <c r="C1275" t="s">
        <v>2246</v>
      </c>
      <c r="D1275" t="s">
        <v>4544</v>
      </c>
      <c r="E1275">
        <v>8.5000000000000006E-3</v>
      </c>
      <c r="F1275">
        <v>-0.1807</v>
      </c>
      <c r="G1275" t="s">
        <v>4546</v>
      </c>
    </row>
    <row r="1276" spans="2:7" x14ac:dyDescent="0.3">
      <c r="B1276">
        <v>21.33</v>
      </c>
      <c r="C1276" t="s">
        <v>280</v>
      </c>
      <c r="D1276" t="s">
        <v>4742</v>
      </c>
      <c r="E1276">
        <v>6.0000000000000001E-3</v>
      </c>
      <c r="F1276">
        <v>-4.36E-2</v>
      </c>
      <c r="G1276" t="s">
        <v>4744</v>
      </c>
    </row>
    <row r="1277" spans="2:7" x14ac:dyDescent="0.3">
      <c r="B1277">
        <v>10.39</v>
      </c>
      <c r="C1277" t="s">
        <v>618</v>
      </c>
      <c r="D1277" t="s">
        <v>5257</v>
      </c>
      <c r="E1277">
        <v>1.5E-3</v>
      </c>
      <c r="F1277">
        <v>-5.8700000000000002E-2</v>
      </c>
      <c r="G1277" t="s">
        <v>5259</v>
      </c>
    </row>
    <row r="1278" spans="2:7" x14ac:dyDescent="0.3">
      <c r="B1278">
        <v>9.35</v>
      </c>
      <c r="C1278" t="s">
        <v>3230</v>
      </c>
      <c r="D1278" t="s">
        <v>5322</v>
      </c>
      <c r="E1278">
        <v>3.5000000000000001E-3</v>
      </c>
      <c r="F1278">
        <v>-6.7299999999999999E-2</v>
      </c>
      <c r="G1278" t="s">
        <v>5324</v>
      </c>
    </row>
    <row r="1279" spans="2:7" x14ac:dyDescent="0.3">
      <c r="B1279">
        <v>8.68</v>
      </c>
      <c r="C1279" t="s">
        <v>5275</v>
      </c>
      <c r="D1279" t="s">
        <v>5360</v>
      </c>
      <c r="E1279">
        <v>8.5000000000000006E-3</v>
      </c>
      <c r="F1279">
        <v>-0.1288</v>
      </c>
      <c r="G1279" t="s">
        <v>5362</v>
      </c>
    </row>
    <row r="1280" spans="2:7" x14ac:dyDescent="0.3">
      <c r="B1280">
        <v>7.51</v>
      </c>
      <c r="C1280" t="s">
        <v>12</v>
      </c>
      <c r="D1280" t="s">
        <v>5447</v>
      </c>
      <c r="E1280">
        <v>2.5000000000000001E-3</v>
      </c>
      <c r="F1280">
        <v>-2.98E-2</v>
      </c>
      <c r="G1280" t="s">
        <v>5449</v>
      </c>
    </row>
    <row r="1281" spans="1:7" x14ac:dyDescent="0.3">
      <c r="B1281">
        <v>2.42</v>
      </c>
      <c r="C1281" t="s">
        <v>280</v>
      </c>
      <c r="D1281" t="s">
        <v>5920</v>
      </c>
      <c r="E1281">
        <v>6.4999999999999997E-3</v>
      </c>
      <c r="F1281">
        <v>-7.0599999999999996E-2</v>
      </c>
      <c r="G1281" t="s">
        <v>5922</v>
      </c>
    </row>
    <row r="1282" spans="1:7" x14ac:dyDescent="0.3">
      <c r="C1282" t="s">
        <v>1182</v>
      </c>
      <c r="D1282" t="s">
        <v>5923</v>
      </c>
      <c r="E1282">
        <v>5.4999999999999997E-3</v>
      </c>
      <c r="F1282">
        <v>1.06E-2</v>
      </c>
      <c r="G1282" t="s">
        <v>5924</v>
      </c>
    </row>
    <row r="1283" spans="1:7" x14ac:dyDescent="0.3">
      <c r="A1283" t="s">
        <v>254</v>
      </c>
      <c r="B1283" t="s">
        <v>662</v>
      </c>
      <c r="C1283" t="s">
        <v>863</v>
      </c>
      <c r="D1283" t="s">
        <v>6157</v>
      </c>
      <c r="E1283">
        <v>4.4999999999999997E-3</v>
      </c>
      <c r="F1283">
        <v>-0.22739999999999999</v>
      </c>
      <c r="G1283" t="s">
        <v>6158</v>
      </c>
    </row>
    <row r="1284" spans="1:7" x14ac:dyDescent="0.3">
      <c r="B1284">
        <v>13500</v>
      </c>
      <c r="C1284" t="s">
        <v>12</v>
      </c>
      <c r="D1284" t="s">
        <v>252</v>
      </c>
      <c r="E1284">
        <v>2.3E-3</v>
      </c>
      <c r="F1284">
        <v>-0.1895</v>
      </c>
      <c r="G1284" t="s">
        <v>255</v>
      </c>
    </row>
    <row r="1285" spans="1:7" x14ac:dyDescent="0.3">
      <c r="B1285">
        <v>10800</v>
      </c>
      <c r="C1285" t="s">
        <v>16</v>
      </c>
      <c r="D1285" t="s">
        <v>317</v>
      </c>
      <c r="E1285">
        <v>6.9999999999999999E-4</v>
      </c>
      <c r="F1285">
        <v>-0.15540000000000001</v>
      </c>
      <c r="G1285" t="s">
        <v>319</v>
      </c>
    </row>
    <row r="1286" spans="1:7" x14ac:dyDescent="0.3">
      <c r="B1286">
        <v>7380</v>
      </c>
      <c r="C1286" t="s">
        <v>12</v>
      </c>
      <c r="D1286" t="s">
        <v>405</v>
      </c>
      <c r="E1286">
        <v>1.6999999999999999E-3</v>
      </c>
      <c r="F1286">
        <v>-0.1095</v>
      </c>
      <c r="G1286" t="s">
        <v>407</v>
      </c>
    </row>
    <row r="1287" spans="1:7" x14ac:dyDescent="0.3">
      <c r="B1287">
        <v>1560</v>
      </c>
      <c r="C1287" t="s">
        <v>7</v>
      </c>
      <c r="D1287" t="s">
        <v>1032</v>
      </c>
      <c r="E1287">
        <v>1.5E-3</v>
      </c>
      <c r="F1287">
        <v>-0.10829999999999999</v>
      </c>
      <c r="G1287" t="s">
        <v>1034</v>
      </c>
    </row>
    <row r="1288" spans="1:7" x14ac:dyDescent="0.3">
      <c r="B1288">
        <v>1170</v>
      </c>
      <c r="C1288" t="s">
        <v>12</v>
      </c>
      <c r="D1288" t="s">
        <v>1180</v>
      </c>
      <c r="E1288">
        <v>5.9999999999999995E-4</v>
      </c>
      <c r="F1288">
        <v>-0.14280000000000001</v>
      </c>
      <c r="G1288" t="s">
        <v>1181</v>
      </c>
    </row>
    <row r="1289" spans="1:7" x14ac:dyDescent="0.3">
      <c r="B1289">
        <v>833.31</v>
      </c>
      <c r="C1289" t="s">
        <v>16</v>
      </c>
      <c r="D1289" t="s">
        <v>1421</v>
      </c>
      <c r="E1289">
        <v>1.5E-3</v>
      </c>
      <c r="F1289">
        <v>-0.1062</v>
      </c>
      <c r="G1289" t="s">
        <v>1423</v>
      </c>
    </row>
    <row r="1290" spans="1:7" x14ac:dyDescent="0.3">
      <c r="B1290">
        <v>369.43</v>
      </c>
      <c r="C1290" t="s">
        <v>280</v>
      </c>
      <c r="D1290" t="s">
        <v>2080</v>
      </c>
      <c r="E1290">
        <v>7.0000000000000001E-3</v>
      </c>
      <c r="F1290">
        <v>-0.15379999999999999</v>
      </c>
      <c r="G1290" t="s">
        <v>2082</v>
      </c>
    </row>
    <row r="1291" spans="1:7" x14ac:dyDescent="0.3">
      <c r="B1291">
        <v>343.68</v>
      </c>
      <c r="C1291" t="s">
        <v>780</v>
      </c>
      <c r="D1291" t="s">
        <v>2137</v>
      </c>
      <c r="E1291">
        <v>3.0000000000000001E-3</v>
      </c>
      <c r="F1291">
        <v>-0.18410000000000001</v>
      </c>
      <c r="G1291" t="s">
        <v>2139</v>
      </c>
    </row>
    <row r="1292" spans="1:7" x14ac:dyDescent="0.3">
      <c r="B1292">
        <v>336.85</v>
      </c>
      <c r="C1292" t="s">
        <v>24</v>
      </c>
      <c r="D1292" t="s">
        <v>2149</v>
      </c>
      <c r="E1292">
        <v>3.5000000000000001E-3</v>
      </c>
      <c r="F1292">
        <v>-0.15479999999999999</v>
      </c>
      <c r="G1292" t="s">
        <v>2151</v>
      </c>
    </row>
    <row r="1293" spans="1:7" x14ac:dyDescent="0.3">
      <c r="B1293">
        <v>262.14</v>
      </c>
      <c r="C1293" t="s">
        <v>1687</v>
      </c>
      <c r="D1293" t="s">
        <v>2318</v>
      </c>
      <c r="E1293">
        <v>8.5000000000000006E-3</v>
      </c>
      <c r="F1293" t="s">
        <v>662</v>
      </c>
      <c r="G1293" t="s">
        <v>2320</v>
      </c>
    </row>
    <row r="1294" spans="1:7" x14ac:dyDescent="0.3">
      <c r="B1294">
        <v>45.3</v>
      </c>
      <c r="C1294" t="s">
        <v>2087</v>
      </c>
      <c r="D1294" t="s">
        <v>4002</v>
      </c>
      <c r="E1294">
        <v>0</v>
      </c>
      <c r="F1294">
        <v>-0.14649999999999999</v>
      </c>
      <c r="G1294" t="s">
        <v>4004</v>
      </c>
    </row>
    <row r="1295" spans="1:7" x14ac:dyDescent="0.3">
      <c r="B1295">
        <v>33.79</v>
      </c>
      <c r="C1295" t="s">
        <v>4290</v>
      </c>
      <c r="D1295" t="s">
        <v>4291</v>
      </c>
      <c r="E1295">
        <v>6.0000000000000001E-3</v>
      </c>
      <c r="F1295">
        <v>-0.23580000000000001</v>
      </c>
      <c r="G1295" t="s">
        <v>4293</v>
      </c>
    </row>
    <row r="1296" spans="1:7" x14ac:dyDescent="0.3">
      <c r="A1296" t="s">
        <v>210</v>
      </c>
      <c r="B1296">
        <v>15740</v>
      </c>
      <c r="C1296" t="s">
        <v>16</v>
      </c>
      <c r="D1296" t="s">
        <v>208</v>
      </c>
      <c r="E1296">
        <v>6.9999999999999999E-4</v>
      </c>
      <c r="F1296">
        <v>-1.5100000000000001E-2</v>
      </c>
      <c r="G1296" t="s">
        <v>211</v>
      </c>
    </row>
    <row r="1297" spans="1:7" x14ac:dyDescent="0.3">
      <c r="B1297">
        <v>14460</v>
      </c>
      <c r="C1297" t="s">
        <v>12</v>
      </c>
      <c r="D1297" t="s">
        <v>233</v>
      </c>
      <c r="E1297">
        <v>2.3E-3</v>
      </c>
      <c r="F1297">
        <v>-3.6799999999999999E-2</v>
      </c>
      <c r="G1297" t="s">
        <v>235</v>
      </c>
    </row>
    <row r="1298" spans="1:7" x14ac:dyDescent="0.3">
      <c r="B1298">
        <v>8420</v>
      </c>
      <c r="C1298" t="s">
        <v>12</v>
      </c>
      <c r="D1298" t="s">
        <v>363</v>
      </c>
      <c r="E1298">
        <v>1.8E-3</v>
      </c>
      <c r="F1298">
        <v>-2.75E-2</v>
      </c>
      <c r="G1298" t="s">
        <v>365</v>
      </c>
    </row>
    <row r="1299" spans="1:7" x14ac:dyDescent="0.3">
      <c r="B1299">
        <v>1500</v>
      </c>
      <c r="C1299" t="s">
        <v>7</v>
      </c>
      <c r="D1299" t="s">
        <v>1058</v>
      </c>
      <c r="E1299">
        <v>1.5E-3</v>
      </c>
      <c r="F1299">
        <v>-2.7699999999999999E-2</v>
      </c>
      <c r="G1299" t="s">
        <v>1059</v>
      </c>
    </row>
    <row r="1300" spans="1:7" x14ac:dyDescent="0.3">
      <c r="B1300">
        <v>809.46</v>
      </c>
      <c r="C1300" t="s">
        <v>16</v>
      </c>
      <c r="D1300" t="s">
        <v>1462</v>
      </c>
      <c r="E1300">
        <v>1.5E-3</v>
      </c>
      <c r="F1300">
        <v>-2.8199999999999999E-2</v>
      </c>
      <c r="G1300" t="s">
        <v>1464</v>
      </c>
    </row>
    <row r="1301" spans="1:7" x14ac:dyDescent="0.3">
      <c r="B1301">
        <v>472.26</v>
      </c>
      <c r="C1301" t="s">
        <v>12</v>
      </c>
      <c r="D1301" t="s">
        <v>1850</v>
      </c>
      <c r="E1301">
        <v>5.9999999999999995E-4</v>
      </c>
      <c r="F1301">
        <v>-8.8000000000000005E-3</v>
      </c>
      <c r="G1301" t="s">
        <v>1852</v>
      </c>
    </row>
    <row r="1302" spans="1:7" x14ac:dyDescent="0.3">
      <c r="B1302">
        <v>280.2</v>
      </c>
      <c r="C1302" t="s">
        <v>780</v>
      </c>
      <c r="D1302" t="s">
        <v>2284</v>
      </c>
      <c r="E1302">
        <v>3.0000000000000001E-3</v>
      </c>
      <c r="F1302">
        <v>-3.0800000000000001E-2</v>
      </c>
      <c r="G1302" t="s">
        <v>2286</v>
      </c>
    </row>
    <row r="1303" spans="1:7" x14ac:dyDescent="0.3">
      <c r="B1303">
        <v>210.16</v>
      </c>
      <c r="C1303" t="s">
        <v>280</v>
      </c>
      <c r="D1303" t="s">
        <v>2511</v>
      </c>
      <c r="E1303">
        <v>7.0000000000000001E-3</v>
      </c>
      <c r="F1303">
        <v>-3.0700000000000002E-2</v>
      </c>
      <c r="G1303" t="s">
        <v>2513</v>
      </c>
    </row>
    <row r="1304" spans="1:7" x14ac:dyDescent="0.3">
      <c r="B1304">
        <v>209.58</v>
      </c>
      <c r="C1304" t="s">
        <v>24</v>
      </c>
      <c r="D1304" t="s">
        <v>2514</v>
      </c>
      <c r="E1304">
        <v>3.8999999999999998E-3</v>
      </c>
      <c r="F1304">
        <v>-2.2599999999999999E-2</v>
      </c>
      <c r="G1304" t="s">
        <v>2516</v>
      </c>
    </row>
    <row r="1305" spans="1:7" x14ac:dyDescent="0.3">
      <c r="B1305">
        <v>162.22999999999999</v>
      </c>
      <c r="C1305" t="s">
        <v>24</v>
      </c>
      <c r="D1305" t="s">
        <v>2754</v>
      </c>
      <c r="E1305">
        <v>3.5000000000000001E-3</v>
      </c>
      <c r="F1305">
        <v>-1.9E-2</v>
      </c>
      <c r="G1305" t="s">
        <v>2756</v>
      </c>
    </row>
    <row r="1306" spans="1:7" x14ac:dyDescent="0.3">
      <c r="A1306" t="s">
        <v>53</v>
      </c>
      <c r="B1306" t="s">
        <v>662</v>
      </c>
      <c r="C1306" t="s">
        <v>12</v>
      </c>
      <c r="D1306" t="s">
        <v>6169</v>
      </c>
      <c r="E1306">
        <v>3.5000000000000001E-3</v>
      </c>
      <c r="F1306">
        <v>0</v>
      </c>
      <c r="G1306" t="s">
        <v>6170</v>
      </c>
    </row>
    <row r="1307" spans="1:7" x14ac:dyDescent="0.3">
      <c r="C1307" t="s">
        <v>6113</v>
      </c>
      <c r="D1307" t="s">
        <v>6209</v>
      </c>
      <c r="E1307">
        <v>4.1000000000000003E-3</v>
      </c>
      <c r="F1307">
        <v>-1.9E-3</v>
      </c>
      <c r="G1307" t="s">
        <v>6210</v>
      </c>
    </row>
    <row r="1308" spans="1:7" x14ac:dyDescent="0.3">
      <c r="B1308">
        <v>69620</v>
      </c>
      <c r="C1308" t="s">
        <v>12</v>
      </c>
      <c r="D1308" t="s">
        <v>51</v>
      </c>
      <c r="E1308">
        <v>5.9999999999999995E-4</v>
      </c>
      <c r="F1308">
        <v>-6.9199999999999998E-2</v>
      </c>
      <c r="G1308" t="s">
        <v>54</v>
      </c>
    </row>
    <row r="1309" spans="1:7" x14ac:dyDescent="0.3">
      <c r="B1309">
        <v>60030</v>
      </c>
      <c r="C1309" t="s">
        <v>12</v>
      </c>
      <c r="D1309" t="s">
        <v>65</v>
      </c>
      <c r="E1309">
        <v>1.9E-3</v>
      </c>
      <c r="F1309">
        <v>-0.13320000000000001</v>
      </c>
      <c r="G1309" t="s">
        <v>67</v>
      </c>
    </row>
    <row r="1310" spans="1:7" x14ac:dyDescent="0.3">
      <c r="B1310">
        <v>45410</v>
      </c>
      <c r="C1310" t="s">
        <v>16</v>
      </c>
      <c r="D1310" t="s">
        <v>96</v>
      </c>
      <c r="E1310">
        <v>5.0000000000000001E-4</v>
      </c>
      <c r="F1310">
        <v>-0.1105</v>
      </c>
      <c r="G1310" t="s">
        <v>98</v>
      </c>
    </row>
    <row r="1311" spans="1:7" x14ac:dyDescent="0.3">
      <c r="B1311">
        <v>15370</v>
      </c>
      <c r="C1311" t="s">
        <v>116</v>
      </c>
      <c r="D1311" t="s">
        <v>219</v>
      </c>
      <c r="E1311">
        <v>4.0000000000000002E-4</v>
      </c>
      <c r="F1311">
        <v>-0.12239999999999999</v>
      </c>
      <c r="G1311" t="s">
        <v>221</v>
      </c>
    </row>
    <row r="1312" spans="1:7" x14ac:dyDescent="0.3">
      <c r="B1312">
        <v>6250</v>
      </c>
      <c r="C1312" t="s">
        <v>16</v>
      </c>
      <c r="D1312" t="s">
        <v>474</v>
      </c>
      <c r="E1312">
        <v>1E-3</v>
      </c>
      <c r="F1312">
        <v>-0.1321</v>
      </c>
      <c r="G1312" t="s">
        <v>475</v>
      </c>
    </row>
    <row r="1313" spans="2:7" x14ac:dyDescent="0.3">
      <c r="B1313">
        <v>4690</v>
      </c>
      <c r="C1313" t="s">
        <v>116</v>
      </c>
      <c r="D1313" t="s">
        <v>601</v>
      </c>
      <c r="E1313">
        <v>2.5000000000000001E-3</v>
      </c>
      <c r="F1313">
        <v>-5.79E-2</v>
      </c>
      <c r="G1313" t="s">
        <v>603</v>
      </c>
    </row>
    <row r="1314" spans="2:7" x14ac:dyDescent="0.3">
      <c r="B1314">
        <v>4190</v>
      </c>
      <c r="C1314" t="s">
        <v>7</v>
      </c>
      <c r="D1314" t="s">
        <v>631</v>
      </c>
      <c r="E1314">
        <v>5.0000000000000001E-4</v>
      </c>
      <c r="F1314">
        <v>-6.7900000000000002E-2</v>
      </c>
      <c r="G1314" t="s">
        <v>633</v>
      </c>
    </row>
    <row r="1315" spans="2:7" x14ac:dyDescent="0.3">
      <c r="B1315">
        <v>4090</v>
      </c>
      <c r="C1315" t="s">
        <v>240</v>
      </c>
      <c r="D1315" t="s">
        <v>640</v>
      </c>
      <c r="E1315">
        <v>3.3999999999999998E-3</v>
      </c>
      <c r="F1315">
        <v>-6.6100000000000006E-2</v>
      </c>
      <c r="G1315" t="s">
        <v>642</v>
      </c>
    </row>
    <row r="1316" spans="2:7" x14ac:dyDescent="0.3">
      <c r="B1316">
        <v>1840</v>
      </c>
      <c r="C1316" t="s">
        <v>16</v>
      </c>
      <c r="D1316" t="s">
        <v>955</v>
      </c>
      <c r="E1316">
        <v>1E-3</v>
      </c>
      <c r="F1316">
        <v>-6.7299999999999999E-2</v>
      </c>
      <c r="G1316" t="s">
        <v>957</v>
      </c>
    </row>
    <row r="1317" spans="2:7" x14ac:dyDescent="0.3">
      <c r="B1317">
        <v>1820</v>
      </c>
      <c r="C1317" t="s">
        <v>440</v>
      </c>
      <c r="D1317" t="s">
        <v>958</v>
      </c>
      <c r="E1317">
        <v>3.8E-3</v>
      </c>
      <c r="F1317">
        <v>-1.7399999999999999E-2</v>
      </c>
      <c r="G1317" t="s">
        <v>960</v>
      </c>
    </row>
    <row r="1318" spans="2:7" x14ac:dyDescent="0.3">
      <c r="B1318">
        <v>1700</v>
      </c>
      <c r="C1318" t="s">
        <v>7</v>
      </c>
      <c r="D1318" t="s">
        <v>1002</v>
      </c>
      <c r="E1318">
        <v>1.5E-3</v>
      </c>
      <c r="F1318">
        <v>-6.7500000000000004E-2</v>
      </c>
      <c r="G1318" t="s">
        <v>1003</v>
      </c>
    </row>
    <row r="1319" spans="2:7" x14ac:dyDescent="0.3">
      <c r="B1319">
        <v>1290</v>
      </c>
      <c r="C1319" t="s">
        <v>12</v>
      </c>
      <c r="D1319" t="s">
        <v>1120</v>
      </c>
      <c r="E1319">
        <v>1.6999999999999999E-3</v>
      </c>
      <c r="F1319">
        <v>-0.10639999999999999</v>
      </c>
      <c r="G1319" t="s">
        <v>1122</v>
      </c>
    </row>
    <row r="1320" spans="2:7" x14ac:dyDescent="0.3">
      <c r="B1320">
        <v>1080</v>
      </c>
      <c r="C1320" t="s">
        <v>24</v>
      </c>
      <c r="D1320" t="s">
        <v>1230</v>
      </c>
      <c r="E1320">
        <v>2.5000000000000001E-3</v>
      </c>
      <c r="F1320">
        <v>-3.2000000000000002E-3</v>
      </c>
      <c r="G1320" t="s">
        <v>1232</v>
      </c>
    </row>
    <row r="1321" spans="2:7" x14ac:dyDescent="0.3">
      <c r="B1321">
        <v>1030</v>
      </c>
      <c r="C1321" t="s">
        <v>12</v>
      </c>
      <c r="D1321" t="s">
        <v>1250</v>
      </c>
      <c r="E1321">
        <v>3.0000000000000001E-3</v>
      </c>
      <c r="F1321">
        <v>-7.2400000000000006E-2</v>
      </c>
      <c r="G1321" t="s">
        <v>1252</v>
      </c>
    </row>
    <row r="1322" spans="2:7" x14ac:dyDescent="0.3">
      <c r="C1322" t="s">
        <v>780</v>
      </c>
      <c r="D1322" t="s">
        <v>1253</v>
      </c>
      <c r="E1322">
        <v>3.0000000000000001E-3</v>
      </c>
      <c r="F1322">
        <v>-9.7699999999999995E-2</v>
      </c>
      <c r="G1322" t="s">
        <v>1254</v>
      </c>
    </row>
    <row r="1323" spans="2:7" x14ac:dyDescent="0.3">
      <c r="B1323">
        <v>903.23</v>
      </c>
      <c r="C1323" t="s">
        <v>280</v>
      </c>
      <c r="D1323" t="s">
        <v>1359</v>
      </c>
      <c r="E1323">
        <v>6.3E-3</v>
      </c>
      <c r="F1323">
        <v>-6.8900000000000003E-2</v>
      </c>
      <c r="G1323" t="s">
        <v>1361</v>
      </c>
    </row>
    <row r="1324" spans="2:7" x14ac:dyDescent="0.3">
      <c r="B1324">
        <v>878.35</v>
      </c>
      <c r="C1324" t="s">
        <v>486</v>
      </c>
      <c r="D1324" t="s">
        <v>1385</v>
      </c>
      <c r="E1324">
        <v>6.0000000000000001E-3</v>
      </c>
      <c r="F1324">
        <v>-8.3400000000000002E-2</v>
      </c>
      <c r="G1324" t="s">
        <v>1387</v>
      </c>
    </row>
    <row r="1325" spans="2:7" x14ac:dyDescent="0.3">
      <c r="B1325">
        <v>811.47</v>
      </c>
      <c r="C1325" t="s">
        <v>1025</v>
      </c>
      <c r="D1325" t="s">
        <v>1456</v>
      </c>
      <c r="E1325">
        <v>3.8E-3</v>
      </c>
      <c r="F1325">
        <v>-7.7200000000000005E-2</v>
      </c>
      <c r="G1325" t="s">
        <v>1458</v>
      </c>
    </row>
    <row r="1326" spans="2:7" x14ac:dyDescent="0.3">
      <c r="B1326">
        <v>788.43</v>
      </c>
      <c r="C1326" t="s">
        <v>12</v>
      </c>
      <c r="D1326" t="s">
        <v>1482</v>
      </c>
      <c r="E1326">
        <v>2E-3</v>
      </c>
      <c r="F1326">
        <v>-5.0900000000000001E-2</v>
      </c>
      <c r="G1326" t="s">
        <v>1484</v>
      </c>
    </row>
    <row r="1327" spans="2:7" x14ac:dyDescent="0.3">
      <c r="B1327">
        <v>718.58</v>
      </c>
      <c r="C1327" t="s">
        <v>24</v>
      </c>
      <c r="D1327" t="s">
        <v>1547</v>
      </c>
      <c r="E1327">
        <v>3.8999999999999998E-3</v>
      </c>
      <c r="F1327">
        <v>-5.8200000000000002E-2</v>
      </c>
      <c r="G1327" t="s">
        <v>1549</v>
      </c>
    </row>
    <row r="1328" spans="2:7" x14ac:dyDescent="0.3">
      <c r="B1328">
        <v>638.61</v>
      </c>
      <c r="C1328" t="s">
        <v>440</v>
      </c>
      <c r="D1328" t="s">
        <v>1617</v>
      </c>
      <c r="E1328">
        <v>3.8E-3</v>
      </c>
      <c r="F1328">
        <v>-4.9700000000000001E-2</v>
      </c>
      <c r="G1328" t="s">
        <v>1619</v>
      </c>
    </row>
    <row r="1329" spans="2:7" x14ac:dyDescent="0.3">
      <c r="B1329">
        <v>638.28</v>
      </c>
      <c r="C1329" t="s">
        <v>941</v>
      </c>
      <c r="D1329" t="s">
        <v>1620</v>
      </c>
      <c r="E1329">
        <v>5.8999999999999999E-3</v>
      </c>
      <c r="F1329">
        <v>-8.09E-2</v>
      </c>
      <c r="G1329" t="s">
        <v>1622</v>
      </c>
    </row>
    <row r="1330" spans="2:7" x14ac:dyDescent="0.3">
      <c r="B1330">
        <v>435.58</v>
      </c>
      <c r="C1330" t="s">
        <v>248</v>
      </c>
      <c r="D1330" t="s">
        <v>1901</v>
      </c>
      <c r="E1330">
        <v>2E-3</v>
      </c>
      <c r="F1330">
        <v>-8.8200000000000001E-2</v>
      </c>
      <c r="G1330" t="s">
        <v>1903</v>
      </c>
    </row>
    <row r="1331" spans="2:7" x14ac:dyDescent="0.3">
      <c r="B1331">
        <v>395.9</v>
      </c>
      <c r="C1331" t="s">
        <v>839</v>
      </c>
      <c r="D1331" t="s">
        <v>2002</v>
      </c>
      <c r="E1331">
        <v>4.1999999999999997E-3</v>
      </c>
      <c r="F1331">
        <v>-8.2400000000000001E-2</v>
      </c>
      <c r="G1331" t="s">
        <v>2004</v>
      </c>
    </row>
    <row r="1332" spans="2:7" x14ac:dyDescent="0.3">
      <c r="B1332">
        <v>382.46</v>
      </c>
      <c r="C1332" t="s">
        <v>24</v>
      </c>
      <c r="D1332" t="s">
        <v>2032</v>
      </c>
      <c r="E1332">
        <v>6.0000000000000001E-3</v>
      </c>
      <c r="F1332">
        <v>-0.16259999999999999</v>
      </c>
      <c r="G1332" t="s">
        <v>2034</v>
      </c>
    </row>
    <row r="1333" spans="2:7" x14ac:dyDescent="0.3">
      <c r="B1333">
        <v>380.58</v>
      </c>
      <c r="C1333" t="s">
        <v>332</v>
      </c>
      <c r="D1333" t="s">
        <v>2039</v>
      </c>
      <c r="E1333">
        <v>8.9999999999999998E-4</v>
      </c>
      <c r="F1333">
        <v>-0.12870000000000001</v>
      </c>
      <c r="G1333" t="s">
        <v>2041</v>
      </c>
    </row>
    <row r="1334" spans="2:7" x14ac:dyDescent="0.3">
      <c r="B1334">
        <v>268.89999999999998</v>
      </c>
      <c r="C1334" t="s">
        <v>1182</v>
      </c>
      <c r="D1334" t="s">
        <v>2302</v>
      </c>
      <c r="E1334">
        <v>2.5000000000000001E-3</v>
      </c>
      <c r="F1334">
        <v>-8.2400000000000001E-2</v>
      </c>
      <c r="G1334" t="s">
        <v>2304</v>
      </c>
    </row>
    <row r="1335" spans="2:7" x14ac:dyDescent="0.3">
      <c r="B1335">
        <v>247.01</v>
      </c>
      <c r="C1335" t="s">
        <v>1182</v>
      </c>
      <c r="D1335" t="s">
        <v>2364</v>
      </c>
      <c r="E1335">
        <v>3.5000000000000001E-3</v>
      </c>
      <c r="F1335">
        <v>-2.8999999999999998E-3</v>
      </c>
      <c r="G1335" t="s">
        <v>2366</v>
      </c>
    </row>
    <row r="1336" spans="2:7" x14ac:dyDescent="0.3">
      <c r="B1336">
        <v>213.49</v>
      </c>
      <c r="C1336" t="s">
        <v>12</v>
      </c>
      <c r="D1336" t="s">
        <v>2490</v>
      </c>
      <c r="E1336">
        <v>4.0000000000000002E-4</v>
      </c>
      <c r="F1336">
        <v>-0.1167</v>
      </c>
      <c r="G1336" t="s">
        <v>2492</v>
      </c>
    </row>
    <row r="1337" spans="2:7" x14ac:dyDescent="0.3">
      <c r="B1337">
        <v>208.6</v>
      </c>
      <c r="C1337" t="s">
        <v>440</v>
      </c>
      <c r="D1337" t="s">
        <v>2523</v>
      </c>
      <c r="E1337">
        <v>3.8E-3</v>
      </c>
      <c r="F1337">
        <v>-2.5700000000000001E-2</v>
      </c>
      <c r="G1337" t="s">
        <v>2525</v>
      </c>
    </row>
    <row r="1338" spans="2:7" x14ac:dyDescent="0.3">
      <c r="B1338">
        <v>207.32</v>
      </c>
      <c r="C1338" t="s">
        <v>7</v>
      </c>
      <c r="D1338" t="s">
        <v>2532</v>
      </c>
      <c r="E1338">
        <v>1.1999999999999999E-3</v>
      </c>
      <c r="F1338">
        <v>-1.9599999999999999E-2</v>
      </c>
      <c r="G1338" t="s">
        <v>2534</v>
      </c>
    </row>
    <row r="1339" spans="2:7" x14ac:dyDescent="0.3">
      <c r="B1339">
        <v>199.88</v>
      </c>
      <c r="C1339" t="s">
        <v>1864</v>
      </c>
      <c r="D1339" t="s">
        <v>2568</v>
      </c>
      <c r="E1339">
        <v>3.5000000000000001E-3</v>
      </c>
      <c r="F1339">
        <v>-6.7000000000000004E-2</v>
      </c>
      <c r="G1339" t="s">
        <v>2570</v>
      </c>
    </row>
    <row r="1340" spans="2:7" x14ac:dyDescent="0.3">
      <c r="B1340">
        <v>189.41</v>
      </c>
      <c r="C1340" t="s">
        <v>24</v>
      </c>
      <c r="D1340" t="s">
        <v>2624</v>
      </c>
      <c r="E1340">
        <v>3.8999999999999998E-3</v>
      </c>
      <c r="F1340">
        <v>-7.6200000000000004E-2</v>
      </c>
      <c r="G1340" t="s">
        <v>2626</v>
      </c>
    </row>
    <row r="1341" spans="2:7" x14ac:dyDescent="0.3">
      <c r="B1341">
        <v>173.51</v>
      </c>
      <c r="C1341" t="s">
        <v>332</v>
      </c>
      <c r="D1341" t="s">
        <v>2696</v>
      </c>
      <c r="E1341">
        <v>2.8999999999999998E-3</v>
      </c>
      <c r="F1341">
        <v>-7.0499999999999993E-2</v>
      </c>
      <c r="G1341" t="s">
        <v>2698</v>
      </c>
    </row>
    <row r="1342" spans="2:7" x14ac:dyDescent="0.3">
      <c r="B1342">
        <v>153.07</v>
      </c>
      <c r="C1342" t="s">
        <v>1471</v>
      </c>
      <c r="D1342" t="s">
        <v>2808</v>
      </c>
      <c r="E1342">
        <v>4.7999999999999996E-3</v>
      </c>
      <c r="F1342">
        <v>-4.2900000000000001E-2</v>
      </c>
      <c r="G1342" t="s">
        <v>2810</v>
      </c>
    </row>
    <row r="1343" spans="2:7" x14ac:dyDescent="0.3">
      <c r="B1343">
        <v>151</v>
      </c>
      <c r="C1343" t="s">
        <v>24</v>
      </c>
      <c r="D1343" t="s">
        <v>2817</v>
      </c>
      <c r="E1343">
        <v>3.8999999999999998E-3</v>
      </c>
      <c r="F1343">
        <v>-9.8900000000000002E-2</v>
      </c>
      <c r="G1343" t="s">
        <v>2819</v>
      </c>
    </row>
    <row r="1344" spans="2:7" x14ac:dyDescent="0.3">
      <c r="B1344">
        <v>112.34</v>
      </c>
      <c r="C1344" t="s">
        <v>1799</v>
      </c>
      <c r="D1344" t="s">
        <v>3158</v>
      </c>
      <c r="E1344">
        <v>7.9000000000000008E-3</v>
      </c>
      <c r="F1344">
        <v>-3.6799999999999999E-2</v>
      </c>
      <c r="G1344" t="s">
        <v>3160</v>
      </c>
    </row>
    <row r="1345" spans="2:7" x14ac:dyDescent="0.3">
      <c r="B1345">
        <v>89.72</v>
      </c>
      <c r="C1345" t="s">
        <v>24</v>
      </c>
      <c r="D1345" t="s">
        <v>3377</v>
      </c>
      <c r="E1345">
        <v>4.0000000000000001E-3</v>
      </c>
      <c r="F1345">
        <v>-6.3700000000000007E-2</v>
      </c>
      <c r="G1345" t="s">
        <v>3379</v>
      </c>
    </row>
    <row r="1346" spans="2:7" x14ac:dyDescent="0.3">
      <c r="B1346">
        <v>84.17</v>
      </c>
      <c r="C1346" t="s">
        <v>1799</v>
      </c>
      <c r="D1346" t="s">
        <v>3425</v>
      </c>
      <c r="E1346">
        <v>7.9000000000000008E-3</v>
      </c>
      <c r="F1346">
        <v>-6.0299999999999999E-2</v>
      </c>
      <c r="G1346" t="s">
        <v>3427</v>
      </c>
    </row>
    <row r="1347" spans="2:7" x14ac:dyDescent="0.3">
      <c r="B1347">
        <v>82.68</v>
      </c>
      <c r="C1347" t="s">
        <v>1904</v>
      </c>
      <c r="D1347" t="s">
        <v>3458</v>
      </c>
      <c r="E1347">
        <v>4.0000000000000002E-4</v>
      </c>
      <c r="F1347">
        <v>-0.10979999999999999</v>
      </c>
      <c r="G1347" t="s">
        <v>3460</v>
      </c>
    </row>
    <row r="1348" spans="2:7" x14ac:dyDescent="0.3">
      <c r="B1348">
        <v>77.34</v>
      </c>
      <c r="C1348" t="s">
        <v>1182</v>
      </c>
      <c r="D1348" t="s">
        <v>3522</v>
      </c>
      <c r="E1348">
        <v>3.5000000000000001E-3</v>
      </c>
      <c r="F1348">
        <v>-2.8000000000000001E-2</v>
      </c>
      <c r="G1348" t="s">
        <v>3524</v>
      </c>
    </row>
    <row r="1349" spans="2:7" x14ac:dyDescent="0.3">
      <c r="B1349">
        <v>63.22</v>
      </c>
      <c r="C1349" t="s">
        <v>1799</v>
      </c>
      <c r="D1349" t="s">
        <v>3707</v>
      </c>
      <c r="E1349">
        <v>7.9000000000000008E-3</v>
      </c>
      <c r="F1349">
        <v>-6.1199999999999997E-2</v>
      </c>
      <c r="G1349" t="s">
        <v>3709</v>
      </c>
    </row>
    <row r="1350" spans="2:7" x14ac:dyDescent="0.3">
      <c r="B1350">
        <v>61.68</v>
      </c>
      <c r="C1350" t="s">
        <v>979</v>
      </c>
      <c r="D1350" t="s">
        <v>3719</v>
      </c>
      <c r="E1350">
        <v>0.01</v>
      </c>
      <c r="F1350">
        <v>-4.0300000000000002E-2</v>
      </c>
      <c r="G1350" t="s">
        <v>3721</v>
      </c>
    </row>
    <row r="1351" spans="2:7" x14ac:dyDescent="0.3">
      <c r="B1351">
        <v>52.46</v>
      </c>
      <c r="C1351" t="s">
        <v>2792</v>
      </c>
      <c r="D1351" t="s">
        <v>3859</v>
      </c>
      <c r="E1351">
        <v>5.1999999999999998E-3</v>
      </c>
      <c r="F1351">
        <v>-4.0300000000000002E-2</v>
      </c>
      <c r="G1351" t="s">
        <v>3861</v>
      </c>
    </row>
    <row r="1352" spans="2:7" x14ac:dyDescent="0.3">
      <c r="B1352">
        <v>49.08</v>
      </c>
      <c r="C1352" t="s">
        <v>24</v>
      </c>
      <c r="D1352" t="s">
        <v>3927</v>
      </c>
      <c r="E1352">
        <v>1.5E-3</v>
      </c>
      <c r="F1352">
        <v>-5.1200000000000002E-2</v>
      </c>
      <c r="G1352" t="s">
        <v>3929</v>
      </c>
    </row>
    <row r="1353" spans="2:7" x14ac:dyDescent="0.3">
      <c r="B1353">
        <v>45.56</v>
      </c>
      <c r="C1353" t="s">
        <v>24</v>
      </c>
      <c r="D1353" t="s">
        <v>3996</v>
      </c>
      <c r="E1353">
        <v>2.3E-3</v>
      </c>
      <c r="F1353">
        <v>-8.5900000000000004E-2</v>
      </c>
      <c r="G1353" t="s">
        <v>3998</v>
      </c>
    </row>
    <row r="1354" spans="2:7" x14ac:dyDescent="0.3">
      <c r="B1354">
        <v>41.25</v>
      </c>
      <c r="C1354" t="s">
        <v>1799</v>
      </c>
      <c r="D1354" t="s">
        <v>4087</v>
      </c>
      <c r="E1354">
        <v>7.9000000000000008E-3</v>
      </c>
      <c r="F1354">
        <v>-6.2899999999999998E-2</v>
      </c>
      <c r="G1354" t="s">
        <v>4089</v>
      </c>
    </row>
    <row r="1355" spans="2:7" x14ac:dyDescent="0.3">
      <c r="B1355">
        <v>36.130000000000003</v>
      </c>
      <c r="C1355" t="s">
        <v>400</v>
      </c>
      <c r="D1355" t="s">
        <v>4231</v>
      </c>
      <c r="E1355">
        <v>5.1000000000000004E-3</v>
      </c>
      <c r="F1355">
        <v>-3.8999999999999998E-3</v>
      </c>
      <c r="G1355" t="s">
        <v>4233</v>
      </c>
    </row>
    <row r="1356" spans="2:7" x14ac:dyDescent="0.3">
      <c r="B1356">
        <v>33.57</v>
      </c>
      <c r="C1356" t="s">
        <v>24</v>
      </c>
      <c r="D1356" t="s">
        <v>4307</v>
      </c>
      <c r="E1356">
        <v>5.9999999999999995E-4</v>
      </c>
      <c r="F1356">
        <v>-0.1053</v>
      </c>
      <c r="G1356" t="s">
        <v>4309</v>
      </c>
    </row>
    <row r="1357" spans="2:7" x14ac:dyDescent="0.3">
      <c r="B1357">
        <v>26</v>
      </c>
      <c r="C1357" t="s">
        <v>964</v>
      </c>
      <c r="D1357" t="s">
        <v>4526</v>
      </c>
      <c r="E1357">
        <v>3.3999999999999998E-3</v>
      </c>
      <c r="F1357">
        <v>-4.58E-2</v>
      </c>
      <c r="G1357" t="s">
        <v>4527</v>
      </c>
    </row>
    <row r="1358" spans="2:7" x14ac:dyDescent="0.3">
      <c r="B1358">
        <v>25.53</v>
      </c>
      <c r="C1358" t="s">
        <v>1182</v>
      </c>
      <c r="D1358" t="s">
        <v>4541</v>
      </c>
      <c r="E1358">
        <v>3.5000000000000001E-3</v>
      </c>
      <c r="F1358">
        <v>-3.2599999999999997E-2</v>
      </c>
      <c r="G1358" t="s">
        <v>4543</v>
      </c>
    </row>
    <row r="1359" spans="2:7" x14ac:dyDescent="0.3">
      <c r="B1359">
        <v>24.81</v>
      </c>
      <c r="C1359" t="s">
        <v>24</v>
      </c>
      <c r="D1359" t="s">
        <v>4583</v>
      </c>
      <c r="E1359">
        <v>2.8999999999999998E-3</v>
      </c>
      <c r="F1359">
        <v>-3.73E-2</v>
      </c>
      <c r="G1359" t="s">
        <v>4585</v>
      </c>
    </row>
    <row r="1360" spans="2:7" x14ac:dyDescent="0.3">
      <c r="B1360">
        <v>24.11</v>
      </c>
      <c r="C1360" t="s">
        <v>12</v>
      </c>
      <c r="D1360" t="s">
        <v>4610</v>
      </c>
      <c r="E1360">
        <v>1.1999999999999999E-3</v>
      </c>
      <c r="F1360">
        <v>-6.3E-2</v>
      </c>
      <c r="G1360" t="s">
        <v>4612</v>
      </c>
    </row>
    <row r="1361" spans="1:7" x14ac:dyDescent="0.3">
      <c r="B1361">
        <v>19.600000000000001</v>
      </c>
      <c r="C1361" t="s">
        <v>280</v>
      </c>
      <c r="D1361" t="s">
        <v>4818</v>
      </c>
      <c r="E1361">
        <v>6.0000000000000001E-3</v>
      </c>
      <c r="F1361">
        <v>-2.9000000000000001E-2</v>
      </c>
      <c r="G1361" t="s">
        <v>4820</v>
      </c>
    </row>
    <row r="1362" spans="1:7" x14ac:dyDescent="0.3">
      <c r="B1362">
        <v>19.510000000000002</v>
      </c>
      <c r="C1362" t="s">
        <v>3230</v>
      </c>
      <c r="D1362" t="s">
        <v>4824</v>
      </c>
      <c r="E1362">
        <v>4.0000000000000001E-3</v>
      </c>
      <c r="F1362">
        <v>-8.0799999999999997E-2</v>
      </c>
      <c r="G1362" t="s">
        <v>4826</v>
      </c>
    </row>
    <row r="1363" spans="1:7" x14ac:dyDescent="0.3">
      <c r="B1363">
        <v>18.899999999999999</v>
      </c>
      <c r="C1363" t="s">
        <v>2087</v>
      </c>
      <c r="D1363" t="s">
        <v>4839</v>
      </c>
      <c r="E1363">
        <v>5.0000000000000001E-3</v>
      </c>
      <c r="F1363">
        <v>1.49E-2</v>
      </c>
      <c r="G1363" t="s">
        <v>4841</v>
      </c>
    </row>
    <row r="1364" spans="1:7" x14ac:dyDescent="0.3">
      <c r="B1364">
        <v>18</v>
      </c>
      <c r="C1364" t="s">
        <v>24</v>
      </c>
      <c r="D1364" t="s">
        <v>4885</v>
      </c>
      <c r="E1364">
        <v>3.0000000000000001E-3</v>
      </c>
      <c r="F1364">
        <v>-3.1099999999999999E-2</v>
      </c>
      <c r="G1364" t="s">
        <v>4887</v>
      </c>
    </row>
    <row r="1365" spans="1:7" x14ac:dyDescent="0.3">
      <c r="B1365">
        <v>16.670000000000002</v>
      </c>
      <c r="C1365" t="s">
        <v>1348</v>
      </c>
      <c r="D1365" t="s">
        <v>4967</v>
      </c>
      <c r="E1365">
        <v>6.7999999999999996E-3</v>
      </c>
      <c r="F1365" t="s">
        <v>662</v>
      </c>
      <c r="G1365" t="s">
        <v>4969</v>
      </c>
    </row>
    <row r="1366" spans="1:7" x14ac:dyDescent="0.3">
      <c r="B1366">
        <v>16</v>
      </c>
      <c r="C1366" t="s">
        <v>1340</v>
      </c>
      <c r="D1366" t="s">
        <v>4999</v>
      </c>
      <c r="E1366">
        <v>3.5000000000000001E-3</v>
      </c>
      <c r="F1366">
        <v>-8.8200000000000001E-2</v>
      </c>
      <c r="G1366" t="s">
        <v>5001</v>
      </c>
    </row>
    <row r="1367" spans="1:7" x14ac:dyDescent="0.3">
      <c r="B1367">
        <v>10.07</v>
      </c>
      <c r="C1367" t="s">
        <v>618</v>
      </c>
      <c r="D1367" t="s">
        <v>5269</v>
      </c>
      <c r="E1367">
        <v>1.5E-3</v>
      </c>
      <c r="F1367">
        <v>-6.0499999999999998E-2</v>
      </c>
      <c r="G1367" t="s">
        <v>5271</v>
      </c>
    </row>
    <row r="1368" spans="1:7" x14ac:dyDescent="0.3">
      <c r="B1368">
        <v>6.74</v>
      </c>
      <c r="C1368" t="s">
        <v>2370</v>
      </c>
      <c r="D1368" t="s">
        <v>5516</v>
      </c>
      <c r="E1368">
        <v>8.3000000000000001E-3</v>
      </c>
      <c r="F1368">
        <v>-8.1000000000000003E-2</v>
      </c>
      <c r="G1368" t="s">
        <v>5518</v>
      </c>
    </row>
    <row r="1369" spans="1:7" x14ac:dyDescent="0.3">
      <c r="B1369">
        <v>6.1</v>
      </c>
      <c r="C1369" t="s">
        <v>1025</v>
      </c>
      <c r="D1369" t="s">
        <v>5570</v>
      </c>
      <c r="E1369">
        <v>1.9E-3</v>
      </c>
      <c r="F1369">
        <v>-4.6600000000000003E-2</v>
      </c>
      <c r="G1369" t="s">
        <v>5572</v>
      </c>
    </row>
    <row r="1370" spans="1:7" x14ac:dyDescent="0.3">
      <c r="B1370">
        <v>6.07</v>
      </c>
      <c r="C1370" t="s">
        <v>780</v>
      </c>
      <c r="D1370" t="s">
        <v>5573</v>
      </c>
      <c r="E1370">
        <v>8.5000000000000006E-3</v>
      </c>
      <c r="F1370">
        <v>-9.9199999999999997E-2</v>
      </c>
      <c r="G1370" t="s">
        <v>5575</v>
      </c>
    </row>
    <row r="1371" spans="1:7" x14ac:dyDescent="0.3">
      <c r="B1371">
        <v>2.78</v>
      </c>
      <c r="C1371" t="s">
        <v>7</v>
      </c>
      <c r="D1371" t="s">
        <v>5889</v>
      </c>
      <c r="E1371">
        <v>1.1999999999999999E-3</v>
      </c>
      <c r="F1371" t="s">
        <v>662</v>
      </c>
      <c r="G1371" t="s">
        <v>5891</v>
      </c>
    </row>
    <row r="1372" spans="1:7" x14ac:dyDescent="0.3">
      <c r="B1372">
        <v>2.4500000000000002</v>
      </c>
      <c r="C1372" t="s">
        <v>280</v>
      </c>
      <c r="D1372" t="s">
        <v>5917</v>
      </c>
      <c r="E1372">
        <v>7.7000000000000002E-3</v>
      </c>
      <c r="F1372">
        <v>-9.2100000000000001E-2</v>
      </c>
      <c r="G1372" t="s">
        <v>5919</v>
      </c>
    </row>
    <row r="1373" spans="1:7" x14ac:dyDescent="0.3">
      <c r="B1373">
        <v>2.35</v>
      </c>
      <c r="C1373" t="s">
        <v>1842</v>
      </c>
      <c r="D1373" t="s">
        <v>5928</v>
      </c>
      <c r="E1373">
        <v>4.4000000000000003E-3</v>
      </c>
      <c r="F1373" t="s">
        <v>662</v>
      </c>
      <c r="G1373" t="s">
        <v>5930</v>
      </c>
    </row>
    <row r="1374" spans="1:7" x14ac:dyDescent="0.3">
      <c r="A1374" t="s">
        <v>246</v>
      </c>
      <c r="B1374">
        <v>13790</v>
      </c>
      <c r="C1374" t="s">
        <v>16</v>
      </c>
      <c r="D1374" t="s">
        <v>244</v>
      </c>
      <c r="E1374">
        <v>6.9999999999999999E-4</v>
      </c>
      <c r="F1374">
        <v>-0.18629999999999999</v>
      </c>
      <c r="G1374" t="s">
        <v>247</v>
      </c>
    </row>
    <row r="1375" spans="1:7" x14ac:dyDescent="0.3">
      <c r="B1375">
        <v>9960</v>
      </c>
      <c r="C1375" t="s">
        <v>12</v>
      </c>
      <c r="D1375" t="s">
        <v>323</v>
      </c>
      <c r="E1375">
        <v>2.3999999999999998E-3</v>
      </c>
      <c r="F1375">
        <v>-0.1918</v>
      </c>
      <c r="G1375" t="s">
        <v>325</v>
      </c>
    </row>
    <row r="1376" spans="1:7" x14ac:dyDescent="0.3">
      <c r="B1376">
        <v>5530</v>
      </c>
      <c r="C1376" t="s">
        <v>12</v>
      </c>
      <c r="D1376" t="s">
        <v>522</v>
      </c>
      <c r="E1376">
        <v>1.8E-3</v>
      </c>
      <c r="F1376">
        <v>-8.7800000000000003E-2</v>
      </c>
      <c r="G1376" t="s">
        <v>524</v>
      </c>
    </row>
    <row r="1377" spans="1:7" x14ac:dyDescent="0.3">
      <c r="B1377">
        <v>2180</v>
      </c>
      <c r="C1377" t="s">
        <v>7</v>
      </c>
      <c r="D1377" t="s">
        <v>891</v>
      </c>
      <c r="E1377">
        <v>1.5E-3</v>
      </c>
      <c r="F1377">
        <v>-8.4699999999999998E-2</v>
      </c>
      <c r="G1377" t="s">
        <v>892</v>
      </c>
    </row>
    <row r="1378" spans="1:7" x14ac:dyDescent="0.3">
      <c r="B1378">
        <v>609.76</v>
      </c>
      <c r="C1378" t="s">
        <v>16</v>
      </c>
      <c r="D1378" t="s">
        <v>1658</v>
      </c>
      <c r="E1378">
        <v>1.5E-3</v>
      </c>
      <c r="F1378">
        <v>-0.18970000000000001</v>
      </c>
      <c r="G1378" t="s">
        <v>1660</v>
      </c>
    </row>
    <row r="1379" spans="1:7" x14ac:dyDescent="0.3">
      <c r="B1379">
        <v>538.33000000000004</v>
      </c>
      <c r="C1379" t="s">
        <v>16</v>
      </c>
      <c r="D1379" t="s">
        <v>1740</v>
      </c>
      <c r="E1379">
        <v>1.6000000000000001E-3</v>
      </c>
      <c r="F1379">
        <v>-8.4599999999999995E-2</v>
      </c>
      <c r="G1379" t="s">
        <v>1742</v>
      </c>
    </row>
    <row r="1380" spans="1:7" x14ac:dyDescent="0.3">
      <c r="B1380">
        <v>363.04</v>
      </c>
      <c r="C1380" t="s">
        <v>12</v>
      </c>
      <c r="D1380" t="s">
        <v>2097</v>
      </c>
      <c r="E1380">
        <v>5.9999999999999995E-4</v>
      </c>
      <c r="F1380">
        <v>-0.1719</v>
      </c>
      <c r="G1380" t="s">
        <v>2099</v>
      </c>
    </row>
    <row r="1381" spans="1:7" x14ac:dyDescent="0.3">
      <c r="B1381">
        <v>310.36</v>
      </c>
      <c r="C1381" t="s">
        <v>280</v>
      </c>
      <c r="D1381" t="s">
        <v>2219</v>
      </c>
      <c r="E1381">
        <v>7.1000000000000004E-3</v>
      </c>
      <c r="F1381">
        <v>-0.1341</v>
      </c>
      <c r="G1381" t="s">
        <v>2221</v>
      </c>
    </row>
    <row r="1382" spans="1:7" x14ac:dyDescent="0.3">
      <c r="B1382">
        <v>130.09</v>
      </c>
      <c r="C1382" t="s">
        <v>1687</v>
      </c>
      <c r="D1382" t="s">
        <v>2976</v>
      </c>
      <c r="E1382">
        <v>8.5000000000000006E-3</v>
      </c>
      <c r="F1382">
        <v>-0.20039999999999999</v>
      </c>
      <c r="G1382" t="s">
        <v>2978</v>
      </c>
    </row>
    <row r="1383" spans="1:7" x14ac:dyDescent="0.3">
      <c r="B1383">
        <v>119.51</v>
      </c>
      <c r="C1383" t="s">
        <v>24</v>
      </c>
      <c r="D1383" t="s">
        <v>3093</v>
      </c>
      <c r="E1383">
        <v>3.5000000000000001E-3</v>
      </c>
      <c r="F1383">
        <v>-0.13589999999999999</v>
      </c>
      <c r="G1383" t="s">
        <v>3095</v>
      </c>
    </row>
    <row r="1384" spans="1:7" x14ac:dyDescent="0.3">
      <c r="B1384">
        <v>115.08</v>
      </c>
      <c r="C1384" t="s">
        <v>2709</v>
      </c>
      <c r="D1384" t="s">
        <v>3136</v>
      </c>
      <c r="E1384">
        <v>3.0000000000000001E-3</v>
      </c>
      <c r="F1384">
        <v>-0.1804</v>
      </c>
      <c r="G1384" t="s">
        <v>3138</v>
      </c>
    </row>
    <row r="1385" spans="1:7" x14ac:dyDescent="0.3">
      <c r="B1385">
        <v>1.68</v>
      </c>
      <c r="C1385" t="s">
        <v>280</v>
      </c>
      <c r="D1385" t="s">
        <v>5982</v>
      </c>
      <c r="E1385">
        <v>9.4999999999999998E-3</v>
      </c>
      <c r="F1385">
        <v>-0.19220000000000001</v>
      </c>
      <c r="G1385" t="s">
        <v>5983</v>
      </c>
    </row>
    <row r="1386" spans="1:7" x14ac:dyDescent="0.3">
      <c r="A1386" t="s">
        <v>156</v>
      </c>
      <c r="B1386">
        <v>25600</v>
      </c>
      <c r="C1386" t="s">
        <v>16</v>
      </c>
      <c r="D1386" t="s">
        <v>154</v>
      </c>
      <c r="E1386">
        <v>6.9999999999999999E-4</v>
      </c>
      <c r="F1386">
        <v>-4.9599999999999998E-2</v>
      </c>
      <c r="G1386" t="s">
        <v>157</v>
      </c>
    </row>
    <row r="1387" spans="1:7" x14ac:dyDescent="0.3">
      <c r="B1387">
        <v>14830</v>
      </c>
      <c r="C1387" t="s">
        <v>12</v>
      </c>
      <c r="D1387" t="s">
        <v>226</v>
      </c>
      <c r="E1387">
        <v>2.3999999999999998E-3</v>
      </c>
      <c r="F1387">
        <v>-7.22E-2</v>
      </c>
      <c r="G1387" t="s">
        <v>228</v>
      </c>
    </row>
    <row r="1388" spans="1:7" x14ac:dyDescent="0.3">
      <c r="B1388">
        <v>8380</v>
      </c>
      <c r="C1388" t="s">
        <v>12</v>
      </c>
      <c r="D1388" t="s">
        <v>366</v>
      </c>
      <c r="E1388">
        <v>1.8E-3</v>
      </c>
      <c r="F1388">
        <v>-5.0599999999999999E-2</v>
      </c>
      <c r="G1388" t="s">
        <v>368</v>
      </c>
    </row>
    <row r="1389" spans="1:7" x14ac:dyDescent="0.3">
      <c r="B1389">
        <v>4050</v>
      </c>
      <c r="C1389" t="s">
        <v>7</v>
      </c>
      <c r="D1389" t="s">
        <v>643</v>
      </c>
      <c r="E1389">
        <v>1.5E-3</v>
      </c>
      <c r="F1389">
        <v>-4.9299999999999997E-2</v>
      </c>
      <c r="G1389" t="s">
        <v>645</v>
      </c>
    </row>
    <row r="1390" spans="1:7" x14ac:dyDescent="0.3">
      <c r="B1390">
        <v>2330</v>
      </c>
      <c r="C1390" t="s">
        <v>863</v>
      </c>
      <c r="D1390" t="s">
        <v>864</v>
      </c>
      <c r="E1390">
        <v>2.5000000000000001E-3</v>
      </c>
      <c r="F1390">
        <v>-4.1000000000000002E-2</v>
      </c>
      <c r="G1390" t="s">
        <v>866</v>
      </c>
    </row>
    <row r="1391" spans="1:7" x14ac:dyDescent="0.3">
      <c r="B1391">
        <v>1350</v>
      </c>
      <c r="C1391" t="s">
        <v>16</v>
      </c>
      <c r="D1391" t="s">
        <v>1107</v>
      </c>
      <c r="E1391">
        <v>1.5E-3</v>
      </c>
      <c r="F1391">
        <v>-7.0800000000000002E-2</v>
      </c>
      <c r="G1391" t="s">
        <v>1108</v>
      </c>
    </row>
    <row r="1392" spans="1:7" x14ac:dyDescent="0.3">
      <c r="B1392">
        <v>1240</v>
      </c>
      <c r="C1392" t="s">
        <v>16</v>
      </c>
      <c r="D1392" t="s">
        <v>1139</v>
      </c>
      <c r="E1392">
        <v>1.5E-3</v>
      </c>
      <c r="F1392">
        <v>-4.9099999999999998E-2</v>
      </c>
      <c r="G1392" t="s">
        <v>1141</v>
      </c>
    </row>
    <row r="1393" spans="1:7" x14ac:dyDescent="0.3">
      <c r="B1393">
        <v>558.19000000000005</v>
      </c>
      <c r="C1393" t="s">
        <v>24</v>
      </c>
      <c r="D1393" t="s">
        <v>1699</v>
      </c>
      <c r="E1393">
        <v>3.8999999999999998E-3</v>
      </c>
      <c r="F1393">
        <v>-3.0099999999999998E-2</v>
      </c>
      <c r="G1393" t="s">
        <v>1701</v>
      </c>
    </row>
    <row r="1394" spans="1:7" x14ac:dyDescent="0.3">
      <c r="B1394">
        <v>400.29</v>
      </c>
      <c r="C1394" t="s">
        <v>12</v>
      </c>
      <c r="D1394" t="s">
        <v>1995</v>
      </c>
      <c r="E1394">
        <v>5.9999999999999995E-4</v>
      </c>
      <c r="F1394">
        <v>-4.58E-2</v>
      </c>
      <c r="G1394" t="s">
        <v>1997</v>
      </c>
    </row>
    <row r="1395" spans="1:7" x14ac:dyDescent="0.3">
      <c r="B1395">
        <v>273.98</v>
      </c>
      <c r="C1395" t="s">
        <v>24</v>
      </c>
      <c r="D1395" t="s">
        <v>2297</v>
      </c>
      <c r="E1395">
        <v>3.5000000000000001E-3</v>
      </c>
      <c r="F1395">
        <v>-6.0900000000000003E-2</v>
      </c>
      <c r="G1395" t="s">
        <v>2299</v>
      </c>
    </row>
    <row r="1396" spans="1:7" x14ac:dyDescent="0.3">
      <c r="B1396">
        <v>227.25</v>
      </c>
      <c r="C1396" t="s">
        <v>280</v>
      </c>
      <c r="D1396" t="s">
        <v>2439</v>
      </c>
      <c r="E1396">
        <v>7.1999999999999998E-3</v>
      </c>
      <c r="F1396">
        <v>-2.93E-2</v>
      </c>
      <c r="G1396" t="s">
        <v>2441</v>
      </c>
    </row>
    <row r="1397" spans="1:7" x14ac:dyDescent="0.3">
      <c r="B1397">
        <v>185.08</v>
      </c>
      <c r="C1397" t="s">
        <v>2103</v>
      </c>
      <c r="D1397" t="s">
        <v>2639</v>
      </c>
      <c r="E1397">
        <v>7.9000000000000008E-3</v>
      </c>
      <c r="F1397">
        <v>-4.87E-2</v>
      </c>
      <c r="G1397" t="s">
        <v>2641</v>
      </c>
    </row>
    <row r="1398" spans="1:7" x14ac:dyDescent="0.3">
      <c r="B1398">
        <v>149.18</v>
      </c>
      <c r="C1398" t="s">
        <v>12</v>
      </c>
      <c r="D1398" t="s">
        <v>2823</v>
      </c>
      <c r="E1398">
        <v>2E-3</v>
      </c>
      <c r="F1398">
        <v>-2.06E-2</v>
      </c>
      <c r="G1398" t="s">
        <v>2825</v>
      </c>
    </row>
    <row r="1399" spans="1:7" x14ac:dyDescent="0.3">
      <c r="B1399">
        <v>18.649999999999999</v>
      </c>
      <c r="C1399" t="s">
        <v>1340</v>
      </c>
      <c r="D1399" t="s">
        <v>4854</v>
      </c>
      <c r="E1399">
        <v>6.1000000000000004E-3</v>
      </c>
      <c r="F1399">
        <v>-4.2599999999999999E-2</v>
      </c>
      <c r="G1399" t="s">
        <v>4856</v>
      </c>
    </row>
    <row r="1400" spans="1:7" x14ac:dyDescent="0.3">
      <c r="B1400">
        <v>1.38</v>
      </c>
      <c r="C1400" t="s">
        <v>863</v>
      </c>
      <c r="D1400" t="s">
        <v>5999</v>
      </c>
      <c r="E1400">
        <v>2.5000000000000001E-3</v>
      </c>
      <c r="F1400" t="s">
        <v>662</v>
      </c>
      <c r="G1400" t="s">
        <v>6001</v>
      </c>
    </row>
    <row r="1401" spans="1:7" x14ac:dyDescent="0.3">
      <c r="A1401" t="s">
        <v>19</v>
      </c>
      <c r="B1401" t="s">
        <v>662</v>
      </c>
      <c r="C1401" t="s">
        <v>6113</v>
      </c>
      <c r="D1401" t="s">
        <v>6173</v>
      </c>
      <c r="E1401">
        <v>3.5999999999999999E-3</v>
      </c>
      <c r="F1401">
        <v>1.6E-2</v>
      </c>
      <c r="G1401" t="s">
        <v>6174</v>
      </c>
    </row>
    <row r="1402" spans="1:7" x14ac:dyDescent="0.3">
      <c r="C1402" t="s">
        <v>2353</v>
      </c>
      <c r="D1402" t="s">
        <v>6163</v>
      </c>
      <c r="E1402">
        <v>1.6799999999999999E-2</v>
      </c>
      <c r="F1402">
        <v>-0.98670000000000002</v>
      </c>
      <c r="G1402" t="s">
        <v>6164</v>
      </c>
    </row>
    <row r="1403" spans="1:7" x14ac:dyDescent="0.3">
      <c r="C1403" t="s">
        <v>1182</v>
      </c>
      <c r="D1403" t="s">
        <v>6150</v>
      </c>
      <c r="E1403">
        <v>6.0000000000000001E-3</v>
      </c>
      <c r="F1403">
        <v>1.1999999999999999E-3</v>
      </c>
      <c r="G1403" t="s">
        <v>6151</v>
      </c>
    </row>
    <row r="1404" spans="1:7" x14ac:dyDescent="0.3">
      <c r="C1404" t="s">
        <v>5707</v>
      </c>
      <c r="D1404" t="s">
        <v>6178</v>
      </c>
      <c r="E1404">
        <v>5.4999999999999997E-3</v>
      </c>
      <c r="F1404">
        <v>-2.2100000000000002E-2</v>
      </c>
      <c r="G1404" t="s">
        <v>6179</v>
      </c>
    </row>
    <row r="1405" spans="1:7" x14ac:dyDescent="0.3">
      <c r="B1405">
        <v>276070</v>
      </c>
      <c r="C1405" t="s">
        <v>16</v>
      </c>
      <c r="D1405" t="s">
        <v>17</v>
      </c>
      <c r="E1405">
        <v>2.9999999999999997E-4</v>
      </c>
      <c r="F1405">
        <v>-5.5899999999999998E-2</v>
      </c>
      <c r="G1405" t="s">
        <v>20</v>
      </c>
    </row>
    <row r="1406" spans="1:7" x14ac:dyDescent="0.3">
      <c r="B1406">
        <v>64450</v>
      </c>
      <c r="C1406" t="s">
        <v>16</v>
      </c>
      <c r="D1406" t="s">
        <v>58</v>
      </c>
      <c r="E1406">
        <v>5.9999999999999995E-4</v>
      </c>
      <c r="F1406">
        <v>-1.5299999999999999E-2</v>
      </c>
      <c r="G1406" t="s">
        <v>60</v>
      </c>
    </row>
    <row r="1407" spans="1:7" x14ac:dyDescent="0.3">
      <c r="B1407">
        <v>42940</v>
      </c>
      <c r="C1407" t="s">
        <v>12</v>
      </c>
      <c r="D1407" t="s">
        <v>99</v>
      </c>
      <c r="E1407">
        <v>2.9999999999999997E-4</v>
      </c>
      <c r="F1407">
        <v>-5.5500000000000001E-2</v>
      </c>
      <c r="G1407" t="s">
        <v>101</v>
      </c>
    </row>
    <row r="1408" spans="1:7" x14ac:dyDescent="0.3">
      <c r="B1408">
        <v>28110</v>
      </c>
      <c r="C1408" t="s">
        <v>12</v>
      </c>
      <c r="D1408" t="s">
        <v>148</v>
      </c>
      <c r="E1408">
        <v>1.5E-3</v>
      </c>
      <c r="F1408">
        <v>-2.3099999999999999E-2</v>
      </c>
      <c r="G1408" t="s">
        <v>150</v>
      </c>
    </row>
    <row r="1409" spans="2:7" x14ac:dyDescent="0.3">
      <c r="B1409">
        <v>23800</v>
      </c>
      <c r="C1409" t="s">
        <v>12</v>
      </c>
      <c r="D1409" t="s">
        <v>165</v>
      </c>
      <c r="E1409">
        <v>1.5E-3</v>
      </c>
      <c r="F1409">
        <v>-4.9099999999999998E-2</v>
      </c>
      <c r="G1409" t="s">
        <v>167</v>
      </c>
    </row>
    <row r="1410" spans="2:7" x14ac:dyDescent="0.3">
      <c r="B1410">
        <v>22400</v>
      </c>
      <c r="C1410" t="s">
        <v>12</v>
      </c>
      <c r="D1410" t="s">
        <v>168</v>
      </c>
      <c r="E1410">
        <v>8.0000000000000004E-4</v>
      </c>
      <c r="F1410">
        <v>5.0000000000000001E-3</v>
      </c>
      <c r="G1410" t="s">
        <v>170</v>
      </c>
    </row>
    <row r="1411" spans="2:7" x14ac:dyDescent="0.3">
      <c r="B1411">
        <v>22330</v>
      </c>
      <c r="C1411" t="s">
        <v>12</v>
      </c>
      <c r="D1411" t="s">
        <v>171</v>
      </c>
      <c r="E1411">
        <v>1.5E-3</v>
      </c>
      <c r="F1411">
        <v>-6.13E-2</v>
      </c>
      <c r="G1411" t="s">
        <v>173</v>
      </c>
    </row>
    <row r="1412" spans="2:7" x14ac:dyDescent="0.3">
      <c r="B1412">
        <v>22100</v>
      </c>
      <c r="C1412" t="s">
        <v>116</v>
      </c>
      <c r="D1412" t="s">
        <v>174</v>
      </c>
      <c r="E1412">
        <v>2.9999999999999997E-4</v>
      </c>
      <c r="F1412">
        <v>-5.45E-2</v>
      </c>
      <c r="G1412" t="s">
        <v>176</v>
      </c>
    </row>
    <row r="1413" spans="2:7" x14ac:dyDescent="0.3">
      <c r="B1413">
        <v>14310</v>
      </c>
      <c r="C1413" t="s">
        <v>240</v>
      </c>
      <c r="D1413" t="s">
        <v>241</v>
      </c>
      <c r="E1413">
        <v>1.9E-3</v>
      </c>
      <c r="F1413">
        <v>-4.07E-2</v>
      </c>
      <c r="G1413" t="s">
        <v>243</v>
      </c>
    </row>
    <row r="1414" spans="2:7" x14ac:dyDescent="0.3">
      <c r="B1414">
        <v>12430</v>
      </c>
      <c r="C1414" t="s">
        <v>12</v>
      </c>
      <c r="D1414" t="s">
        <v>292</v>
      </c>
      <c r="E1414">
        <v>1.5E-3</v>
      </c>
      <c r="F1414">
        <v>-0.14180000000000001</v>
      </c>
      <c r="G1414" t="s">
        <v>294</v>
      </c>
    </row>
    <row r="1415" spans="2:7" x14ac:dyDescent="0.3">
      <c r="B1415">
        <v>11830</v>
      </c>
      <c r="C1415" t="s">
        <v>12</v>
      </c>
      <c r="D1415" t="s">
        <v>304</v>
      </c>
      <c r="E1415">
        <v>2E-3</v>
      </c>
      <c r="F1415">
        <v>-5.4199999999999998E-2</v>
      </c>
      <c r="G1415" t="s">
        <v>306</v>
      </c>
    </row>
    <row r="1416" spans="2:7" x14ac:dyDescent="0.3">
      <c r="B1416">
        <v>6890</v>
      </c>
      <c r="C1416" t="s">
        <v>272</v>
      </c>
      <c r="D1416" t="s">
        <v>428</v>
      </c>
      <c r="E1416">
        <v>4.7000000000000002E-3</v>
      </c>
      <c r="F1416">
        <v>-3.9600000000000003E-2</v>
      </c>
      <c r="G1416" t="s">
        <v>430</v>
      </c>
    </row>
    <row r="1417" spans="2:7" x14ac:dyDescent="0.3">
      <c r="B1417">
        <v>6810</v>
      </c>
      <c r="C1417" t="s">
        <v>440</v>
      </c>
      <c r="D1417" t="s">
        <v>441</v>
      </c>
      <c r="E1417">
        <v>2.8E-3</v>
      </c>
      <c r="F1417">
        <v>1.67E-2</v>
      </c>
      <c r="G1417" t="s">
        <v>443</v>
      </c>
    </row>
    <row r="1418" spans="2:7" x14ac:dyDescent="0.3">
      <c r="B1418">
        <v>5980</v>
      </c>
      <c r="C1418" t="s">
        <v>16</v>
      </c>
      <c r="D1418" t="s">
        <v>490</v>
      </c>
      <c r="E1418">
        <v>8.9999999999999998E-4</v>
      </c>
      <c r="F1418">
        <v>-6.08E-2</v>
      </c>
      <c r="G1418" t="s">
        <v>492</v>
      </c>
    </row>
    <row r="1419" spans="2:7" x14ac:dyDescent="0.3">
      <c r="B1419">
        <v>5780</v>
      </c>
      <c r="C1419" t="s">
        <v>240</v>
      </c>
      <c r="D1419" t="s">
        <v>504</v>
      </c>
      <c r="E1419">
        <v>1.1000000000000001E-3</v>
      </c>
      <c r="F1419">
        <v>-4.36E-2</v>
      </c>
      <c r="G1419" t="s">
        <v>506</v>
      </c>
    </row>
    <row r="1420" spans="2:7" x14ac:dyDescent="0.3">
      <c r="B1420">
        <v>5740</v>
      </c>
      <c r="C1420" t="s">
        <v>7</v>
      </c>
      <c r="D1420" t="s">
        <v>507</v>
      </c>
      <c r="E1420">
        <v>2.9999999999999997E-4</v>
      </c>
      <c r="F1420">
        <v>-3.3500000000000002E-2</v>
      </c>
      <c r="G1420" t="s">
        <v>509</v>
      </c>
    </row>
    <row r="1421" spans="2:7" x14ac:dyDescent="0.3">
      <c r="B1421">
        <v>4290</v>
      </c>
      <c r="C1421" t="s">
        <v>460</v>
      </c>
      <c r="D1421" t="s">
        <v>625</v>
      </c>
      <c r="E1421">
        <v>2.0999999999999999E-3</v>
      </c>
      <c r="F1421">
        <v>-9.0700000000000003E-2</v>
      </c>
      <c r="G1421" t="s">
        <v>627</v>
      </c>
    </row>
    <row r="1422" spans="2:7" x14ac:dyDescent="0.3">
      <c r="B1422">
        <v>4050</v>
      </c>
      <c r="C1422" t="s">
        <v>12</v>
      </c>
      <c r="D1422" t="s">
        <v>646</v>
      </c>
      <c r="E1422">
        <v>2.5000000000000001E-3</v>
      </c>
      <c r="F1422">
        <v>-4.7699999999999999E-2</v>
      </c>
      <c r="G1422" t="s">
        <v>647</v>
      </c>
    </row>
    <row r="1423" spans="2:7" x14ac:dyDescent="0.3">
      <c r="B1423">
        <v>3820</v>
      </c>
      <c r="C1423" t="s">
        <v>12</v>
      </c>
      <c r="D1423" t="s">
        <v>668</v>
      </c>
      <c r="E1423">
        <v>2.5000000000000001E-3</v>
      </c>
      <c r="F1423">
        <v>-3.9399999999999998E-2</v>
      </c>
      <c r="G1423" t="s">
        <v>670</v>
      </c>
    </row>
    <row r="1424" spans="2:7" x14ac:dyDescent="0.3">
      <c r="B1424">
        <v>3690</v>
      </c>
      <c r="C1424" t="s">
        <v>12</v>
      </c>
      <c r="D1424" t="s">
        <v>690</v>
      </c>
      <c r="E1424">
        <v>1E-3</v>
      </c>
      <c r="F1424">
        <v>-3.6499999999999998E-2</v>
      </c>
      <c r="G1424" t="s">
        <v>692</v>
      </c>
    </row>
    <row r="1425" spans="2:7" x14ac:dyDescent="0.3">
      <c r="B1425">
        <v>3220</v>
      </c>
      <c r="C1425" t="s">
        <v>618</v>
      </c>
      <c r="D1425" t="s">
        <v>744</v>
      </c>
      <c r="E1425">
        <v>1E-3</v>
      </c>
      <c r="F1425">
        <v>-3.39E-2</v>
      </c>
      <c r="G1425" t="s">
        <v>745</v>
      </c>
    </row>
    <row r="1426" spans="2:7" x14ac:dyDescent="0.3">
      <c r="B1426">
        <v>2650</v>
      </c>
      <c r="C1426" t="s">
        <v>24</v>
      </c>
      <c r="D1426" t="s">
        <v>813</v>
      </c>
      <c r="E1426">
        <v>4.0000000000000002E-4</v>
      </c>
      <c r="F1426">
        <v>-4.41E-2</v>
      </c>
      <c r="G1426" t="s">
        <v>815</v>
      </c>
    </row>
    <row r="1427" spans="2:7" x14ac:dyDescent="0.3">
      <c r="B1427">
        <v>1790</v>
      </c>
      <c r="C1427" t="s">
        <v>863</v>
      </c>
      <c r="D1427" t="s">
        <v>970</v>
      </c>
      <c r="E1427">
        <v>1.5E-3</v>
      </c>
      <c r="F1427">
        <v>-4.2799999999999998E-2</v>
      </c>
      <c r="G1427" t="s">
        <v>971</v>
      </c>
    </row>
    <row r="1428" spans="2:7" x14ac:dyDescent="0.3">
      <c r="B1428">
        <v>1700</v>
      </c>
      <c r="C1428" t="s">
        <v>12</v>
      </c>
      <c r="D1428" t="s">
        <v>999</v>
      </c>
      <c r="E1428">
        <v>2E-3</v>
      </c>
      <c r="F1428">
        <v>-5.1200000000000002E-2</v>
      </c>
      <c r="G1428" t="s">
        <v>1001</v>
      </c>
    </row>
    <row r="1429" spans="2:7" x14ac:dyDescent="0.3">
      <c r="B1429">
        <v>1650</v>
      </c>
      <c r="C1429" t="s">
        <v>240</v>
      </c>
      <c r="D1429" t="s">
        <v>1014</v>
      </c>
      <c r="E1429">
        <v>1.1999999999999999E-3</v>
      </c>
      <c r="F1429">
        <v>-3.9699999999999999E-2</v>
      </c>
      <c r="G1429" t="s">
        <v>1016</v>
      </c>
    </row>
    <row r="1430" spans="2:7" x14ac:dyDescent="0.3">
      <c r="B1430">
        <v>1620</v>
      </c>
      <c r="C1430" t="s">
        <v>444</v>
      </c>
      <c r="D1430" t="s">
        <v>1020</v>
      </c>
      <c r="E1430">
        <v>3.7000000000000002E-3</v>
      </c>
      <c r="F1430">
        <v>-1.03E-2</v>
      </c>
      <c r="G1430" t="s">
        <v>1021</v>
      </c>
    </row>
    <row r="1431" spans="2:7" x14ac:dyDescent="0.3">
      <c r="B1431">
        <v>1580</v>
      </c>
      <c r="C1431" t="s">
        <v>444</v>
      </c>
      <c r="D1431" t="s">
        <v>1029</v>
      </c>
      <c r="E1431">
        <v>2.5000000000000001E-3</v>
      </c>
      <c r="F1431">
        <v>-4.9599999999999998E-2</v>
      </c>
      <c r="G1431" t="s">
        <v>1031</v>
      </c>
    </row>
    <row r="1432" spans="2:7" x14ac:dyDescent="0.3">
      <c r="B1432">
        <v>1510</v>
      </c>
      <c r="C1432" t="s">
        <v>280</v>
      </c>
      <c r="D1432" t="s">
        <v>1050</v>
      </c>
      <c r="E1432">
        <v>5.7000000000000002E-3</v>
      </c>
      <c r="F1432">
        <v>-0.2185</v>
      </c>
      <c r="G1432" t="s">
        <v>1051</v>
      </c>
    </row>
    <row r="1433" spans="2:7" x14ac:dyDescent="0.3">
      <c r="B1433">
        <v>1500</v>
      </c>
      <c r="C1433" t="s">
        <v>24</v>
      </c>
      <c r="D1433" t="s">
        <v>1055</v>
      </c>
      <c r="E1433">
        <v>6.4000000000000003E-3</v>
      </c>
      <c r="F1433">
        <v>-5.8799999999999998E-2</v>
      </c>
      <c r="G1433" t="s">
        <v>1057</v>
      </c>
    </row>
    <row r="1434" spans="2:7" x14ac:dyDescent="0.3">
      <c r="B1434">
        <v>1440</v>
      </c>
      <c r="C1434" t="s">
        <v>24</v>
      </c>
      <c r="D1434" t="s">
        <v>1068</v>
      </c>
      <c r="E1434">
        <v>6.1999999999999998E-3</v>
      </c>
      <c r="F1434">
        <v>-0.16850000000000001</v>
      </c>
      <c r="G1434" t="s">
        <v>1070</v>
      </c>
    </row>
    <row r="1435" spans="2:7" x14ac:dyDescent="0.3">
      <c r="B1435">
        <v>1170</v>
      </c>
      <c r="C1435" t="s">
        <v>16</v>
      </c>
      <c r="D1435" t="s">
        <v>1188</v>
      </c>
      <c r="E1435">
        <v>1E-3</v>
      </c>
      <c r="F1435">
        <v>-5.3999999999999999E-2</v>
      </c>
      <c r="G1435" t="s">
        <v>1189</v>
      </c>
    </row>
    <row r="1436" spans="2:7" x14ac:dyDescent="0.3">
      <c r="B1436">
        <v>1160</v>
      </c>
      <c r="C1436" t="s">
        <v>12</v>
      </c>
      <c r="D1436" t="s">
        <v>1195</v>
      </c>
      <c r="E1436">
        <v>2E-3</v>
      </c>
      <c r="F1436">
        <v>-3.2899999999999999E-2</v>
      </c>
      <c r="G1436" t="s">
        <v>1196</v>
      </c>
    </row>
    <row r="1437" spans="2:7" x14ac:dyDescent="0.3">
      <c r="B1437">
        <v>1010</v>
      </c>
      <c r="C1437" t="s">
        <v>440</v>
      </c>
      <c r="D1437" t="s">
        <v>1271</v>
      </c>
      <c r="E1437">
        <v>2.8E-3</v>
      </c>
      <c r="F1437">
        <v>2.0299999999999999E-2</v>
      </c>
      <c r="G1437" t="s">
        <v>1273</v>
      </c>
    </row>
    <row r="1438" spans="2:7" x14ac:dyDescent="0.3">
      <c r="B1438">
        <v>988.17</v>
      </c>
      <c r="C1438" t="s">
        <v>7</v>
      </c>
      <c r="D1438" t="s">
        <v>1280</v>
      </c>
      <c r="E1438">
        <v>1.5E-3</v>
      </c>
      <c r="F1438">
        <v>-2.6200000000000001E-2</v>
      </c>
      <c r="G1438" t="s">
        <v>1282</v>
      </c>
    </row>
    <row r="1439" spans="2:7" x14ac:dyDescent="0.3">
      <c r="B1439">
        <v>903.91</v>
      </c>
      <c r="C1439" t="s">
        <v>332</v>
      </c>
      <c r="D1439" t="s">
        <v>1356</v>
      </c>
      <c r="E1439">
        <v>2.0000000000000001E-4</v>
      </c>
      <c r="F1439">
        <v>-4.5499999999999999E-2</v>
      </c>
      <c r="G1439" t="s">
        <v>1358</v>
      </c>
    </row>
    <row r="1440" spans="2:7" x14ac:dyDescent="0.3">
      <c r="B1440">
        <v>870.79</v>
      </c>
      <c r="C1440" t="s">
        <v>12</v>
      </c>
      <c r="D1440" t="s">
        <v>1388</v>
      </c>
      <c r="E1440">
        <v>2.9999999999999997E-4</v>
      </c>
      <c r="F1440">
        <v>-4.8300000000000003E-2</v>
      </c>
      <c r="G1440" t="s">
        <v>1390</v>
      </c>
    </row>
    <row r="1441" spans="2:7" x14ac:dyDescent="0.3">
      <c r="B1441">
        <v>758.18</v>
      </c>
      <c r="C1441" t="s">
        <v>1340</v>
      </c>
      <c r="D1441" t="s">
        <v>1514</v>
      </c>
      <c r="E1441">
        <v>2.7000000000000001E-3</v>
      </c>
      <c r="F1441">
        <v>6.0100000000000001E-2</v>
      </c>
      <c r="G1441" t="s">
        <v>1516</v>
      </c>
    </row>
    <row r="1442" spans="2:7" x14ac:dyDescent="0.3">
      <c r="B1442">
        <v>687.75</v>
      </c>
      <c r="C1442" t="s">
        <v>24</v>
      </c>
      <c r="D1442" t="s">
        <v>1579</v>
      </c>
      <c r="E1442">
        <v>5.3E-3</v>
      </c>
      <c r="F1442">
        <v>-4.7000000000000002E-3</v>
      </c>
      <c r="G1442" t="s">
        <v>1581</v>
      </c>
    </row>
    <row r="1443" spans="2:7" x14ac:dyDescent="0.3">
      <c r="B1443">
        <v>655.82</v>
      </c>
      <c r="C1443" t="s">
        <v>486</v>
      </c>
      <c r="D1443" t="s">
        <v>1599</v>
      </c>
      <c r="E1443">
        <v>4.3E-3</v>
      </c>
      <c r="F1443">
        <v>-3.61E-2</v>
      </c>
      <c r="G1443" t="s">
        <v>1601</v>
      </c>
    </row>
    <row r="1444" spans="2:7" x14ac:dyDescent="0.3">
      <c r="B1444">
        <v>540.19000000000005</v>
      </c>
      <c r="C1444" t="s">
        <v>12</v>
      </c>
      <c r="D1444" t="s">
        <v>1737</v>
      </c>
      <c r="E1444">
        <v>1E-3</v>
      </c>
      <c r="F1444">
        <v>-6.8000000000000005E-2</v>
      </c>
      <c r="G1444" t="s">
        <v>1739</v>
      </c>
    </row>
    <row r="1445" spans="2:7" x14ac:dyDescent="0.3">
      <c r="B1445">
        <v>513.51</v>
      </c>
      <c r="C1445" t="s">
        <v>1687</v>
      </c>
      <c r="D1445" t="s">
        <v>1776</v>
      </c>
      <c r="E1445">
        <v>5.0000000000000001E-3</v>
      </c>
      <c r="F1445">
        <v>-7.4899999999999994E-2</v>
      </c>
      <c r="G1445" t="s">
        <v>1778</v>
      </c>
    </row>
    <row r="1446" spans="2:7" x14ac:dyDescent="0.3">
      <c r="B1446">
        <v>501.14</v>
      </c>
      <c r="C1446" t="s">
        <v>12</v>
      </c>
      <c r="D1446" t="s">
        <v>1793</v>
      </c>
      <c r="E1446">
        <v>1.5E-3</v>
      </c>
      <c r="F1446">
        <v>-5.9900000000000002E-2</v>
      </c>
      <c r="G1446" t="s">
        <v>1795</v>
      </c>
    </row>
    <row r="1447" spans="2:7" x14ac:dyDescent="0.3">
      <c r="B1447">
        <v>479.34</v>
      </c>
      <c r="C1447" t="s">
        <v>12</v>
      </c>
      <c r="D1447" t="s">
        <v>1831</v>
      </c>
      <c r="E1447">
        <v>8.9999999999999998E-4</v>
      </c>
      <c r="F1447">
        <v>-6.4399999999999999E-2</v>
      </c>
      <c r="G1447" t="s">
        <v>1833</v>
      </c>
    </row>
    <row r="1448" spans="2:7" x14ac:dyDescent="0.3">
      <c r="B1448">
        <v>464.9</v>
      </c>
      <c r="C1448" t="s">
        <v>1864</v>
      </c>
      <c r="D1448" t="s">
        <v>1865</v>
      </c>
      <c r="E1448">
        <v>8.9999999999999998E-4</v>
      </c>
      <c r="F1448">
        <v>-3.4099999999999998E-2</v>
      </c>
      <c r="G1448" t="s">
        <v>1867</v>
      </c>
    </row>
    <row r="1449" spans="2:7" x14ac:dyDescent="0.3">
      <c r="B1449">
        <v>438.77</v>
      </c>
      <c r="C1449" t="s">
        <v>1891</v>
      </c>
      <c r="D1449" t="s">
        <v>1892</v>
      </c>
      <c r="E1449">
        <v>4.7999999999999996E-3</v>
      </c>
      <c r="F1449">
        <v>-3.0099999999999998E-2</v>
      </c>
      <c r="G1449" t="s">
        <v>1894</v>
      </c>
    </row>
    <row r="1450" spans="2:7" x14ac:dyDescent="0.3">
      <c r="B1450">
        <v>434.02</v>
      </c>
      <c r="C1450" t="s">
        <v>248</v>
      </c>
      <c r="D1450" t="s">
        <v>1911</v>
      </c>
      <c r="E1450">
        <v>6.9999999999999999E-4</v>
      </c>
      <c r="F1450">
        <v>-4.6100000000000002E-2</v>
      </c>
      <c r="G1450" t="s">
        <v>1913</v>
      </c>
    </row>
    <row r="1451" spans="2:7" x14ac:dyDescent="0.3">
      <c r="B1451">
        <v>428.29</v>
      </c>
      <c r="C1451" t="s">
        <v>444</v>
      </c>
      <c r="D1451" t="s">
        <v>1925</v>
      </c>
      <c r="E1451">
        <v>3.7000000000000002E-3</v>
      </c>
      <c r="F1451">
        <v>-7.4999999999999997E-3</v>
      </c>
      <c r="G1451" t="s">
        <v>1927</v>
      </c>
    </row>
    <row r="1452" spans="2:7" x14ac:dyDescent="0.3">
      <c r="B1452">
        <v>416.6</v>
      </c>
      <c r="C1452" t="s">
        <v>116</v>
      </c>
      <c r="D1452" t="s">
        <v>1943</v>
      </c>
      <c r="E1452">
        <v>2.5000000000000001E-3</v>
      </c>
      <c r="F1452">
        <v>-4.0000000000000001E-3</v>
      </c>
      <c r="G1452" t="s">
        <v>1945</v>
      </c>
    </row>
    <row r="1453" spans="2:7" x14ac:dyDescent="0.3">
      <c r="B1453">
        <v>372.1</v>
      </c>
      <c r="C1453" t="s">
        <v>2070</v>
      </c>
      <c r="D1453" t="s">
        <v>2071</v>
      </c>
      <c r="E1453">
        <v>5.8999999999999999E-3</v>
      </c>
      <c r="F1453">
        <v>-3.4799999999999998E-2</v>
      </c>
      <c r="G1453" t="s">
        <v>2073</v>
      </c>
    </row>
    <row r="1454" spans="2:7" x14ac:dyDescent="0.3">
      <c r="B1454">
        <v>329.17</v>
      </c>
      <c r="C1454" t="s">
        <v>1182</v>
      </c>
      <c r="D1454" t="s">
        <v>2172</v>
      </c>
      <c r="E1454">
        <v>2E-3</v>
      </c>
      <c r="F1454">
        <v>-3.1600000000000003E-2</v>
      </c>
      <c r="G1454" t="s">
        <v>2174</v>
      </c>
    </row>
    <row r="1455" spans="2:7" x14ac:dyDescent="0.3">
      <c r="B1455">
        <v>285.81</v>
      </c>
      <c r="C1455" t="s">
        <v>2269</v>
      </c>
      <c r="D1455" t="s">
        <v>2270</v>
      </c>
      <c r="E1455">
        <v>6.0000000000000001E-3</v>
      </c>
      <c r="F1455">
        <v>-0.35649999999999998</v>
      </c>
      <c r="G1455" t="s">
        <v>2272</v>
      </c>
    </row>
    <row r="1456" spans="2:7" x14ac:dyDescent="0.3">
      <c r="B1456">
        <v>219.27</v>
      </c>
      <c r="C1456" t="s">
        <v>863</v>
      </c>
      <c r="D1456" t="s">
        <v>2469</v>
      </c>
      <c r="E1456">
        <v>2.8999999999999998E-3</v>
      </c>
      <c r="F1456">
        <v>-0.12130000000000001</v>
      </c>
      <c r="G1456" t="s">
        <v>2471</v>
      </c>
    </row>
    <row r="1457" spans="2:7" x14ac:dyDescent="0.3">
      <c r="B1457">
        <v>211.68</v>
      </c>
      <c r="C1457" t="s">
        <v>12</v>
      </c>
      <c r="D1457" t="s">
        <v>2502</v>
      </c>
      <c r="E1457">
        <v>2.5000000000000001E-3</v>
      </c>
      <c r="F1457">
        <v>-1.2999999999999999E-3</v>
      </c>
      <c r="G1457" t="s">
        <v>2504</v>
      </c>
    </row>
    <row r="1458" spans="2:7" x14ac:dyDescent="0.3">
      <c r="B1458">
        <v>198.91</v>
      </c>
      <c r="C1458" t="s">
        <v>863</v>
      </c>
      <c r="D1458" t="s">
        <v>2571</v>
      </c>
      <c r="E1458">
        <v>2.8999999999999998E-3</v>
      </c>
      <c r="F1458">
        <v>-4.7000000000000002E-3</v>
      </c>
      <c r="G1458" t="s">
        <v>2573</v>
      </c>
    </row>
    <row r="1459" spans="2:7" x14ac:dyDescent="0.3">
      <c r="B1459">
        <v>192.73</v>
      </c>
      <c r="C1459" t="s">
        <v>2595</v>
      </c>
      <c r="D1459" t="s">
        <v>2596</v>
      </c>
      <c r="E1459">
        <v>5.8999999999999999E-3</v>
      </c>
      <c r="F1459">
        <v>-3.73E-2</v>
      </c>
      <c r="G1459" t="s">
        <v>2598</v>
      </c>
    </row>
    <row r="1460" spans="2:7" x14ac:dyDescent="0.3">
      <c r="B1460">
        <v>191.78</v>
      </c>
      <c r="C1460" t="s">
        <v>248</v>
      </c>
      <c r="D1460" t="s">
        <v>2609</v>
      </c>
      <c r="E1460">
        <v>4.4999999999999997E-3</v>
      </c>
      <c r="F1460">
        <v>-0.13880000000000001</v>
      </c>
      <c r="G1460" t="s">
        <v>2611</v>
      </c>
    </row>
    <row r="1461" spans="2:7" x14ac:dyDescent="0.3">
      <c r="B1461">
        <v>191.65</v>
      </c>
      <c r="C1461" t="s">
        <v>1799</v>
      </c>
      <c r="D1461" t="s">
        <v>2612</v>
      </c>
      <c r="E1461">
        <v>8.0000000000000002E-3</v>
      </c>
      <c r="F1461">
        <v>-0.24610000000000001</v>
      </c>
      <c r="G1461" t="s">
        <v>2614</v>
      </c>
    </row>
    <row r="1462" spans="2:7" x14ac:dyDescent="0.3">
      <c r="B1462">
        <v>190.87</v>
      </c>
      <c r="C1462" t="s">
        <v>444</v>
      </c>
      <c r="D1462" t="s">
        <v>2618</v>
      </c>
      <c r="E1462">
        <v>3.2000000000000002E-3</v>
      </c>
      <c r="F1462">
        <v>-2.5999999999999999E-2</v>
      </c>
      <c r="G1462" t="s">
        <v>2620</v>
      </c>
    </row>
    <row r="1463" spans="2:7" x14ac:dyDescent="0.3">
      <c r="B1463">
        <v>185.03</v>
      </c>
      <c r="C1463" t="s">
        <v>7</v>
      </c>
      <c r="D1463" t="s">
        <v>2642</v>
      </c>
      <c r="E1463">
        <v>7.0000000000000001E-3</v>
      </c>
      <c r="F1463">
        <v>-2.3E-2</v>
      </c>
      <c r="G1463" t="s">
        <v>2644</v>
      </c>
    </row>
    <row r="1464" spans="2:7" x14ac:dyDescent="0.3">
      <c r="B1464">
        <v>182.59</v>
      </c>
      <c r="C1464" t="s">
        <v>921</v>
      </c>
      <c r="D1464" t="s">
        <v>2652</v>
      </c>
      <c r="E1464">
        <v>4.7999999999999996E-3</v>
      </c>
      <c r="F1464">
        <v>-8.6300000000000002E-2</v>
      </c>
      <c r="G1464" t="s">
        <v>2654</v>
      </c>
    </row>
    <row r="1465" spans="2:7" x14ac:dyDescent="0.3">
      <c r="B1465">
        <v>177.94</v>
      </c>
      <c r="C1465" t="s">
        <v>16</v>
      </c>
      <c r="D1465" t="s">
        <v>2668</v>
      </c>
      <c r="E1465">
        <v>1.2999999999999999E-3</v>
      </c>
      <c r="F1465">
        <v>-7.1800000000000003E-2</v>
      </c>
      <c r="G1465" t="s">
        <v>2670</v>
      </c>
    </row>
    <row r="1466" spans="2:7" x14ac:dyDescent="0.3">
      <c r="B1466">
        <v>176.04</v>
      </c>
      <c r="C1466" t="s">
        <v>16</v>
      </c>
      <c r="D1466" t="s">
        <v>2683</v>
      </c>
      <c r="E1466">
        <v>1.2999999999999999E-3</v>
      </c>
      <c r="F1466">
        <v>-0.13089999999999999</v>
      </c>
      <c r="G1466" t="s">
        <v>2685</v>
      </c>
    </row>
    <row r="1467" spans="2:7" x14ac:dyDescent="0.3">
      <c r="B1467">
        <v>175.77</v>
      </c>
      <c r="C1467" t="s">
        <v>486</v>
      </c>
      <c r="D1467" t="s">
        <v>2686</v>
      </c>
      <c r="E1467">
        <v>2.7000000000000001E-3</v>
      </c>
      <c r="F1467">
        <v>-8.6E-3</v>
      </c>
      <c r="G1467" t="s">
        <v>2688</v>
      </c>
    </row>
    <row r="1468" spans="2:7" x14ac:dyDescent="0.3">
      <c r="B1468">
        <v>161.93</v>
      </c>
      <c r="C1468" t="s">
        <v>2757</v>
      </c>
      <c r="D1468" t="s">
        <v>2758</v>
      </c>
      <c r="E1468">
        <v>5.0000000000000001E-3</v>
      </c>
      <c r="F1468">
        <v>6.7999999999999996E-3</v>
      </c>
      <c r="G1468" t="s">
        <v>2760</v>
      </c>
    </row>
    <row r="1469" spans="2:7" x14ac:dyDescent="0.3">
      <c r="B1469">
        <v>159.13</v>
      </c>
      <c r="C1469" t="s">
        <v>444</v>
      </c>
      <c r="D1469" t="s">
        <v>2777</v>
      </c>
      <c r="E1469">
        <v>2.2000000000000001E-3</v>
      </c>
      <c r="F1469">
        <v>-2.0899999999999998E-2</v>
      </c>
      <c r="G1469" t="s">
        <v>2779</v>
      </c>
    </row>
    <row r="1470" spans="2:7" x14ac:dyDescent="0.3">
      <c r="B1470">
        <v>155.02000000000001</v>
      </c>
      <c r="C1470" t="s">
        <v>1182</v>
      </c>
      <c r="D1470" t="s">
        <v>2796</v>
      </c>
      <c r="E1470">
        <v>3.5000000000000001E-3</v>
      </c>
      <c r="F1470">
        <v>-1.4E-3</v>
      </c>
      <c r="G1470" t="s">
        <v>2798</v>
      </c>
    </row>
    <row r="1471" spans="2:7" x14ac:dyDescent="0.3">
      <c r="B1471">
        <v>154.03</v>
      </c>
      <c r="C1471" t="s">
        <v>460</v>
      </c>
      <c r="D1471" t="s">
        <v>2799</v>
      </c>
      <c r="E1471">
        <v>2.8999999999999998E-3</v>
      </c>
      <c r="F1471">
        <v>-7.7999999999999996E-3</v>
      </c>
      <c r="G1471" t="s">
        <v>2801</v>
      </c>
    </row>
    <row r="1472" spans="2:7" x14ac:dyDescent="0.3">
      <c r="B1472">
        <v>153.71</v>
      </c>
      <c r="C1472" t="s">
        <v>440</v>
      </c>
      <c r="D1472" t="s">
        <v>2802</v>
      </c>
      <c r="E1472">
        <v>2.8E-3</v>
      </c>
      <c r="F1472">
        <v>-2.92E-2</v>
      </c>
      <c r="G1472" t="s">
        <v>2804</v>
      </c>
    </row>
    <row r="1473" spans="2:7" x14ac:dyDescent="0.3">
      <c r="B1473">
        <v>142.66</v>
      </c>
      <c r="C1473" t="s">
        <v>921</v>
      </c>
      <c r="D1473" t="s">
        <v>2866</v>
      </c>
      <c r="E1473">
        <v>8.0000000000000002E-3</v>
      </c>
      <c r="F1473">
        <v>-0.16</v>
      </c>
      <c r="G1473" t="s">
        <v>2868</v>
      </c>
    </row>
    <row r="1474" spans="2:7" x14ac:dyDescent="0.3">
      <c r="B1474">
        <v>142</v>
      </c>
      <c r="C1474" t="s">
        <v>517</v>
      </c>
      <c r="D1474" t="s">
        <v>2878</v>
      </c>
      <c r="E1474">
        <v>7.0000000000000001E-3</v>
      </c>
      <c r="F1474">
        <v>-6.1499999999999999E-2</v>
      </c>
      <c r="G1474" t="s">
        <v>2880</v>
      </c>
    </row>
    <row r="1475" spans="2:7" x14ac:dyDescent="0.3">
      <c r="B1475">
        <v>139.63999999999999</v>
      </c>
      <c r="C1475" t="s">
        <v>979</v>
      </c>
      <c r="D1475" t="s">
        <v>2903</v>
      </c>
      <c r="E1475">
        <v>8.8000000000000005E-3</v>
      </c>
      <c r="F1475">
        <v>-2.6499999999999999E-2</v>
      </c>
      <c r="G1475" t="s">
        <v>2905</v>
      </c>
    </row>
    <row r="1476" spans="2:7" x14ac:dyDescent="0.3">
      <c r="B1476">
        <v>136.57</v>
      </c>
      <c r="C1476" t="s">
        <v>1340</v>
      </c>
      <c r="D1476" t="s">
        <v>2928</v>
      </c>
      <c r="E1476">
        <v>2.8999999999999998E-3</v>
      </c>
      <c r="F1476">
        <v>-1.2500000000000001E-2</v>
      </c>
      <c r="G1476" t="s">
        <v>2930</v>
      </c>
    </row>
    <row r="1477" spans="2:7" x14ac:dyDescent="0.3">
      <c r="B1477">
        <v>136.53</v>
      </c>
      <c r="C1477" t="s">
        <v>2931</v>
      </c>
      <c r="D1477" t="s">
        <v>2932</v>
      </c>
      <c r="E1477">
        <v>9.9000000000000008E-3</v>
      </c>
      <c r="F1477">
        <v>-4.5699999999999998E-2</v>
      </c>
      <c r="G1477" t="s">
        <v>2934</v>
      </c>
    </row>
    <row r="1478" spans="2:7" x14ac:dyDescent="0.3">
      <c r="B1478">
        <v>135.5</v>
      </c>
      <c r="C1478" t="s">
        <v>16</v>
      </c>
      <c r="D1478" t="s">
        <v>2941</v>
      </c>
      <c r="E1478">
        <v>1.9E-3</v>
      </c>
      <c r="F1478">
        <v>-4.2200000000000001E-2</v>
      </c>
      <c r="G1478" t="s">
        <v>2943</v>
      </c>
    </row>
    <row r="1479" spans="2:7" x14ac:dyDescent="0.3">
      <c r="B1479">
        <v>128.55000000000001</v>
      </c>
      <c r="C1479" t="s">
        <v>24</v>
      </c>
      <c r="D1479" t="s">
        <v>3015</v>
      </c>
      <c r="E1479">
        <v>7.4999999999999997E-3</v>
      </c>
      <c r="F1479">
        <v>-7.9500000000000001E-2</v>
      </c>
      <c r="G1479" t="s">
        <v>3017</v>
      </c>
    </row>
    <row r="1480" spans="2:7" x14ac:dyDescent="0.3">
      <c r="B1480">
        <v>125.73</v>
      </c>
      <c r="C1480" t="s">
        <v>12</v>
      </c>
      <c r="D1480" t="s">
        <v>3030</v>
      </c>
      <c r="E1480">
        <v>3.0000000000000001E-3</v>
      </c>
      <c r="F1480">
        <v>-8.3599999999999994E-2</v>
      </c>
      <c r="G1480" t="s">
        <v>3032</v>
      </c>
    </row>
    <row r="1481" spans="2:7" x14ac:dyDescent="0.3">
      <c r="B1481">
        <v>123.72</v>
      </c>
      <c r="C1481" t="s">
        <v>517</v>
      </c>
      <c r="D1481" t="s">
        <v>3066</v>
      </c>
      <c r="E1481">
        <v>5.1999999999999998E-3</v>
      </c>
      <c r="F1481">
        <v>2.3199999999999998E-2</v>
      </c>
      <c r="G1481" t="s">
        <v>3068</v>
      </c>
    </row>
    <row r="1482" spans="2:7" x14ac:dyDescent="0.3">
      <c r="B1482">
        <v>123.03</v>
      </c>
      <c r="C1482" t="s">
        <v>280</v>
      </c>
      <c r="D1482" t="s">
        <v>3072</v>
      </c>
      <c r="E1482">
        <v>6.0000000000000001E-3</v>
      </c>
      <c r="F1482">
        <v>-4.4200000000000003E-2</v>
      </c>
      <c r="G1482" t="s">
        <v>3074</v>
      </c>
    </row>
    <row r="1483" spans="2:7" x14ac:dyDescent="0.3">
      <c r="B1483">
        <v>116.5</v>
      </c>
      <c r="C1483" t="s">
        <v>272</v>
      </c>
      <c r="D1483" t="s">
        <v>3126</v>
      </c>
      <c r="E1483">
        <v>7.4999999999999997E-3</v>
      </c>
      <c r="F1483">
        <v>-0.26540000000000002</v>
      </c>
      <c r="G1483" t="s">
        <v>3128</v>
      </c>
    </row>
    <row r="1484" spans="2:7" x14ac:dyDescent="0.3">
      <c r="B1484">
        <v>114.44</v>
      </c>
      <c r="C1484" t="s">
        <v>24</v>
      </c>
      <c r="D1484" t="s">
        <v>3139</v>
      </c>
      <c r="E1484">
        <v>6.0000000000000001E-3</v>
      </c>
      <c r="F1484">
        <v>-0.109</v>
      </c>
      <c r="G1484" t="s">
        <v>3141</v>
      </c>
    </row>
    <row r="1485" spans="2:7" x14ac:dyDescent="0.3">
      <c r="B1485">
        <v>107.16</v>
      </c>
      <c r="C1485" t="s">
        <v>3198</v>
      </c>
      <c r="D1485" t="s">
        <v>3199</v>
      </c>
      <c r="E1485">
        <v>1.1000000000000001E-3</v>
      </c>
      <c r="F1485">
        <v>-3.0000000000000001E-3</v>
      </c>
      <c r="G1485" t="s">
        <v>3201</v>
      </c>
    </row>
    <row r="1486" spans="2:7" x14ac:dyDescent="0.3">
      <c r="B1486">
        <v>100.61</v>
      </c>
      <c r="C1486" t="s">
        <v>1348</v>
      </c>
      <c r="D1486" t="s">
        <v>3253</v>
      </c>
      <c r="E1486">
        <v>3.3999999999999998E-3</v>
      </c>
      <c r="F1486">
        <v>-0.1077</v>
      </c>
      <c r="G1486" t="s">
        <v>3255</v>
      </c>
    </row>
    <row r="1487" spans="2:7" x14ac:dyDescent="0.3">
      <c r="B1487">
        <v>98.27</v>
      </c>
      <c r="C1487" t="s">
        <v>440</v>
      </c>
      <c r="D1487" t="s">
        <v>3268</v>
      </c>
      <c r="E1487">
        <v>2.8E-3</v>
      </c>
      <c r="F1487">
        <v>-3.1800000000000002E-2</v>
      </c>
      <c r="G1487" t="s">
        <v>3270</v>
      </c>
    </row>
    <row r="1488" spans="2:7" x14ac:dyDescent="0.3">
      <c r="B1488">
        <v>97.07</v>
      </c>
      <c r="C1488" t="s">
        <v>440</v>
      </c>
      <c r="D1488" t="s">
        <v>3278</v>
      </c>
      <c r="E1488">
        <v>1.1999999999999999E-3</v>
      </c>
      <c r="F1488">
        <v>-3.4599999999999999E-2</v>
      </c>
      <c r="G1488" t="s">
        <v>3280</v>
      </c>
    </row>
    <row r="1489" spans="2:7" x14ac:dyDescent="0.3">
      <c r="B1489">
        <v>97.04</v>
      </c>
      <c r="C1489" t="s">
        <v>3281</v>
      </c>
      <c r="D1489" t="s">
        <v>3282</v>
      </c>
      <c r="E1489">
        <v>6.4999999999999997E-3</v>
      </c>
      <c r="F1489" t="s">
        <v>662</v>
      </c>
      <c r="G1489" t="s">
        <v>3284</v>
      </c>
    </row>
    <row r="1490" spans="2:7" x14ac:dyDescent="0.3">
      <c r="B1490">
        <v>88.45</v>
      </c>
      <c r="C1490" t="s">
        <v>7</v>
      </c>
      <c r="D1490" t="s">
        <v>3391</v>
      </c>
      <c r="E1490">
        <v>1.1999999999999999E-3</v>
      </c>
      <c r="F1490">
        <v>-3.6799999999999999E-2</v>
      </c>
      <c r="G1490" t="s">
        <v>3393</v>
      </c>
    </row>
    <row r="1491" spans="2:7" x14ac:dyDescent="0.3">
      <c r="B1491">
        <v>83.32</v>
      </c>
      <c r="C1491" t="s">
        <v>3223</v>
      </c>
      <c r="D1491" t="s">
        <v>3445</v>
      </c>
      <c r="E1491">
        <v>3.0000000000000001E-3</v>
      </c>
      <c r="F1491">
        <v>-2.1499999999999998E-2</v>
      </c>
      <c r="G1491" t="s">
        <v>3447</v>
      </c>
    </row>
    <row r="1492" spans="2:7" x14ac:dyDescent="0.3">
      <c r="B1492">
        <v>80.239999999999995</v>
      </c>
      <c r="C1492" t="s">
        <v>2475</v>
      </c>
      <c r="D1492" t="s">
        <v>3490</v>
      </c>
      <c r="E1492">
        <v>4.8999999999999998E-3</v>
      </c>
      <c r="F1492">
        <v>-0.1416</v>
      </c>
      <c r="G1492" t="s">
        <v>3492</v>
      </c>
    </row>
    <row r="1493" spans="2:7" x14ac:dyDescent="0.3">
      <c r="B1493">
        <v>79</v>
      </c>
      <c r="C1493" t="s">
        <v>2595</v>
      </c>
      <c r="D1493" t="s">
        <v>3496</v>
      </c>
      <c r="E1493">
        <v>6.8999999999999999E-3</v>
      </c>
      <c r="F1493">
        <v>-0.15620000000000001</v>
      </c>
      <c r="G1493" t="s">
        <v>3498</v>
      </c>
    </row>
    <row r="1494" spans="2:7" x14ac:dyDescent="0.3">
      <c r="B1494">
        <v>72.86</v>
      </c>
      <c r="C1494" t="s">
        <v>3588</v>
      </c>
      <c r="D1494" t="s">
        <v>3589</v>
      </c>
      <c r="E1494">
        <v>8.9999999999999993E-3</v>
      </c>
      <c r="F1494">
        <v>-0.1239</v>
      </c>
      <c r="G1494" t="s">
        <v>3591</v>
      </c>
    </row>
    <row r="1495" spans="2:7" x14ac:dyDescent="0.3">
      <c r="B1495">
        <v>68.400000000000006</v>
      </c>
      <c r="C1495" t="s">
        <v>24</v>
      </c>
      <c r="D1495" t="s">
        <v>3655</v>
      </c>
      <c r="E1495">
        <v>6.4999999999999997E-3</v>
      </c>
      <c r="F1495">
        <v>-0.1061</v>
      </c>
      <c r="G1495" t="s">
        <v>3657</v>
      </c>
    </row>
    <row r="1496" spans="2:7" x14ac:dyDescent="0.3">
      <c r="B1496">
        <v>65.349999999999994</v>
      </c>
      <c r="C1496" t="s">
        <v>1289</v>
      </c>
      <c r="D1496" t="s">
        <v>3687</v>
      </c>
      <c r="E1496">
        <v>1.0800000000000001E-2</v>
      </c>
      <c r="F1496">
        <v>-0.1245</v>
      </c>
      <c r="G1496" t="s">
        <v>3689</v>
      </c>
    </row>
    <row r="1497" spans="2:7" x14ac:dyDescent="0.3">
      <c r="B1497">
        <v>61.91</v>
      </c>
      <c r="C1497" t="s">
        <v>486</v>
      </c>
      <c r="D1497" t="s">
        <v>3716</v>
      </c>
      <c r="E1497">
        <v>7.4999999999999997E-3</v>
      </c>
      <c r="F1497">
        <v>-0.1817</v>
      </c>
      <c r="G1497" t="s">
        <v>3718</v>
      </c>
    </row>
    <row r="1498" spans="2:7" x14ac:dyDescent="0.3">
      <c r="B1498">
        <v>61.51</v>
      </c>
      <c r="C1498" t="s">
        <v>3728</v>
      </c>
      <c r="D1498" t="s">
        <v>3729</v>
      </c>
      <c r="E1498">
        <v>9.7000000000000003E-3</v>
      </c>
      <c r="F1498" t="s">
        <v>662</v>
      </c>
      <c r="G1498" t="s">
        <v>3731</v>
      </c>
    </row>
    <row r="1499" spans="2:7" x14ac:dyDescent="0.3">
      <c r="B1499">
        <v>61.43</v>
      </c>
      <c r="C1499" t="s">
        <v>2595</v>
      </c>
      <c r="D1499" t="s">
        <v>3732</v>
      </c>
      <c r="E1499">
        <v>6.8999999999999999E-3</v>
      </c>
      <c r="F1499" t="s">
        <v>662</v>
      </c>
      <c r="G1499" t="s">
        <v>3734</v>
      </c>
    </row>
    <row r="1500" spans="2:7" x14ac:dyDescent="0.3">
      <c r="B1500">
        <v>52.4</v>
      </c>
      <c r="C1500" t="s">
        <v>272</v>
      </c>
      <c r="D1500" t="s">
        <v>3865</v>
      </c>
      <c r="E1500">
        <v>2.8999999999999998E-3</v>
      </c>
      <c r="F1500">
        <v>2.47E-2</v>
      </c>
      <c r="G1500" t="s">
        <v>3866</v>
      </c>
    </row>
    <row r="1501" spans="2:7" x14ac:dyDescent="0.3">
      <c r="B1501">
        <v>49.44</v>
      </c>
      <c r="C1501" t="s">
        <v>280</v>
      </c>
      <c r="D1501" t="s">
        <v>3912</v>
      </c>
      <c r="E1501">
        <v>6.0000000000000001E-3</v>
      </c>
      <c r="F1501">
        <v>-2.5899999999999999E-2</v>
      </c>
      <c r="G1501" t="s">
        <v>3914</v>
      </c>
    </row>
    <row r="1502" spans="2:7" x14ac:dyDescent="0.3">
      <c r="B1502">
        <v>49.28</v>
      </c>
      <c r="C1502" t="s">
        <v>16</v>
      </c>
      <c r="D1502" t="s">
        <v>3918</v>
      </c>
      <c r="E1502">
        <v>1.2999999999999999E-3</v>
      </c>
      <c r="F1502">
        <v>-2.3E-3</v>
      </c>
      <c r="G1502" t="s">
        <v>3920</v>
      </c>
    </row>
    <row r="1503" spans="2:7" x14ac:dyDescent="0.3">
      <c r="B1503">
        <v>48.19</v>
      </c>
      <c r="C1503" t="s">
        <v>16</v>
      </c>
      <c r="D1503" t="s">
        <v>3942</v>
      </c>
      <c r="E1503">
        <v>1.2999999999999999E-3</v>
      </c>
      <c r="F1503">
        <v>-9.3899999999999997E-2</v>
      </c>
      <c r="G1503" t="s">
        <v>3944</v>
      </c>
    </row>
    <row r="1504" spans="2:7" x14ac:dyDescent="0.3">
      <c r="B1504">
        <v>46.67</v>
      </c>
      <c r="C1504" t="s">
        <v>280</v>
      </c>
      <c r="D1504" t="s">
        <v>3975</v>
      </c>
      <c r="E1504">
        <v>8.5000000000000006E-3</v>
      </c>
      <c r="F1504">
        <v>-2.8000000000000001E-2</v>
      </c>
      <c r="G1504" t="s">
        <v>3977</v>
      </c>
    </row>
    <row r="1505" spans="2:7" x14ac:dyDescent="0.3">
      <c r="B1505">
        <v>46.53</v>
      </c>
      <c r="C1505" t="s">
        <v>3982</v>
      </c>
      <c r="D1505" t="s">
        <v>3983</v>
      </c>
      <c r="E1505">
        <v>6.4999999999999997E-3</v>
      </c>
      <c r="F1505">
        <v>1.7500000000000002E-2</v>
      </c>
      <c r="G1505" t="s">
        <v>3985</v>
      </c>
    </row>
    <row r="1506" spans="2:7" x14ac:dyDescent="0.3">
      <c r="B1506">
        <v>44.05</v>
      </c>
      <c r="C1506" t="s">
        <v>3230</v>
      </c>
      <c r="D1506" t="s">
        <v>4018</v>
      </c>
      <c r="E1506">
        <v>6.4999999999999997E-3</v>
      </c>
      <c r="F1506">
        <v>-2.3599999999999999E-2</v>
      </c>
      <c r="G1506" t="s">
        <v>4020</v>
      </c>
    </row>
    <row r="1507" spans="2:7" x14ac:dyDescent="0.3">
      <c r="B1507">
        <v>42.61</v>
      </c>
      <c r="C1507" t="s">
        <v>517</v>
      </c>
      <c r="D1507" t="s">
        <v>4053</v>
      </c>
      <c r="E1507">
        <v>5.1999999999999998E-3</v>
      </c>
      <c r="F1507">
        <v>-3.32E-2</v>
      </c>
      <c r="G1507" t="s">
        <v>4055</v>
      </c>
    </row>
    <row r="1508" spans="2:7" x14ac:dyDescent="0.3">
      <c r="B1508">
        <v>38.590000000000003</v>
      </c>
      <c r="C1508" t="s">
        <v>4144</v>
      </c>
      <c r="D1508" t="s">
        <v>4145</v>
      </c>
      <c r="E1508">
        <v>4.8999999999999998E-3</v>
      </c>
      <c r="F1508">
        <v>-2.06E-2</v>
      </c>
      <c r="G1508" t="s">
        <v>4147</v>
      </c>
    </row>
    <row r="1509" spans="2:7" x14ac:dyDescent="0.3">
      <c r="B1509">
        <v>36.770000000000003</v>
      </c>
      <c r="C1509" t="s">
        <v>4144</v>
      </c>
      <c r="D1509" t="s">
        <v>4212</v>
      </c>
      <c r="E1509">
        <v>7.4999999999999997E-3</v>
      </c>
      <c r="F1509">
        <v>-2.41E-2</v>
      </c>
      <c r="G1509" t="s">
        <v>4214</v>
      </c>
    </row>
    <row r="1510" spans="2:7" x14ac:dyDescent="0.3">
      <c r="B1510">
        <v>35.19</v>
      </c>
      <c r="C1510" t="s">
        <v>2475</v>
      </c>
      <c r="D1510" t="s">
        <v>4256</v>
      </c>
      <c r="E1510">
        <v>3.8999999999999998E-3</v>
      </c>
      <c r="F1510">
        <v>8.6E-3</v>
      </c>
      <c r="G1510" t="s">
        <v>4258</v>
      </c>
    </row>
    <row r="1511" spans="2:7" x14ac:dyDescent="0.3">
      <c r="B1511">
        <v>33.64</v>
      </c>
      <c r="C1511" t="s">
        <v>2475</v>
      </c>
      <c r="D1511" t="s">
        <v>4304</v>
      </c>
      <c r="E1511">
        <v>6.4999999999999997E-3</v>
      </c>
      <c r="F1511" t="s">
        <v>662</v>
      </c>
      <c r="G1511" t="s">
        <v>4306</v>
      </c>
    </row>
    <row r="1512" spans="2:7" x14ac:dyDescent="0.3">
      <c r="B1512">
        <v>31.82</v>
      </c>
      <c r="C1512" t="s">
        <v>1289</v>
      </c>
      <c r="D1512" t="s">
        <v>4347</v>
      </c>
      <c r="E1512">
        <v>6.6E-3</v>
      </c>
      <c r="F1512">
        <v>1.03E-2</v>
      </c>
      <c r="G1512" t="s">
        <v>4349</v>
      </c>
    </row>
    <row r="1513" spans="2:7" x14ac:dyDescent="0.3">
      <c r="B1513">
        <v>31.43</v>
      </c>
      <c r="C1513" t="s">
        <v>4370</v>
      </c>
      <c r="D1513" t="s">
        <v>4371</v>
      </c>
      <c r="E1513">
        <v>6.4999999999999997E-3</v>
      </c>
      <c r="F1513">
        <v>-5.3699999999999998E-2</v>
      </c>
      <c r="G1513" t="s">
        <v>4373</v>
      </c>
    </row>
    <row r="1514" spans="2:7" x14ac:dyDescent="0.3">
      <c r="B1514">
        <v>26.52</v>
      </c>
      <c r="C1514" t="s">
        <v>979</v>
      </c>
      <c r="D1514" t="s">
        <v>4505</v>
      </c>
      <c r="E1514">
        <v>6.4999999999999997E-3</v>
      </c>
      <c r="F1514">
        <v>-0.24060000000000001</v>
      </c>
      <c r="G1514" t="s">
        <v>4507</v>
      </c>
    </row>
    <row r="1515" spans="2:7" x14ac:dyDescent="0.3">
      <c r="B1515">
        <v>26.45</v>
      </c>
      <c r="C1515" t="s">
        <v>2951</v>
      </c>
      <c r="D1515" t="s">
        <v>4508</v>
      </c>
      <c r="E1515">
        <v>3.5000000000000001E-3</v>
      </c>
      <c r="F1515">
        <v>1.47E-2</v>
      </c>
      <c r="G1515" t="s">
        <v>4510</v>
      </c>
    </row>
    <row r="1516" spans="2:7" x14ac:dyDescent="0.3">
      <c r="B1516">
        <v>26.41</v>
      </c>
      <c r="C1516" t="s">
        <v>979</v>
      </c>
      <c r="D1516" t="s">
        <v>4511</v>
      </c>
      <c r="E1516">
        <v>0.01</v>
      </c>
      <c r="F1516">
        <v>-0.12039999999999999</v>
      </c>
      <c r="G1516" t="s">
        <v>4513</v>
      </c>
    </row>
    <row r="1517" spans="2:7" x14ac:dyDescent="0.3">
      <c r="B1517">
        <v>26.03</v>
      </c>
      <c r="C1517" t="s">
        <v>3223</v>
      </c>
      <c r="D1517" t="s">
        <v>4520</v>
      </c>
      <c r="E1517">
        <v>3.0000000000000001E-3</v>
      </c>
      <c r="F1517">
        <v>1.6000000000000001E-3</v>
      </c>
      <c r="G1517" t="s">
        <v>4522</v>
      </c>
    </row>
    <row r="1518" spans="2:7" x14ac:dyDescent="0.3">
      <c r="B1518">
        <v>25.26</v>
      </c>
      <c r="C1518" t="s">
        <v>4559</v>
      </c>
      <c r="D1518" t="s">
        <v>4560</v>
      </c>
      <c r="E1518">
        <v>7.4999999999999997E-3</v>
      </c>
      <c r="F1518">
        <v>-5.4899999999999997E-2</v>
      </c>
      <c r="G1518" t="s">
        <v>4562</v>
      </c>
    </row>
    <row r="1519" spans="2:7" x14ac:dyDescent="0.3">
      <c r="B1519">
        <v>24.13</v>
      </c>
      <c r="C1519" t="s">
        <v>280</v>
      </c>
      <c r="D1519" t="s">
        <v>4607</v>
      </c>
      <c r="E1519">
        <v>6.0000000000000001E-3</v>
      </c>
      <c r="F1519">
        <v>-2.3800000000000002E-2</v>
      </c>
      <c r="G1519" t="s">
        <v>4609</v>
      </c>
    </row>
    <row r="1520" spans="2:7" x14ac:dyDescent="0.3">
      <c r="B1520">
        <v>23.27</v>
      </c>
      <c r="C1520" t="s">
        <v>1150</v>
      </c>
      <c r="D1520" t="s">
        <v>4646</v>
      </c>
      <c r="E1520">
        <v>4.4999999999999997E-3</v>
      </c>
      <c r="F1520">
        <v>-0.20469999999999999</v>
      </c>
      <c r="G1520" t="s">
        <v>4648</v>
      </c>
    </row>
    <row r="1521" spans="2:7" x14ac:dyDescent="0.3">
      <c r="B1521">
        <v>23.13</v>
      </c>
      <c r="C1521" t="s">
        <v>280</v>
      </c>
      <c r="D1521" t="s">
        <v>4649</v>
      </c>
      <c r="E1521">
        <v>7.0000000000000001E-3</v>
      </c>
      <c r="F1521">
        <v>-4.9399999999999999E-2</v>
      </c>
      <c r="G1521" t="s">
        <v>4651</v>
      </c>
    </row>
    <row r="1522" spans="2:7" x14ac:dyDescent="0.3">
      <c r="B1522">
        <v>22.8</v>
      </c>
      <c r="C1522" t="s">
        <v>2070</v>
      </c>
      <c r="D1522" t="s">
        <v>4670</v>
      </c>
      <c r="E1522">
        <v>6.4000000000000003E-3</v>
      </c>
      <c r="F1522">
        <v>-4.4900000000000002E-2</v>
      </c>
      <c r="G1522" t="s">
        <v>4671</v>
      </c>
    </row>
    <row r="1523" spans="2:7" x14ac:dyDescent="0.3">
      <c r="B1523">
        <v>22.39</v>
      </c>
      <c r="C1523" t="s">
        <v>2087</v>
      </c>
      <c r="D1523" t="s">
        <v>4695</v>
      </c>
      <c r="E1523">
        <v>2.8999999999999998E-3</v>
      </c>
      <c r="F1523">
        <v>-0.19139999999999999</v>
      </c>
      <c r="G1523" t="s">
        <v>4697</v>
      </c>
    </row>
    <row r="1524" spans="2:7" x14ac:dyDescent="0.3">
      <c r="B1524">
        <v>21.83</v>
      </c>
      <c r="C1524" t="s">
        <v>2378</v>
      </c>
      <c r="D1524" t="s">
        <v>4720</v>
      </c>
      <c r="E1524">
        <v>3.3999999999999998E-3</v>
      </c>
      <c r="F1524">
        <v>-3.4500000000000003E-2</v>
      </c>
      <c r="G1524" t="s">
        <v>4722</v>
      </c>
    </row>
    <row r="1525" spans="2:7" x14ac:dyDescent="0.3">
      <c r="B1525">
        <v>21.55</v>
      </c>
      <c r="C1525" t="s">
        <v>444</v>
      </c>
      <c r="D1525" t="s">
        <v>4730</v>
      </c>
      <c r="E1525">
        <v>3.7000000000000002E-3</v>
      </c>
      <c r="F1525">
        <v>-7.3000000000000001E-3</v>
      </c>
      <c r="G1525" t="s">
        <v>4732</v>
      </c>
    </row>
    <row r="1526" spans="2:7" x14ac:dyDescent="0.3">
      <c r="B1526">
        <v>17</v>
      </c>
      <c r="C1526" t="s">
        <v>4559</v>
      </c>
      <c r="D1526" t="s">
        <v>4952</v>
      </c>
      <c r="E1526">
        <v>7.4999999999999997E-3</v>
      </c>
      <c r="F1526">
        <v>-3.4000000000000002E-2</v>
      </c>
      <c r="G1526" t="s">
        <v>4954</v>
      </c>
    </row>
    <row r="1527" spans="2:7" x14ac:dyDescent="0.3">
      <c r="B1527">
        <v>16.04</v>
      </c>
      <c r="C1527" t="s">
        <v>3230</v>
      </c>
      <c r="D1527" t="s">
        <v>4993</v>
      </c>
      <c r="E1527">
        <v>3.5000000000000001E-3</v>
      </c>
      <c r="F1527">
        <v>-3.8899999999999997E-2</v>
      </c>
      <c r="G1527" t="s">
        <v>4995</v>
      </c>
    </row>
    <row r="1528" spans="2:7" x14ac:dyDescent="0.3">
      <c r="B1528">
        <v>15.53</v>
      </c>
      <c r="C1528" t="s">
        <v>1799</v>
      </c>
      <c r="D1528" t="s">
        <v>5034</v>
      </c>
      <c r="E1528">
        <v>8.3999999999999995E-3</v>
      </c>
      <c r="F1528">
        <v>-4.8300000000000003E-2</v>
      </c>
      <c r="G1528" t="s">
        <v>5036</v>
      </c>
    </row>
    <row r="1529" spans="2:7" x14ac:dyDescent="0.3">
      <c r="B1529">
        <v>13.44</v>
      </c>
      <c r="C1529" t="s">
        <v>486</v>
      </c>
      <c r="D1529" t="s">
        <v>5094</v>
      </c>
      <c r="E1529">
        <v>4.4999999999999997E-3</v>
      </c>
      <c r="F1529">
        <v>-0.2104</v>
      </c>
      <c r="G1529" t="s">
        <v>5096</v>
      </c>
    </row>
    <row r="1530" spans="2:7" x14ac:dyDescent="0.3">
      <c r="B1530">
        <v>11.95</v>
      </c>
      <c r="C1530" t="s">
        <v>1799</v>
      </c>
      <c r="D1530" t="s">
        <v>5179</v>
      </c>
      <c r="E1530">
        <v>7.9000000000000008E-3</v>
      </c>
      <c r="F1530">
        <v>-5.4300000000000001E-2</v>
      </c>
      <c r="G1530" t="s">
        <v>5181</v>
      </c>
    </row>
    <row r="1531" spans="2:7" x14ac:dyDescent="0.3">
      <c r="B1531">
        <v>11.31</v>
      </c>
      <c r="C1531" t="s">
        <v>5207</v>
      </c>
      <c r="D1531" t="s">
        <v>5208</v>
      </c>
      <c r="E1531">
        <v>5.4999999999999997E-3</v>
      </c>
      <c r="F1531">
        <v>-1.6E-2</v>
      </c>
      <c r="G1531" t="s">
        <v>5210</v>
      </c>
    </row>
    <row r="1532" spans="2:7" x14ac:dyDescent="0.3">
      <c r="B1532">
        <v>10.98</v>
      </c>
      <c r="C1532" t="s">
        <v>5217</v>
      </c>
      <c r="D1532" t="s">
        <v>5218</v>
      </c>
      <c r="E1532">
        <v>8.9999999999999993E-3</v>
      </c>
      <c r="F1532">
        <v>-7.9000000000000001E-2</v>
      </c>
      <c r="G1532" t="s">
        <v>5220</v>
      </c>
    </row>
    <row r="1533" spans="2:7" x14ac:dyDescent="0.3">
      <c r="B1533">
        <v>10.050000000000001</v>
      </c>
      <c r="C1533" t="s">
        <v>5275</v>
      </c>
      <c r="D1533" t="s">
        <v>5276</v>
      </c>
      <c r="E1533">
        <v>8.9999999999999993E-3</v>
      </c>
      <c r="F1533">
        <v>-0.1106</v>
      </c>
      <c r="G1533" t="s">
        <v>5277</v>
      </c>
    </row>
    <row r="1534" spans="2:7" x14ac:dyDescent="0.3">
      <c r="B1534">
        <v>9.7100000000000009</v>
      </c>
      <c r="C1534" t="s">
        <v>964</v>
      </c>
      <c r="D1534" t="s">
        <v>5299</v>
      </c>
      <c r="E1534">
        <v>3.8999999999999998E-3</v>
      </c>
      <c r="F1534">
        <v>-2.8500000000000001E-2</v>
      </c>
      <c r="G1534" t="s">
        <v>5301</v>
      </c>
    </row>
    <row r="1535" spans="2:7" x14ac:dyDescent="0.3">
      <c r="B1535">
        <v>9.57</v>
      </c>
      <c r="C1535" t="s">
        <v>5305</v>
      </c>
      <c r="D1535" t="s">
        <v>5306</v>
      </c>
      <c r="E1535">
        <v>0.01</v>
      </c>
      <c r="F1535">
        <v>-0.25740000000000002</v>
      </c>
      <c r="G1535" t="s">
        <v>5308</v>
      </c>
    </row>
    <row r="1536" spans="2:7" x14ac:dyDescent="0.3">
      <c r="B1536">
        <v>9.2100000000000009</v>
      </c>
      <c r="C1536" t="s">
        <v>1904</v>
      </c>
      <c r="D1536" t="s">
        <v>5333</v>
      </c>
      <c r="E1536">
        <v>6.0000000000000001E-3</v>
      </c>
      <c r="F1536" t="s">
        <v>662</v>
      </c>
      <c r="G1536" t="s">
        <v>5335</v>
      </c>
    </row>
    <row r="1537" spans="2:7" x14ac:dyDescent="0.3">
      <c r="B1537">
        <v>8.25</v>
      </c>
      <c r="C1537" t="s">
        <v>5393</v>
      </c>
      <c r="D1537" t="s">
        <v>5394</v>
      </c>
      <c r="E1537">
        <v>8.5000000000000006E-3</v>
      </c>
      <c r="F1537">
        <v>-0.1739</v>
      </c>
      <c r="G1537" t="s">
        <v>5396</v>
      </c>
    </row>
    <row r="1538" spans="2:7" x14ac:dyDescent="0.3">
      <c r="B1538">
        <v>7.76</v>
      </c>
      <c r="C1538" t="s">
        <v>941</v>
      </c>
      <c r="D1538" t="s">
        <v>5422</v>
      </c>
      <c r="E1538">
        <v>7.0000000000000001E-3</v>
      </c>
      <c r="F1538">
        <v>-7.5499999999999998E-2</v>
      </c>
      <c r="G1538" t="s">
        <v>5423</v>
      </c>
    </row>
    <row r="1539" spans="2:7" x14ac:dyDescent="0.3">
      <c r="B1539">
        <v>7.45</v>
      </c>
      <c r="C1539" t="s">
        <v>4705</v>
      </c>
      <c r="D1539" t="s">
        <v>5456</v>
      </c>
      <c r="E1539">
        <v>6.4000000000000003E-3</v>
      </c>
      <c r="F1539">
        <v>-0.23830000000000001</v>
      </c>
      <c r="G1539" t="s">
        <v>5458</v>
      </c>
    </row>
    <row r="1540" spans="2:7" x14ac:dyDescent="0.3">
      <c r="B1540">
        <v>6.89</v>
      </c>
      <c r="C1540" t="s">
        <v>4705</v>
      </c>
      <c r="D1540" t="s">
        <v>5498</v>
      </c>
      <c r="E1540">
        <v>5.8999999999999999E-3</v>
      </c>
      <c r="F1540">
        <v>-8.4099999999999994E-2</v>
      </c>
      <c r="G1540" t="s">
        <v>5500</v>
      </c>
    </row>
    <row r="1541" spans="2:7" x14ac:dyDescent="0.3">
      <c r="B1541">
        <v>6.75</v>
      </c>
      <c r="C1541" t="s">
        <v>863</v>
      </c>
      <c r="D1541" t="s">
        <v>5510</v>
      </c>
      <c r="E1541">
        <v>2.8999999999999998E-3</v>
      </c>
      <c r="F1541">
        <v>-4.4200000000000003E-2</v>
      </c>
      <c r="G1541" t="s">
        <v>5512</v>
      </c>
    </row>
    <row r="1542" spans="2:7" x14ac:dyDescent="0.3">
      <c r="C1542" t="s">
        <v>5513</v>
      </c>
      <c r="D1542" t="s">
        <v>5514</v>
      </c>
      <c r="E1542">
        <v>0.01</v>
      </c>
      <c r="F1542" t="s">
        <v>662</v>
      </c>
      <c r="G1542" t="s">
        <v>5515</v>
      </c>
    </row>
    <row r="1543" spans="2:7" x14ac:dyDescent="0.3">
      <c r="B1543">
        <v>6</v>
      </c>
      <c r="C1543" t="s">
        <v>12</v>
      </c>
      <c r="D1543" t="s">
        <v>5583</v>
      </c>
      <c r="E1543">
        <v>1.8E-3</v>
      </c>
      <c r="F1543" t="s">
        <v>662</v>
      </c>
      <c r="G1543" t="s">
        <v>5585</v>
      </c>
    </row>
    <row r="1544" spans="2:7" x14ac:dyDescent="0.3">
      <c r="B1544">
        <v>5.63</v>
      </c>
      <c r="C1544" t="s">
        <v>460</v>
      </c>
      <c r="D1544" t="s">
        <v>5609</v>
      </c>
      <c r="E1544">
        <v>5.8999999999999999E-3</v>
      </c>
      <c r="F1544">
        <v>-5.9900000000000002E-2</v>
      </c>
      <c r="G1544" t="s">
        <v>5611</v>
      </c>
    </row>
    <row r="1545" spans="2:7" x14ac:dyDescent="0.3">
      <c r="B1545">
        <v>4.59</v>
      </c>
      <c r="C1545" t="s">
        <v>12</v>
      </c>
      <c r="D1545" t="s">
        <v>5704</v>
      </c>
      <c r="E1545">
        <v>6.0000000000000001E-3</v>
      </c>
      <c r="F1545" t="s">
        <v>662</v>
      </c>
      <c r="G1545" t="s">
        <v>5706</v>
      </c>
    </row>
    <row r="1546" spans="2:7" x14ac:dyDescent="0.3">
      <c r="B1546">
        <v>4.2300000000000004</v>
      </c>
      <c r="C1546" t="s">
        <v>5378</v>
      </c>
      <c r="D1546" t="s">
        <v>5726</v>
      </c>
      <c r="E1546">
        <v>4.8999999999999998E-3</v>
      </c>
      <c r="F1546">
        <v>-9.0700000000000003E-2</v>
      </c>
      <c r="G1546" t="s">
        <v>5728</v>
      </c>
    </row>
    <row r="1547" spans="2:7" x14ac:dyDescent="0.3">
      <c r="B1547">
        <v>4.18</v>
      </c>
      <c r="C1547" t="s">
        <v>941</v>
      </c>
      <c r="D1547" t="s">
        <v>5732</v>
      </c>
      <c r="E1547">
        <v>6.0000000000000001E-3</v>
      </c>
      <c r="F1547">
        <v>-4.1200000000000001E-2</v>
      </c>
      <c r="G1547" t="s">
        <v>5734</v>
      </c>
    </row>
    <row r="1548" spans="2:7" x14ac:dyDescent="0.3">
      <c r="B1548">
        <v>4</v>
      </c>
      <c r="C1548" t="s">
        <v>1856</v>
      </c>
      <c r="D1548" t="s">
        <v>5750</v>
      </c>
      <c r="E1548">
        <v>4.4999999999999997E-3</v>
      </c>
      <c r="F1548">
        <v>-3.9100000000000003E-2</v>
      </c>
      <c r="G1548" t="s">
        <v>5752</v>
      </c>
    </row>
    <row r="1549" spans="2:7" x14ac:dyDescent="0.3">
      <c r="B1549">
        <v>3.8</v>
      </c>
      <c r="C1549" t="s">
        <v>588</v>
      </c>
      <c r="D1549" t="s">
        <v>5767</v>
      </c>
      <c r="E1549">
        <v>5.0000000000000001E-3</v>
      </c>
      <c r="F1549">
        <v>-0.26569999999999999</v>
      </c>
      <c r="G1549" t="s">
        <v>5769</v>
      </c>
    </row>
    <row r="1550" spans="2:7" x14ac:dyDescent="0.3">
      <c r="B1550">
        <v>3.71</v>
      </c>
      <c r="C1550" t="s">
        <v>588</v>
      </c>
      <c r="D1550" t="s">
        <v>5776</v>
      </c>
      <c r="E1550">
        <v>5.0000000000000001E-3</v>
      </c>
      <c r="F1550">
        <v>-0.29470000000000002</v>
      </c>
      <c r="G1550" t="s">
        <v>5778</v>
      </c>
    </row>
    <row r="1551" spans="2:7" x14ac:dyDescent="0.3">
      <c r="B1551">
        <v>2.85</v>
      </c>
      <c r="C1551" t="s">
        <v>5876</v>
      </c>
      <c r="D1551" t="s">
        <v>5877</v>
      </c>
      <c r="E1551">
        <v>7.0000000000000001E-3</v>
      </c>
      <c r="F1551" t="s">
        <v>662</v>
      </c>
      <c r="G1551" t="s">
        <v>5878</v>
      </c>
    </row>
    <row r="1552" spans="2:7" x14ac:dyDescent="0.3">
      <c r="B1552">
        <v>2.12</v>
      </c>
      <c r="C1552" t="s">
        <v>2353</v>
      </c>
      <c r="D1552" t="s">
        <v>5946</v>
      </c>
      <c r="E1552">
        <v>7.4999999999999997E-3</v>
      </c>
      <c r="F1552">
        <v>-0.3836</v>
      </c>
      <c r="G1552" t="s">
        <v>5948</v>
      </c>
    </row>
    <row r="1553" spans="1:7" x14ac:dyDescent="0.3">
      <c r="B1553">
        <v>1.85</v>
      </c>
      <c r="C1553" t="s">
        <v>272</v>
      </c>
      <c r="D1553" t="s">
        <v>5957</v>
      </c>
      <c r="E1553">
        <v>4.8999999999999998E-3</v>
      </c>
      <c r="F1553">
        <v>-6.4600000000000005E-2</v>
      </c>
      <c r="G1553" t="s">
        <v>5959</v>
      </c>
    </row>
    <row r="1554" spans="1:7" x14ac:dyDescent="0.3">
      <c r="B1554">
        <v>1.81</v>
      </c>
      <c r="C1554" t="s">
        <v>5378</v>
      </c>
      <c r="D1554" t="s">
        <v>5967</v>
      </c>
      <c r="E1554">
        <v>6.0000000000000001E-3</v>
      </c>
      <c r="F1554">
        <v>-0.19400000000000001</v>
      </c>
      <c r="G1554" t="s">
        <v>5969</v>
      </c>
    </row>
    <row r="1555" spans="1:7" x14ac:dyDescent="0.3">
      <c r="B1555">
        <v>1.76</v>
      </c>
      <c r="C1555" t="s">
        <v>1687</v>
      </c>
      <c r="D1555" t="s">
        <v>5970</v>
      </c>
      <c r="E1555">
        <v>5.0000000000000001E-3</v>
      </c>
      <c r="F1555" t="s">
        <v>662</v>
      </c>
      <c r="G1555" t="s">
        <v>5972</v>
      </c>
    </row>
    <row r="1556" spans="1:7" x14ac:dyDescent="0.3">
      <c r="B1556">
        <v>1.63</v>
      </c>
      <c r="C1556" t="s">
        <v>1398</v>
      </c>
      <c r="D1556" t="s">
        <v>5984</v>
      </c>
      <c r="E1556">
        <v>6.8999999999999999E-3</v>
      </c>
      <c r="F1556" t="s">
        <v>662</v>
      </c>
      <c r="G1556" t="s">
        <v>5986</v>
      </c>
    </row>
    <row r="1557" spans="1:7" x14ac:dyDescent="0.3">
      <c r="B1557">
        <v>1.19</v>
      </c>
      <c r="C1557" t="s">
        <v>6020</v>
      </c>
      <c r="D1557" t="s">
        <v>6021</v>
      </c>
      <c r="E1557">
        <v>2.8999999999999998E-3</v>
      </c>
      <c r="F1557" t="s">
        <v>662</v>
      </c>
      <c r="G1557" t="s">
        <v>6022</v>
      </c>
    </row>
    <row r="1558" spans="1:7" x14ac:dyDescent="0.3">
      <c r="B1558">
        <v>0.96653999999999995</v>
      </c>
      <c r="C1558" t="s">
        <v>280</v>
      </c>
      <c r="D1558" t="s">
        <v>6042</v>
      </c>
      <c r="E1558">
        <v>8.5000000000000006E-3</v>
      </c>
      <c r="F1558">
        <v>-8.7099999999999997E-2</v>
      </c>
      <c r="G1558" t="s">
        <v>6044</v>
      </c>
    </row>
    <row r="1559" spans="1:7" x14ac:dyDescent="0.3">
      <c r="A1559" t="s">
        <v>302</v>
      </c>
      <c r="B1559" t="s">
        <v>662</v>
      </c>
      <c r="C1559" t="s">
        <v>2353</v>
      </c>
      <c r="D1559" t="s">
        <v>6161</v>
      </c>
      <c r="E1559">
        <v>1.6899999999999998E-2</v>
      </c>
      <c r="F1559">
        <v>5.7000000000000002E-3</v>
      </c>
      <c r="G1559" t="s">
        <v>6162</v>
      </c>
    </row>
    <row r="1560" spans="1:7" x14ac:dyDescent="0.3">
      <c r="B1560">
        <v>12130</v>
      </c>
      <c r="C1560" t="s">
        <v>12</v>
      </c>
      <c r="D1560" t="s">
        <v>300</v>
      </c>
      <c r="E1560">
        <v>4.0000000000000002E-4</v>
      </c>
      <c r="F1560">
        <v>-6.13E-2</v>
      </c>
      <c r="G1560" t="s">
        <v>303</v>
      </c>
    </row>
    <row r="1561" spans="1:7" x14ac:dyDescent="0.3">
      <c r="B1561">
        <v>1930</v>
      </c>
      <c r="C1561" t="s">
        <v>12</v>
      </c>
      <c r="D1561" t="s">
        <v>932</v>
      </c>
      <c r="E1561">
        <v>4.0000000000000002E-4</v>
      </c>
      <c r="F1561">
        <v>-0.1011</v>
      </c>
      <c r="G1561" t="s">
        <v>934</v>
      </c>
    </row>
    <row r="1562" spans="1:7" x14ac:dyDescent="0.3">
      <c r="B1562">
        <v>225.14</v>
      </c>
      <c r="C1562" t="s">
        <v>280</v>
      </c>
      <c r="D1562" t="s">
        <v>2442</v>
      </c>
      <c r="E1562">
        <v>6.3E-3</v>
      </c>
      <c r="F1562">
        <v>-0.13550000000000001</v>
      </c>
      <c r="G1562" t="s">
        <v>2444</v>
      </c>
    </row>
    <row r="1563" spans="1:7" x14ac:dyDescent="0.3">
      <c r="B1563">
        <v>178.53</v>
      </c>
      <c r="C1563" t="s">
        <v>863</v>
      </c>
      <c r="D1563" t="s">
        <v>2662</v>
      </c>
      <c r="E1563">
        <v>4.4999999999999997E-3</v>
      </c>
      <c r="F1563">
        <v>-0.21149999999999999</v>
      </c>
      <c r="G1563" t="s">
        <v>2664</v>
      </c>
    </row>
    <row r="1564" spans="1:7" x14ac:dyDescent="0.3">
      <c r="B1564">
        <v>36.33</v>
      </c>
      <c r="C1564" t="s">
        <v>941</v>
      </c>
      <c r="D1564" t="s">
        <v>4221</v>
      </c>
      <c r="E1564">
        <v>6.0000000000000001E-3</v>
      </c>
      <c r="F1564">
        <v>-3.8100000000000002E-2</v>
      </c>
      <c r="G1564" t="s">
        <v>4223</v>
      </c>
    </row>
    <row r="1565" spans="1:7" x14ac:dyDescent="0.3">
      <c r="B1565">
        <v>7.7</v>
      </c>
      <c r="C1565" t="s">
        <v>5435</v>
      </c>
      <c r="D1565" t="s">
        <v>5436</v>
      </c>
      <c r="E1565">
        <v>7.4999999999999997E-3</v>
      </c>
      <c r="F1565">
        <v>-0.40570000000000001</v>
      </c>
      <c r="G1565" t="s">
        <v>5437</v>
      </c>
    </row>
    <row r="1566" spans="1:7" x14ac:dyDescent="0.3">
      <c r="B1566">
        <v>4.5</v>
      </c>
      <c r="C1566" t="s">
        <v>440</v>
      </c>
      <c r="D1566" t="s">
        <v>5714</v>
      </c>
      <c r="E1566">
        <v>5.4999999999999997E-3</v>
      </c>
      <c r="F1566">
        <v>-0.18290000000000001</v>
      </c>
      <c r="G1566" t="s">
        <v>5716</v>
      </c>
    </row>
    <row r="1567" spans="1:7" x14ac:dyDescent="0.3">
      <c r="B1567">
        <v>3.41</v>
      </c>
      <c r="C1567" t="s">
        <v>5217</v>
      </c>
      <c r="D1567" t="s">
        <v>5819</v>
      </c>
      <c r="E1567">
        <v>8.9999999999999993E-3</v>
      </c>
      <c r="F1567">
        <v>-0.2001</v>
      </c>
      <c r="G1567" t="s">
        <v>5821</v>
      </c>
    </row>
    <row r="1568" spans="1:7" x14ac:dyDescent="0.3">
      <c r="A1568" t="s">
        <v>214</v>
      </c>
      <c r="B1568">
        <v>15700</v>
      </c>
      <c r="C1568" t="s">
        <v>12</v>
      </c>
      <c r="D1568" t="s">
        <v>212</v>
      </c>
      <c r="E1568">
        <v>1.5E-3</v>
      </c>
      <c r="F1568">
        <v>2.35E-2</v>
      </c>
      <c r="G1568" t="s">
        <v>215</v>
      </c>
    </row>
    <row r="1569" spans="1:7" x14ac:dyDescent="0.3">
      <c r="B1569">
        <v>11600</v>
      </c>
      <c r="C1569" t="s">
        <v>12</v>
      </c>
      <c r="D1569" t="s">
        <v>310</v>
      </c>
      <c r="E1569">
        <v>4.0000000000000002E-4</v>
      </c>
      <c r="F1569">
        <v>-2.0999999999999999E-3</v>
      </c>
      <c r="G1569" t="s">
        <v>312</v>
      </c>
    </row>
    <row r="1570" spans="1:7" x14ac:dyDescent="0.3">
      <c r="B1570">
        <v>798.5</v>
      </c>
      <c r="C1570" t="s">
        <v>12</v>
      </c>
      <c r="D1570" t="s">
        <v>1468</v>
      </c>
      <c r="E1570">
        <v>4.0000000000000002E-4</v>
      </c>
      <c r="F1570">
        <v>3.5999999999999999E-3</v>
      </c>
      <c r="G1570" t="s">
        <v>1470</v>
      </c>
    </row>
    <row r="1571" spans="1:7" x14ac:dyDescent="0.3">
      <c r="B1571">
        <v>524.51</v>
      </c>
      <c r="C1571" t="s">
        <v>440</v>
      </c>
      <c r="D1571" t="s">
        <v>1757</v>
      </c>
      <c r="E1571">
        <v>3.8E-3</v>
      </c>
      <c r="F1571">
        <v>1.6400000000000001E-2</v>
      </c>
      <c r="G1571" t="s">
        <v>1759</v>
      </c>
    </row>
    <row r="1572" spans="1:7" x14ac:dyDescent="0.3">
      <c r="B1572">
        <v>492.53</v>
      </c>
      <c r="C1572" t="s">
        <v>16</v>
      </c>
      <c r="D1572" t="s">
        <v>1812</v>
      </c>
      <c r="E1572">
        <v>1.4E-3</v>
      </c>
      <c r="F1572">
        <v>-1.18E-2</v>
      </c>
      <c r="G1572" t="s">
        <v>1814</v>
      </c>
    </row>
    <row r="1573" spans="1:7" x14ac:dyDescent="0.3">
      <c r="B1573">
        <v>258.07</v>
      </c>
      <c r="C1573" t="s">
        <v>7</v>
      </c>
      <c r="D1573" t="s">
        <v>2330</v>
      </c>
      <c r="E1573">
        <v>1.1999999999999999E-3</v>
      </c>
      <c r="F1573">
        <v>-6.1999999999999998E-3</v>
      </c>
      <c r="G1573" t="s">
        <v>2332</v>
      </c>
    </row>
    <row r="1574" spans="1:7" x14ac:dyDescent="0.3">
      <c r="B1574">
        <v>217.91</v>
      </c>
      <c r="C1574" t="s">
        <v>2475</v>
      </c>
      <c r="D1574" t="s">
        <v>2476</v>
      </c>
      <c r="E1574">
        <v>4.8999999999999998E-3</v>
      </c>
      <c r="F1574">
        <v>-6.4899999999999999E-2</v>
      </c>
      <c r="G1574" t="s">
        <v>2478</v>
      </c>
    </row>
    <row r="1575" spans="1:7" x14ac:dyDescent="0.3">
      <c r="B1575">
        <v>156.63999999999999</v>
      </c>
      <c r="C1575" t="s">
        <v>280</v>
      </c>
      <c r="D1575" t="s">
        <v>2786</v>
      </c>
      <c r="E1575">
        <v>7.0000000000000001E-3</v>
      </c>
      <c r="F1575">
        <v>-5.8999999999999999E-3</v>
      </c>
      <c r="G1575" t="s">
        <v>2788</v>
      </c>
    </row>
    <row r="1576" spans="1:7" x14ac:dyDescent="0.3">
      <c r="B1576">
        <v>91.81</v>
      </c>
      <c r="C1576" t="s">
        <v>1025</v>
      </c>
      <c r="D1576" t="s">
        <v>3357</v>
      </c>
      <c r="E1576">
        <v>1.5E-3</v>
      </c>
      <c r="F1576">
        <v>-1.3899999999999999E-2</v>
      </c>
      <c r="G1576" t="s">
        <v>3359</v>
      </c>
    </row>
    <row r="1577" spans="1:7" x14ac:dyDescent="0.3">
      <c r="B1577">
        <v>55.36</v>
      </c>
      <c r="C1577" t="s">
        <v>3829</v>
      </c>
      <c r="D1577" t="s">
        <v>3830</v>
      </c>
      <c r="E1577">
        <v>8.5000000000000006E-3</v>
      </c>
      <c r="F1577">
        <v>1.11E-2</v>
      </c>
      <c r="G1577" t="s">
        <v>3832</v>
      </c>
    </row>
    <row r="1578" spans="1:7" x14ac:dyDescent="0.3">
      <c r="B1578">
        <v>47.27</v>
      </c>
      <c r="C1578" t="s">
        <v>1289</v>
      </c>
      <c r="D1578" t="s">
        <v>3966</v>
      </c>
      <c r="E1578">
        <v>9.1000000000000004E-3</v>
      </c>
      <c r="F1578">
        <v>-8.6999999999999994E-3</v>
      </c>
      <c r="G1578" t="s">
        <v>3968</v>
      </c>
    </row>
    <row r="1579" spans="1:7" x14ac:dyDescent="0.3">
      <c r="B1579">
        <v>43.05</v>
      </c>
      <c r="C1579" t="s">
        <v>12</v>
      </c>
      <c r="D1579" t="s">
        <v>4043</v>
      </c>
      <c r="E1579">
        <v>2.5000000000000001E-3</v>
      </c>
      <c r="F1579">
        <v>-1.15E-2</v>
      </c>
      <c r="G1579" t="s">
        <v>4045</v>
      </c>
    </row>
    <row r="1580" spans="1:7" x14ac:dyDescent="0.3">
      <c r="B1580">
        <v>22.33</v>
      </c>
      <c r="C1580" t="s">
        <v>4701</v>
      </c>
      <c r="D1580" t="s">
        <v>4702</v>
      </c>
      <c r="E1580">
        <v>8.6999999999999994E-3</v>
      </c>
      <c r="F1580" t="s">
        <v>662</v>
      </c>
      <c r="G1580" t="s">
        <v>4704</v>
      </c>
    </row>
    <row r="1581" spans="1:7" x14ac:dyDescent="0.3">
      <c r="B1581">
        <v>5.58</v>
      </c>
      <c r="C1581" t="s">
        <v>979</v>
      </c>
      <c r="D1581" t="s">
        <v>5612</v>
      </c>
      <c r="E1581">
        <v>7.4999999999999997E-3</v>
      </c>
      <c r="F1581">
        <v>3.3999999999999998E-3</v>
      </c>
      <c r="G1581" t="s">
        <v>5614</v>
      </c>
    </row>
    <row r="1582" spans="1:7" x14ac:dyDescent="0.3">
      <c r="B1582">
        <v>3.21</v>
      </c>
      <c r="C1582" t="s">
        <v>5836</v>
      </c>
      <c r="D1582" t="s">
        <v>5837</v>
      </c>
      <c r="E1582">
        <v>4.8999999999999998E-3</v>
      </c>
      <c r="F1582">
        <v>-1.0699999999999999E-2</v>
      </c>
      <c r="G1582" t="s">
        <v>5839</v>
      </c>
    </row>
    <row r="1583" spans="1:7" x14ac:dyDescent="0.3">
      <c r="A1583" t="s">
        <v>848</v>
      </c>
      <c r="B1583" t="s">
        <v>662</v>
      </c>
      <c r="C1583" t="s">
        <v>1182</v>
      </c>
      <c r="D1583" t="s">
        <v>6148</v>
      </c>
      <c r="E1583">
        <v>6.0000000000000001E-3</v>
      </c>
      <c r="F1583">
        <v>-3.7000000000000002E-3</v>
      </c>
      <c r="G1583" t="s">
        <v>6149</v>
      </c>
    </row>
    <row r="1584" spans="1:7" x14ac:dyDescent="0.3">
      <c r="B1584">
        <v>2430</v>
      </c>
      <c r="C1584" t="s">
        <v>12</v>
      </c>
      <c r="D1584" t="s">
        <v>846</v>
      </c>
      <c r="E1584">
        <v>4.1999999999999997E-3</v>
      </c>
      <c r="F1584">
        <v>-5.6000000000000001E-2</v>
      </c>
      <c r="G1584" t="s">
        <v>849</v>
      </c>
    </row>
    <row r="1585" spans="1:7" x14ac:dyDescent="0.3">
      <c r="B1585">
        <v>1060</v>
      </c>
      <c r="C1585" t="s">
        <v>7</v>
      </c>
      <c r="D1585" t="s">
        <v>1242</v>
      </c>
      <c r="E1585">
        <v>3.5000000000000001E-3</v>
      </c>
      <c r="F1585">
        <v>-8.9800000000000005E-2</v>
      </c>
      <c r="G1585" t="s">
        <v>1243</v>
      </c>
    </row>
    <row r="1586" spans="1:7" x14ac:dyDescent="0.3">
      <c r="B1586">
        <v>643.5</v>
      </c>
      <c r="C1586" t="s">
        <v>24</v>
      </c>
      <c r="D1586" t="s">
        <v>1605</v>
      </c>
      <c r="E1586">
        <v>6.1000000000000004E-3</v>
      </c>
      <c r="F1586">
        <v>-5.2200000000000003E-2</v>
      </c>
      <c r="G1586" t="s">
        <v>1607</v>
      </c>
    </row>
    <row r="1587" spans="1:7" x14ac:dyDescent="0.3">
      <c r="A1587" t="s">
        <v>3633</v>
      </c>
      <c r="B1587">
        <v>70.11</v>
      </c>
      <c r="C1587" t="s">
        <v>3630</v>
      </c>
      <c r="D1587" t="s">
        <v>3631</v>
      </c>
      <c r="E1587">
        <v>6.0000000000000001E-3</v>
      </c>
      <c r="F1587">
        <v>-6.8099999999999994E-2</v>
      </c>
      <c r="G1587" t="s">
        <v>3634</v>
      </c>
    </row>
    <row r="1588" spans="1:7" x14ac:dyDescent="0.3">
      <c r="A1588" t="s">
        <v>1735</v>
      </c>
      <c r="B1588">
        <v>541.73</v>
      </c>
      <c r="C1588" t="s">
        <v>272</v>
      </c>
      <c r="D1588" t="s">
        <v>1733</v>
      </c>
      <c r="E1588">
        <v>0.1007</v>
      </c>
      <c r="F1588">
        <v>-7.4000000000000003E-3</v>
      </c>
      <c r="G1588" t="s">
        <v>1736</v>
      </c>
    </row>
    <row r="1589" spans="1:7" x14ac:dyDescent="0.3">
      <c r="B1589">
        <v>56.09</v>
      </c>
      <c r="C1589" t="s">
        <v>2564</v>
      </c>
      <c r="D1589" t="s">
        <v>3812</v>
      </c>
      <c r="E1589">
        <v>8.5000000000000006E-3</v>
      </c>
      <c r="F1589">
        <v>-8.9999999999999993E-3</v>
      </c>
      <c r="G1589" t="s">
        <v>3814</v>
      </c>
    </row>
    <row r="1590" spans="1:7" x14ac:dyDescent="0.3">
      <c r="A1590" t="s">
        <v>758</v>
      </c>
      <c r="B1590">
        <v>3110</v>
      </c>
      <c r="C1590" t="s">
        <v>24</v>
      </c>
      <c r="D1590" t="s">
        <v>756</v>
      </c>
      <c r="E1590">
        <v>3.5000000000000001E-3</v>
      </c>
      <c r="F1590">
        <v>-5.3900000000000003E-2</v>
      </c>
      <c r="G1590" t="s">
        <v>759</v>
      </c>
    </row>
    <row r="1591" spans="1:7" x14ac:dyDescent="0.3">
      <c r="B1591">
        <v>321.52999999999997</v>
      </c>
      <c r="C1591" t="s">
        <v>280</v>
      </c>
      <c r="D1591" t="s">
        <v>2196</v>
      </c>
      <c r="E1591">
        <v>6.0000000000000001E-3</v>
      </c>
      <c r="F1591">
        <v>-3.8800000000000001E-2</v>
      </c>
      <c r="G1591" t="s">
        <v>2197</v>
      </c>
    </row>
    <row r="1592" spans="1:7" x14ac:dyDescent="0.3">
      <c r="A1592" t="s">
        <v>3643</v>
      </c>
      <c r="B1592">
        <v>69.069999999999993</v>
      </c>
      <c r="C1592" t="s">
        <v>1115</v>
      </c>
      <c r="D1592" t="s">
        <v>3641</v>
      </c>
      <c r="E1592">
        <v>5.7999999999999996E-3</v>
      </c>
      <c r="F1592">
        <v>-0.13880000000000001</v>
      </c>
      <c r="G1592" t="s">
        <v>3644</v>
      </c>
    </row>
    <row r="1593" spans="1:7" x14ac:dyDescent="0.3">
      <c r="A1593" t="s">
        <v>358</v>
      </c>
      <c r="B1593" t="s">
        <v>662</v>
      </c>
      <c r="C1593" t="s">
        <v>5707</v>
      </c>
      <c r="D1593" t="s">
        <v>6211</v>
      </c>
      <c r="E1593">
        <v>7.9000000000000008E-3</v>
      </c>
      <c r="F1593">
        <v>-0.18779999999999999</v>
      </c>
      <c r="G1593" t="s">
        <v>6212</v>
      </c>
    </row>
    <row r="1594" spans="1:7" x14ac:dyDescent="0.3">
      <c r="B1594">
        <v>8560</v>
      </c>
      <c r="C1594" t="s">
        <v>12</v>
      </c>
      <c r="D1594" t="s">
        <v>356</v>
      </c>
      <c r="E1594">
        <v>4.4999999999999997E-3</v>
      </c>
      <c r="F1594">
        <v>-0.19</v>
      </c>
      <c r="G1594" t="s">
        <v>359</v>
      </c>
    </row>
    <row r="1595" spans="1:7" x14ac:dyDescent="0.3">
      <c r="B1595">
        <v>5520</v>
      </c>
      <c r="C1595" t="s">
        <v>7</v>
      </c>
      <c r="D1595" t="s">
        <v>525</v>
      </c>
      <c r="E1595">
        <v>3.5000000000000001E-3</v>
      </c>
      <c r="F1595">
        <v>-0.27300000000000002</v>
      </c>
      <c r="G1595" t="s">
        <v>527</v>
      </c>
    </row>
    <row r="1596" spans="1:7" x14ac:dyDescent="0.3">
      <c r="B1596">
        <v>1510</v>
      </c>
      <c r="C1596" t="s">
        <v>280</v>
      </c>
      <c r="D1596" t="s">
        <v>1048</v>
      </c>
      <c r="E1596">
        <v>5.4999999999999997E-3</v>
      </c>
      <c r="F1596">
        <v>-0.12429999999999999</v>
      </c>
      <c r="G1596" t="s">
        <v>1049</v>
      </c>
    </row>
    <row r="1597" spans="1:7" x14ac:dyDescent="0.3">
      <c r="B1597">
        <v>229.15</v>
      </c>
      <c r="C1597" t="s">
        <v>24</v>
      </c>
      <c r="D1597" t="s">
        <v>2430</v>
      </c>
      <c r="E1597">
        <v>5.8999999999999999E-3</v>
      </c>
      <c r="F1597">
        <v>-0.21340000000000001</v>
      </c>
      <c r="G1597" t="s">
        <v>2432</v>
      </c>
    </row>
    <row r="1598" spans="1:7" x14ac:dyDescent="0.3">
      <c r="B1598">
        <v>143.61000000000001</v>
      </c>
      <c r="C1598" t="s">
        <v>517</v>
      </c>
      <c r="D1598" t="s">
        <v>2854</v>
      </c>
      <c r="E1598">
        <v>5.0000000000000001E-3</v>
      </c>
      <c r="F1598">
        <v>-0.26329999999999998</v>
      </c>
      <c r="G1598" t="s">
        <v>2856</v>
      </c>
    </row>
    <row r="1599" spans="1:7" x14ac:dyDescent="0.3">
      <c r="A1599" t="s">
        <v>1886</v>
      </c>
      <c r="B1599">
        <v>448.79</v>
      </c>
      <c r="C1599" t="s">
        <v>7</v>
      </c>
      <c r="D1599" t="s">
        <v>1884</v>
      </c>
      <c r="E1599">
        <v>3.5000000000000001E-3</v>
      </c>
      <c r="F1599">
        <v>-0.1764</v>
      </c>
      <c r="G1599" t="s">
        <v>1887</v>
      </c>
    </row>
    <row r="1600" spans="1:7" x14ac:dyDescent="0.3">
      <c r="B1600">
        <v>27.74</v>
      </c>
      <c r="C1600" t="s">
        <v>280</v>
      </c>
      <c r="D1600" t="s">
        <v>4468</v>
      </c>
      <c r="E1600">
        <v>6.0000000000000001E-3</v>
      </c>
      <c r="F1600">
        <v>-9.1600000000000001E-2</v>
      </c>
      <c r="G1600" t="s">
        <v>4470</v>
      </c>
    </row>
    <row r="1601" spans="1:7" x14ac:dyDescent="0.3">
      <c r="A1601" t="s">
        <v>2065</v>
      </c>
      <c r="B1601">
        <v>377.96</v>
      </c>
      <c r="C1601" t="s">
        <v>12</v>
      </c>
      <c r="D1601" t="s">
        <v>2063</v>
      </c>
      <c r="E1601">
        <v>4.0000000000000001E-3</v>
      </c>
      <c r="F1601">
        <v>-0.16159999999999999</v>
      </c>
      <c r="G1601" t="s">
        <v>2066</v>
      </c>
    </row>
    <row r="1602" spans="1:7" x14ac:dyDescent="0.3">
      <c r="B1602">
        <v>16.940000000000001</v>
      </c>
      <c r="C1602" t="s">
        <v>280</v>
      </c>
      <c r="D1602" t="s">
        <v>4955</v>
      </c>
      <c r="E1602">
        <v>6.4999999999999997E-3</v>
      </c>
      <c r="F1602">
        <v>-7.9399999999999998E-2</v>
      </c>
      <c r="G1602" t="s">
        <v>4957</v>
      </c>
    </row>
    <row r="1603" spans="1:7" x14ac:dyDescent="0.3">
      <c r="B1603">
        <v>1.88</v>
      </c>
      <c r="C1603" t="s">
        <v>588</v>
      </c>
      <c r="D1603" t="s">
        <v>5952</v>
      </c>
      <c r="E1603">
        <v>6.4999999999999997E-3</v>
      </c>
      <c r="F1603" t="s">
        <v>662</v>
      </c>
      <c r="G1603" t="s">
        <v>5954</v>
      </c>
    </row>
    <row r="1604" spans="1:7" x14ac:dyDescent="0.3">
      <c r="A1604" t="s">
        <v>3558</v>
      </c>
      <c r="B1604">
        <v>76.14</v>
      </c>
      <c r="C1604" t="s">
        <v>588</v>
      </c>
      <c r="D1604" t="s">
        <v>3556</v>
      </c>
      <c r="E1604">
        <v>6.4999999999999997E-3</v>
      </c>
      <c r="F1604">
        <v>-0.39739999999999998</v>
      </c>
      <c r="G1604" t="s">
        <v>3559</v>
      </c>
    </row>
    <row r="1605" spans="1:7" x14ac:dyDescent="0.3">
      <c r="B1605">
        <v>60.89</v>
      </c>
      <c r="C1605" t="s">
        <v>3738</v>
      </c>
      <c r="D1605" t="s">
        <v>3739</v>
      </c>
      <c r="E1605">
        <v>4.8999999999999998E-3</v>
      </c>
      <c r="F1605">
        <v>-0.25409999999999999</v>
      </c>
      <c r="G1605" t="s">
        <v>3741</v>
      </c>
    </row>
    <row r="1606" spans="1:7" x14ac:dyDescent="0.3">
      <c r="B1606">
        <v>41.17</v>
      </c>
      <c r="C1606" t="s">
        <v>2709</v>
      </c>
      <c r="D1606" t="s">
        <v>4092</v>
      </c>
      <c r="E1606">
        <v>5.4999999999999997E-3</v>
      </c>
      <c r="F1606">
        <v>-0.10299999999999999</v>
      </c>
      <c r="G1606" t="s">
        <v>4094</v>
      </c>
    </row>
    <row r="1607" spans="1:7" x14ac:dyDescent="0.3">
      <c r="B1607">
        <v>25.37</v>
      </c>
      <c r="C1607" t="s">
        <v>7</v>
      </c>
      <c r="D1607" t="s">
        <v>4550</v>
      </c>
      <c r="E1607">
        <v>4.4999999999999997E-3</v>
      </c>
      <c r="F1607">
        <v>-0.1065</v>
      </c>
      <c r="G1607" t="s">
        <v>4552</v>
      </c>
    </row>
    <row r="1608" spans="1:7" x14ac:dyDescent="0.3">
      <c r="B1608">
        <v>23.46</v>
      </c>
      <c r="C1608" t="s">
        <v>1289</v>
      </c>
      <c r="D1608" t="s">
        <v>4640</v>
      </c>
      <c r="E1608">
        <v>8.0999999999999996E-3</v>
      </c>
      <c r="F1608">
        <v>-0.15759999999999999</v>
      </c>
      <c r="G1608" t="s">
        <v>4641</v>
      </c>
    </row>
    <row r="1609" spans="1:7" x14ac:dyDescent="0.3">
      <c r="B1609">
        <v>13.09</v>
      </c>
      <c r="C1609" t="s">
        <v>5116</v>
      </c>
      <c r="D1609" t="s">
        <v>5117</v>
      </c>
      <c r="E1609">
        <v>1.01E-2</v>
      </c>
      <c r="F1609">
        <v>-0.2208</v>
      </c>
      <c r="G1609" t="s">
        <v>5119</v>
      </c>
    </row>
    <row r="1610" spans="1:7" x14ac:dyDescent="0.3">
      <c r="B1610">
        <v>4.83</v>
      </c>
      <c r="C1610" t="s">
        <v>588</v>
      </c>
      <c r="D1610" t="s">
        <v>5680</v>
      </c>
      <c r="E1610">
        <v>5.0000000000000001E-3</v>
      </c>
      <c r="F1610">
        <v>-0.23100000000000001</v>
      </c>
      <c r="G1610" t="s">
        <v>5682</v>
      </c>
    </row>
    <row r="1611" spans="1:7" x14ac:dyDescent="0.3">
      <c r="A1611" t="s">
        <v>1292</v>
      </c>
      <c r="B1611">
        <v>972.51</v>
      </c>
      <c r="C1611" t="s">
        <v>1289</v>
      </c>
      <c r="D1611" t="s">
        <v>1290</v>
      </c>
      <c r="E1611">
        <v>7.3000000000000001E-3</v>
      </c>
      <c r="F1611">
        <v>-0.27039999999999997</v>
      </c>
      <c r="G1611" t="s">
        <v>1293</v>
      </c>
    </row>
    <row r="1612" spans="1:7" x14ac:dyDescent="0.3">
      <c r="B1612">
        <v>5.89</v>
      </c>
      <c r="C1612" t="s">
        <v>921</v>
      </c>
      <c r="D1612" t="s">
        <v>5593</v>
      </c>
      <c r="E1612">
        <v>7.4999999999999997E-3</v>
      </c>
      <c r="F1612">
        <v>-0.30609999999999998</v>
      </c>
      <c r="G1612" t="s">
        <v>5595</v>
      </c>
    </row>
    <row r="1613" spans="1:7" x14ac:dyDescent="0.3">
      <c r="A1613" t="s">
        <v>1332</v>
      </c>
      <c r="B1613">
        <v>928.25</v>
      </c>
      <c r="C1613" t="s">
        <v>12</v>
      </c>
      <c r="D1613" t="s">
        <v>1330</v>
      </c>
      <c r="E1613">
        <v>4.1000000000000003E-3</v>
      </c>
      <c r="F1613">
        <v>-7.3899999999999993E-2</v>
      </c>
      <c r="G1613" t="s">
        <v>1333</v>
      </c>
    </row>
    <row r="1614" spans="1:7" x14ac:dyDescent="0.3">
      <c r="B1614">
        <v>347.44</v>
      </c>
      <c r="C1614" t="s">
        <v>7</v>
      </c>
      <c r="D1614" t="s">
        <v>2120</v>
      </c>
      <c r="E1614">
        <v>3.5000000000000001E-3</v>
      </c>
      <c r="F1614">
        <v>-0.1072</v>
      </c>
      <c r="G1614" t="s">
        <v>2122</v>
      </c>
    </row>
    <row r="1615" spans="1:7" x14ac:dyDescent="0.3">
      <c r="A1615" t="s">
        <v>290</v>
      </c>
      <c r="B1615">
        <v>12630</v>
      </c>
      <c r="C1615" t="s">
        <v>7</v>
      </c>
      <c r="D1615" t="s">
        <v>288</v>
      </c>
      <c r="E1615">
        <v>1.1999999999999999E-3</v>
      </c>
      <c r="F1615">
        <v>-0.1187</v>
      </c>
      <c r="G1615" t="s">
        <v>291</v>
      </c>
    </row>
    <row r="1616" spans="1:7" x14ac:dyDescent="0.3">
      <c r="B1616">
        <v>3830</v>
      </c>
      <c r="C1616" t="s">
        <v>16</v>
      </c>
      <c r="D1616" t="s">
        <v>665</v>
      </c>
      <c r="E1616">
        <v>1E-3</v>
      </c>
      <c r="F1616">
        <v>-0.1414</v>
      </c>
      <c r="G1616" t="s">
        <v>667</v>
      </c>
    </row>
    <row r="1617" spans="1:7" x14ac:dyDescent="0.3">
      <c r="B1617">
        <v>778.26</v>
      </c>
      <c r="C1617" t="s">
        <v>460</v>
      </c>
      <c r="D1617" t="s">
        <v>1494</v>
      </c>
      <c r="E1617">
        <v>8.0000000000000004E-4</v>
      </c>
      <c r="F1617">
        <v>-0.1409</v>
      </c>
      <c r="G1617" t="s">
        <v>1496</v>
      </c>
    </row>
    <row r="1618" spans="1:7" x14ac:dyDescent="0.3">
      <c r="B1618">
        <v>41.37</v>
      </c>
      <c r="C1618" t="s">
        <v>24</v>
      </c>
      <c r="D1618" t="s">
        <v>4081</v>
      </c>
      <c r="E1618">
        <v>4.0000000000000001E-3</v>
      </c>
      <c r="F1618">
        <v>-0.10929999999999999</v>
      </c>
      <c r="G1618" t="s">
        <v>4083</v>
      </c>
    </row>
    <row r="1619" spans="1:7" x14ac:dyDescent="0.3">
      <c r="B1619">
        <v>28.13</v>
      </c>
      <c r="C1619" t="s">
        <v>24</v>
      </c>
      <c r="D1619" t="s">
        <v>4459</v>
      </c>
      <c r="E1619">
        <v>2.8999999999999998E-3</v>
      </c>
      <c r="F1619">
        <v>-4.4200000000000003E-2</v>
      </c>
      <c r="G1619" t="s">
        <v>4461</v>
      </c>
    </row>
    <row r="1620" spans="1:7" x14ac:dyDescent="0.3">
      <c r="B1620">
        <v>17.72</v>
      </c>
      <c r="C1620" t="s">
        <v>839</v>
      </c>
      <c r="D1620" t="s">
        <v>4906</v>
      </c>
      <c r="E1620">
        <v>4.0000000000000001E-3</v>
      </c>
      <c r="F1620">
        <v>-0.15029999999999999</v>
      </c>
      <c r="G1620" t="s">
        <v>4908</v>
      </c>
    </row>
    <row r="1621" spans="1:7" x14ac:dyDescent="0.3">
      <c r="A1621" t="s">
        <v>2351</v>
      </c>
      <c r="B1621">
        <v>250.66</v>
      </c>
      <c r="C1621" t="s">
        <v>24</v>
      </c>
      <c r="D1621" t="s">
        <v>2349</v>
      </c>
      <c r="E1621">
        <v>6.0000000000000001E-3</v>
      </c>
      <c r="F1621">
        <v>-6.88E-2</v>
      </c>
      <c r="G1621" t="s">
        <v>2352</v>
      </c>
    </row>
    <row r="1622" spans="1:7" x14ac:dyDescent="0.3">
      <c r="A1622" t="s">
        <v>4581</v>
      </c>
      <c r="B1622" t="s">
        <v>662</v>
      </c>
      <c r="C1622" t="s">
        <v>588</v>
      </c>
      <c r="D1622" t="s">
        <v>6155</v>
      </c>
      <c r="E1622">
        <v>4.4999999999999997E-3</v>
      </c>
      <c r="F1622">
        <v>0</v>
      </c>
      <c r="G1622" t="s">
        <v>6156</v>
      </c>
    </row>
    <row r="1623" spans="1:7" x14ac:dyDescent="0.3">
      <c r="B1623">
        <v>24.87</v>
      </c>
      <c r="C1623" t="s">
        <v>964</v>
      </c>
      <c r="D1623" t="s">
        <v>4579</v>
      </c>
      <c r="E1623">
        <v>4.4000000000000003E-3</v>
      </c>
      <c r="F1623">
        <v>-4.87E-2</v>
      </c>
      <c r="G1623" t="s">
        <v>4582</v>
      </c>
    </row>
    <row r="1624" spans="1:7" x14ac:dyDescent="0.3">
      <c r="B1624">
        <v>10.84</v>
      </c>
      <c r="C1624" t="s">
        <v>1289</v>
      </c>
      <c r="D1624" t="s">
        <v>5230</v>
      </c>
      <c r="E1624">
        <v>9.9000000000000008E-3</v>
      </c>
      <c r="F1624">
        <v>-0.1065</v>
      </c>
      <c r="G1624" t="s">
        <v>5232</v>
      </c>
    </row>
    <row r="1625" spans="1:7" x14ac:dyDescent="0.3">
      <c r="B1625">
        <v>8.16</v>
      </c>
      <c r="C1625" t="s">
        <v>921</v>
      </c>
      <c r="D1625" t="s">
        <v>5400</v>
      </c>
      <c r="E1625">
        <v>7.4999999999999997E-3</v>
      </c>
      <c r="F1625" t="s">
        <v>662</v>
      </c>
      <c r="G1625" t="s">
        <v>5402</v>
      </c>
    </row>
    <row r="1626" spans="1:7" x14ac:dyDescent="0.3">
      <c r="B1626">
        <v>2.85</v>
      </c>
      <c r="C1626" t="s">
        <v>5378</v>
      </c>
      <c r="D1626" t="s">
        <v>5873</v>
      </c>
      <c r="E1626">
        <v>4.8999999999999998E-3</v>
      </c>
      <c r="F1626">
        <v>-0.19600000000000001</v>
      </c>
      <c r="G1626" t="s">
        <v>5875</v>
      </c>
    </row>
    <row r="1627" spans="1:7" x14ac:dyDescent="0.3">
      <c r="A1627" t="s">
        <v>183</v>
      </c>
      <c r="B1627">
        <v>20490</v>
      </c>
      <c r="C1627" t="s">
        <v>7</v>
      </c>
      <c r="D1627" t="s">
        <v>181</v>
      </c>
      <c r="E1627">
        <v>1.1999999999999999E-3</v>
      </c>
      <c r="F1627">
        <v>-6.59E-2</v>
      </c>
      <c r="G1627" t="s">
        <v>184</v>
      </c>
    </row>
    <row r="1628" spans="1:7" x14ac:dyDescent="0.3">
      <c r="B1628">
        <v>6350</v>
      </c>
      <c r="C1628" t="s">
        <v>16</v>
      </c>
      <c r="D1628" t="s">
        <v>468</v>
      </c>
      <c r="E1628">
        <v>1E-3</v>
      </c>
      <c r="F1628">
        <v>-9.5600000000000004E-2</v>
      </c>
      <c r="G1628" t="s">
        <v>470</v>
      </c>
    </row>
    <row r="1629" spans="1:7" x14ac:dyDescent="0.3">
      <c r="B1629">
        <v>1690</v>
      </c>
      <c r="C1629" t="s">
        <v>280</v>
      </c>
      <c r="D1629" t="s">
        <v>1008</v>
      </c>
      <c r="E1629">
        <v>6.3E-3</v>
      </c>
      <c r="F1629">
        <v>-0.10349999999999999</v>
      </c>
      <c r="G1629" t="s">
        <v>1009</v>
      </c>
    </row>
    <row r="1630" spans="1:7" x14ac:dyDescent="0.3">
      <c r="B1630">
        <v>1560</v>
      </c>
      <c r="C1630" t="s">
        <v>460</v>
      </c>
      <c r="D1630" t="s">
        <v>1035</v>
      </c>
      <c r="E1630">
        <v>8.0000000000000004E-4</v>
      </c>
      <c r="F1630">
        <v>-9.4700000000000006E-2</v>
      </c>
      <c r="G1630" t="s">
        <v>1036</v>
      </c>
    </row>
    <row r="1631" spans="1:7" x14ac:dyDescent="0.3">
      <c r="B1631">
        <v>1400</v>
      </c>
      <c r="C1631" t="s">
        <v>12</v>
      </c>
      <c r="D1631" t="s">
        <v>1089</v>
      </c>
      <c r="E1631">
        <v>4.3E-3</v>
      </c>
      <c r="F1631">
        <v>-0.1028</v>
      </c>
      <c r="G1631" t="s">
        <v>1091</v>
      </c>
    </row>
    <row r="1632" spans="1:7" x14ac:dyDescent="0.3">
      <c r="B1632">
        <v>425.18</v>
      </c>
      <c r="C1632" t="s">
        <v>24</v>
      </c>
      <c r="D1632" t="s">
        <v>1934</v>
      </c>
      <c r="E1632">
        <v>4.0000000000000001E-3</v>
      </c>
      <c r="F1632">
        <v>-7.8700000000000006E-2</v>
      </c>
      <c r="G1632" t="s">
        <v>1936</v>
      </c>
    </row>
    <row r="1633" spans="1:7" x14ac:dyDescent="0.3">
      <c r="B1633">
        <v>124.29</v>
      </c>
      <c r="C1633" t="s">
        <v>24</v>
      </c>
      <c r="D1633" t="s">
        <v>3063</v>
      </c>
      <c r="E1633">
        <v>6.0000000000000001E-3</v>
      </c>
      <c r="F1633">
        <v>-0.1633</v>
      </c>
      <c r="G1633" t="s">
        <v>3065</v>
      </c>
    </row>
    <row r="1634" spans="1:7" x14ac:dyDescent="0.3">
      <c r="B1634">
        <v>44.39</v>
      </c>
      <c r="C1634" t="s">
        <v>24</v>
      </c>
      <c r="D1634" t="s">
        <v>4011</v>
      </c>
      <c r="E1634">
        <v>2.8999999999999998E-3</v>
      </c>
      <c r="F1634">
        <v>-0.127</v>
      </c>
      <c r="G1634" t="s">
        <v>4013</v>
      </c>
    </row>
    <row r="1635" spans="1:7" x14ac:dyDescent="0.3">
      <c r="B1635">
        <v>25.68</v>
      </c>
      <c r="C1635" t="s">
        <v>12</v>
      </c>
      <c r="D1635" t="s">
        <v>4538</v>
      </c>
      <c r="E1635">
        <v>1.8E-3</v>
      </c>
      <c r="F1635">
        <v>-7.5899999999999995E-2</v>
      </c>
      <c r="G1635" t="s">
        <v>4540</v>
      </c>
    </row>
    <row r="1636" spans="1:7" x14ac:dyDescent="0.3">
      <c r="B1636">
        <v>20.69</v>
      </c>
      <c r="C1636" t="s">
        <v>839</v>
      </c>
      <c r="D1636" t="s">
        <v>4771</v>
      </c>
      <c r="E1636">
        <v>4.0000000000000001E-3</v>
      </c>
      <c r="F1636">
        <v>-0.10589999999999999</v>
      </c>
      <c r="G1636" t="s">
        <v>4773</v>
      </c>
    </row>
    <row r="1637" spans="1:7" x14ac:dyDescent="0.3">
      <c r="A1637" t="s">
        <v>231</v>
      </c>
      <c r="B1637">
        <v>14570</v>
      </c>
      <c r="C1637" t="s">
        <v>7</v>
      </c>
      <c r="D1637" t="s">
        <v>229</v>
      </c>
      <c r="E1637">
        <v>1.1999999999999999E-3</v>
      </c>
      <c r="F1637">
        <v>8.1100000000000005E-2</v>
      </c>
      <c r="G1637" t="s">
        <v>232</v>
      </c>
    </row>
    <row r="1638" spans="1:7" x14ac:dyDescent="0.3">
      <c r="B1638">
        <v>6550</v>
      </c>
      <c r="C1638" t="s">
        <v>16</v>
      </c>
      <c r="D1638" t="s">
        <v>453</v>
      </c>
      <c r="E1638">
        <v>1E-3</v>
      </c>
      <c r="F1638">
        <v>7.0499999999999993E-2</v>
      </c>
      <c r="G1638" t="s">
        <v>455</v>
      </c>
    </row>
    <row r="1639" spans="1:7" x14ac:dyDescent="0.3">
      <c r="B1639">
        <v>939.41</v>
      </c>
      <c r="C1639" t="s">
        <v>460</v>
      </c>
      <c r="D1639" t="s">
        <v>1319</v>
      </c>
      <c r="E1639">
        <v>8.0000000000000004E-4</v>
      </c>
      <c r="F1639">
        <v>6.9699999999999998E-2</v>
      </c>
      <c r="G1639" t="s">
        <v>1321</v>
      </c>
    </row>
    <row r="1640" spans="1:7" x14ac:dyDescent="0.3">
      <c r="B1640">
        <v>827.46</v>
      </c>
      <c r="C1640" t="s">
        <v>12</v>
      </c>
      <c r="D1640" t="s">
        <v>1430</v>
      </c>
      <c r="E1640">
        <v>4.3E-3</v>
      </c>
      <c r="F1640">
        <v>0.10589999999999999</v>
      </c>
      <c r="G1640" t="s">
        <v>1432</v>
      </c>
    </row>
    <row r="1641" spans="1:7" x14ac:dyDescent="0.3">
      <c r="B1641">
        <v>494.2</v>
      </c>
      <c r="C1641" t="s">
        <v>24</v>
      </c>
      <c r="D1641" t="s">
        <v>1803</v>
      </c>
      <c r="E1641">
        <v>4.0000000000000001E-3</v>
      </c>
      <c r="F1641">
        <v>9.5899999999999999E-2</v>
      </c>
      <c r="G1641" t="s">
        <v>1805</v>
      </c>
    </row>
    <row r="1642" spans="1:7" x14ac:dyDescent="0.3">
      <c r="B1642">
        <v>318.45</v>
      </c>
      <c r="C1642" t="s">
        <v>280</v>
      </c>
      <c r="D1642" t="s">
        <v>2198</v>
      </c>
      <c r="E1642">
        <v>6.3E-3</v>
      </c>
      <c r="F1642">
        <v>7.9000000000000001E-2</v>
      </c>
      <c r="G1642" t="s">
        <v>2200</v>
      </c>
    </row>
    <row r="1643" spans="1:7" x14ac:dyDescent="0.3">
      <c r="B1643">
        <v>130.03</v>
      </c>
      <c r="C1643" t="s">
        <v>24</v>
      </c>
      <c r="D1643" t="s">
        <v>2979</v>
      </c>
      <c r="E1643">
        <v>6.3E-3</v>
      </c>
      <c r="F1643">
        <v>4.2099999999999999E-2</v>
      </c>
      <c r="G1643" t="s">
        <v>2981</v>
      </c>
    </row>
    <row r="1644" spans="1:7" x14ac:dyDescent="0.3">
      <c r="B1644">
        <v>99.78</v>
      </c>
      <c r="C1644" t="s">
        <v>24</v>
      </c>
      <c r="D1644" t="s">
        <v>3259</v>
      </c>
      <c r="E1644">
        <v>6.0000000000000001E-3</v>
      </c>
      <c r="F1644">
        <v>-7.7299999999999994E-2</v>
      </c>
      <c r="G1644" t="s">
        <v>3261</v>
      </c>
    </row>
    <row r="1645" spans="1:7" x14ac:dyDescent="0.3">
      <c r="B1645">
        <v>49.64</v>
      </c>
      <c r="C1645" t="s">
        <v>24</v>
      </c>
      <c r="D1645" t="s">
        <v>3909</v>
      </c>
      <c r="E1645">
        <v>2.8999999999999998E-3</v>
      </c>
      <c r="F1645">
        <v>1.14E-2</v>
      </c>
      <c r="G1645" t="s">
        <v>3911</v>
      </c>
    </row>
    <row r="1646" spans="1:7" x14ac:dyDescent="0.3">
      <c r="B1646">
        <v>24.65</v>
      </c>
      <c r="C1646" t="s">
        <v>839</v>
      </c>
      <c r="D1646" t="s">
        <v>4590</v>
      </c>
      <c r="E1646">
        <v>4.0000000000000001E-3</v>
      </c>
      <c r="F1646">
        <v>7.5600000000000001E-2</v>
      </c>
      <c r="G1646" t="s">
        <v>4592</v>
      </c>
    </row>
    <row r="1647" spans="1:7" x14ac:dyDescent="0.3">
      <c r="B1647">
        <v>17.11</v>
      </c>
      <c r="C1647" t="s">
        <v>12</v>
      </c>
      <c r="D1647" t="s">
        <v>4932</v>
      </c>
      <c r="E1647">
        <v>1.8E-3</v>
      </c>
      <c r="F1647">
        <v>5.8400000000000001E-2</v>
      </c>
      <c r="G1647" t="s">
        <v>4934</v>
      </c>
    </row>
    <row r="1648" spans="1:7" x14ac:dyDescent="0.3">
      <c r="A1648" t="s">
        <v>6086</v>
      </c>
      <c r="B1648">
        <v>0.47610000000000002</v>
      </c>
      <c r="C1648" t="s">
        <v>6083</v>
      </c>
      <c r="D1648" t="s">
        <v>6084</v>
      </c>
      <c r="E1648">
        <v>7.4999999999999997E-3</v>
      </c>
      <c r="F1648" t="s">
        <v>662</v>
      </c>
      <c r="G1648" t="s">
        <v>6087</v>
      </c>
    </row>
    <row r="1649" spans="1:7" x14ac:dyDescent="0.3">
      <c r="A1649" t="s">
        <v>131</v>
      </c>
      <c r="B1649">
        <v>31330</v>
      </c>
      <c r="C1649" t="s">
        <v>7</v>
      </c>
      <c r="D1649" t="s">
        <v>129</v>
      </c>
      <c r="E1649">
        <v>1.1999999999999999E-3</v>
      </c>
      <c r="F1649">
        <v>0.1021</v>
      </c>
      <c r="G1649" t="s">
        <v>132</v>
      </c>
    </row>
    <row r="1650" spans="1:7" x14ac:dyDescent="0.3">
      <c r="B1650">
        <v>6830</v>
      </c>
      <c r="C1650" t="s">
        <v>16</v>
      </c>
      <c r="D1650" t="s">
        <v>437</v>
      </c>
      <c r="E1650">
        <v>1E-3</v>
      </c>
      <c r="F1650">
        <v>7.6700000000000004E-2</v>
      </c>
      <c r="G1650" t="s">
        <v>439</v>
      </c>
    </row>
    <row r="1651" spans="1:7" x14ac:dyDescent="0.3">
      <c r="B1651">
        <v>2850</v>
      </c>
      <c r="C1651" t="s">
        <v>12</v>
      </c>
      <c r="D1651" t="s">
        <v>784</v>
      </c>
      <c r="E1651">
        <v>4.1999999999999997E-3</v>
      </c>
      <c r="F1651">
        <v>7.2800000000000004E-2</v>
      </c>
      <c r="G1651" t="s">
        <v>786</v>
      </c>
    </row>
    <row r="1652" spans="1:7" x14ac:dyDescent="0.3">
      <c r="B1652">
        <v>1160</v>
      </c>
      <c r="C1652" t="s">
        <v>460</v>
      </c>
      <c r="D1652" t="s">
        <v>1190</v>
      </c>
      <c r="E1652">
        <v>8.0000000000000004E-4</v>
      </c>
      <c r="F1652">
        <v>7.7700000000000005E-2</v>
      </c>
      <c r="G1652" t="s">
        <v>1192</v>
      </c>
    </row>
    <row r="1653" spans="1:7" x14ac:dyDescent="0.3">
      <c r="B1653">
        <v>1090</v>
      </c>
      <c r="C1653" t="s">
        <v>280</v>
      </c>
      <c r="D1653" t="s">
        <v>1224</v>
      </c>
      <c r="E1653">
        <v>6.0000000000000001E-3</v>
      </c>
      <c r="F1653">
        <v>2.5899999999999999E-2</v>
      </c>
      <c r="G1653" t="s">
        <v>1226</v>
      </c>
    </row>
    <row r="1654" spans="1:7" x14ac:dyDescent="0.3">
      <c r="B1654">
        <v>498.01</v>
      </c>
      <c r="C1654" t="s">
        <v>280</v>
      </c>
      <c r="D1654" t="s">
        <v>1796</v>
      </c>
      <c r="E1654">
        <v>6.4000000000000003E-3</v>
      </c>
      <c r="F1654">
        <v>4.4999999999999997E-3</v>
      </c>
      <c r="G1654" t="s">
        <v>1798</v>
      </c>
    </row>
    <row r="1655" spans="1:7" x14ac:dyDescent="0.3">
      <c r="B1655">
        <v>350.74</v>
      </c>
      <c r="C1655" t="s">
        <v>24</v>
      </c>
      <c r="D1655" t="s">
        <v>2114</v>
      </c>
      <c r="E1655">
        <v>4.0000000000000001E-3</v>
      </c>
      <c r="F1655">
        <v>7.0099999999999996E-2</v>
      </c>
      <c r="G1655" t="s">
        <v>2116</v>
      </c>
    </row>
    <row r="1656" spans="1:7" x14ac:dyDescent="0.3">
      <c r="B1656">
        <v>148.69999999999999</v>
      </c>
      <c r="C1656" t="s">
        <v>24</v>
      </c>
      <c r="D1656" t="s">
        <v>2826</v>
      </c>
      <c r="E1656">
        <v>6.0000000000000001E-3</v>
      </c>
      <c r="F1656">
        <v>-2.52E-2</v>
      </c>
      <c r="G1656" t="s">
        <v>2828</v>
      </c>
    </row>
    <row r="1657" spans="1:7" x14ac:dyDescent="0.3">
      <c r="B1657">
        <v>117.05</v>
      </c>
      <c r="C1657" t="s">
        <v>24</v>
      </c>
      <c r="D1657" t="s">
        <v>3117</v>
      </c>
      <c r="E1657">
        <v>2.8999999999999998E-3</v>
      </c>
      <c r="F1657">
        <v>-0.1134</v>
      </c>
      <c r="G1657" t="s">
        <v>3119</v>
      </c>
    </row>
    <row r="1658" spans="1:7" x14ac:dyDescent="0.3">
      <c r="B1658">
        <v>26.93</v>
      </c>
      <c r="C1658" t="s">
        <v>941</v>
      </c>
      <c r="D1658" t="s">
        <v>4492</v>
      </c>
      <c r="E1658">
        <v>7.4999999999999997E-3</v>
      </c>
      <c r="F1658">
        <v>-5.0799999999999998E-2</v>
      </c>
      <c r="G1658" t="s">
        <v>4494</v>
      </c>
    </row>
    <row r="1659" spans="1:7" x14ac:dyDescent="0.3">
      <c r="B1659">
        <v>21.13</v>
      </c>
      <c r="C1659" t="s">
        <v>839</v>
      </c>
      <c r="D1659" t="s">
        <v>4748</v>
      </c>
      <c r="E1659">
        <v>4.0000000000000001E-3</v>
      </c>
      <c r="F1659">
        <v>6.2E-2</v>
      </c>
      <c r="G1659" t="s">
        <v>4750</v>
      </c>
    </row>
    <row r="1660" spans="1:7" x14ac:dyDescent="0.3">
      <c r="A1660" t="s">
        <v>851</v>
      </c>
      <c r="B1660">
        <v>2430</v>
      </c>
      <c r="C1660" t="s">
        <v>272</v>
      </c>
      <c r="D1660" t="s">
        <v>850</v>
      </c>
      <c r="E1660">
        <v>3.5000000000000001E-3</v>
      </c>
      <c r="F1660">
        <v>-2.5999999999999999E-2</v>
      </c>
      <c r="G1660" t="s">
        <v>852</v>
      </c>
    </row>
    <row r="1661" spans="1:7" x14ac:dyDescent="0.3">
      <c r="B1661">
        <v>141.82</v>
      </c>
      <c r="C1661" t="s">
        <v>7</v>
      </c>
      <c r="D1661" t="s">
        <v>2881</v>
      </c>
      <c r="E1661">
        <v>3.5000000000000001E-3</v>
      </c>
      <c r="F1661">
        <v>-8.1500000000000003E-2</v>
      </c>
      <c r="G1661" t="s">
        <v>2883</v>
      </c>
    </row>
    <row r="1662" spans="1:7" x14ac:dyDescent="0.3">
      <c r="B1662">
        <v>23.87</v>
      </c>
      <c r="C1662" t="s">
        <v>24</v>
      </c>
      <c r="D1662" t="s">
        <v>4613</v>
      </c>
      <c r="E1662">
        <v>6.3E-3</v>
      </c>
      <c r="F1662">
        <v>-7.6999999999999999E-2</v>
      </c>
      <c r="G1662" t="s">
        <v>4615</v>
      </c>
    </row>
    <row r="1663" spans="1:7" x14ac:dyDescent="0.3">
      <c r="A1663" t="s">
        <v>94</v>
      </c>
      <c r="B1663">
        <v>45500</v>
      </c>
      <c r="C1663" t="s">
        <v>7</v>
      </c>
      <c r="D1663" t="s">
        <v>92</v>
      </c>
      <c r="E1663">
        <v>1.1999999999999999E-3</v>
      </c>
      <c r="F1663">
        <v>-4.1799999999999997E-2</v>
      </c>
      <c r="G1663" t="s">
        <v>95</v>
      </c>
    </row>
    <row r="1664" spans="1:7" x14ac:dyDescent="0.3">
      <c r="B1664">
        <v>11730</v>
      </c>
      <c r="C1664" t="s">
        <v>16</v>
      </c>
      <c r="D1664" t="s">
        <v>307</v>
      </c>
      <c r="E1664">
        <v>1E-3</v>
      </c>
      <c r="F1664">
        <v>-4.9399999999999999E-2</v>
      </c>
      <c r="G1664" t="s">
        <v>309</v>
      </c>
    </row>
    <row r="1665" spans="1:7" x14ac:dyDescent="0.3">
      <c r="B1665">
        <v>3610</v>
      </c>
      <c r="C1665" t="s">
        <v>7</v>
      </c>
      <c r="D1665" t="s">
        <v>697</v>
      </c>
      <c r="E1665">
        <v>3.5000000000000001E-3</v>
      </c>
      <c r="F1665">
        <v>-1.8499999999999999E-2</v>
      </c>
      <c r="G1665" t="s">
        <v>699</v>
      </c>
    </row>
    <row r="1666" spans="1:7" x14ac:dyDescent="0.3">
      <c r="B1666">
        <v>2530</v>
      </c>
      <c r="C1666" t="s">
        <v>12</v>
      </c>
      <c r="D1666" t="s">
        <v>828</v>
      </c>
      <c r="E1666">
        <v>4.1999999999999997E-3</v>
      </c>
      <c r="F1666">
        <v>-4.6100000000000002E-2</v>
      </c>
      <c r="G1666" t="s">
        <v>830</v>
      </c>
    </row>
    <row r="1667" spans="1:7" x14ac:dyDescent="0.3">
      <c r="B1667">
        <v>2510</v>
      </c>
      <c r="C1667" t="s">
        <v>12</v>
      </c>
      <c r="D1667" t="s">
        <v>831</v>
      </c>
      <c r="E1667">
        <v>4.1999999999999997E-3</v>
      </c>
      <c r="F1667">
        <v>-6.9000000000000006E-2</v>
      </c>
      <c r="G1667" t="s">
        <v>833</v>
      </c>
    </row>
    <row r="1668" spans="1:7" x14ac:dyDescent="0.3">
      <c r="B1668">
        <v>1890</v>
      </c>
      <c r="C1668" t="s">
        <v>460</v>
      </c>
      <c r="D1668" t="s">
        <v>944</v>
      </c>
      <c r="E1668">
        <v>8.0000000000000004E-4</v>
      </c>
      <c r="F1668">
        <v>-5.0099999999999999E-2</v>
      </c>
      <c r="G1668" t="s">
        <v>946</v>
      </c>
    </row>
    <row r="1669" spans="1:7" x14ac:dyDescent="0.3">
      <c r="B1669">
        <v>1490</v>
      </c>
      <c r="C1669" t="s">
        <v>280</v>
      </c>
      <c r="D1669" t="s">
        <v>1062</v>
      </c>
      <c r="E1669">
        <v>6.1999999999999998E-3</v>
      </c>
      <c r="F1669">
        <v>-5.2900000000000003E-2</v>
      </c>
      <c r="G1669" t="s">
        <v>1064</v>
      </c>
    </row>
    <row r="1670" spans="1:7" x14ac:dyDescent="0.3">
      <c r="B1670">
        <v>514.91</v>
      </c>
      <c r="C1670" t="s">
        <v>24</v>
      </c>
      <c r="D1670" t="s">
        <v>1773</v>
      </c>
      <c r="E1670">
        <v>4.0000000000000001E-3</v>
      </c>
      <c r="F1670">
        <v>-4.1500000000000002E-2</v>
      </c>
      <c r="G1670" t="s">
        <v>1775</v>
      </c>
    </row>
    <row r="1671" spans="1:7" x14ac:dyDescent="0.3">
      <c r="B1671">
        <v>483.53</v>
      </c>
      <c r="C1671" t="s">
        <v>24</v>
      </c>
      <c r="D1671" t="s">
        <v>1822</v>
      </c>
      <c r="E1671">
        <v>1.24E-2</v>
      </c>
      <c r="F1671">
        <v>-5.6800000000000003E-2</v>
      </c>
      <c r="G1671" t="s">
        <v>1824</v>
      </c>
    </row>
    <row r="1672" spans="1:7" x14ac:dyDescent="0.3">
      <c r="B1672">
        <v>98.16</v>
      </c>
      <c r="C1672" t="s">
        <v>24</v>
      </c>
      <c r="D1672" t="s">
        <v>3271</v>
      </c>
      <c r="E1672">
        <v>6.0000000000000001E-3</v>
      </c>
      <c r="F1672">
        <v>-0.14749999999999999</v>
      </c>
      <c r="G1672" t="s">
        <v>3273</v>
      </c>
    </row>
    <row r="1673" spans="1:7" x14ac:dyDescent="0.3">
      <c r="B1673">
        <v>47.46</v>
      </c>
      <c r="C1673" t="s">
        <v>24</v>
      </c>
      <c r="D1673" t="s">
        <v>3961</v>
      </c>
      <c r="E1673">
        <v>2.8999999999999998E-3</v>
      </c>
      <c r="F1673">
        <v>-4.0599999999999997E-2</v>
      </c>
      <c r="G1673" t="s">
        <v>3963</v>
      </c>
    </row>
    <row r="1674" spans="1:7" x14ac:dyDescent="0.3">
      <c r="B1674">
        <v>28.98</v>
      </c>
      <c r="C1674" t="s">
        <v>839</v>
      </c>
      <c r="D1674" t="s">
        <v>4429</v>
      </c>
      <c r="E1674">
        <v>4.0000000000000001E-3</v>
      </c>
      <c r="F1674">
        <v>-6.1600000000000002E-2</v>
      </c>
      <c r="G1674" t="s">
        <v>4430</v>
      </c>
    </row>
    <row r="1675" spans="1:7" x14ac:dyDescent="0.3">
      <c r="B1675">
        <v>9.82</v>
      </c>
      <c r="C1675" t="s">
        <v>12</v>
      </c>
      <c r="D1675" t="s">
        <v>5293</v>
      </c>
      <c r="E1675">
        <v>1.8E-3</v>
      </c>
      <c r="F1675">
        <v>-3.2300000000000002E-2</v>
      </c>
      <c r="G1675" t="s">
        <v>5295</v>
      </c>
    </row>
    <row r="1676" spans="1:7" x14ac:dyDescent="0.3">
      <c r="A1676" t="s">
        <v>5411</v>
      </c>
      <c r="B1676">
        <v>7.87</v>
      </c>
      <c r="C1676" t="s">
        <v>280</v>
      </c>
      <c r="D1676" t="s">
        <v>5409</v>
      </c>
      <c r="E1676">
        <v>6.0000000000000001E-3</v>
      </c>
      <c r="F1676">
        <v>6.0499999999999998E-2</v>
      </c>
      <c r="G1676" t="s">
        <v>5412</v>
      </c>
    </row>
    <row r="1677" spans="1:7" x14ac:dyDescent="0.3">
      <c r="A1677" t="s">
        <v>114</v>
      </c>
      <c r="B1677">
        <v>33960</v>
      </c>
      <c r="C1677" t="s">
        <v>7</v>
      </c>
      <c r="D1677" t="s">
        <v>112</v>
      </c>
      <c r="E1677">
        <v>1.1999999999999999E-3</v>
      </c>
      <c r="F1677">
        <v>-8.8999999999999999E-3</v>
      </c>
      <c r="G1677" t="s">
        <v>115</v>
      </c>
    </row>
    <row r="1678" spans="1:7" x14ac:dyDescent="0.3">
      <c r="B1678">
        <v>15910</v>
      </c>
      <c r="C1678" t="s">
        <v>16</v>
      </c>
      <c r="D1678" t="s">
        <v>205</v>
      </c>
      <c r="E1678">
        <v>1E-3</v>
      </c>
      <c r="F1678">
        <v>-4.7300000000000002E-2</v>
      </c>
      <c r="G1678" t="s">
        <v>207</v>
      </c>
    </row>
    <row r="1679" spans="1:7" x14ac:dyDescent="0.3">
      <c r="B1679">
        <v>2950</v>
      </c>
      <c r="C1679" t="s">
        <v>12</v>
      </c>
      <c r="D1679" t="s">
        <v>774</v>
      </c>
      <c r="E1679">
        <v>4.3E-3</v>
      </c>
      <c r="F1679">
        <v>-3.6999999999999998E-2</v>
      </c>
      <c r="G1679" t="s">
        <v>776</v>
      </c>
    </row>
    <row r="1680" spans="1:7" x14ac:dyDescent="0.3">
      <c r="B1680">
        <v>2770</v>
      </c>
      <c r="C1680" t="s">
        <v>460</v>
      </c>
      <c r="D1680" t="s">
        <v>791</v>
      </c>
      <c r="E1680">
        <v>8.0000000000000004E-4</v>
      </c>
      <c r="F1680">
        <v>-4.8899999999999999E-2</v>
      </c>
      <c r="G1680" t="s">
        <v>793</v>
      </c>
    </row>
    <row r="1681" spans="1:7" x14ac:dyDescent="0.3">
      <c r="B1681">
        <v>1430</v>
      </c>
      <c r="C1681" t="s">
        <v>280</v>
      </c>
      <c r="D1681" t="s">
        <v>1075</v>
      </c>
      <c r="E1681">
        <v>6.1000000000000004E-3</v>
      </c>
      <c r="F1681">
        <v>-8.7300000000000003E-2</v>
      </c>
      <c r="G1681" t="s">
        <v>1077</v>
      </c>
    </row>
    <row r="1682" spans="1:7" x14ac:dyDescent="0.3">
      <c r="B1682">
        <v>927.53</v>
      </c>
      <c r="C1682" t="s">
        <v>24</v>
      </c>
      <c r="D1682" t="s">
        <v>1334</v>
      </c>
      <c r="E1682">
        <v>4.0000000000000001E-3</v>
      </c>
      <c r="F1682">
        <v>-3.9199999999999999E-2</v>
      </c>
      <c r="G1682" t="s">
        <v>1336</v>
      </c>
    </row>
    <row r="1683" spans="1:7" x14ac:dyDescent="0.3">
      <c r="B1683">
        <v>405.44</v>
      </c>
      <c r="C1683" t="s">
        <v>24</v>
      </c>
      <c r="D1683" t="s">
        <v>1981</v>
      </c>
      <c r="E1683">
        <v>2.8999999999999998E-3</v>
      </c>
      <c r="F1683">
        <v>-0.1462</v>
      </c>
      <c r="G1683" t="s">
        <v>1983</v>
      </c>
    </row>
    <row r="1684" spans="1:7" x14ac:dyDescent="0.3">
      <c r="B1684">
        <v>323.33999999999997</v>
      </c>
      <c r="C1684" t="s">
        <v>24</v>
      </c>
      <c r="D1684" t="s">
        <v>2181</v>
      </c>
      <c r="E1684">
        <v>6.0000000000000001E-3</v>
      </c>
      <c r="F1684">
        <v>-0.215</v>
      </c>
      <c r="G1684" t="s">
        <v>2183</v>
      </c>
    </row>
    <row r="1685" spans="1:7" x14ac:dyDescent="0.3">
      <c r="B1685">
        <v>72.3</v>
      </c>
      <c r="C1685" t="s">
        <v>1025</v>
      </c>
      <c r="D1685" t="s">
        <v>3599</v>
      </c>
      <c r="E1685">
        <v>4.1999999999999997E-3</v>
      </c>
      <c r="F1685">
        <v>-0.29420000000000002</v>
      </c>
      <c r="G1685" t="s">
        <v>3601</v>
      </c>
    </row>
    <row r="1686" spans="1:7" x14ac:dyDescent="0.3">
      <c r="B1686">
        <v>43.22</v>
      </c>
      <c r="C1686" t="s">
        <v>839</v>
      </c>
      <c r="D1686" t="s">
        <v>4040</v>
      </c>
      <c r="E1686">
        <v>4.0000000000000001E-3</v>
      </c>
      <c r="F1686">
        <v>-4.5499999999999999E-2</v>
      </c>
      <c r="G1686" t="s">
        <v>4042</v>
      </c>
    </row>
    <row r="1687" spans="1:7" x14ac:dyDescent="0.3">
      <c r="B1687">
        <v>40.5</v>
      </c>
      <c r="C1687" t="s">
        <v>1842</v>
      </c>
      <c r="D1687" t="s">
        <v>4106</v>
      </c>
      <c r="E1687">
        <v>5.0000000000000001E-3</v>
      </c>
      <c r="F1687">
        <v>-3.49E-2</v>
      </c>
      <c r="G1687" t="s">
        <v>4108</v>
      </c>
    </row>
    <row r="1688" spans="1:7" x14ac:dyDescent="0.3">
      <c r="B1688">
        <v>38.57</v>
      </c>
      <c r="C1688" t="s">
        <v>12</v>
      </c>
      <c r="D1688" t="s">
        <v>4148</v>
      </c>
      <c r="E1688">
        <v>1.8E-3</v>
      </c>
      <c r="F1688">
        <v>-6.4299999999999996E-2</v>
      </c>
      <c r="G1688" t="s">
        <v>4150</v>
      </c>
    </row>
    <row r="1689" spans="1:7" x14ac:dyDescent="0.3">
      <c r="A1689" t="s">
        <v>374</v>
      </c>
      <c r="B1689">
        <v>8100</v>
      </c>
      <c r="C1689" t="s">
        <v>12</v>
      </c>
      <c r="D1689" t="s">
        <v>372</v>
      </c>
      <c r="E1689">
        <v>4.1000000000000003E-3</v>
      </c>
      <c r="F1689">
        <v>-8.5599999999999996E-2</v>
      </c>
      <c r="G1689" t="s">
        <v>375</v>
      </c>
    </row>
    <row r="1690" spans="1:7" x14ac:dyDescent="0.3">
      <c r="A1690" t="s">
        <v>4126</v>
      </c>
      <c r="B1690">
        <v>39.39</v>
      </c>
      <c r="C1690" t="s">
        <v>12</v>
      </c>
      <c r="D1690" t="s">
        <v>4124</v>
      </c>
      <c r="E1690">
        <v>1.8E-3</v>
      </c>
      <c r="F1690">
        <v>-4.5999999999999999E-2</v>
      </c>
      <c r="G1690" t="s">
        <v>4127</v>
      </c>
    </row>
    <row r="1691" spans="1:7" x14ac:dyDescent="0.3">
      <c r="A1691" t="s">
        <v>1728</v>
      </c>
      <c r="B1691">
        <v>543.66</v>
      </c>
      <c r="C1691" t="s">
        <v>7</v>
      </c>
      <c r="D1691" t="s">
        <v>1726</v>
      </c>
      <c r="E1691">
        <v>3.5000000000000001E-3</v>
      </c>
      <c r="F1691">
        <v>-0.1784</v>
      </c>
      <c r="G1691" t="s">
        <v>1729</v>
      </c>
    </row>
    <row r="1692" spans="1:7" x14ac:dyDescent="0.3">
      <c r="A1692" t="s">
        <v>1161</v>
      </c>
      <c r="B1692">
        <v>1210</v>
      </c>
      <c r="C1692" t="s">
        <v>12</v>
      </c>
      <c r="D1692" t="s">
        <v>1160</v>
      </c>
      <c r="E1692">
        <v>4.1999999999999997E-3</v>
      </c>
      <c r="F1692">
        <v>-3.9800000000000002E-2</v>
      </c>
      <c r="G1692" t="s">
        <v>1162</v>
      </c>
    </row>
    <row r="1693" spans="1:7" x14ac:dyDescent="0.3">
      <c r="B1693">
        <v>109.98</v>
      </c>
      <c r="C1693" t="s">
        <v>7</v>
      </c>
      <c r="D1693" t="s">
        <v>3177</v>
      </c>
      <c r="E1693">
        <v>3.5000000000000001E-3</v>
      </c>
      <c r="F1693">
        <v>-0.15440000000000001</v>
      </c>
      <c r="G1693" t="s">
        <v>3179</v>
      </c>
    </row>
    <row r="1694" spans="1:7" x14ac:dyDescent="0.3">
      <c r="A1694" t="s">
        <v>5338</v>
      </c>
      <c r="B1694">
        <v>9.09</v>
      </c>
      <c r="C1694" t="s">
        <v>1289</v>
      </c>
      <c r="D1694" t="s">
        <v>5336</v>
      </c>
      <c r="E1694">
        <v>9.9000000000000008E-3</v>
      </c>
      <c r="F1694">
        <v>-9.9199999999999997E-2</v>
      </c>
      <c r="G1694" t="s">
        <v>5339</v>
      </c>
    </row>
    <row r="1695" spans="1:7" x14ac:dyDescent="0.3">
      <c r="B1695">
        <v>4.95</v>
      </c>
      <c r="C1695" t="s">
        <v>588</v>
      </c>
      <c r="D1695" t="s">
        <v>5674</v>
      </c>
      <c r="E1695">
        <v>1.0699999999999999E-2</v>
      </c>
      <c r="F1695">
        <v>-0.19259999999999999</v>
      </c>
      <c r="G1695" t="s">
        <v>5676</v>
      </c>
    </row>
    <row r="1696" spans="1:7" x14ac:dyDescent="0.3">
      <c r="A1696" t="s">
        <v>1169</v>
      </c>
      <c r="B1696">
        <v>1200</v>
      </c>
      <c r="C1696" t="s">
        <v>24</v>
      </c>
      <c r="D1696" t="s">
        <v>1168</v>
      </c>
      <c r="E1696">
        <v>5.4999999999999997E-3</v>
      </c>
      <c r="F1696">
        <v>-0.1234</v>
      </c>
      <c r="G1696" t="s">
        <v>1170</v>
      </c>
    </row>
    <row r="1697" spans="1:7" x14ac:dyDescent="0.3">
      <c r="A1697" t="s">
        <v>811</v>
      </c>
      <c r="B1697">
        <v>2680</v>
      </c>
      <c r="C1697" t="s">
        <v>12</v>
      </c>
      <c r="D1697" t="s">
        <v>809</v>
      </c>
      <c r="E1697">
        <v>4.1000000000000003E-3</v>
      </c>
      <c r="F1697">
        <v>-2.8899999999999999E-2</v>
      </c>
      <c r="G1697" t="s">
        <v>812</v>
      </c>
    </row>
    <row r="1698" spans="1:7" x14ac:dyDescent="0.3">
      <c r="B1698">
        <v>2120</v>
      </c>
      <c r="C1698" t="s">
        <v>7</v>
      </c>
      <c r="D1698" t="s">
        <v>902</v>
      </c>
      <c r="E1698">
        <v>3.5000000000000001E-3</v>
      </c>
      <c r="F1698">
        <v>-5.1700000000000003E-2</v>
      </c>
      <c r="G1698" t="s">
        <v>904</v>
      </c>
    </row>
    <row r="1699" spans="1:7" x14ac:dyDescent="0.3">
      <c r="B1699">
        <v>76.86</v>
      </c>
      <c r="C1699" t="s">
        <v>3537</v>
      </c>
      <c r="D1699" t="s">
        <v>3538</v>
      </c>
      <c r="E1699">
        <v>3.0000000000000001E-3</v>
      </c>
      <c r="F1699">
        <v>-3.9699999999999999E-2</v>
      </c>
      <c r="G1699" t="s">
        <v>3540</v>
      </c>
    </row>
    <row r="1700" spans="1:7" x14ac:dyDescent="0.3">
      <c r="A1700" t="s">
        <v>1919</v>
      </c>
      <c r="B1700">
        <v>432.13</v>
      </c>
      <c r="C1700" t="s">
        <v>941</v>
      </c>
      <c r="D1700" t="s">
        <v>1917</v>
      </c>
      <c r="E1700">
        <v>6.0000000000000001E-3</v>
      </c>
      <c r="F1700">
        <v>1.8200000000000001E-2</v>
      </c>
      <c r="G1700" t="s">
        <v>1920</v>
      </c>
    </row>
    <row r="1701" spans="1:7" x14ac:dyDescent="0.3">
      <c r="A1701" t="s">
        <v>199</v>
      </c>
      <c r="B1701" t="s">
        <v>662</v>
      </c>
      <c r="C1701" t="s">
        <v>6113</v>
      </c>
      <c r="D1701" t="s">
        <v>6125</v>
      </c>
      <c r="E1701">
        <v>5.7999999999999996E-3</v>
      </c>
      <c r="F1701">
        <v>-0.13930000000000001</v>
      </c>
      <c r="G1701" t="s">
        <v>6126</v>
      </c>
    </row>
    <row r="1702" spans="1:7" x14ac:dyDescent="0.3">
      <c r="B1702">
        <v>17080</v>
      </c>
      <c r="C1702" t="s">
        <v>7</v>
      </c>
      <c r="D1702" t="s">
        <v>197</v>
      </c>
      <c r="E1702">
        <v>1.1999999999999999E-3</v>
      </c>
      <c r="F1702">
        <v>-2.7199999999999998E-2</v>
      </c>
      <c r="G1702" t="s">
        <v>200</v>
      </c>
    </row>
    <row r="1703" spans="1:7" x14ac:dyDescent="0.3">
      <c r="B1703">
        <v>4890</v>
      </c>
      <c r="C1703" t="s">
        <v>16</v>
      </c>
      <c r="D1703" t="s">
        <v>582</v>
      </c>
      <c r="E1703">
        <v>1E-3</v>
      </c>
      <c r="F1703">
        <v>-4.4499999999999998E-2</v>
      </c>
      <c r="G1703" t="s">
        <v>584</v>
      </c>
    </row>
    <row r="1704" spans="1:7" x14ac:dyDescent="0.3">
      <c r="B1704">
        <v>1790</v>
      </c>
      <c r="C1704" t="s">
        <v>280</v>
      </c>
      <c r="D1704" t="s">
        <v>968</v>
      </c>
      <c r="E1704">
        <v>6.4000000000000003E-3</v>
      </c>
      <c r="F1704">
        <v>-5.04E-2</v>
      </c>
      <c r="G1704" t="s">
        <v>969</v>
      </c>
    </row>
    <row r="1705" spans="1:7" x14ac:dyDescent="0.3">
      <c r="B1705">
        <v>1620</v>
      </c>
      <c r="C1705" t="s">
        <v>12</v>
      </c>
      <c r="D1705" t="s">
        <v>1017</v>
      </c>
      <c r="E1705">
        <v>4.1999999999999997E-3</v>
      </c>
      <c r="F1705">
        <v>-6.4799999999999996E-2</v>
      </c>
      <c r="G1705" t="s">
        <v>1019</v>
      </c>
    </row>
    <row r="1706" spans="1:7" x14ac:dyDescent="0.3">
      <c r="B1706">
        <v>863.95</v>
      </c>
      <c r="C1706" t="s">
        <v>460</v>
      </c>
      <c r="D1706" t="s">
        <v>1395</v>
      </c>
      <c r="E1706">
        <v>8.0000000000000004E-4</v>
      </c>
      <c r="F1706">
        <v>-4.4400000000000002E-2</v>
      </c>
      <c r="G1706" t="s">
        <v>1397</v>
      </c>
    </row>
    <row r="1707" spans="1:7" x14ac:dyDescent="0.3">
      <c r="B1707">
        <v>479.75</v>
      </c>
      <c r="C1707" t="s">
        <v>24</v>
      </c>
      <c r="D1707" t="s">
        <v>1828</v>
      </c>
      <c r="E1707">
        <v>4.0000000000000001E-3</v>
      </c>
      <c r="F1707">
        <v>-3.9399999999999998E-2</v>
      </c>
      <c r="G1707" t="s">
        <v>1830</v>
      </c>
    </row>
    <row r="1708" spans="1:7" x14ac:dyDescent="0.3">
      <c r="B1708">
        <v>236.3</v>
      </c>
      <c r="C1708" t="s">
        <v>280</v>
      </c>
      <c r="D1708" t="s">
        <v>2402</v>
      </c>
      <c r="E1708">
        <v>7.0000000000000001E-3</v>
      </c>
      <c r="F1708">
        <v>-5.1900000000000002E-2</v>
      </c>
      <c r="G1708" t="s">
        <v>2404</v>
      </c>
    </row>
    <row r="1709" spans="1:7" x14ac:dyDescent="0.3">
      <c r="B1709">
        <v>228.89</v>
      </c>
      <c r="C1709" t="s">
        <v>24</v>
      </c>
      <c r="D1709" t="s">
        <v>2433</v>
      </c>
      <c r="E1709">
        <v>6.0000000000000001E-3</v>
      </c>
      <c r="F1709">
        <v>-7.3499999999999996E-2</v>
      </c>
      <c r="G1709" t="s">
        <v>2435</v>
      </c>
    </row>
    <row r="1710" spans="1:7" x14ac:dyDescent="0.3">
      <c r="B1710">
        <v>109.68</v>
      </c>
      <c r="C1710" t="s">
        <v>24</v>
      </c>
      <c r="D1710" t="s">
        <v>3180</v>
      </c>
      <c r="E1710">
        <v>2.8999999999999998E-3</v>
      </c>
      <c r="F1710">
        <v>-4.6699999999999998E-2</v>
      </c>
      <c r="G1710" t="s">
        <v>3182</v>
      </c>
    </row>
    <row r="1711" spans="1:7" x14ac:dyDescent="0.3">
      <c r="B1711">
        <v>17.54</v>
      </c>
      <c r="C1711" t="s">
        <v>839</v>
      </c>
      <c r="D1711" t="s">
        <v>4914</v>
      </c>
      <c r="E1711">
        <v>4.0000000000000001E-3</v>
      </c>
      <c r="F1711">
        <v>-3.85E-2</v>
      </c>
      <c r="G1711" t="s">
        <v>4916</v>
      </c>
    </row>
    <row r="1712" spans="1:7" x14ac:dyDescent="0.3">
      <c r="A1712" t="s">
        <v>83</v>
      </c>
      <c r="B1712" t="s">
        <v>662</v>
      </c>
      <c r="C1712" t="s">
        <v>6113</v>
      </c>
      <c r="D1712" t="s">
        <v>6171</v>
      </c>
      <c r="E1712">
        <v>4.5999999999999999E-3</v>
      </c>
      <c r="F1712">
        <v>-2.7900000000000001E-2</v>
      </c>
      <c r="G1712" t="s">
        <v>6172</v>
      </c>
    </row>
    <row r="1713" spans="2:7" x14ac:dyDescent="0.3">
      <c r="B1713">
        <v>49200</v>
      </c>
      <c r="C1713" t="s">
        <v>16</v>
      </c>
      <c r="D1713" t="s">
        <v>81</v>
      </c>
      <c r="E1713">
        <v>1E-3</v>
      </c>
      <c r="F1713">
        <v>-5.9499999999999997E-2</v>
      </c>
      <c r="G1713" t="s">
        <v>84</v>
      </c>
    </row>
    <row r="1714" spans="2:7" x14ac:dyDescent="0.3">
      <c r="B1714">
        <v>45860</v>
      </c>
      <c r="C1714" t="s">
        <v>7</v>
      </c>
      <c r="D1714" t="s">
        <v>89</v>
      </c>
      <c r="E1714">
        <v>1.1999999999999999E-3</v>
      </c>
      <c r="F1714">
        <v>-2.7300000000000001E-2</v>
      </c>
      <c r="G1714" t="s">
        <v>91</v>
      </c>
    </row>
    <row r="1715" spans="2:7" x14ac:dyDescent="0.3">
      <c r="B1715">
        <v>8480</v>
      </c>
      <c r="C1715" t="s">
        <v>12</v>
      </c>
      <c r="D1715" t="s">
        <v>360</v>
      </c>
      <c r="E1715">
        <v>4.3E-3</v>
      </c>
      <c r="F1715">
        <v>-7.3099999999999998E-2</v>
      </c>
      <c r="G1715" t="s">
        <v>362</v>
      </c>
    </row>
    <row r="1716" spans="2:7" x14ac:dyDescent="0.3">
      <c r="B1716">
        <v>6400</v>
      </c>
      <c r="C1716" t="s">
        <v>460</v>
      </c>
      <c r="D1716" t="s">
        <v>461</v>
      </c>
      <c r="E1716">
        <v>8.0000000000000004E-4</v>
      </c>
      <c r="F1716">
        <v>-5.9400000000000001E-2</v>
      </c>
      <c r="G1716" t="s">
        <v>463</v>
      </c>
    </row>
    <row r="1717" spans="2:7" x14ac:dyDescent="0.3">
      <c r="B1717">
        <v>3440</v>
      </c>
      <c r="C1717" t="s">
        <v>280</v>
      </c>
      <c r="D1717" t="s">
        <v>710</v>
      </c>
      <c r="E1717">
        <v>5.7000000000000002E-3</v>
      </c>
      <c r="F1717">
        <v>-0.1075</v>
      </c>
      <c r="G1717" t="s">
        <v>712</v>
      </c>
    </row>
    <row r="1718" spans="2:7" x14ac:dyDescent="0.3">
      <c r="B1718">
        <v>2600</v>
      </c>
      <c r="C1718" t="s">
        <v>24</v>
      </c>
      <c r="D1718" t="s">
        <v>822</v>
      </c>
      <c r="E1718">
        <v>4.0000000000000001E-3</v>
      </c>
      <c r="F1718">
        <v>-5.7000000000000002E-2</v>
      </c>
      <c r="G1718" t="s">
        <v>824</v>
      </c>
    </row>
    <row r="1719" spans="2:7" x14ac:dyDescent="0.3">
      <c r="B1719">
        <v>1550</v>
      </c>
      <c r="C1719" t="s">
        <v>280</v>
      </c>
      <c r="D1719" t="s">
        <v>1037</v>
      </c>
      <c r="E1719">
        <v>6.1000000000000004E-3</v>
      </c>
      <c r="F1719">
        <v>-0.1363</v>
      </c>
      <c r="G1719" t="s">
        <v>1039</v>
      </c>
    </row>
    <row r="1720" spans="2:7" x14ac:dyDescent="0.3">
      <c r="B1720">
        <v>619.76</v>
      </c>
      <c r="C1720" t="s">
        <v>7</v>
      </c>
      <c r="D1720" t="s">
        <v>1645</v>
      </c>
      <c r="E1720">
        <v>3.5000000000000001E-3</v>
      </c>
      <c r="F1720">
        <v>-0.1381</v>
      </c>
      <c r="G1720" t="s">
        <v>1647</v>
      </c>
    </row>
    <row r="1721" spans="2:7" x14ac:dyDescent="0.3">
      <c r="B1721">
        <v>471.5</v>
      </c>
      <c r="C1721" t="s">
        <v>24</v>
      </c>
      <c r="D1721" t="s">
        <v>1853</v>
      </c>
      <c r="E1721">
        <v>2.8999999999999998E-3</v>
      </c>
      <c r="F1721">
        <v>-4.0599999999999997E-2</v>
      </c>
      <c r="G1721" t="s">
        <v>1855</v>
      </c>
    </row>
    <row r="1722" spans="2:7" x14ac:dyDescent="0.3">
      <c r="B1722">
        <v>352.61</v>
      </c>
      <c r="C1722" t="s">
        <v>2110</v>
      </c>
      <c r="D1722" t="s">
        <v>2111</v>
      </c>
      <c r="E1722">
        <v>1.11E-2</v>
      </c>
      <c r="F1722">
        <v>-8.5599999999999996E-2</v>
      </c>
      <c r="G1722" t="s">
        <v>2113</v>
      </c>
    </row>
    <row r="1723" spans="2:7" x14ac:dyDescent="0.3">
      <c r="B1723">
        <v>290.60000000000002</v>
      </c>
      <c r="C1723" t="s">
        <v>24</v>
      </c>
      <c r="D1723" t="s">
        <v>2266</v>
      </c>
      <c r="E1723">
        <v>6.0000000000000001E-3</v>
      </c>
      <c r="F1723">
        <v>-0.19139999999999999</v>
      </c>
      <c r="G1723" t="s">
        <v>2268</v>
      </c>
    </row>
    <row r="1724" spans="2:7" x14ac:dyDescent="0.3">
      <c r="B1724">
        <v>208.08</v>
      </c>
      <c r="C1724" t="s">
        <v>7</v>
      </c>
      <c r="D1724" t="s">
        <v>2526</v>
      </c>
      <c r="E1724">
        <v>4.4999999999999997E-3</v>
      </c>
      <c r="F1724">
        <v>-0.3332</v>
      </c>
      <c r="G1724" t="s">
        <v>2528</v>
      </c>
    </row>
    <row r="1725" spans="2:7" x14ac:dyDescent="0.3">
      <c r="B1725">
        <v>139.66999999999999</v>
      </c>
      <c r="C1725" t="s">
        <v>12</v>
      </c>
      <c r="D1725" t="s">
        <v>2900</v>
      </c>
      <c r="E1725">
        <v>1.8E-3</v>
      </c>
      <c r="F1725">
        <v>-9.0499999999999997E-2</v>
      </c>
      <c r="G1725" t="s">
        <v>2902</v>
      </c>
    </row>
    <row r="1726" spans="2:7" x14ac:dyDescent="0.3">
      <c r="B1726">
        <v>71.95</v>
      </c>
      <c r="C1726" t="s">
        <v>839</v>
      </c>
      <c r="D1726" t="s">
        <v>3605</v>
      </c>
      <c r="E1726">
        <v>4.0000000000000001E-3</v>
      </c>
      <c r="F1726">
        <v>-7.9500000000000001E-2</v>
      </c>
      <c r="G1726" t="s">
        <v>3607</v>
      </c>
    </row>
    <row r="1727" spans="2:7" x14ac:dyDescent="0.3">
      <c r="B1727">
        <v>48.41</v>
      </c>
      <c r="C1727" t="s">
        <v>24</v>
      </c>
      <c r="D1727" t="s">
        <v>3939</v>
      </c>
      <c r="E1727">
        <v>6.3E-3</v>
      </c>
      <c r="F1727">
        <v>-0.1125</v>
      </c>
      <c r="G1727" t="s">
        <v>3941</v>
      </c>
    </row>
    <row r="1728" spans="2:7" x14ac:dyDescent="0.3">
      <c r="B1728">
        <v>4.66</v>
      </c>
      <c r="C1728" t="s">
        <v>5695</v>
      </c>
      <c r="D1728" t="s">
        <v>5696</v>
      </c>
      <c r="E1728">
        <v>7.4999999999999997E-3</v>
      </c>
      <c r="F1728">
        <v>-0.36349999999999999</v>
      </c>
      <c r="G1728" t="s">
        <v>5698</v>
      </c>
    </row>
    <row r="1729" spans="1:7" x14ac:dyDescent="0.3">
      <c r="B1729">
        <v>1.02</v>
      </c>
      <c r="C1729" t="s">
        <v>5885</v>
      </c>
      <c r="D1729" t="s">
        <v>6040</v>
      </c>
      <c r="E1729">
        <v>2.8999999999999998E-3</v>
      </c>
      <c r="F1729">
        <v>-0.13689999999999999</v>
      </c>
      <c r="G1729" t="s">
        <v>6041</v>
      </c>
    </row>
    <row r="1730" spans="1:7" x14ac:dyDescent="0.3">
      <c r="A1730" t="s">
        <v>561</v>
      </c>
      <c r="B1730">
        <v>5090</v>
      </c>
      <c r="C1730" t="s">
        <v>486</v>
      </c>
      <c r="D1730" t="s">
        <v>559</v>
      </c>
      <c r="E1730">
        <v>4.7000000000000002E-3</v>
      </c>
      <c r="F1730">
        <v>-3.5999999999999997E-2</v>
      </c>
      <c r="G1730" t="s">
        <v>562</v>
      </c>
    </row>
    <row r="1731" spans="1:7" x14ac:dyDescent="0.3">
      <c r="B1731">
        <v>783.84</v>
      </c>
      <c r="C1731" t="s">
        <v>12</v>
      </c>
      <c r="D1731" t="s">
        <v>1491</v>
      </c>
      <c r="E1731">
        <v>3.0000000000000001E-3</v>
      </c>
      <c r="F1731">
        <v>5.9999999999999995E-4</v>
      </c>
      <c r="G1731" t="s">
        <v>1493</v>
      </c>
    </row>
    <row r="1732" spans="1:7" x14ac:dyDescent="0.3">
      <c r="B1732">
        <v>46.79</v>
      </c>
      <c r="C1732" t="s">
        <v>7</v>
      </c>
      <c r="D1732" t="s">
        <v>3972</v>
      </c>
      <c r="E1732">
        <v>4.4999999999999997E-3</v>
      </c>
      <c r="F1732">
        <v>-0.14399999999999999</v>
      </c>
      <c r="G1732" t="s">
        <v>3974</v>
      </c>
    </row>
    <row r="1733" spans="1:7" x14ac:dyDescent="0.3">
      <c r="A1733" t="s">
        <v>1923</v>
      </c>
      <c r="B1733">
        <v>430.25</v>
      </c>
      <c r="C1733" t="s">
        <v>7</v>
      </c>
      <c r="D1733" t="s">
        <v>1921</v>
      </c>
      <c r="E1733">
        <v>3.5000000000000001E-3</v>
      </c>
      <c r="F1733">
        <v>-4.4400000000000002E-2</v>
      </c>
      <c r="G1733" t="s">
        <v>1924</v>
      </c>
    </row>
    <row r="1734" spans="1:7" x14ac:dyDescent="0.3">
      <c r="B1734">
        <v>95.98</v>
      </c>
      <c r="C1734" t="s">
        <v>12</v>
      </c>
      <c r="D1734" t="s">
        <v>3289</v>
      </c>
      <c r="E1734">
        <v>4.1999999999999997E-3</v>
      </c>
      <c r="F1734">
        <v>-1.2999999999999999E-3</v>
      </c>
      <c r="G1734" t="s">
        <v>3291</v>
      </c>
    </row>
    <row r="1735" spans="1:7" x14ac:dyDescent="0.3">
      <c r="A1735" t="s">
        <v>378</v>
      </c>
      <c r="B1735">
        <v>8039.9999999999991</v>
      </c>
      <c r="C1735" t="s">
        <v>280</v>
      </c>
      <c r="D1735" t="s">
        <v>376</v>
      </c>
      <c r="E1735">
        <v>5.1000000000000004E-3</v>
      </c>
      <c r="F1735">
        <v>-0.23480000000000001</v>
      </c>
      <c r="G1735" t="s">
        <v>379</v>
      </c>
    </row>
    <row r="1736" spans="1:7" x14ac:dyDescent="0.3">
      <c r="B1736">
        <v>735.24</v>
      </c>
      <c r="C1736" t="s">
        <v>24</v>
      </c>
      <c r="D1736" t="s">
        <v>1532</v>
      </c>
      <c r="E1736">
        <v>6.0000000000000001E-3</v>
      </c>
      <c r="F1736">
        <v>-0.2767</v>
      </c>
      <c r="G1736" t="s">
        <v>1534</v>
      </c>
    </row>
    <row r="1737" spans="1:7" x14ac:dyDescent="0.3">
      <c r="B1737">
        <v>39.85</v>
      </c>
      <c r="C1737" t="s">
        <v>7</v>
      </c>
      <c r="D1737" t="s">
        <v>4115</v>
      </c>
      <c r="E1737">
        <v>3.5000000000000001E-3</v>
      </c>
      <c r="F1737">
        <v>-0.30890000000000001</v>
      </c>
      <c r="G1737" t="s">
        <v>4117</v>
      </c>
    </row>
    <row r="1738" spans="1:7" x14ac:dyDescent="0.3">
      <c r="A1738" t="s">
        <v>4191</v>
      </c>
      <c r="B1738" t="s">
        <v>662</v>
      </c>
      <c r="C1738" t="s">
        <v>5707</v>
      </c>
      <c r="D1738" t="s">
        <v>6213</v>
      </c>
      <c r="E1738">
        <v>7.9000000000000008E-3</v>
      </c>
      <c r="F1738">
        <v>-0.34310000000000002</v>
      </c>
      <c r="G1738" t="s">
        <v>6214</v>
      </c>
    </row>
    <row r="1739" spans="1:7" x14ac:dyDescent="0.3">
      <c r="B1739">
        <v>37.32</v>
      </c>
      <c r="C1739" t="s">
        <v>921</v>
      </c>
      <c r="D1739" t="s">
        <v>4189</v>
      </c>
      <c r="E1739">
        <v>6.7999999999999996E-3</v>
      </c>
      <c r="F1739">
        <v>-0.28110000000000002</v>
      </c>
      <c r="G1739" t="s">
        <v>4192</v>
      </c>
    </row>
    <row r="1740" spans="1:7" x14ac:dyDescent="0.3">
      <c r="A1740" t="s">
        <v>1053</v>
      </c>
      <c r="B1740">
        <v>1510</v>
      </c>
      <c r="C1740" t="s">
        <v>12</v>
      </c>
      <c r="D1740" t="s">
        <v>1052</v>
      </c>
      <c r="E1740">
        <v>1.4E-3</v>
      </c>
      <c r="F1740">
        <v>-3.8600000000000002E-2</v>
      </c>
      <c r="G1740" t="s">
        <v>1054</v>
      </c>
    </row>
    <row r="1741" spans="1:7" x14ac:dyDescent="0.3">
      <c r="B1741">
        <v>23.83</v>
      </c>
      <c r="C1741" t="s">
        <v>332</v>
      </c>
      <c r="D1741" t="s">
        <v>4616</v>
      </c>
      <c r="E1741">
        <v>1.5E-3</v>
      </c>
      <c r="F1741">
        <v>-2.4299999999999999E-2</v>
      </c>
      <c r="G1741" t="s">
        <v>4618</v>
      </c>
    </row>
    <row r="1742" spans="1:7" x14ac:dyDescent="0.3">
      <c r="A1742" t="s">
        <v>382</v>
      </c>
      <c r="B1742">
        <v>7950</v>
      </c>
      <c r="C1742" t="s">
        <v>7</v>
      </c>
      <c r="D1742" t="s">
        <v>380</v>
      </c>
      <c r="E1742">
        <v>1.1999999999999999E-3</v>
      </c>
      <c r="F1742">
        <v>-6.1000000000000004E-3</v>
      </c>
      <c r="G1742" t="s">
        <v>383</v>
      </c>
    </row>
    <row r="1743" spans="1:7" x14ac:dyDescent="0.3">
      <c r="B1743">
        <v>3910</v>
      </c>
      <c r="C1743" t="s">
        <v>16</v>
      </c>
      <c r="D1743" t="s">
        <v>657</v>
      </c>
      <c r="E1743">
        <v>1E-3</v>
      </c>
      <c r="F1743">
        <v>-1.3599999999999999E-2</v>
      </c>
      <c r="G1743" t="s">
        <v>659</v>
      </c>
    </row>
    <row r="1744" spans="1:7" x14ac:dyDescent="0.3">
      <c r="B1744">
        <v>710.08</v>
      </c>
      <c r="C1744" t="s">
        <v>12</v>
      </c>
      <c r="D1744" t="s">
        <v>1560</v>
      </c>
      <c r="E1744">
        <v>4.3E-3</v>
      </c>
      <c r="F1744">
        <v>-1.3299999999999999E-2</v>
      </c>
      <c r="G1744" t="s">
        <v>1562</v>
      </c>
    </row>
    <row r="1745" spans="1:7" x14ac:dyDescent="0.3">
      <c r="B1745">
        <v>515.07000000000005</v>
      </c>
      <c r="C1745" t="s">
        <v>460</v>
      </c>
      <c r="D1745" t="s">
        <v>1770</v>
      </c>
      <c r="E1745">
        <v>8.0000000000000004E-4</v>
      </c>
      <c r="F1745">
        <v>-1.29E-2</v>
      </c>
      <c r="G1745" t="s">
        <v>1772</v>
      </c>
    </row>
    <row r="1746" spans="1:7" x14ac:dyDescent="0.3">
      <c r="B1746">
        <v>492.72</v>
      </c>
      <c r="C1746" t="s">
        <v>280</v>
      </c>
      <c r="D1746" t="s">
        <v>1809</v>
      </c>
      <c r="E1746">
        <v>6.7000000000000002E-3</v>
      </c>
      <c r="F1746">
        <v>-2.2499999999999999E-2</v>
      </c>
      <c r="G1746" t="s">
        <v>1811</v>
      </c>
    </row>
    <row r="1747" spans="1:7" x14ac:dyDescent="0.3">
      <c r="B1747">
        <v>455.97</v>
      </c>
      <c r="C1747" t="s">
        <v>24</v>
      </c>
      <c r="D1747" t="s">
        <v>1881</v>
      </c>
      <c r="E1747">
        <v>4.0000000000000001E-3</v>
      </c>
      <c r="F1747">
        <v>1.9E-3</v>
      </c>
      <c r="G1747" t="s">
        <v>1883</v>
      </c>
    </row>
    <row r="1748" spans="1:7" x14ac:dyDescent="0.3">
      <c r="B1748">
        <v>136.66</v>
      </c>
      <c r="C1748" t="s">
        <v>24</v>
      </c>
      <c r="D1748" t="s">
        <v>2925</v>
      </c>
      <c r="E1748">
        <v>6.0000000000000001E-3</v>
      </c>
      <c r="F1748">
        <v>-5.0599999999999999E-2</v>
      </c>
      <c r="G1748" t="s">
        <v>2927</v>
      </c>
    </row>
    <row r="1749" spans="1:7" x14ac:dyDescent="0.3">
      <c r="B1749">
        <v>21.99</v>
      </c>
      <c r="C1749" t="s">
        <v>24</v>
      </c>
      <c r="D1749" t="s">
        <v>4711</v>
      </c>
      <c r="E1749">
        <v>2.8999999999999998E-3</v>
      </c>
      <c r="F1749">
        <v>-4.3E-3</v>
      </c>
      <c r="G1749" t="s">
        <v>4713</v>
      </c>
    </row>
    <row r="1750" spans="1:7" x14ac:dyDescent="0.3">
      <c r="B1750">
        <v>17.05</v>
      </c>
      <c r="C1750" t="s">
        <v>839</v>
      </c>
      <c r="D1750" t="s">
        <v>4949</v>
      </c>
      <c r="E1750">
        <v>4.0000000000000001E-3</v>
      </c>
      <c r="F1750">
        <v>-1.5100000000000001E-2</v>
      </c>
      <c r="G1750" t="s">
        <v>4951</v>
      </c>
    </row>
    <row r="1751" spans="1:7" x14ac:dyDescent="0.3">
      <c r="A1751" t="s">
        <v>3842</v>
      </c>
      <c r="B1751">
        <v>54.38</v>
      </c>
      <c r="C1751" t="s">
        <v>24</v>
      </c>
      <c r="D1751" t="s">
        <v>3840</v>
      </c>
      <c r="E1751">
        <v>6.3E-3</v>
      </c>
      <c r="F1751">
        <v>-0.1825</v>
      </c>
      <c r="G1751" t="s">
        <v>3843</v>
      </c>
    </row>
    <row r="1752" spans="1:7" x14ac:dyDescent="0.3">
      <c r="B1752">
        <v>15.71</v>
      </c>
      <c r="C1752" t="s">
        <v>12</v>
      </c>
      <c r="D1752" t="s">
        <v>5014</v>
      </c>
      <c r="E1752">
        <v>1.8E-3</v>
      </c>
      <c r="F1752">
        <v>-0.15140000000000001</v>
      </c>
      <c r="G1752" t="s">
        <v>5016</v>
      </c>
    </row>
    <row r="1753" spans="1:7" x14ac:dyDescent="0.3">
      <c r="A1753" t="s">
        <v>930</v>
      </c>
      <c r="B1753">
        <v>1940</v>
      </c>
      <c r="C1753" t="s">
        <v>7</v>
      </c>
      <c r="D1753" t="s">
        <v>928</v>
      </c>
      <c r="E1753">
        <v>3.5000000000000001E-3</v>
      </c>
      <c r="F1753">
        <v>-3.6499999999999998E-2</v>
      </c>
      <c r="G1753" t="s">
        <v>931</v>
      </c>
    </row>
    <row r="1754" spans="1:7" x14ac:dyDescent="0.3">
      <c r="A1754" t="s">
        <v>2660</v>
      </c>
      <c r="B1754">
        <v>180.76</v>
      </c>
      <c r="C1754" t="s">
        <v>486</v>
      </c>
      <c r="D1754" t="s">
        <v>2658</v>
      </c>
      <c r="E1754">
        <v>5.0000000000000001E-3</v>
      </c>
      <c r="F1754">
        <v>-0.19070000000000001</v>
      </c>
      <c r="G1754" t="s">
        <v>2661</v>
      </c>
    </row>
    <row r="1755" spans="1:7" x14ac:dyDescent="0.3">
      <c r="A1755" t="s">
        <v>520</v>
      </c>
      <c r="B1755" t="s">
        <v>662</v>
      </c>
      <c r="C1755" t="s">
        <v>5707</v>
      </c>
      <c r="D1755" t="s">
        <v>6215</v>
      </c>
      <c r="E1755">
        <v>2.01E-2</v>
      </c>
      <c r="F1755">
        <v>-4.2999999999999997E-2</v>
      </c>
      <c r="G1755" t="s">
        <v>6216</v>
      </c>
    </row>
    <row r="1756" spans="1:7" x14ac:dyDescent="0.3">
      <c r="B1756">
        <v>5620</v>
      </c>
      <c r="C1756" t="s">
        <v>517</v>
      </c>
      <c r="D1756" t="s">
        <v>518</v>
      </c>
      <c r="E1756">
        <v>8.9999999999999993E-3</v>
      </c>
      <c r="F1756">
        <v>-2.3599999999999999E-2</v>
      </c>
      <c r="G1756" t="s">
        <v>521</v>
      </c>
    </row>
    <row r="1757" spans="1:7" x14ac:dyDescent="0.3">
      <c r="B1757">
        <v>1020</v>
      </c>
      <c r="C1757" t="s">
        <v>486</v>
      </c>
      <c r="D1757" t="s">
        <v>1261</v>
      </c>
      <c r="E1757">
        <v>4.5999999999999999E-3</v>
      </c>
      <c r="F1757">
        <v>-9.4999999999999998E-3</v>
      </c>
      <c r="G1757" t="s">
        <v>1263</v>
      </c>
    </row>
    <row r="1758" spans="1:7" x14ac:dyDescent="0.3">
      <c r="B1758">
        <v>825.53</v>
      </c>
      <c r="C1758" t="s">
        <v>486</v>
      </c>
      <c r="D1758" t="s">
        <v>1436</v>
      </c>
      <c r="E1758">
        <v>4.4999999999999997E-3</v>
      </c>
      <c r="F1758">
        <v>-3.27E-2</v>
      </c>
      <c r="G1758" t="s">
        <v>1438</v>
      </c>
    </row>
    <row r="1759" spans="1:7" x14ac:dyDescent="0.3">
      <c r="B1759">
        <v>462.54</v>
      </c>
      <c r="C1759" t="s">
        <v>1871</v>
      </c>
      <c r="D1759" t="s">
        <v>1872</v>
      </c>
      <c r="E1759">
        <v>4.0000000000000001E-3</v>
      </c>
      <c r="F1759">
        <v>-1.54E-2</v>
      </c>
      <c r="G1759" t="s">
        <v>1874</v>
      </c>
    </row>
    <row r="1760" spans="1:7" x14ac:dyDescent="0.3">
      <c r="B1760">
        <v>200.17</v>
      </c>
      <c r="C1760" t="s">
        <v>2564</v>
      </c>
      <c r="D1760" t="s">
        <v>2565</v>
      </c>
      <c r="E1760">
        <v>8.5000000000000006E-3</v>
      </c>
      <c r="F1760">
        <v>-2.3400000000000001E-2</v>
      </c>
      <c r="G1760" t="s">
        <v>2567</v>
      </c>
    </row>
    <row r="1761" spans="1:7" x14ac:dyDescent="0.3">
      <c r="B1761">
        <v>184.19</v>
      </c>
      <c r="C1761" t="s">
        <v>1856</v>
      </c>
      <c r="D1761" t="s">
        <v>2649</v>
      </c>
      <c r="E1761">
        <v>9.4999999999999998E-3</v>
      </c>
      <c r="F1761">
        <v>-2.69E-2</v>
      </c>
      <c r="G1761" t="s">
        <v>2651</v>
      </c>
    </row>
    <row r="1762" spans="1:7" x14ac:dyDescent="0.3">
      <c r="B1762">
        <v>81.62</v>
      </c>
      <c r="C1762" t="s">
        <v>2564</v>
      </c>
      <c r="D1762" t="s">
        <v>3477</v>
      </c>
      <c r="E1762">
        <v>8.0000000000000002E-3</v>
      </c>
      <c r="F1762">
        <v>-2.1299999999999999E-2</v>
      </c>
      <c r="G1762" t="s">
        <v>3479</v>
      </c>
    </row>
    <row r="1763" spans="1:7" x14ac:dyDescent="0.3">
      <c r="B1763">
        <v>72.88</v>
      </c>
      <c r="C1763" t="s">
        <v>517</v>
      </c>
      <c r="D1763" t="s">
        <v>3586</v>
      </c>
      <c r="E1763">
        <v>3.5000000000000001E-3</v>
      </c>
      <c r="F1763">
        <v>-3.9300000000000002E-2</v>
      </c>
      <c r="G1763" t="s">
        <v>3587</v>
      </c>
    </row>
    <row r="1764" spans="1:7" x14ac:dyDescent="0.3">
      <c r="B1764">
        <v>67.760000000000005</v>
      </c>
      <c r="C1764" t="s">
        <v>2564</v>
      </c>
      <c r="D1764" t="s">
        <v>3662</v>
      </c>
      <c r="E1764">
        <v>7.4999999999999997E-3</v>
      </c>
      <c r="F1764">
        <v>-3.1E-2</v>
      </c>
      <c r="G1764" t="s">
        <v>3664</v>
      </c>
    </row>
    <row r="1765" spans="1:7" x14ac:dyDescent="0.3">
      <c r="B1765">
        <v>49.65</v>
      </c>
      <c r="C1765" t="s">
        <v>2564</v>
      </c>
      <c r="D1765" t="s">
        <v>3906</v>
      </c>
      <c r="E1765">
        <v>7.4999999999999997E-3</v>
      </c>
      <c r="F1765">
        <v>-3.0599999999999999E-2</v>
      </c>
      <c r="G1765" t="s">
        <v>3908</v>
      </c>
    </row>
    <row r="1766" spans="1:7" x14ac:dyDescent="0.3">
      <c r="B1766">
        <v>35.270000000000003</v>
      </c>
      <c r="C1766" t="s">
        <v>2564</v>
      </c>
      <c r="D1766" t="s">
        <v>4250</v>
      </c>
      <c r="E1766">
        <v>7.4999999999999997E-3</v>
      </c>
      <c r="F1766">
        <v>-2.1600000000000001E-2</v>
      </c>
      <c r="G1766" t="s">
        <v>4252</v>
      </c>
    </row>
    <row r="1767" spans="1:7" x14ac:dyDescent="0.3">
      <c r="B1767">
        <v>24.46</v>
      </c>
      <c r="C1767" t="s">
        <v>4596</v>
      </c>
      <c r="D1767" t="s">
        <v>4597</v>
      </c>
      <c r="E1767">
        <v>9.4999999999999998E-3</v>
      </c>
      <c r="F1767">
        <v>8.2600000000000007E-2</v>
      </c>
      <c r="G1767" t="s">
        <v>4599</v>
      </c>
    </row>
    <row r="1768" spans="1:7" x14ac:dyDescent="0.3">
      <c r="B1768">
        <v>18.97</v>
      </c>
      <c r="C1768" t="s">
        <v>2564</v>
      </c>
      <c r="D1768" t="s">
        <v>4833</v>
      </c>
      <c r="E1768">
        <v>8.5000000000000006E-3</v>
      </c>
      <c r="F1768">
        <v>-2.18E-2</v>
      </c>
      <c r="G1768" t="s">
        <v>4835</v>
      </c>
    </row>
    <row r="1769" spans="1:7" x14ac:dyDescent="0.3">
      <c r="B1769">
        <v>11.62</v>
      </c>
      <c r="C1769" t="s">
        <v>1856</v>
      </c>
      <c r="D1769" t="s">
        <v>5193</v>
      </c>
      <c r="E1769">
        <v>8.0000000000000002E-3</v>
      </c>
      <c r="F1769">
        <v>-1.06E-2</v>
      </c>
      <c r="G1769" t="s">
        <v>5195</v>
      </c>
    </row>
    <row r="1770" spans="1:7" x14ac:dyDescent="0.3">
      <c r="A1770" t="s">
        <v>2907</v>
      </c>
      <c r="B1770">
        <v>139.63999999999999</v>
      </c>
      <c r="C1770" t="s">
        <v>7</v>
      </c>
      <c r="D1770" t="s">
        <v>2906</v>
      </c>
      <c r="E1770">
        <v>4.4999999999999997E-3</v>
      </c>
      <c r="F1770">
        <v>-0.17949999999999999</v>
      </c>
      <c r="G1770" t="s">
        <v>2908</v>
      </c>
    </row>
    <row r="1771" spans="1:7" x14ac:dyDescent="0.3">
      <c r="A1771" t="s">
        <v>1156</v>
      </c>
      <c r="B1771">
        <v>1210</v>
      </c>
      <c r="C1771" t="s">
        <v>12</v>
      </c>
      <c r="D1771" t="s">
        <v>1155</v>
      </c>
      <c r="E1771">
        <v>4.7999999999999996E-3</v>
      </c>
      <c r="F1771">
        <v>-0.10580000000000001</v>
      </c>
      <c r="G1771" t="s">
        <v>1157</v>
      </c>
    </row>
    <row r="1772" spans="1:7" x14ac:dyDescent="0.3">
      <c r="B1772">
        <v>291.81</v>
      </c>
      <c r="C1772" t="s">
        <v>272</v>
      </c>
      <c r="D1772" t="s">
        <v>2259</v>
      </c>
      <c r="E1772">
        <v>4.0000000000000001E-3</v>
      </c>
      <c r="F1772">
        <v>-0.10630000000000001</v>
      </c>
      <c r="G1772" t="s">
        <v>2261</v>
      </c>
    </row>
    <row r="1773" spans="1:7" x14ac:dyDescent="0.3">
      <c r="A1773" t="s">
        <v>3098</v>
      </c>
      <c r="B1773">
        <v>119.4</v>
      </c>
      <c r="C1773" t="s">
        <v>12</v>
      </c>
      <c r="D1773" t="s">
        <v>3096</v>
      </c>
      <c r="E1773">
        <v>4.1000000000000003E-3</v>
      </c>
      <c r="F1773">
        <v>-1.01E-2</v>
      </c>
      <c r="G1773" t="s">
        <v>3099</v>
      </c>
    </row>
    <row r="1774" spans="1:7" x14ac:dyDescent="0.3">
      <c r="A1774" t="s">
        <v>1960</v>
      </c>
      <c r="B1774">
        <v>413.87</v>
      </c>
      <c r="C1774" t="s">
        <v>12</v>
      </c>
      <c r="D1774" t="s">
        <v>1958</v>
      </c>
      <c r="E1774">
        <v>4.1999999999999997E-3</v>
      </c>
      <c r="F1774">
        <v>4.53E-2</v>
      </c>
      <c r="G1774" t="s">
        <v>1961</v>
      </c>
    </row>
    <row r="1775" spans="1:7" x14ac:dyDescent="0.3">
      <c r="A1775" t="s">
        <v>649</v>
      </c>
      <c r="B1775">
        <v>4050</v>
      </c>
      <c r="C1775" t="s">
        <v>7</v>
      </c>
      <c r="D1775" t="s">
        <v>648</v>
      </c>
      <c r="E1775">
        <v>3.5000000000000001E-3</v>
      </c>
      <c r="F1775">
        <v>-4.2999999999999997E-2</v>
      </c>
      <c r="G1775" t="s">
        <v>650</v>
      </c>
    </row>
    <row r="1776" spans="1:7" x14ac:dyDescent="0.3">
      <c r="B1776">
        <v>481.61</v>
      </c>
      <c r="C1776" t="s">
        <v>280</v>
      </c>
      <c r="D1776" t="s">
        <v>1825</v>
      </c>
      <c r="E1776">
        <v>6.0000000000000001E-3</v>
      </c>
      <c r="F1776">
        <v>-1E-3</v>
      </c>
      <c r="G1776" t="s">
        <v>1827</v>
      </c>
    </row>
    <row r="1777" spans="1:7" x14ac:dyDescent="0.3">
      <c r="B1777">
        <v>162.94</v>
      </c>
      <c r="C1777" t="s">
        <v>24</v>
      </c>
      <c r="D1777" t="s">
        <v>2751</v>
      </c>
      <c r="E1777">
        <v>6.3E-3</v>
      </c>
      <c r="F1777">
        <v>2.5000000000000001E-2</v>
      </c>
      <c r="G1777" t="s">
        <v>2753</v>
      </c>
    </row>
    <row r="1778" spans="1:7" x14ac:dyDescent="0.3">
      <c r="A1778" t="s">
        <v>4533</v>
      </c>
      <c r="B1778">
        <v>25.8</v>
      </c>
      <c r="C1778" t="s">
        <v>979</v>
      </c>
      <c r="D1778" t="s">
        <v>4531</v>
      </c>
      <c r="E1778">
        <v>7.9000000000000008E-3</v>
      </c>
      <c r="F1778">
        <v>-0.28220000000000001</v>
      </c>
      <c r="G1778" t="s">
        <v>4534</v>
      </c>
    </row>
    <row r="1779" spans="1:7" x14ac:dyDescent="0.3">
      <c r="B1779">
        <v>23.64</v>
      </c>
      <c r="C1779" t="s">
        <v>24</v>
      </c>
      <c r="D1779" t="s">
        <v>4627</v>
      </c>
      <c r="E1779">
        <v>0</v>
      </c>
      <c r="F1779">
        <v>-0.18140000000000001</v>
      </c>
      <c r="G1779" t="s">
        <v>4629</v>
      </c>
    </row>
    <row r="1780" spans="1:7" x14ac:dyDescent="0.3">
      <c r="A1780" t="s">
        <v>2037</v>
      </c>
      <c r="B1780">
        <v>382.04</v>
      </c>
      <c r="C1780" t="s">
        <v>12</v>
      </c>
      <c r="D1780" t="s">
        <v>2035</v>
      </c>
      <c r="E1780">
        <v>4.1999999999999997E-3</v>
      </c>
      <c r="F1780">
        <v>5.4999999999999997E-3</v>
      </c>
      <c r="G1780" t="s">
        <v>2038</v>
      </c>
    </row>
    <row r="1781" spans="1:7" x14ac:dyDescent="0.3">
      <c r="B1781">
        <v>337.96</v>
      </c>
      <c r="C1781" t="s">
        <v>24</v>
      </c>
      <c r="D1781" t="s">
        <v>2146</v>
      </c>
      <c r="E1781">
        <v>5.7999999999999996E-3</v>
      </c>
      <c r="F1781">
        <v>-2.86E-2</v>
      </c>
      <c r="G1781" t="s">
        <v>2148</v>
      </c>
    </row>
    <row r="1782" spans="1:7" x14ac:dyDescent="0.3">
      <c r="B1782">
        <v>202.22</v>
      </c>
      <c r="C1782" t="s">
        <v>7</v>
      </c>
      <c r="D1782" t="s">
        <v>2551</v>
      </c>
      <c r="E1782">
        <v>3.5000000000000001E-3</v>
      </c>
      <c r="F1782">
        <v>-0.1227</v>
      </c>
      <c r="G1782" t="s">
        <v>2553</v>
      </c>
    </row>
    <row r="1783" spans="1:7" x14ac:dyDescent="0.3">
      <c r="B1783">
        <v>16.510000000000002</v>
      </c>
      <c r="C1783" t="s">
        <v>280</v>
      </c>
      <c r="D1783" t="s">
        <v>4980</v>
      </c>
      <c r="E1783">
        <v>6.0000000000000001E-3</v>
      </c>
      <c r="F1783">
        <v>-2.24E-2</v>
      </c>
      <c r="G1783" t="s">
        <v>4982</v>
      </c>
    </row>
    <row r="1784" spans="1:7" x14ac:dyDescent="0.3">
      <c r="A1784" t="s">
        <v>3531</v>
      </c>
      <c r="B1784">
        <v>77.02</v>
      </c>
      <c r="C1784" t="s">
        <v>24</v>
      </c>
      <c r="D1784" t="s">
        <v>3529</v>
      </c>
      <c r="E1784">
        <v>3.5000000000000001E-3</v>
      </c>
      <c r="F1784">
        <v>6.8999999999999999E-3</v>
      </c>
      <c r="G1784" t="s">
        <v>3532</v>
      </c>
    </row>
    <row r="1785" spans="1:7" x14ac:dyDescent="0.3">
      <c r="A1785" t="s">
        <v>87</v>
      </c>
      <c r="B1785">
        <v>45920</v>
      </c>
      <c r="C1785" t="s">
        <v>16</v>
      </c>
      <c r="D1785" t="s">
        <v>85</v>
      </c>
      <c r="E1785">
        <v>1.1999999999999999E-3</v>
      </c>
      <c r="F1785">
        <v>-2.1499999999999998E-2</v>
      </c>
      <c r="G1785" t="s">
        <v>88</v>
      </c>
    </row>
    <row r="1786" spans="1:7" x14ac:dyDescent="0.3">
      <c r="B1786">
        <v>6960</v>
      </c>
      <c r="C1786" t="s">
        <v>12</v>
      </c>
      <c r="D1786" t="s">
        <v>425</v>
      </c>
      <c r="E1786">
        <v>4.1000000000000003E-3</v>
      </c>
      <c r="F1786">
        <v>-2.7300000000000001E-2</v>
      </c>
      <c r="G1786" t="s">
        <v>427</v>
      </c>
    </row>
    <row r="1787" spans="1:7" x14ac:dyDescent="0.3">
      <c r="B1787">
        <v>6030</v>
      </c>
      <c r="C1787" t="s">
        <v>7</v>
      </c>
      <c r="D1787" t="s">
        <v>483</v>
      </c>
      <c r="E1787">
        <v>1.1999999999999999E-3</v>
      </c>
      <c r="F1787">
        <v>-1.1999999999999999E-3</v>
      </c>
      <c r="G1787" t="s">
        <v>485</v>
      </c>
    </row>
    <row r="1788" spans="1:7" x14ac:dyDescent="0.3">
      <c r="B1788">
        <v>2150</v>
      </c>
      <c r="C1788" t="s">
        <v>460</v>
      </c>
      <c r="D1788" t="s">
        <v>896</v>
      </c>
      <c r="E1788">
        <v>8.9999999999999998E-4</v>
      </c>
      <c r="F1788">
        <v>-2.1499999999999998E-2</v>
      </c>
      <c r="G1788" t="s">
        <v>898</v>
      </c>
    </row>
    <row r="1789" spans="1:7" x14ac:dyDescent="0.3">
      <c r="B1789">
        <v>1150</v>
      </c>
      <c r="C1789" t="s">
        <v>12</v>
      </c>
      <c r="D1789" t="s">
        <v>1203</v>
      </c>
      <c r="E1789">
        <v>4.7999999999999996E-3</v>
      </c>
      <c r="F1789">
        <v>2.3400000000000001E-2</v>
      </c>
      <c r="G1789" t="s">
        <v>1204</v>
      </c>
    </row>
    <row r="1790" spans="1:7" x14ac:dyDescent="0.3">
      <c r="B1790">
        <v>155.49</v>
      </c>
      <c r="C1790" t="s">
        <v>24</v>
      </c>
      <c r="D1790" t="s">
        <v>2789</v>
      </c>
      <c r="E1790">
        <v>4.0000000000000001E-3</v>
      </c>
      <c r="F1790">
        <v>7.1000000000000004E-3</v>
      </c>
      <c r="G1790" t="s">
        <v>2791</v>
      </c>
    </row>
    <row r="1791" spans="1:7" x14ac:dyDescent="0.3">
      <c r="B1791">
        <v>151.43</v>
      </c>
      <c r="C1791" t="s">
        <v>1891</v>
      </c>
      <c r="D1791" t="s">
        <v>2814</v>
      </c>
      <c r="E1791">
        <v>4.8999999999999998E-3</v>
      </c>
      <c r="F1791">
        <v>-8.3999999999999995E-3</v>
      </c>
      <c r="G1791" t="s">
        <v>2816</v>
      </c>
    </row>
    <row r="1792" spans="1:7" x14ac:dyDescent="0.3">
      <c r="B1792">
        <v>131.77000000000001</v>
      </c>
      <c r="C1792" t="s">
        <v>24</v>
      </c>
      <c r="D1792" t="s">
        <v>2965</v>
      </c>
      <c r="E1792">
        <v>3.5000000000000001E-3</v>
      </c>
      <c r="F1792">
        <v>-7.4000000000000003E-3</v>
      </c>
      <c r="G1792" t="s">
        <v>2967</v>
      </c>
    </row>
    <row r="1793" spans="1:7" x14ac:dyDescent="0.3">
      <c r="B1793">
        <v>127.98</v>
      </c>
      <c r="C1793" t="s">
        <v>979</v>
      </c>
      <c r="D1793" t="s">
        <v>3018</v>
      </c>
      <c r="E1793">
        <v>6.0000000000000001E-3</v>
      </c>
      <c r="F1793">
        <v>-7.7600000000000002E-2</v>
      </c>
      <c r="G1793" t="s">
        <v>3020</v>
      </c>
    </row>
    <row r="1794" spans="1:7" x14ac:dyDescent="0.3">
      <c r="B1794">
        <v>43.87</v>
      </c>
      <c r="C1794" t="s">
        <v>1864</v>
      </c>
      <c r="D1794" t="s">
        <v>4021</v>
      </c>
      <c r="E1794">
        <v>7.0000000000000001E-3</v>
      </c>
      <c r="F1794">
        <v>-7.0099999999999996E-2</v>
      </c>
      <c r="G1794" t="s">
        <v>4023</v>
      </c>
    </row>
    <row r="1795" spans="1:7" x14ac:dyDescent="0.3">
      <c r="B1795">
        <v>23.49</v>
      </c>
      <c r="C1795" t="s">
        <v>517</v>
      </c>
      <c r="D1795" t="s">
        <v>4633</v>
      </c>
      <c r="E1795">
        <v>6.7999999999999996E-3</v>
      </c>
      <c r="F1795">
        <v>-9.9000000000000008E-3</v>
      </c>
      <c r="G1795" t="s">
        <v>4635</v>
      </c>
    </row>
    <row r="1796" spans="1:7" x14ac:dyDescent="0.3">
      <c r="B1796">
        <v>20.82</v>
      </c>
      <c r="C1796" t="s">
        <v>3537</v>
      </c>
      <c r="D1796" t="s">
        <v>4762</v>
      </c>
      <c r="E1796">
        <v>2.5000000000000001E-3</v>
      </c>
      <c r="F1796">
        <v>-3.9E-2</v>
      </c>
      <c r="G1796" t="s">
        <v>4764</v>
      </c>
    </row>
    <row r="1797" spans="1:7" x14ac:dyDescent="0.3">
      <c r="B1797">
        <v>11.88</v>
      </c>
      <c r="C1797" t="s">
        <v>2709</v>
      </c>
      <c r="D1797" t="s">
        <v>5182</v>
      </c>
      <c r="E1797">
        <v>6.4999999999999997E-3</v>
      </c>
      <c r="F1797">
        <v>-1.77E-2</v>
      </c>
      <c r="G1797" t="s">
        <v>5184</v>
      </c>
    </row>
    <row r="1798" spans="1:7" x14ac:dyDescent="0.3">
      <c r="A1798" t="s">
        <v>530</v>
      </c>
      <c r="B1798">
        <v>5460</v>
      </c>
      <c r="C1798" t="s">
        <v>7</v>
      </c>
      <c r="D1798" t="s">
        <v>528</v>
      </c>
      <c r="E1798">
        <v>3.5000000000000001E-3</v>
      </c>
      <c r="F1798">
        <v>2.0000000000000001E-4</v>
      </c>
      <c r="G1798" t="s">
        <v>531</v>
      </c>
    </row>
    <row r="1799" spans="1:7" x14ac:dyDescent="0.3">
      <c r="B1799">
        <v>1440</v>
      </c>
      <c r="C1799" t="s">
        <v>12</v>
      </c>
      <c r="D1799" t="s">
        <v>1073</v>
      </c>
      <c r="E1799">
        <v>4.1000000000000003E-3</v>
      </c>
      <c r="F1799">
        <v>-4.2900000000000001E-2</v>
      </c>
      <c r="G1799" t="s">
        <v>1074</v>
      </c>
    </row>
    <row r="1800" spans="1:7" x14ac:dyDescent="0.3">
      <c r="B1800">
        <v>124.64</v>
      </c>
      <c r="C1800" t="s">
        <v>280</v>
      </c>
      <c r="D1800" t="s">
        <v>3052</v>
      </c>
      <c r="E1800">
        <v>6.0000000000000001E-3</v>
      </c>
      <c r="F1800">
        <v>1.7399999999999999E-2</v>
      </c>
      <c r="G1800" t="s">
        <v>3054</v>
      </c>
    </row>
    <row r="1801" spans="1:7" x14ac:dyDescent="0.3">
      <c r="B1801">
        <v>82.91</v>
      </c>
      <c r="C1801" t="s">
        <v>24</v>
      </c>
      <c r="D1801" t="s">
        <v>3452</v>
      </c>
      <c r="E1801">
        <v>3.5000000000000001E-3</v>
      </c>
      <c r="F1801">
        <v>1.7000000000000001E-2</v>
      </c>
      <c r="G1801" t="s">
        <v>3454</v>
      </c>
    </row>
    <row r="1802" spans="1:7" x14ac:dyDescent="0.3">
      <c r="A1802" t="s">
        <v>451</v>
      </c>
      <c r="B1802">
        <v>6620</v>
      </c>
      <c r="C1802" t="s">
        <v>116</v>
      </c>
      <c r="D1802" t="s">
        <v>449</v>
      </c>
      <c r="E1802">
        <v>6.9999999999999999E-4</v>
      </c>
      <c r="F1802">
        <v>-9.9000000000000008E-3</v>
      </c>
      <c r="G1802" t="s">
        <v>452</v>
      </c>
    </row>
    <row r="1803" spans="1:7" x14ac:dyDescent="0.3">
      <c r="B1803">
        <v>2720</v>
      </c>
      <c r="C1803" t="s">
        <v>12</v>
      </c>
      <c r="D1803" t="s">
        <v>799</v>
      </c>
      <c r="E1803">
        <v>3.3E-3</v>
      </c>
      <c r="F1803">
        <v>-2E-3</v>
      </c>
      <c r="G1803" t="s">
        <v>801</v>
      </c>
    </row>
    <row r="1804" spans="1:7" x14ac:dyDescent="0.3">
      <c r="B1804">
        <v>2470</v>
      </c>
      <c r="C1804" t="s">
        <v>12</v>
      </c>
      <c r="D1804" t="s">
        <v>836</v>
      </c>
      <c r="E1804">
        <v>8.0000000000000004E-4</v>
      </c>
      <c r="F1804">
        <v>2.5000000000000001E-3</v>
      </c>
      <c r="G1804" t="s">
        <v>838</v>
      </c>
    </row>
    <row r="1805" spans="1:7" x14ac:dyDescent="0.3">
      <c r="B1805">
        <v>1980</v>
      </c>
      <c r="C1805" t="s">
        <v>7</v>
      </c>
      <c r="D1805" t="s">
        <v>914</v>
      </c>
      <c r="E1805">
        <v>2.5000000000000001E-3</v>
      </c>
      <c r="F1805">
        <v>1.01E-2</v>
      </c>
      <c r="G1805" t="s">
        <v>916</v>
      </c>
    </row>
    <row r="1806" spans="1:7" x14ac:dyDescent="0.3">
      <c r="B1806">
        <v>1440</v>
      </c>
      <c r="C1806" t="s">
        <v>332</v>
      </c>
      <c r="D1806" t="s">
        <v>1071</v>
      </c>
      <c r="E1806">
        <v>1.1000000000000001E-3</v>
      </c>
      <c r="F1806">
        <v>5.9999999999999995E-4</v>
      </c>
      <c r="G1806" t="s">
        <v>1072</v>
      </c>
    </row>
    <row r="1807" spans="1:7" x14ac:dyDescent="0.3">
      <c r="B1807">
        <v>315.8</v>
      </c>
      <c r="C1807" t="s">
        <v>24</v>
      </c>
      <c r="D1807" t="s">
        <v>2210</v>
      </c>
      <c r="E1807">
        <v>3.5000000000000001E-3</v>
      </c>
      <c r="F1807">
        <v>1.0999999999999999E-2</v>
      </c>
      <c r="G1807" t="s">
        <v>2212</v>
      </c>
    </row>
    <row r="1808" spans="1:7" x14ac:dyDescent="0.3">
      <c r="B1808">
        <v>230.13</v>
      </c>
      <c r="C1808" t="s">
        <v>280</v>
      </c>
      <c r="D1808" t="s">
        <v>2427</v>
      </c>
      <c r="E1808">
        <v>5.0000000000000001E-3</v>
      </c>
      <c r="F1808">
        <v>6.9999999999999999E-4</v>
      </c>
      <c r="G1808" t="s">
        <v>2429</v>
      </c>
    </row>
    <row r="1809" spans="1:7" x14ac:dyDescent="0.3">
      <c r="B1809">
        <v>123.64</v>
      </c>
      <c r="C1809" t="s">
        <v>780</v>
      </c>
      <c r="D1809" t="s">
        <v>3069</v>
      </c>
      <c r="E1809">
        <v>3.5000000000000001E-3</v>
      </c>
      <c r="F1809">
        <v>9.4999999999999998E-3</v>
      </c>
      <c r="G1809" t="s">
        <v>3071</v>
      </c>
    </row>
    <row r="1810" spans="1:7" x14ac:dyDescent="0.3">
      <c r="B1810">
        <v>27.09</v>
      </c>
      <c r="C1810" t="s">
        <v>517</v>
      </c>
      <c r="D1810" t="s">
        <v>4485</v>
      </c>
      <c r="E1810">
        <v>3.5000000000000001E-3</v>
      </c>
      <c r="F1810">
        <v>-1.6E-2</v>
      </c>
      <c r="G1810" t="s">
        <v>4487</v>
      </c>
    </row>
    <row r="1811" spans="1:7" x14ac:dyDescent="0.3">
      <c r="A1811" t="s">
        <v>3407</v>
      </c>
      <c r="B1811">
        <v>87</v>
      </c>
      <c r="C1811" t="s">
        <v>588</v>
      </c>
      <c r="D1811" t="s">
        <v>3405</v>
      </c>
      <c r="E1811">
        <v>4.4999999999999997E-3</v>
      </c>
      <c r="F1811">
        <v>-0.1615</v>
      </c>
      <c r="G1811" t="s">
        <v>3408</v>
      </c>
    </row>
    <row r="1812" spans="1:7" x14ac:dyDescent="0.3">
      <c r="A1812" t="s">
        <v>876</v>
      </c>
      <c r="B1812" t="s">
        <v>662</v>
      </c>
      <c r="C1812" t="s">
        <v>6113</v>
      </c>
      <c r="D1812" t="s">
        <v>6121</v>
      </c>
      <c r="E1812">
        <v>5.7999999999999996E-3</v>
      </c>
      <c r="F1812">
        <v>-0.31659999999999999</v>
      </c>
      <c r="G1812" t="s">
        <v>6122</v>
      </c>
    </row>
    <row r="1813" spans="1:7" x14ac:dyDescent="0.3">
      <c r="B1813">
        <v>2250</v>
      </c>
      <c r="C1813" t="s">
        <v>280</v>
      </c>
      <c r="D1813" t="s">
        <v>874</v>
      </c>
      <c r="E1813">
        <v>6.0000000000000001E-3</v>
      </c>
      <c r="F1813">
        <v>-0.19689999999999999</v>
      </c>
      <c r="G1813" t="s">
        <v>877</v>
      </c>
    </row>
    <row r="1814" spans="1:7" x14ac:dyDescent="0.3">
      <c r="B1814">
        <v>718.03</v>
      </c>
      <c r="C1814" t="s">
        <v>517</v>
      </c>
      <c r="D1814" t="s">
        <v>1550</v>
      </c>
      <c r="E1814">
        <v>5.4999999999999997E-3</v>
      </c>
      <c r="F1814">
        <v>-0.27810000000000001</v>
      </c>
      <c r="G1814" t="s">
        <v>1552</v>
      </c>
    </row>
    <row r="1815" spans="1:7" x14ac:dyDescent="0.3">
      <c r="B1815">
        <v>303.5</v>
      </c>
      <c r="C1815" t="s">
        <v>7</v>
      </c>
      <c r="D1815" t="s">
        <v>2239</v>
      </c>
      <c r="E1815">
        <v>4.4999999999999997E-3</v>
      </c>
      <c r="F1815">
        <v>-0.22819999999999999</v>
      </c>
      <c r="G1815" t="s">
        <v>2241</v>
      </c>
    </row>
    <row r="1816" spans="1:7" x14ac:dyDescent="0.3">
      <c r="A1816" t="s">
        <v>5781</v>
      </c>
      <c r="B1816">
        <v>3.68</v>
      </c>
      <c r="C1816" t="s">
        <v>1289</v>
      </c>
      <c r="D1816" t="s">
        <v>5779</v>
      </c>
      <c r="E1816">
        <v>9.9000000000000008E-3</v>
      </c>
      <c r="F1816">
        <v>-7.4999999999999997E-2</v>
      </c>
      <c r="G1816" t="s">
        <v>5782</v>
      </c>
    </row>
    <row r="1817" spans="1:7" x14ac:dyDescent="0.3">
      <c r="A1817" t="s">
        <v>4341</v>
      </c>
      <c r="B1817" t="s">
        <v>662</v>
      </c>
      <c r="C1817" t="s">
        <v>5217</v>
      </c>
      <c r="D1817" t="s">
        <v>6108</v>
      </c>
      <c r="E1817">
        <v>8.9999999999999993E-3</v>
      </c>
      <c r="F1817" t="s">
        <v>662</v>
      </c>
      <c r="G1817" t="s">
        <v>6109</v>
      </c>
    </row>
    <row r="1818" spans="1:7" x14ac:dyDescent="0.3">
      <c r="B1818">
        <v>32.03</v>
      </c>
      <c r="C1818" t="s">
        <v>3982</v>
      </c>
      <c r="D1818" t="s">
        <v>4339</v>
      </c>
      <c r="E1818">
        <v>6.7999999999999996E-3</v>
      </c>
      <c r="F1818">
        <v>-0.27329999999999999</v>
      </c>
      <c r="G1818" t="s">
        <v>4342</v>
      </c>
    </row>
    <row r="1819" spans="1:7" x14ac:dyDescent="0.3">
      <c r="A1819" t="s">
        <v>354</v>
      </c>
      <c r="B1819">
        <v>8830</v>
      </c>
      <c r="C1819" t="s">
        <v>12</v>
      </c>
      <c r="D1819" t="s">
        <v>352</v>
      </c>
      <c r="E1819">
        <v>4.3E-3</v>
      </c>
      <c r="F1819">
        <v>1.37E-2</v>
      </c>
      <c r="G1819" t="s">
        <v>355</v>
      </c>
    </row>
    <row r="1820" spans="1:7" x14ac:dyDescent="0.3">
      <c r="B1820">
        <v>1350</v>
      </c>
      <c r="C1820" t="s">
        <v>7</v>
      </c>
      <c r="D1820" t="s">
        <v>1104</v>
      </c>
      <c r="E1820">
        <v>3.5000000000000001E-3</v>
      </c>
      <c r="F1820">
        <v>-5.3100000000000001E-2</v>
      </c>
      <c r="G1820" t="s">
        <v>1106</v>
      </c>
    </row>
    <row r="1821" spans="1:7" x14ac:dyDescent="0.3">
      <c r="B1821">
        <v>769.31</v>
      </c>
      <c r="C1821" t="s">
        <v>24</v>
      </c>
      <c r="D1821" t="s">
        <v>1501</v>
      </c>
      <c r="E1821">
        <v>5.5999999999999999E-3</v>
      </c>
      <c r="F1821">
        <v>-2.63E-2</v>
      </c>
      <c r="G1821" t="s">
        <v>1503</v>
      </c>
    </row>
    <row r="1822" spans="1:7" x14ac:dyDescent="0.3">
      <c r="B1822">
        <v>102.96</v>
      </c>
      <c r="C1822" t="s">
        <v>280</v>
      </c>
      <c r="D1822" t="s">
        <v>3227</v>
      </c>
      <c r="E1822">
        <v>6.0000000000000001E-3</v>
      </c>
      <c r="F1822">
        <v>-3.8E-3</v>
      </c>
      <c r="G1822" t="s">
        <v>3229</v>
      </c>
    </row>
    <row r="1823" spans="1:7" x14ac:dyDescent="0.3">
      <c r="B1823">
        <v>50.8</v>
      </c>
      <c r="C1823" t="s">
        <v>24</v>
      </c>
      <c r="D1823" t="s">
        <v>3890</v>
      </c>
      <c r="E1823">
        <v>0</v>
      </c>
      <c r="F1823">
        <v>7.6E-3</v>
      </c>
      <c r="G1823" t="s">
        <v>3892</v>
      </c>
    </row>
    <row r="1824" spans="1:7" x14ac:dyDescent="0.3">
      <c r="A1824" t="s">
        <v>2279</v>
      </c>
      <c r="B1824">
        <v>283.63</v>
      </c>
      <c r="C1824" t="s">
        <v>24</v>
      </c>
      <c r="D1824" t="s">
        <v>2277</v>
      </c>
      <c r="E1824">
        <v>5.5999999999999999E-3</v>
      </c>
      <c r="F1824">
        <v>-0.26379999999999998</v>
      </c>
      <c r="G1824" t="s">
        <v>2280</v>
      </c>
    </row>
    <row r="1825" spans="1:7" x14ac:dyDescent="0.3">
      <c r="A1825" t="s">
        <v>557</v>
      </c>
      <c r="B1825">
        <v>5120</v>
      </c>
      <c r="C1825" t="s">
        <v>280</v>
      </c>
      <c r="D1825" t="s">
        <v>556</v>
      </c>
      <c r="E1825">
        <v>6.0000000000000001E-3</v>
      </c>
      <c r="F1825">
        <v>-0.22220000000000001</v>
      </c>
      <c r="G1825" t="s">
        <v>558</v>
      </c>
    </row>
    <row r="1826" spans="1:7" x14ac:dyDescent="0.3">
      <c r="B1826">
        <v>895.65</v>
      </c>
      <c r="C1826" t="s">
        <v>440</v>
      </c>
      <c r="D1826" t="s">
        <v>1370</v>
      </c>
      <c r="E1826">
        <v>4.4999999999999997E-3</v>
      </c>
      <c r="F1826">
        <v>-0.34320000000000001</v>
      </c>
      <c r="G1826" t="s">
        <v>1372</v>
      </c>
    </row>
    <row r="1827" spans="1:7" x14ac:dyDescent="0.3">
      <c r="B1827">
        <v>317.11</v>
      </c>
      <c r="C1827" t="s">
        <v>7</v>
      </c>
      <c r="D1827" t="s">
        <v>2201</v>
      </c>
      <c r="E1827">
        <v>3.5000000000000001E-3</v>
      </c>
      <c r="F1827">
        <v>-0.2195</v>
      </c>
      <c r="G1827" t="s">
        <v>2203</v>
      </c>
    </row>
    <row r="1828" spans="1:7" x14ac:dyDescent="0.3">
      <c r="A1828" t="s">
        <v>4807</v>
      </c>
      <c r="B1828">
        <v>20.16</v>
      </c>
      <c r="C1828" t="s">
        <v>7</v>
      </c>
      <c r="D1828" t="s">
        <v>4805</v>
      </c>
      <c r="E1828">
        <v>4.4999999999999997E-3</v>
      </c>
      <c r="F1828">
        <v>-8.0100000000000005E-2</v>
      </c>
      <c r="G1828" t="s">
        <v>4808</v>
      </c>
    </row>
    <row r="1829" spans="1:7" x14ac:dyDescent="0.3">
      <c r="A1829" t="s">
        <v>1094</v>
      </c>
      <c r="B1829">
        <v>1390</v>
      </c>
      <c r="C1829" t="s">
        <v>941</v>
      </c>
      <c r="D1829" t="s">
        <v>1092</v>
      </c>
      <c r="E1829">
        <v>6.0000000000000001E-3</v>
      </c>
      <c r="F1829">
        <v>-8.09E-2</v>
      </c>
      <c r="G1829" t="s">
        <v>1095</v>
      </c>
    </row>
    <row r="1830" spans="1:7" x14ac:dyDescent="0.3">
      <c r="A1830" t="s">
        <v>1768</v>
      </c>
      <c r="B1830">
        <v>518.36</v>
      </c>
      <c r="C1830" t="s">
        <v>12</v>
      </c>
      <c r="D1830" t="s">
        <v>1766</v>
      </c>
      <c r="E1830">
        <v>4.1999999999999997E-3</v>
      </c>
      <c r="F1830">
        <v>-5.6800000000000003E-2</v>
      </c>
      <c r="G1830" t="s">
        <v>1769</v>
      </c>
    </row>
    <row r="1831" spans="1:7" x14ac:dyDescent="0.3">
      <c r="B1831">
        <v>71.47</v>
      </c>
      <c r="C1831" t="s">
        <v>7</v>
      </c>
      <c r="D1831" t="s">
        <v>3611</v>
      </c>
      <c r="E1831">
        <v>3.5000000000000001E-3</v>
      </c>
      <c r="F1831">
        <v>-7.3499999999999996E-2</v>
      </c>
      <c r="G1831" t="s">
        <v>3613</v>
      </c>
    </row>
    <row r="1832" spans="1:7" x14ac:dyDescent="0.3">
      <c r="A1832" t="s">
        <v>1006</v>
      </c>
      <c r="B1832">
        <v>1690</v>
      </c>
      <c r="C1832" t="s">
        <v>12</v>
      </c>
      <c r="D1832" t="s">
        <v>1004</v>
      </c>
      <c r="E1832">
        <v>4.1999999999999997E-3</v>
      </c>
      <c r="F1832">
        <v>-2.86E-2</v>
      </c>
      <c r="G1832" t="s">
        <v>1007</v>
      </c>
    </row>
    <row r="1833" spans="1:7" x14ac:dyDescent="0.3">
      <c r="B1833">
        <v>1170</v>
      </c>
      <c r="C1833" t="s">
        <v>280</v>
      </c>
      <c r="D1833" t="s">
        <v>1177</v>
      </c>
      <c r="E1833">
        <v>6.0000000000000001E-3</v>
      </c>
      <c r="F1833">
        <v>-3.1600000000000003E-2</v>
      </c>
      <c r="G1833" t="s">
        <v>1179</v>
      </c>
    </row>
    <row r="1834" spans="1:7" x14ac:dyDescent="0.3">
      <c r="B1834">
        <v>792.91</v>
      </c>
      <c r="C1834" t="s">
        <v>7</v>
      </c>
      <c r="D1834" t="s">
        <v>1475</v>
      </c>
      <c r="E1834">
        <v>3.5000000000000001E-3</v>
      </c>
      <c r="F1834">
        <v>-6.5199999999999994E-2</v>
      </c>
      <c r="G1834" t="s">
        <v>1477</v>
      </c>
    </row>
    <row r="1835" spans="1:7" x14ac:dyDescent="0.3">
      <c r="A1835" t="s">
        <v>264</v>
      </c>
      <c r="B1835" t="s">
        <v>662</v>
      </c>
      <c r="C1835" t="s">
        <v>5707</v>
      </c>
      <c r="D1835" t="s">
        <v>6195</v>
      </c>
      <c r="E1835">
        <v>4.8999999999999998E-3</v>
      </c>
      <c r="F1835">
        <v>3.5700000000000003E-2</v>
      </c>
      <c r="G1835" t="s">
        <v>6196</v>
      </c>
    </row>
    <row r="1836" spans="1:7" x14ac:dyDescent="0.3">
      <c r="B1836">
        <v>13090</v>
      </c>
      <c r="C1836" t="s">
        <v>7</v>
      </c>
      <c r="D1836" t="s">
        <v>262</v>
      </c>
      <c r="E1836">
        <v>1.1999999999999999E-3</v>
      </c>
      <c r="F1836">
        <v>3.6900000000000002E-2</v>
      </c>
      <c r="G1836" t="s">
        <v>265</v>
      </c>
    </row>
    <row r="1837" spans="1:7" x14ac:dyDescent="0.3">
      <c r="B1837">
        <v>5390</v>
      </c>
      <c r="C1837" t="s">
        <v>16</v>
      </c>
      <c r="D1837" t="s">
        <v>535</v>
      </c>
      <c r="E1837">
        <v>1E-3</v>
      </c>
      <c r="F1837">
        <v>3.49E-2</v>
      </c>
      <c r="G1837" t="s">
        <v>537</v>
      </c>
    </row>
    <row r="1838" spans="1:7" x14ac:dyDescent="0.3">
      <c r="B1838">
        <v>1200</v>
      </c>
      <c r="C1838" t="s">
        <v>460</v>
      </c>
      <c r="D1838" t="s">
        <v>1166</v>
      </c>
      <c r="E1838">
        <v>8.0000000000000004E-4</v>
      </c>
      <c r="F1838">
        <v>3.56E-2</v>
      </c>
      <c r="G1838" t="s">
        <v>1167</v>
      </c>
    </row>
    <row r="1839" spans="1:7" x14ac:dyDescent="0.3">
      <c r="B1839">
        <v>837.04</v>
      </c>
      <c r="C1839" t="s">
        <v>12</v>
      </c>
      <c r="D1839" t="s">
        <v>1415</v>
      </c>
      <c r="E1839">
        <v>4.3E-3</v>
      </c>
      <c r="F1839">
        <v>2.2599999999999999E-2</v>
      </c>
      <c r="G1839" t="s">
        <v>1417</v>
      </c>
    </row>
    <row r="1840" spans="1:7" x14ac:dyDescent="0.3">
      <c r="B1840">
        <v>224.09</v>
      </c>
      <c r="C1840" t="s">
        <v>24</v>
      </c>
      <c r="D1840" t="s">
        <v>2445</v>
      </c>
      <c r="E1840">
        <v>4.0000000000000001E-3</v>
      </c>
      <c r="F1840">
        <v>4.82E-2</v>
      </c>
      <c r="G1840" t="s">
        <v>2447</v>
      </c>
    </row>
    <row r="1841" spans="1:7" x14ac:dyDescent="0.3">
      <c r="B1841">
        <v>191.52</v>
      </c>
      <c r="C1841" t="s">
        <v>280</v>
      </c>
      <c r="D1841" t="s">
        <v>2615</v>
      </c>
      <c r="E1841">
        <v>6.1999999999999998E-3</v>
      </c>
      <c r="F1841">
        <v>3.2399999999999998E-2</v>
      </c>
      <c r="G1841" t="s">
        <v>2617</v>
      </c>
    </row>
    <row r="1842" spans="1:7" x14ac:dyDescent="0.3">
      <c r="B1842">
        <v>44.66</v>
      </c>
      <c r="C1842" t="s">
        <v>24</v>
      </c>
      <c r="D1842" t="s">
        <v>4008</v>
      </c>
      <c r="E1842">
        <v>6.0000000000000001E-3</v>
      </c>
      <c r="F1842">
        <v>1.1900000000000001E-2</v>
      </c>
      <c r="G1842" t="s">
        <v>4010</v>
      </c>
    </row>
    <row r="1843" spans="1:7" x14ac:dyDescent="0.3">
      <c r="B1843">
        <v>17.87</v>
      </c>
      <c r="C1843" t="s">
        <v>839</v>
      </c>
      <c r="D1843" t="s">
        <v>4900</v>
      </c>
      <c r="E1843">
        <v>4.0000000000000001E-3</v>
      </c>
      <c r="F1843">
        <v>4.4699999999999997E-2</v>
      </c>
      <c r="G1843" t="s">
        <v>4901</v>
      </c>
    </row>
    <row r="1844" spans="1:7" x14ac:dyDescent="0.3">
      <c r="A1844" t="s">
        <v>949</v>
      </c>
      <c r="B1844">
        <v>1870</v>
      </c>
      <c r="C1844" t="s">
        <v>24</v>
      </c>
      <c r="D1844" t="s">
        <v>947</v>
      </c>
      <c r="E1844">
        <v>6.0000000000000001E-3</v>
      </c>
      <c r="F1844">
        <v>-7.0800000000000002E-2</v>
      </c>
      <c r="G1844" t="s">
        <v>950</v>
      </c>
    </row>
    <row r="1845" spans="1:7" x14ac:dyDescent="0.3">
      <c r="B1845">
        <v>1420</v>
      </c>
      <c r="C1845" t="s">
        <v>280</v>
      </c>
      <c r="D1845" t="s">
        <v>1084</v>
      </c>
      <c r="E1845">
        <v>5.4000000000000003E-3</v>
      </c>
      <c r="F1845">
        <v>-6.4799999999999996E-2</v>
      </c>
      <c r="G1845" t="s">
        <v>1085</v>
      </c>
    </row>
    <row r="1846" spans="1:7" x14ac:dyDescent="0.3">
      <c r="A1846" t="s">
        <v>4288</v>
      </c>
      <c r="B1846">
        <v>33.82</v>
      </c>
      <c r="C1846" t="s">
        <v>12</v>
      </c>
      <c r="D1846" t="s">
        <v>4286</v>
      </c>
      <c r="E1846">
        <v>5.8999999999999999E-3</v>
      </c>
      <c r="F1846">
        <v>0.14729999999999999</v>
      </c>
      <c r="G1846" t="s">
        <v>4289</v>
      </c>
    </row>
    <row r="1847" spans="1:7" x14ac:dyDescent="0.3">
      <c r="A1847" t="s">
        <v>1718</v>
      </c>
      <c r="B1847">
        <v>550.02</v>
      </c>
      <c r="C1847" t="s">
        <v>272</v>
      </c>
      <c r="D1847" t="s">
        <v>1716</v>
      </c>
      <c r="E1847">
        <v>6.6E-3</v>
      </c>
      <c r="F1847">
        <v>1.89E-2</v>
      </c>
      <c r="G1847" t="s">
        <v>1719</v>
      </c>
    </row>
    <row r="1848" spans="1:7" x14ac:dyDescent="0.3">
      <c r="B1848">
        <v>3.55</v>
      </c>
      <c r="C1848" t="s">
        <v>486</v>
      </c>
      <c r="D1848" t="s">
        <v>5793</v>
      </c>
      <c r="E1848">
        <v>5.0000000000000001E-3</v>
      </c>
      <c r="F1848" t="s">
        <v>662</v>
      </c>
      <c r="G1848" t="s">
        <v>5795</v>
      </c>
    </row>
    <row r="1849" spans="1:7" x14ac:dyDescent="0.3">
      <c r="A1849" t="s">
        <v>6008</v>
      </c>
      <c r="B1849">
        <v>1.31</v>
      </c>
      <c r="C1849" t="s">
        <v>6005</v>
      </c>
      <c r="D1849" t="s">
        <v>6006</v>
      </c>
      <c r="E1849">
        <v>7.7999999999999996E-3</v>
      </c>
      <c r="F1849" t="s">
        <v>662</v>
      </c>
      <c r="G1849" t="s">
        <v>6009</v>
      </c>
    </row>
    <row r="1850" spans="1:7" x14ac:dyDescent="0.3">
      <c r="A1850" t="s">
        <v>6266</v>
      </c>
      <c r="B1850" t="s">
        <v>662</v>
      </c>
      <c r="C1850" t="s">
        <v>6113</v>
      </c>
      <c r="D1850" t="s">
        <v>6265</v>
      </c>
      <c r="E1850">
        <v>9.4999999999999998E-3</v>
      </c>
      <c r="F1850">
        <v>-0.18509999999999999</v>
      </c>
      <c r="G1850" t="s">
        <v>6267</v>
      </c>
    </row>
    <row r="1851" spans="1:7" x14ac:dyDescent="0.3">
      <c r="A1851" t="s">
        <v>3821</v>
      </c>
      <c r="B1851" t="s">
        <v>662</v>
      </c>
      <c r="C1851" t="s">
        <v>6113</v>
      </c>
      <c r="D1851" t="s">
        <v>6240</v>
      </c>
      <c r="E1851">
        <v>9.4999999999999998E-3</v>
      </c>
      <c r="F1851">
        <v>6.2899999999999998E-2</v>
      </c>
      <c r="G1851" t="s">
        <v>6241</v>
      </c>
    </row>
    <row r="1852" spans="1:7" x14ac:dyDescent="0.3">
      <c r="D1852" t="s">
        <v>6288</v>
      </c>
      <c r="E1852">
        <v>9.4999999999999998E-3</v>
      </c>
      <c r="F1852">
        <v>0.1174</v>
      </c>
      <c r="G1852" t="s">
        <v>6289</v>
      </c>
    </row>
    <row r="1853" spans="1:7" x14ac:dyDescent="0.3">
      <c r="B1853">
        <v>55.81</v>
      </c>
      <c r="C1853" t="s">
        <v>588</v>
      </c>
      <c r="D1853" t="s">
        <v>3819</v>
      </c>
      <c r="E1853">
        <v>1.0699999999999999E-2</v>
      </c>
      <c r="F1853">
        <v>0.1648</v>
      </c>
      <c r="G1853" t="s">
        <v>3822</v>
      </c>
    </row>
    <row r="1854" spans="1:7" x14ac:dyDescent="0.3">
      <c r="A1854" t="s">
        <v>2970</v>
      </c>
      <c r="B1854">
        <v>131.52000000000001</v>
      </c>
      <c r="C1854" t="s">
        <v>588</v>
      </c>
      <c r="D1854" t="s">
        <v>2968</v>
      </c>
      <c r="E1854">
        <v>8.5000000000000006E-3</v>
      </c>
      <c r="F1854">
        <v>1.04E-2</v>
      </c>
      <c r="G1854" t="s">
        <v>2971</v>
      </c>
    </row>
    <row r="1855" spans="1:7" x14ac:dyDescent="0.3">
      <c r="A1855" t="s">
        <v>6269</v>
      </c>
      <c r="B1855" t="s">
        <v>662</v>
      </c>
      <c r="C1855" t="s">
        <v>6113</v>
      </c>
      <c r="D1855" t="s">
        <v>6268</v>
      </c>
      <c r="E1855">
        <v>9.4999999999999998E-3</v>
      </c>
      <c r="F1855">
        <v>3.2599999999999997E-2</v>
      </c>
      <c r="G1855" t="s">
        <v>6270</v>
      </c>
    </row>
    <row r="1856" spans="1:7" x14ac:dyDescent="0.3">
      <c r="A1856" t="s">
        <v>6298</v>
      </c>
      <c r="B1856" t="s">
        <v>662</v>
      </c>
      <c r="C1856" t="s">
        <v>6113</v>
      </c>
      <c r="D1856" t="s">
        <v>6300</v>
      </c>
      <c r="E1856">
        <v>9.4999999999999998E-3</v>
      </c>
      <c r="F1856">
        <v>1.9099999999999999E-2</v>
      </c>
      <c r="G1856" t="s">
        <v>6301</v>
      </c>
    </row>
    <row r="1857" spans="1:7" x14ac:dyDescent="0.3">
      <c r="D1857" t="s">
        <v>6297</v>
      </c>
      <c r="E1857">
        <v>9.4999999999999998E-3</v>
      </c>
      <c r="F1857">
        <v>3.6499999999999998E-2</v>
      </c>
      <c r="G1857" t="s">
        <v>6299</v>
      </c>
    </row>
    <row r="1858" spans="1:7" x14ac:dyDescent="0.3">
      <c r="A1858" t="s">
        <v>4433</v>
      </c>
      <c r="B1858" t="s">
        <v>662</v>
      </c>
      <c r="C1858" t="s">
        <v>6113</v>
      </c>
      <c r="D1858" t="s">
        <v>6295</v>
      </c>
      <c r="E1858">
        <v>9.4999999999999998E-3</v>
      </c>
      <c r="F1858">
        <v>3.8100000000000002E-2</v>
      </c>
      <c r="G1858" t="s">
        <v>6296</v>
      </c>
    </row>
    <row r="1859" spans="1:7" x14ac:dyDescent="0.3">
      <c r="D1859" t="s">
        <v>6293</v>
      </c>
      <c r="E1859">
        <v>9.4999999999999998E-3</v>
      </c>
      <c r="F1859">
        <v>7.17E-2</v>
      </c>
      <c r="G1859" t="s">
        <v>6294</v>
      </c>
    </row>
    <row r="1860" spans="1:7" x14ac:dyDescent="0.3">
      <c r="B1860">
        <v>28.9</v>
      </c>
      <c r="C1860" t="s">
        <v>588</v>
      </c>
      <c r="D1860" t="s">
        <v>4431</v>
      </c>
      <c r="E1860">
        <v>1.0800000000000001E-2</v>
      </c>
      <c r="F1860">
        <v>0.113</v>
      </c>
      <c r="G1860" t="s">
        <v>4434</v>
      </c>
    </row>
    <row r="1861" spans="1:7" x14ac:dyDescent="0.3">
      <c r="A1861" t="s">
        <v>6047</v>
      </c>
      <c r="B1861">
        <v>0.96428000000000003</v>
      </c>
      <c r="C1861" t="s">
        <v>921</v>
      </c>
      <c r="D1861" t="s">
        <v>6045</v>
      </c>
      <c r="E1861">
        <v>9.4999999999999998E-3</v>
      </c>
      <c r="F1861">
        <v>0.69420000000000004</v>
      </c>
      <c r="G1861" t="s">
        <v>6048</v>
      </c>
    </row>
    <row r="1862" spans="1:7" x14ac:dyDescent="0.3">
      <c r="A1862" t="s">
        <v>3660</v>
      </c>
      <c r="B1862">
        <v>68.03</v>
      </c>
      <c r="C1862" t="s">
        <v>588</v>
      </c>
      <c r="D1862" t="s">
        <v>3658</v>
      </c>
      <c r="E1862">
        <v>1.0999999999999999E-2</v>
      </c>
      <c r="F1862">
        <v>1.6799999999999999E-2</v>
      </c>
      <c r="G1862" t="s">
        <v>3661</v>
      </c>
    </row>
    <row r="1863" spans="1:7" x14ac:dyDescent="0.3">
      <c r="B1863">
        <v>54.79</v>
      </c>
      <c r="C1863" t="s">
        <v>588</v>
      </c>
      <c r="D1863" t="s">
        <v>3837</v>
      </c>
      <c r="E1863">
        <v>1.0699999999999999E-2</v>
      </c>
      <c r="F1863">
        <v>-3.1399999999999997E-2</v>
      </c>
      <c r="G1863" t="s">
        <v>3839</v>
      </c>
    </row>
    <row r="1864" spans="1:7" x14ac:dyDescent="0.3">
      <c r="B1864">
        <v>17.52</v>
      </c>
      <c r="C1864" t="s">
        <v>1115</v>
      </c>
      <c r="D1864" t="s">
        <v>4917</v>
      </c>
      <c r="E1864">
        <v>9.4999999999999998E-3</v>
      </c>
      <c r="F1864">
        <v>-8.3699999999999997E-2</v>
      </c>
      <c r="G1864" t="s">
        <v>4919</v>
      </c>
    </row>
    <row r="1865" spans="1:7" x14ac:dyDescent="0.3">
      <c r="A1865" t="s">
        <v>6098</v>
      </c>
      <c r="B1865">
        <v>0.13235</v>
      </c>
      <c r="C1865" t="s">
        <v>921</v>
      </c>
      <c r="D1865" t="s">
        <v>6096</v>
      </c>
      <c r="E1865">
        <v>9.4999999999999998E-3</v>
      </c>
      <c r="F1865">
        <v>1.0999999999999999E-2</v>
      </c>
      <c r="G1865" t="s">
        <v>6099</v>
      </c>
    </row>
    <row r="1866" spans="1:7" x14ac:dyDescent="0.3">
      <c r="A1866" t="s">
        <v>6291</v>
      </c>
      <c r="B1866" t="s">
        <v>662</v>
      </c>
      <c r="C1866" t="s">
        <v>6113</v>
      </c>
      <c r="D1866" t="s">
        <v>6290</v>
      </c>
      <c r="E1866">
        <v>9.4999999999999998E-3</v>
      </c>
      <c r="F1866">
        <v>4.5499999999999999E-2</v>
      </c>
      <c r="G1866" t="s">
        <v>6292</v>
      </c>
    </row>
    <row r="1867" spans="1:7" x14ac:dyDescent="0.3">
      <c r="A1867" t="s">
        <v>2013</v>
      </c>
      <c r="B1867" t="s">
        <v>662</v>
      </c>
      <c r="C1867" t="s">
        <v>6113</v>
      </c>
      <c r="D1867" t="s">
        <v>6375</v>
      </c>
      <c r="E1867">
        <v>9.4999999999999998E-3</v>
      </c>
      <c r="F1867">
        <v>2.76E-2</v>
      </c>
      <c r="G1867" t="s">
        <v>6376</v>
      </c>
    </row>
    <row r="1868" spans="1:7" x14ac:dyDescent="0.3">
      <c r="D1868" t="s">
        <v>6381</v>
      </c>
      <c r="E1868">
        <v>9.4999999999999998E-3</v>
      </c>
      <c r="F1868">
        <v>5.8099999999999999E-2</v>
      </c>
      <c r="G1868" t="s">
        <v>6382</v>
      </c>
    </row>
    <row r="1869" spans="1:7" x14ac:dyDescent="0.3">
      <c r="D1869" t="s">
        <v>6385</v>
      </c>
      <c r="E1869">
        <v>8.9999999999999993E-3</v>
      </c>
      <c r="F1869">
        <v>2.3599999999999999E-2</v>
      </c>
      <c r="G1869" t="s">
        <v>6386</v>
      </c>
    </row>
    <row r="1870" spans="1:7" x14ac:dyDescent="0.3">
      <c r="D1870" t="s">
        <v>6242</v>
      </c>
      <c r="E1870">
        <v>9.4999999999999998E-3</v>
      </c>
      <c r="F1870">
        <v>7.7499999999999999E-2</v>
      </c>
      <c r="G1870" t="s">
        <v>6243</v>
      </c>
    </row>
    <row r="1871" spans="1:7" x14ac:dyDescent="0.3">
      <c r="D1871" t="s">
        <v>6255</v>
      </c>
      <c r="E1871">
        <v>9.4999999999999998E-3</v>
      </c>
      <c r="F1871">
        <v>0.1449</v>
      </c>
      <c r="G1871" t="s">
        <v>6256</v>
      </c>
    </row>
    <row r="1872" spans="1:7" x14ac:dyDescent="0.3">
      <c r="D1872" t="s">
        <v>6261</v>
      </c>
      <c r="E1872">
        <v>9.2999999999999992E-3</v>
      </c>
      <c r="F1872">
        <v>6.1600000000000002E-2</v>
      </c>
      <c r="G1872" t="s">
        <v>6262</v>
      </c>
    </row>
    <row r="1873" spans="1:7" x14ac:dyDescent="0.3">
      <c r="D1873" t="s">
        <v>6365</v>
      </c>
      <c r="E1873">
        <v>9.4999999999999998E-3</v>
      </c>
      <c r="F1873">
        <v>5.4100000000000002E-2</v>
      </c>
      <c r="G1873" t="s">
        <v>6366</v>
      </c>
    </row>
    <row r="1874" spans="1:7" x14ac:dyDescent="0.3">
      <c r="D1874" t="s">
        <v>6369</v>
      </c>
      <c r="E1874">
        <v>9.4999999999999998E-3</v>
      </c>
      <c r="F1874">
        <v>0.1087</v>
      </c>
      <c r="G1874" t="s">
        <v>6370</v>
      </c>
    </row>
    <row r="1875" spans="1:7" x14ac:dyDescent="0.3">
      <c r="D1875" t="s">
        <v>6371</v>
      </c>
      <c r="E1875">
        <v>9.1000000000000004E-3</v>
      </c>
      <c r="F1875">
        <v>4.5100000000000001E-2</v>
      </c>
      <c r="G1875" t="s">
        <v>6372</v>
      </c>
    </row>
    <row r="1876" spans="1:7" x14ac:dyDescent="0.3">
      <c r="B1876">
        <v>393.69</v>
      </c>
      <c r="C1876" t="s">
        <v>588</v>
      </c>
      <c r="D1876" t="s">
        <v>2011</v>
      </c>
      <c r="E1876">
        <v>1.0699999999999999E-2</v>
      </c>
      <c r="F1876">
        <v>0.06</v>
      </c>
      <c r="G1876" t="s">
        <v>2014</v>
      </c>
    </row>
    <row r="1877" spans="1:7" x14ac:dyDescent="0.3">
      <c r="B1877">
        <v>176.93</v>
      </c>
      <c r="C1877" t="s">
        <v>588</v>
      </c>
      <c r="D1877" t="s">
        <v>2677</v>
      </c>
      <c r="E1877">
        <v>5.0000000000000001E-3</v>
      </c>
      <c r="F1877">
        <v>2.5600000000000001E-2</v>
      </c>
      <c r="G1877" t="s">
        <v>2679</v>
      </c>
    </row>
    <row r="1878" spans="1:7" x14ac:dyDescent="0.3">
      <c r="B1878">
        <v>43.46</v>
      </c>
      <c r="C1878" t="s">
        <v>588</v>
      </c>
      <c r="D1878" t="s">
        <v>4027</v>
      </c>
      <c r="E1878">
        <v>1.03E-2</v>
      </c>
      <c r="F1878">
        <v>0.1166</v>
      </c>
      <c r="G1878" t="s">
        <v>4029</v>
      </c>
    </row>
    <row r="1879" spans="1:7" x14ac:dyDescent="0.3">
      <c r="B1879">
        <v>32.89</v>
      </c>
      <c r="C1879" t="s">
        <v>1289</v>
      </c>
      <c r="D1879" t="s">
        <v>4320</v>
      </c>
      <c r="E1879">
        <v>3.6799999999999999E-2</v>
      </c>
      <c r="F1879">
        <v>1.9900000000000001E-2</v>
      </c>
      <c r="G1879" t="s">
        <v>4322</v>
      </c>
    </row>
    <row r="1880" spans="1:7" x14ac:dyDescent="0.3">
      <c r="A1880" t="s">
        <v>6245</v>
      </c>
      <c r="B1880" t="s">
        <v>662</v>
      </c>
      <c r="C1880" t="s">
        <v>6113</v>
      </c>
      <c r="D1880" t="s">
        <v>6379</v>
      </c>
      <c r="E1880">
        <v>9.4999999999999998E-3</v>
      </c>
      <c r="F1880">
        <v>6.0600000000000001E-2</v>
      </c>
      <c r="G1880" t="s">
        <v>6380</v>
      </c>
    </row>
    <row r="1881" spans="1:7" x14ac:dyDescent="0.3">
      <c r="D1881" t="s">
        <v>6244</v>
      </c>
      <c r="E1881">
        <v>9.4999999999999998E-3</v>
      </c>
      <c r="F1881">
        <v>0.17100000000000001</v>
      </c>
      <c r="G1881" t="s">
        <v>6246</v>
      </c>
    </row>
    <row r="1882" spans="1:7" x14ac:dyDescent="0.3">
      <c r="D1882" t="s">
        <v>6367</v>
      </c>
      <c r="E1882">
        <v>9.4999999999999998E-3</v>
      </c>
      <c r="F1882">
        <v>0.1174</v>
      </c>
      <c r="G1882" t="s">
        <v>6368</v>
      </c>
    </row>
    <row r="1883" spans="1:7" x14ac:dyDescent="0.3">
      <c r="A1883" t="s">
        <v>1979</v>
      </c>
      <c r="B1883" t="s">
        <v>662</v>
      </c>
      <c r="C1883" t="s">
        <v>6113</v>
      </c>
      <c r="D1883" t="s">
        <v>6353</v>
      </c>
      <c r="E1883">
        <v>9.4999999999999998E-3</v>
      </c>
      <c r="F1883">
        <v>0.1328</v>
      </c>
      <c r="G1883" t="s">
        <v>6354</v>
      </c>
    </row>
    <row r="1884" spans="1:7" x14ac:dyDescent="0.3">
      <c r="D1884" t="s">
        <v>6357</v>
      </c>
      <c r="E1884">
        <v>9.4999999999999998E-3</v>
      </c>
      <c r="F1884">
        <v>5.7700000000000001E-2</v>
      </c>
      <c r="G1884" t="s">
        <v>6358</v>
      </c>
    </row>
    <row r="1885" spans="1:7" x14ac:dyDescent="0.3">
      <c r="D1885" t="s">
        <v>6247</v>
      </c>
      <c r="E1885">
        <v>9.4999999999999998E-3</v>
      </c>
      <c r="F1885">
        <v>0.40570000000000001</v>
      </c>
      <c r="G1885" t="s">
        <v>6248</v>
      </c>
    </row>
    <row r="1886" spans="1:7" x14ac:dyDescent="0.3">
      <c r="D1886" t="s">
        <v>6361</v>
      </c>
      <c r="E1886">
        <v>9.4999999999999998E-3</v>
      </c>
      <c r="F1886">
        <v>0.26910000000000001</v>
      </c>
      <c r="G1886" t="s">
        <v>6362</v>
      </c>
    </row>
    <row r="1887" spans="1:7" x14ac:dyDescent="0.3">
      <c r="D1887" t="s">
        <v>6359</v>
      </c>
      <c r="E1887">
        <v>9.4999999999999998E-3</v>
      </c>
      <c r="F1887">
        <v>0.1061</v>
      </c>
      <c r="G1887" t="s">
        <v>6360</v>
      </c>
    </row>
    <row r="1888" spans="1:7" x14ac:dyDescent="0.3">
      <c r="B1888">
        <v>406.31</v>
      </c>
      <c r="C1888" t="s">
        <v>588</v>
      </c>
      <c r="D1888" t="s">
        <v>1977</v>
      </c>
      <c r="E1888">
        <v>1.0699999999999999E-2</v>
      </c>
      <c r="F1888">
        <v>0.40949999999999998</v>
      </c>
      <c r="G1888" t="s">
        <v>1980</v>
      </c>
    </row>
    <row r="1889" spans="1:7" x14ac:dyDescent="0.3">
      <c r="A1889" t="s">
        <v>3504</v>
      </c>
      <c r="B1889">
        <v>78.12</v>
      </c>
      <c r="C1889" t="s">
        <v>1289</v>
      </c>
      <c r="D1889" t="s">
        <v>3502</v>
      </c>
      <c r="E1889">
        <v>5.1999999999999998E-2</v>
      </c>
      <c r="F1889">
        <v>3.9300000000000002E-2</v>
      </c>
      <c r="G1889" t="s">
        <v>3505</v>
      </c>
    </row>
    <row r="1890" spans="1:7" x14ac:dyDescent="0.3">
      <c r="B1890">
        <v>31.77</v>
      </c>
      <c r="C1890" t="s">
        <v>2353</v>
      </c>
      <c r="D1890" t="s">
        <v>4357</v>
      </c>
      <c r="E1890">
        <v>9.4999999999999998E-3</v>
      </c>
      <c r="F1890">
        <v>0.46100000000000002</v>
      </c>
      <c r="G1890" t="s">
        <v>4359</v>
      </c>
    </row>
    <row r="1891" spans="1:7" x14ac:dyDescent="0.3">
      <c r="A1891" t="s">
        <v>3396</v>
      </c>
      <c r="B1891">
        <v>87.96</v>
      </c>
      <c r="C1891" t="s">
        <v>1115</v>
      </c>
      <c r="D1891" t="s">
        <v>3394</v>
      </c>
      <c r="E1891">
        <v>9.4999999999999998E-3</v>
      </c>
      <c r="F1891">
        <v>0.3644</v>
      </c>
      <c r="G1891" t="s">
        <v>3397</v>
      </c>
    </row>
    <row r="1892" spans="1:7" x14ac:dyDescent="0.3">
      <c r="B1892">
        <v>4.28</v>
      </c>
      <c r="C1892" t="s">
        <v>1115</v>
      </c>
      <c r="D1892" t="s">
        <v>5723</v>
      </c>
      <c r="E1892">
        <v>9.4999999999999998E-3</v>
      </c>
      <c r="F1892">
        <v>0.31680000000000003</v>
      </c>
      <c r="G1892" t="s">
        <v>5725</v>
      </c>
    </row>
    <row r="1893" spans="1:7" x14ac:dyDescent="0.3">
      <c r="A1893" t="s">
        <v>3781</v>
      </c>
      <c r="B1893">
        <v>58.2</v>
      </c>
      <c r="C1893" t="s">
        <v>588</v>
      </c>
      <c r="D1893" t="s">
        <v>3779</v>
      </c>
      <c r="E1893">
        <v>1.06E-2</v>
      </c>
      <c r="F1893">
        <v>1.0871999999999999</v>
      </c>
      <c r="G1893" t="s">
        <v>3782</v>
      </c>
    </row>
    <row r="1894" spans="1:7" x14ac:dyDescent="0.3">
      <c r="A1894" t="s">
        <v>6316</v>
      </c>
      <c r="B1894" t="s">
        <v>662</v>
      </c>
      <c r="C1894" t="s">
        <v>6113</v>
      </c>
      <c r="D1894" t="s">
        <v>6315</v>
      </c>
      <c r="E1894">
        <v>9.4999999999999998E-3</v>
      </c>
      <c r="F1894">
        <v>0.28499999999999998</v>
      </c>
      <c r="G1894" t="s">
        <v>6317</v>
      </c>
    </row>
    <row r="1895" spans="1:7" x14ac:dyDescent="0.3">
      <c r="A1895" t="s">
        <v>6333</v>
      </c>
      <c r="B1895" t="s">
        <v>662</v>
      </c>
      <c r="C1895" t="s">
        <v>6113</v>
      </c>
      <c r="D1895" t="s">
        <v>6332</v>
      </c>
      <c r="E1895">
        <v>9.4999999999999998E-3</v>
      </c>
      <c r="F1895">
        <v>-9.3899999999999997E-2</v>
      </c>
      <c r="G1895" t="s">
        <v>6334</v>
      </c>
    </row>
    <row r="1896" spans="1:7" x14ac:dyDescent="0.3">
      <c r="A1896" t="s">
        <v>4412</v>
      </c>
      <c r="B1896">
        <v>29.71</v>
      </c>
      <c r="C1896" t="s">
        <v>588</v>
      </c>
      <c r="D1896" t="s">
        <v>4410</v>
      </c>
      <c r="E1896">
        <v>0.01</v>
      </c>
      <c r="F1896">
        <v>-0.22170000000000001</v>
      </c>
      <c r="G1896" t="s">
        <v>4413</v>
      </c>
    </row>
    <row r="1897" spans="1:7" x14ac:dyDescent="0.3">
      <c r="A1897" t="s">
        <v>3082</v>
      </c>
      <c r="B1897" t="s">
        <v>662</v>
      </c>
      <c r="C1897" t="s">
        <v>6113</v>
      </c>
      <c r="D1897" t="s">
        <v>6283</v>
      </c>
      <c r="E1897">
        <v>9.4999999999999998E-3</v>
      </c>
      <c r="F1897">
        <v>3.4500000000000003E-2</v>
      </c>
      <c r="G1897" t="s">
        <v>6284</v>
      </c>
    </row>
    <row r="1898" spans="1:7" x14ac:dyDescent="0.3">
      <c r="D1898" t="s">
        <v>6324</v>
      </c>
      <c r="E1898">
        <v>9.4999999999999998E-3</v>
      </c>
      <c r="F1898">
        <v>6.3500000000000001E-2</v>
      </c>
      <c r="G1898" t="s">
        <v>6325</v>
      </c>
    </row>
    <row r="1899" spans="1:7" x14ac:dyDescent="0.3">
      <c r="B1899">
        <v>120.86</v>
      </c>
      <c r="C1899" t="s">
        <v>588</v>
      </c>
      <c r="D1899" t="s">
        <v>3080</v>
      </c>
      <c r="E1899">
        <v>1.0699999999999999E-2</v>
      </c>
      <c r="F1899">
        <v>8.5000000000000006E-2</v>
      </c>
      <c r="G1899" t="s">
        <v>3083</v>
      </c>
    </row>
    <row r="1900" spans="1:7" x14ac:dyDescent="0.3">
      <c r="B1900">
        <v>4.3</v>
      </c>
      <c r="C1900" t="s">
        <v>1115</v>
      </c>
      <c r="D1900" t="s">
        <v>5720</v>
      </c>
      <c r="E1900">
        <v>9.4999999999999998E-3</v>
      </c>
      <c r="F1900">
        <v>3.8300000000000001E-2</v>
      </c>
      <c r="G1900" t="s">
        <v>5722</v>
      </c>
    </row>
    <row r="1901" spans="1:7" x14ac:dyDescent="0.3">
      <c r="A1901" t="s">
        <v>6311</v>
      </c>
      <c r="B1901" t="s">
        <v>662</v>
      </c>
      <c r="C1901" t="s">
        <v>6113</v>
      </c>
      <c r="D1901" t="s">
        <v>6310</v>
      </c>
      <c r="E1901">
        <v>9.4999999999999998E-3</v>
      </c>
      <c r="F1901">
        <v>5.8900000000000001E-2</v>
      </c>
      <c r="G1901" t="s">
        <v>6312</v>
      </c>
    </row>
    <row r="1902" spans="1:7" x14ac:dyDescent="0.3">
      <c r="A1902" t="s">
        <v>6322</v>
      </c>
      <c r="B1902" t="s">
        <v>662</v>
      </c>
      <c r="C1902" t="s">
        <v>6113</v>
      </c>
      <c r="D1902" t="s">
        <v>6321</v>
      </c>
      <c r="E1902">
        <v>9.4999999999999998E-3</v>
      </c>
      <c r="F1902">
        <v>0.1142</v>
      </c>
      <c r="G1902" t="s">
        <v>6323</v>
      </c>
    </row>
    <row r="1903" spans="1:7" x14ac:dyDescent="0.3">
      <c r="A1903" t="s">
        <v>3417</v>
      </c>
      <c r="B1903" t="s">
        <v>662</v>
      </c>
      <c r="C1903" t="s">
        <v>6113</v>
      </c>
      <c r="D1903" t="s">
        <v>6306</v>
      </c>
      <c r="E1903">
        <v>9.4999999999999998E-3</v>
      </c>
      <c r="F1903">
        <v>9.2200000000000004E-2</v>
      </c>
      <c r="G1903" t="s">
        <v>6307</v>
      </c>
    </row>
    <row r="1904" spans="1:7" x14ac:dyDescent="0.3">
      <c r="B1904">
        <v>86.15</v>
      </c>
      <c r="C1904" t="s">
        <v>588</v>
      </c>
      <c r="D1904" t="s">
        <v>3415</v>
      </c>
      <c r="E1904">
        <v>1.0800000000000001E-2</v>
      </c>
      <c r="F1904">
        <v>5.4000000000000003E-3</v>
      </c>
      <c r="G1904" t="s">
        <v>3418</v>
      </c>
    </row>
    <row r="1905" spans="1:7" x14ac:dyDescent="0.3">
      <c r="A1905" t="s">
        <v>5146</v>
      </c>
      <c r="B1905">
        <v>12.83</v>
      </c>
      <c r="C1905" t="s">
        <v>588</v>
      </c>
      <c r="D1905" t="s">
        <v>5144</v>
      </c>
      <c r="E1905">
        <v>1.0699999999999999E-2</v>
      </c>
      <c r="F1905">
        <v>0.99629999999999996</v>
      </c>
      <c r="G1905" t="s">
        <v>5147</v>
      </c>
    </row>
    <row r="1906" spans="1:7" x14ac:dyDescent="0.3">
      <c r="A1906" t="s">
        <v>6238</v>
      </c>
      <c r="B1906" t="s">
        <v>662</v>
      </c>
      <c r="C1906" t="s">
        <v>6113</v>
      </c>
      <c r="D1906" t="s">
        <v>6237</v>
      </c>
      <c r="E1906">
        <v>9.4999999999999998E-3</v>
      </c>
      <c r="F1906">
        <v>-1.0999999999999999E-2</v>
      </c>
      <c r="G1906" t="s">
        <v>6239</v>
      </c>
    </row>
    <row r="1907" spans="1:7" x14ac:dyDescent="0.3">
      <c r="D1907" t="s">
        <v>6326</v>
      </c>
      <c r="E1907">
        <v>9.4999999999999998E-3</v>
      </c>
      <c r="F1907">
        <v>-2.9899999999999999E-2</v>
      </c>
      <c r="G1907" t="s">
        <v>6327</v>
      </c>
    </row>
    <row r="1908" spans="1:7" x14ac:dyDescent="0.3">
      <c r="A1908" t="s">
        <v>3403</v>
      </c>
      <c r="B1908" t="s">
        <v>662</v>
      </c>
      <c r="C1908" t="s">
        <v>6113</v>
      </c>
      <c r="D1908" t="s">
        <v>6281</v>
      </c>
      <c r="E1908">
        <v>9.4999999999999998E-3</v>
      </c>
      <c r="F1908">
        <v>-9.9199999999999997E-2</v>
      </c>
      <c r="G1908" t="s">
        <v>6282</v>
      </c>
    </row>
    <row r="1909" spans="1:7" x14ac:dyDescent="0.3">
      <c r="D1909" t="s">
        <v>6304</v>
      </c>
      <c r="E1909">
        <v>9.4999999999999998E-3</v>
      </c>
      <c r="F1909">
        <v>-0.19850000000000001</v>
      </c>
      <c r="G1909" t="s">
        <v>6305</v>
      </c>
    </row>
    <row r="1910" spans="1:7" x14ac:dyDescent="0.3">
      <c r="B1910">
        <v>87.69</v>
      </c>
      <c r="C1910" t="s">
        <v>588</v>
      </c>
      <c r="D1910" t="s">
        <v>3401</v>
      </c>
      <c r="E1910">
        <v>1.06E-2</v>
      </c>
      <c r="F1910">
        <v>-5.0200000000000002E-2</v>
      </c>
      <c r="G1910" t="s">
        <v>3404</v>
      </c>
    </row>
    <row r="1911" spans="1:7" x14ac:dyDescent="0.3">
      <c r="B1911">
        <v>48.67</v>
      </c>
      <c r="C1911" t="s">
        <v>1115</v>
      </c>
      <c r="D1911" t="s">
        <v>3930</v>
      </c>
      <c r="E1911">
        <v>9.4999999999999998E-3</v>
      </c>
      <c r="F1911">
        <v>-0.31890000000000002</v>
      </c>
      <c r="G1911" t="s">
        <v>3932</v>
      </c>
    </row>
    <row r="1912" spans="1:7" x14ac:dyDescent="0.3">
      <c r="B1912">
        <v>2.89</v>
      </c>
      <c r="C1912" t="s">
        <v>1115</v>
      </c>
      <c r="D1912" t="s">
        <v>5866</v>
      </c>
      <c r="E1912">
        <v>9.4999999999999998E-3</v>
      </c>
      <c r="F1912" t="s">
        <v>662</v>
      </c>
      <c r="G1912" t="s">
        <v>5868</v>
      </c>
    </row>
    <row r="1913" spans="1:7" x14ac:dyDescent="0.3">
      <c r="A1913" t="s">
        <v>6233</v>
      </c>
      <c r="B1913" t="s">
        <v>662</v>
      </c>
      <c r="C1913" t="s">
        <v>6113</v>
      </c>
      <c r="D1913" t="s">
        <v>6232</v>
      </c>
      <c r="E1913">
        <v>9.4999999999999998E-3</v>
      </c>
      <c r="F1913">
        <v>0.4113</v>
      </c>
      <c r="G1913" t="s">
        <v>6234</v>
      </c>
    </row>
    <row r="1914" spans="1:7" x14ac:dyDescent="0.3">
      <c r="A1914" t="s">
        <v>4674</v>
      </c>
      <c r="B1914" t="s">
        <v>662</v>
      </c>
      <c r="C1914" t="s">
        <v>6113</v>
      </c>
      <c r="D1914" t="s">
        <v>6235</v>
      </c>
      <c r="E1914">
        <v>9.4999999999999998E-3</v>
      </c>
      <c r="F1914">
        <v>1.49E-2</v>
      </c>
      <c r="G1914" t="s">
        <v>6236</v>
      </c>
    </row>
    <row r="1915" spans="1:7" x14ac:dyDescent="0.3">
      <c r="D1915" t="s">
        <v>6328</v>
      </c>
      <c r="E1915">
        <v>9.4999999999999998E-3</v>
      </c>
      <c r="F1915">
        <v>3.0200000000000001E-2</v>
      </c>
      <c r="G1915" t="s">
        <v>6329</v>
      </c>
    </row>
    <row r="1916" spans="1:7" x14ac:dyDescent="0.3">
      <c r="B1916">
        <v>22.77</v>
      </c>
      <c r="C1916" t="s">
        <v>588</v>
      </c>
      <c r="D1916" t="s">
        <v>4672</v>
      </c>
      <c r="E1916">
        <v>1.0800000000000001E-2</v>
      </c>
      <c r="F1916">
        <v>1.8499999999999999E-2</v>
      </c>
      <c r="G1916" t="s">
        <v>4675</v>
      </c>
    </row>
    <row r="1917" spans="1:7" x14ac:dyDescent="0.3">
      <c r="A1917" t="s">
        <v>2996</v>
      </c>
      <c r="B1917" t="s">
        <v>662</v>
      </c>
      <c r="C1917" t="s">
        <v>6113</v>
      </c>
      <c r="D1917" t="s">
        <v>6330</v>
      </c>
      <c r="E1917">
        <v>9.4999999999999998E-3</v>
      </c>
      <c r="F1917">
        <v>-0.11559999999999999</v>
      </c>
      <c r="G1917" t="s">
        <v>6331</v>
      </c>
    </row>
    <row r="1918" spans="1:7" x14ac:dyDescent="0.3">
      <c r="B1918">
        <v>129.07</v>
      </c>
      <c r="C1918" t="s">
        <v>588</v>
      </c>
      <c r="D1918" t="s">
        <v>2994</v>
      </c>
      <c r="E1918">
        <v>1.0800000000000001E-2</v>
      </c>
      <c r="F1918">
        <v>-0.18179999999999999</v>
      </c>
      <c r="G1918" t="s">
        <v>2997</v>
      </c>
    </row>
    <row r="1919" spans="1:7" x14ac:dyDescent="0.3">
      <c r="A1919" t="s">
        <v>4940</v>
      </c>
      <c r="B1919">
        <v>17.079999999999998</v>
      </c>
      <c r="C1919" t="s">
        <v>588</v>
      </c>
      <c r="D1919" t="s">
        <v>4938</v>
      </c>
      <c r="E1919">
        <v>1.0699999999999999E-2</v>
      </c>
      <c r="F1919">
        <v>0.85599999999999998</v>
      </c>
      <c r="G1919" t="s">
        <v>4941</v>
      </c>
    </row>
    <row r="1920" spans="1:7" x14ac:dyDescent="0.3">
      <c r="A1920" t="s">
        <v>6319</v>
      </c>
      <c r="B1920" t="s">
        <v>662</v>
      </c>
      <c r="C1920" t="s">
        <v>6113</v>
      </c>
      <c r="D1920" t="s">
        <v>6318</v>
      </c>
      <c r="E1920">
        <v>9.4999999999999998E-3</v>
      </c>
      <c r="F1920">
        <v>-8.8099999999999998E-2</v>
      </c>
      <c r="G1920" t="s">
        <v>6320</v>
      </c>
    </row>
    <row r="1921" spans="1:7" x14ac:dyDescent="0.3">
      <c r="A1921" t="s">
        <v>6187</v>
      </c>
      <c r="B1921" t="s">
        <v>662</v>
      </c>
      <c r="C1921" t="s">
        <v>6113</v>
      </c>
      <c r="D1921" t="s">
        <v>6186</v>
      </c>
      <c r="E1921">
        <v>6.6E-3</v>
      </c>
      <c r="F1921">
        <v>3.5799999999999998E-2</v>
      </c>
      <c r="G1921" t="s">
        <v>6188</v>
      </c>
    </row>
    <row r="1922" spans="1:7" x14ac:dyDescent="0.3">
      <c r="A1922" t="s">
        <v>2537</v>
      </c>
      <c r="B1922" t="s">
        <v>662</v>
      </c>
      <c r="C1922" t="s">
        <v>6113</v>
      </c>
      <c r="D1922" t="s">
        <v>6225</v>
      </c>
      <c r="E1922">
        <v>9.4999999999999998E-3</v>
      </c>
      <c r="F1922">
        <v>0.1123</v>
      </c>
      <c r="G1922" t="s">
        <v>6226</v>
      </c>
    </row>
    <row r="1923" spans="1:7" x14ac:dyDescent="0.3">
      <c r="B1923">
        <v>207.2</v>
      </c>
      <c r="C1923" t="s">
        <v>588</v>
      </c>
      <c r="D1923" t="s">
        <v>2535</v>
      </c>
      <c r="E1923">
        <v>1.29E-2</v>
      </c>
      <c r="F1923">
        <v>5.9700000000000003E-2</v>
      </c>
      <c r="G1923" t="s">
        <v>2538</v>
      </c>
    </row>
    <row r="1924" spans="1:7" x14ac:dyDescent="0.3">
      <c r="A1924" t="s">
        <v>1787</v>
      </c>
      <c r="B1924" t="s">
        <v>662</v>
      </c>
      <c r="C1924" t="s">
        <v>6113</v>
      </c>
      <c r="D1924" t="s">
        <v>6279</v>
      </c>
      <c r="E1924">
        <v>9.4999999999999998E-3</v>
      </c>
      <c r="F1924">
        <v>-0.17380000000000001</v>
      </c>
      <c r="G1924" t="s">
        <v>6280</v>
      </c>
    </row>
    <row r="1925" spans="1:7" x14ac:dyDescent="0.3">
      <c r="B1925">
        <v>506.43</v>
      </c>
      <c r="C1925" t="s">
        <v>588</v>
      </c>
      <c r="D1925" t="s">
        <v>1785</v>
      </c>
      <c r="E1925">
        <v>1.37E-2</v>
      </c>
      <c r="F1925">
        <v>-0.26910000000000001</v>
      </c>
      <c r="G1925" t="s">
        <v>1788</v>
      </c>
    </row>
    <row r="1926" spans="1:7" x14ac:dyDescent="0.3">
      <c r="A1926" t="s">
        <v>3346</v>
      </c>
      <c r="B1926">
        <v>92.86</v>
      </c>
      <c r="C1926" t="s">
        <v>588</v>
      </c>
      <c r="D1926" t="s">
        <v>3345</v>
      </c>
      <c r="E1926">
        <v>1.21E-2</v>
      </c>
      <c r="F1926">
        <v>-1.1900000000000001E-2</v>
      </c>
      <c r="G1926" t="s">
        <v>3347</v>
      </c>
    </row>
    <row r="1927" spans="1:7" x14ac:dyDescent="0.3">
      <c r="A1927" t="s">
        <v>2132</v>
      </c>
      <c r="B1927">
        <v>345.25</v>
      </c>
      <c r="C1927" t="s">
        <v>588</v>
      </c>
      <c r="D1927" t="s">
        <v>2130</v>
      </c>
      <c r="E1927">
        <v>1.2999999999999999E-2</v>
      </c>
      <c r="F1927">
        <v>-0.48559999999999998</v>
      </c>
      <c r="G1927" t="s">
        <v>2133</v>
      </c>
    </row>
    <row r="1928" spans="1:7" x14ac:dyDescent="0.3">
      <c r="A1928" t="s">
        <v>4978</v>
      </c>
      <c r="B1928">
        <v>16.52</v>
      </c>
      <c r="C1928" t="s">
        <v>2564</v>
      </c>
      <c r="D1928" t="s">
        <v>4976</v>
      </c>
      <c r="E1928">
        <v>1.95E-2</v>
      </c>
      <c r="F1928">
        <v>2.0299999999999999E-2</v>
      </c>
      <c r="G1928" t="s">
        <v>4979</v>
      </c>
    </row>
    <row r="1929" spans="1:7" x14ac:dyDescent="0.3">
      <c r="A1929" t="s">
        <v>4101</v>
      </c>
      <c r="B1929" t="s">
        <v>662</v>
      </c>
      <c r="C1929" t="s">
        <v>6113</v>
      </c>
      <c r="D1929" t="s">
        <v>6227</v>
      </c>
      <c r="E1929">
        <v>9.4999999999999998E-3</v>
      </c>
      <c r="F1929">
        <v>-5.74E-2</v>
      </c>
      <c r="G1929" t="s">
        <v>6228</v>
      </c>
    </row>
    <row r="1930" spans="1:7" x14ac:dyDescent="0.3">
      <c r="B1930">
        <v>40.880000000000003</v>
      </c>
      <c r="C1930" t="s">
        <v>588</v>
      </c>
      <c r="D1930" t="s">
        <v>4099</v>
      </c>
      <c r="E1930">
        <v>1.0699999999999999E-2</v>
      </c>
      <c r="F1930">
        <v>-9.7299999999999998E-2</v>
      </c>
      <c r="G1930" t="s">
        <v>4102</v>
      </c>
    </row>
    <row r="1931" spans="1:7" x14ac:dyDescent="0.3">
      <c r="A1931" t="s">
        <v>4368</v>
      </c>
      <c r="B1931">
        <v>31.62</v>
      </c>
      <c r="C1931" t="s">
        <v>2564</v>
      </c>
      <c r="D1931" t="s">
        <v>4366</v>
      </c>
      <c r="E1931">
        <v>1.6500000000000001E-2</v>
      </c>
      <c r="F1931">
        <v>6.6900000000000001E-2</v>
      </c>
      <c r="G1931" t="s">
        <v>4369</v>
      </c>
    </row>
    <row r="1932" spans="1:7" x14ac:dyDescent="0.3">
      <c r="A1932" t="s">
        <v>6274</v>
      </c>
      <c r="B1932" t="s">
        <v>662</v>
      </c>
      <c r="C1932" t="s">
        <v>6113</v>
      </c>
      <c r="D1932" t="s">
        <v>6273</v>
      </c>
      <c r="E1932">
        <v>9.4999999999999998E-3</v>
      </c>
      <c r="F1932">
        <v>-6.4899999999999999E-2</v>
      </c>
      <c r="G1932" t="s">
        <v>6275</v>
      </c>
    </row>
    <row r="1933" spans="1:7" x14ac:dyDescent="0.3">
      <c r="A1933" t="s">
        <v>2707</v>
      </c>
      <c r="B1933" t="s">
        <v>662</v>
      </c>
      <c r="C1933" t="s">
        <v>6113</v>
      </c>
      <c r="D1933" t="s">
        <v>6271</v>
      </c>
      <c r="E1933">
        <v>9.4999999999999998E-3</v>
      </c>
      <c r="F1933">
        <v>-9.9099999999999994E-2</v>
      </c>
      <c r="G1933" t="s">
        <v>6272</v>
      </c>
    </row>
    <row r="1934" spans="1:7" x14ac:dyDescent="0.3">
      <c r="B1934">
        <v>172.33</v>
      </c>
      <c r="C1934" t="s">
        <v>588</v>
      </c>
      <c r="D1934" t="s">
        <v>2705</v>
      </c>
      <c r="E1934">
        <v>1.3299999999999999E-2</v>
      </c>
      <c r="F1934">
        <v>-0.15509999999999999</v>
      </c>
      <c r="G1934" t="s">
        <v>2708</v>
      </c>
    </row>
    <row r="1935" spans="1:7" x14ac:dyDescent="0.3">
      <c r="A1935" t="s">
        <v>5601</v>
      </c>
      <c r="B1935">
        <v>5.82</v>
      </c>
      <c r="C1935" t="s">
        <v>1289</v>
      </c>
      <c r="D1935" t="s">
        <v>5599</v>
      </c>
      <c r="E1935">
        <v>9.1999999999999998E-3</v>
      </c>
      <c r="F1935" t="s">
        <v>662</v>
      </c>
      <c r="G1935" t="s">
        <v>5602</v>
      </c>
    </row>
    <row r="1936" spans="1:7" x14ac:dyDescent="0.3">
      <c r="B1936">
        <v>0.61471000000000009</v>
      </c>
      <c r="C1936" t="s">
        <v>921</v>
      </c>
      <c r="D1936" t="s">
        <v>6066</v>
      </c>
      <c r="E1936">
        <v>9.4999999999999998E-3</v>
      </c>
      <c r="F1936">
        <v>-0.55789999999999995</v>
      </c>
      <c r="G1936" t="s">
        <v>6068</v>
      </c>
    </row>
    <row r="1937" spans="1:7" x14ac:dyDescent="0.3">
      <c r="A1937" t="s">
        <v>6143</v>
      </c>
      <c r="B1937" t="s">
        <v>662</v>
      </c>
      <c r="C1937" t="s">
        <v>6113</v>
      </c>
      <c r="D1937" t="s">
        <v>6142</v>
      </c>
      <c r="E1937">
        <v>9.7999999999999997E-3</v>
      </c>
      <c r="F1937">
        <v>-0.2364</v>
      </c>
      <c r="G1937" t="s">
        <v>6144</v>
      </c>
    </row>
    <row r="1938" spans="1:7" x14ac:dyDescent="0.3">
      <c r="A1938" t="s">
        <v>1555</v>
      </c>
      <c r="B1938">
        <v>716.74</v>
      </c>
      <c r="C1938" t="s">
        <v>588</v>
      </c>
      <c r="D1938" t="s">
        <v>1553</v>
      </c>
      <c r="E1938">
        <v>1.17E-2</v>
      </c>
      <c r="F1938">
        <v>-5.6800000000000003E-2</v>
      </c>
      <c r="G1938" t="s">
        <v>1556</v>
      </c>
    </row>
    <row r="1939" spans="1:7" x14ac:dyDescent="0.3">
      <c r="B1939">
        <v>434.4</v>
      </c>
      <c r="C1939" t="s">
        <v>588</v>
      </c>
      <c r="D1939" t="s">
        <v>1908</v>
      </c>
      <c r="E1939">
        <v>1.12E-2</v>
      </c>
      <c r="F1939">
        <v>-0.12039999999999999</v>
      </c>
      <c r="G1939" t="s">
        <v>1910</v>
      </c>
    </row>
    <row r="1940" spans="1:7" x14ac:dyDescent="0.3">
      <c r="B1940">
        <v>42.43</v>
      </c>
      <c r="C1940" t="s">
        <v>1115</v>
      </c>
      <c r="D1940" t="s">
        <v>4056</v>
      </c>
      <c r="E1940">
        <v>9.4999999999999998E-3</v>
      </c>
      <c r="F1940">
        <v>-0.155</v>
      </c>
      <c r="G1940" t="s">
        <v>4058</v>
      </c>
    </row>
    <row r="1941" spans="1:7" x14ac:dyDescent="0.3">
      <c r="A1941" t="s">
        <v>6078</v>
      </c>
      <c r="B1941">
        <v>0.53398999999999996</v>
      </c>
      <c r="C1941" t="s">
        <v>921</v>
      </c>
      <c r="D1941" t="s">
        <v>6076</v>
      </c>
      <c r="E1941">
        <v>9.4999999999999998E-3</v>
      </c>
      <c r="F1941">
        <v>-0.31209999999999999</v>
      </c>
      <c r="G1941" t="s">
        <v>6079</v>
      </c>
    </row>
    <row r="1942" spans="1:7" x14ac:dyDescent="0.3">
      <c r="A1942" t="s">
        <v>5630</v>
      </c>
      <c r="B1942">
        <v>5.45</v>
      </c>
      <c r="C1942" t="s">
        <v>588</v>
      </c>
      <c r="D1942" t="s">
        <v>5629</v>
      </c>
      <c r="E1942">
        <v>1.0699999999999999E-2</v>
      </c>
      <c r="F1942">
        <v>-0.41439999999999999</v>
      </c>
      <c r="G1942" t="s">
        <v>5631</v>
      </c>
    </row>
    <row r="1943" spans="1:7" x14ac:dyDescent="0.3">
      <c r="A1943" t="s">
        <v>4490</v>
      </c>
      <c r="B1943">
        <v>26.95</v>
      </c>
      <c r="C1943" t="s">
        <v>588</v>
      </c>
      <c r="D1943" t="s">
        <v>4488</v>
      </c>
      <c r="E1943">
        <v>1.29E-2</v>
      </c>
      <c r="F1943">
        <v>-0.35549999999999998</v>
      </c>
      <c r="G1943" t="s">
        <v>4491</v>
      </c>
    </row>
    <row r="1944" spans="1:7" x14ac:dyDescent="0.3">
      <c r="A1944" t="s">
        <v>6018</v>
      </c>
      <c r="B1944">
        <v>1.19</v>
      </c>
      <c r="C1944" t="s">
        <v>921</v>
      </c>
      <c r="D1944" t="s">
        <v>6016</v>
      </c>
      <c r="E1944">
        <v>9.4999999999999998E-3</v>
      </c>
      <c r="F1944">
        <v>-0.18010000000000001</v>
      </c>
      <c r="G1944" t="s">
        <v>6019</v>
      </c>
    </row>
    <row r="1945" spans="1:7" x14ac:dyDescent="0.3">
      <c r="A1945" t="s">
        <v>3439</v>
      </c>
      <c r="B1945">
        <v>83.91</v>
      </c>
      <c r="C1945" t="s">
        <v>588</v>
      </c>
      <c r="D1945" t="s">
        <v>3437</v>
      </c>
      <c r="E1945">
        <v>1.3299999999999999E-2</v>
      </c>
      <c r="F1945">
        <v>-7.2700000000000001E-2</v>
      </c>
      <c r="G1945" t="s">
        <v>3440</v>
      </c>
    </row>
    <row r="1946" spans="1:7" x14ac:dyDescent="0.3">
      <c r="A1946" t="s">
        <v>6277</v>
      </c>
      <c r="B1946" t="s">
        <v>662</v>
      </c>
      <c r="C1946" t="s">
        <v>6113</v>
      </c>
      <c r="D1946" t="s">
        <v>6276</v>
      </c>
      <c r="E1946">
        <v>9.4999999999999998E-3</v>
      </c>
      <c r="F1946">
        <v>-7.3400000000000007E-2</v>
      </c>
      <c r="G1946" t="s">
        <v>6278</v>
      </c>
    </row>
    <row r="1947" spans="1:7" x14ac:dyDescent="0.3">
      <c r="A1947" t="s">
        <v>4991</v>
      </c>
      <c r="B1947">
        <v>16.16</v>
      </c>
      <c r="C1947" t="s">
        <v>588</v>
      </c>
      <c r="D1947" t="s">
        <v>4989</v>
      </c>
      <c r="E1947">
        <v>1.21E-2</v>
      </c>
      <c r="F1947">
        <v>-3.0000000000000001E-3</v>
      </c>
      <c r="G1947" t="s">
        <v>4992</v>
      </c>
    </row>
    <row r="1948" spans="1:7" x14ac:dyDescent="0.3">
      <c r="A1948" t="s">
        <v>5807</v>
      </c>
      <c r="B1948">
        <v>3.52</v>
      </c>
      <c r="C1948" t="s">
        <v>588</v>
      </c>
      <c r="D1948" t="s">
        <v>5806</v>
      </c>
      <c r="E1948">
        <v>1.0699999999999999E-2</v>
      </c>
      <c r="F1948" t="s">
        <v>662</v>
      </c>
      <c r="G1948" t="s">
        <v>5808</v>
      </c>
    </row>
    <row r="1949" spans="1:7" x14ac:dyDescent="0.3">
      <c r="A1949" t="s">
        <v>3888</v>
      </c>
      <c r="B1949">
        <v>50.93</v>
      </c>
      <c r="C1949" t="s">
        <v>588</v>
      </c>
      <c r="D1949" t="s">
        <v>3886</v>
      </c>
      <c r="E1949">
        <v>1.23E-2</v>
      </c>
      <c r="F1949">
        <v>-0.45829999999999999</v>
      </c>
      <c r="G1949" t="s">
        <v>3889</v>
      </c>
    </row>
    <row r="1950" spans="1:7" x14ac:dyDescent="0.3">
      <c r="A1950" t="s">
        <v>4195</v>
      </c>
      <c r="B1950">
        <v>37.28</v>
      </c>
      <c r="C1950" t="s">
        <v>588</v>
      </c>
      <c r="D1950" t="s">
        <v>4193</v>
      </c>
      <c r="E1950">
        <v>1.29E-2</v>
      </c>
      <c r="F1950">
        <v>-0.18440000000000001</v>
      </c>
      <c r="G1950" t="s">
        <v>4196</v>
      </c>
    </row>
    <row r="1951" spans="1:7" x14ac:dyDescent="0.3">
      <c r="A1951" t="s">
        <v>4242</v>
      </c>
      <c r="B1951">
        <v>35.590000000000003</v>
      </c>
      <c r="C1951" t="s">
        <v>2564</v>
      </c>
      <c r="D1951" t="s">
        <v>4240</v>
      </c>
      <c r="E1951">
        <v>9.4999999999999998E-3</v>
      </c>
      <c r="F1951">
        <v>2.8E-3</v>
      </c>
      <c r="G1951" t="s">
        <v>4243</v>
      </c>
    </row>
    <row r="1952" spans="1:7" x14ac:dyDescent="0.3">
      <c r="A1952" t="s">
        <v>772</v>
      </c>
      <c r="B1952" t="s">
        <v>662</v>
      </c>
      <c r="C1952" t="s">
        <v>588</v>
      </c>
      <c r="D1952" t="s">
        <v>6100</v>
      </c>
      <c r="E1952">
        <v>1.23E-2</v>
      </c>
      <c r="F1952" t="s">
        <v>662</v>
      </c>
      <c r="G1952" t="s">
        <v>6101</v>
      </c>
    </row>
    <row r="1953" spans="1:7" x14ac:dyDescent="0.3">
      <c r="C1953" t="s">
        <v>6113</v>
      </c>
      <c r="D1953" t="s">
        <v>6373</v>
      </c>
      <c r="E1953">
        <v>9.4999999999999998E-3</v>
      </c>
      <c r="F1953">
        <v>-7.3999999999999996E-2</v>
      </c>
      <c r="G1953" t="s">
        <v>6374</v>
      </c>
    </row>
    <row r="1954" spans="1:7" x14ac:dyDescent="0.3">
      <c r="D1954" t="s">
        <v>6383</v>
      </c>
      <c r="E1954">
        <v>9.4999999999999998E-3</v>
      </c>
      <c r="F1954">
        <v>-0.1431</v>
      </c>
      <c r="G1954" t="s">
        <v>6384</v>
      </c>
    </row>
    <row r="1955" spans="1:7" x14ac:dyDescent="0.3">
      <c r="D1955" t="s">
        <v>6387</v>
      </c>
      <c r="E1955">
        <v>9.1000000000000004E-3</v>
      </c>
      <c r="F1955">
        <v>-7.0499999999999993E-2</v>
      </c>
      <c r="G1955" t="s">
        <v>6388</v>
      </c>
    </row>
    <row r="1956" spans="1:7" x14ac:dyDescent="0.3">
      <c r="D1956" t="s">
        <v>6249</v>
      </c>
      <c r="E1956">
        <v>9.4999999999999998E-3</v>
      </c>
      <c r="F1956">
        <v>-0.1145</v>
      </c>
      <c r="G1956" t="s">
        <v>6250</v>
      </c>
    </row>
    <row r="1957" spans="1:7" x14ac:dyDescent="0.3">
      <c r="D1957" t="s">
        <v>6257</v>
      </c>
      <c r="E1957">
        <v>9.4999999999999998E-3</v>
      </c>
      <c r="F1957">
        <v>-0.21809999999999999</v>
      </c>
      <c r="G1957" t="s">
        <v>6258</v>
      </c>
    </row>
    <row r="1958" spans="1:7" x14ac:dyDescent="0.3">
      <c r="D1958" t="s">
        <v>6263</v>
      </c>
      <c r="E1958">
        <v>9.2999999999999992E-3</v>
      </c>
      <c r="F1958">
        <v>-0.10979999999999999</v>
      </c>
      <c r="G1958" t="s">
        <v>6264</v>
      </c>
    </row>
    <row r="1959" spans="1:7" x14ac:dyDescent="0.3">
      <c r="C1959" t="s">
        <v>2564</v>
      </c>
      <c r="D1959" t="s">
        <v>6129</v>
      </c>
      <c r="E1959">
        <v>0</v>
      </c>
      <c r="F1959">
        <v>1.4E-3</v>
      </c>
      <c r="G1959" t="s">
        <v>6130</v>
      </c>
    </row>
    <row r="1960" spans="1:7" x14ac:dyDescent="0.3">
      <c r="B1960">
        <v>2980</v>
      </c>
      <c r="C1960" t="s">
        <v>588</v>
      </c>
      <c r="D1960" t="s">
        <v>770</v>
      </c>
      <c r="E1960">
        <v>1.01E-2</v>
      </c>
      <c r="F1960">
        <v>-0.1103</v>
      </c>
      <c r="G1960" t="s">
        <v>773</v>
      </c>
    </row>
    <row r="1961" spans="1:7" x14ac:dyDescent="0.3">
      <c r="B1961">
        <v>85.91</v>
      </c>
      <c r="C1961" t="s">
        <v>588</v>
      </c>
      <c r="D1961" t="s">
        <v>3422</v>
      </c>
      <c r="E1961">
        <v>9.7999999999999997E-3</v>
      </c>
      <c r="F1961">
        <v>-0.23050000000000001</v>
      </c>
      <c r="G1961" t="s">
        <v>3424</v>
      </c>
    </row>
    <row r="1962" spans="1:7" x14ac:dyDescent="0.3">
      <c r="B1962">
        <v>52.73</v>
      </c>
      <c r="C1962" t="s">
        <v>588</v>
      </c>
      <c r="D1962" t="s">
        <v>3853</v>
      </c>
      <c r="E1962">
        <v>6.4000000000000003E-3</v>
      </c>
      <c r="F1962">
        <v>-9.2799999999999994E-2</v>
      </c>
      <c r="G1962" t="s">
        <v>3855</v>
      </c>
    </row>
    <row r="1963" spans="1:7" x14ac:dyDescent="0.3">
      <c r="B1963">
        <v>20.36</v>
      </c>
      <c r="C1963" t="s">
        <v>1799</v>
      </c>
      <c r="D1963" t="s">
        <v>4784</v>
      </c>
      <c r="E1963">
        <v>7.9000000000000008E-3</v>
      </c>
      <c r="F1963">
        <v>-1.78E-2</v>
      </c>
      <c r="G1963" t="s">
        <v>4786</v>
      </c>
    </row>
    <row r="1964" spans="1:7" x14ac:dyDescent="0.3">
      <c r="B1964">
        <v>16.48</v>
      </c>
      <c r="C1964" t="s">
        <v>2564</v>
      </c>
      <c r="D1964" t="s">
        <v>4983</v>
      </c>
      <c r="E1964">
        <v>1.6500000000000001E-2</v>
      </c>
      <c r="F1964">
        <v>0.1217</v>
      </c>
      <c r="G1964" t="s">
        <v>4985</v>
      </c>
    </row>
    <row r="1965" spans="1:7" x14ac:dyDescent="0.3">
      <c r="B1965">
        <v>15.41</v>
      </c>
      <c r="C1965" t="s">
        <v>1799</v>
      </c>
      <c r="D1965" t="s">
        <v>5037</v>
      </c>
      <c r="E1965">
        <v>7.9000000000000008E-3</v>
      </c>
      <c r="F1965">
        <v>-4.65E-2</v>
      </c>
      <c r="G1965" t="s">
        <v>5039</v>
      </c>
    </row>
    <row r="1966" spans="1:7" x14ac:dyDescent="0.3">
      <c r="B1966">
        <v>8.6300000000000008</v>
      </c>
      <c r="C1966" t="s">
        <v>1799</v>
      </c>
      <c r="D1966" t="s">
        <v>5363</v>
      </c>
      <c r="E1966">
        <v>8.0000000000000002E-3</v>
      </c>
      <c r="F1966">
        <v>-2.8400000000000002E-2</v>
      </c>
      <c r="G1966" t="s">
        <v>5365</v>
      </c>
    </row>
    <row r="1967" spans="1:7" x14ac:dyDescent="0.3">
      <c r="B1967">
        <v>6.23</v>
      </c>
      <c r="C1967" t="s">
        <v>1799</v>
      </c>
      <c r="D1967" t="s">
        <v>5557</v>
      </c>
      <c r="E1967">
        <v>7.9000000000000008E-3</v>
      </c>
      <c r="F1967">
        <v>-6.6799999999999998E-2</v>
      </c>
      <c r="G1967" t="s">
        <v>5559</v>
      </c>
    </row>
    <row r="1968" spans="1:7" x14ac:dyDescent="0.3">
      <c r="A1968" t="s">
        <v>2771</v>
      </c>
      <c r="B1968">
        <v>160.38999999999999</v>
      </c>
      <c r="C1968" t="s">
        <v>2564</v>
      </c>
      <c r="D1968" t="s">
        <v>2769</v>
      </c>
      <c r="E1968">
        <v>1.29E-2</v>
      </c>
      <c r="F1968">
        <v>-0.17369999999999999</v>
      </c>
      <c r="G1968" t="s">
        <v>2772</v>
      </c>
    </row>
    <row r="1969" spans="1:7" x14ac:dyDescent="0.3">
      <c r="B1969">
        <v>48.42</v>
      </c>
      <c r="C1969" t="s">
        <v>248</v>
      </c>
      <c r="D1969" t="s">
        <v>3936</v>
      </c>
      <c r="E1969">
        <v>1.46E-2</v>
      </c>
      <c r="F1969">
        <v>-0.13070000000000001</v>
      </c>
      <c r="G1969" t="s">
        <v>3938</v>
      </c>
    </row>
    <row r="1970" spans="1:7" x14ac:dyDescent="0.3">
      <c r="B1970">
        <v>27.94</v>
      </c>
      <c r="C1970" t="s">
        <v>2564</v>
      </c>
      <c r="D1970" t="s">
        <v>4462</v>
      </c>
      <c r="E1970">
        <v>9.4999999999999998E-3</v>
      </c>
      <c r="F1970">
        <v>-0.1661</v>
      </c>
      <c r="G1970" t="s">
        <v>4464</v>
      </c>
    </row>
    <row r="1971" spans="1:7" x14ac:dyDescent="0.3">
      <c r="A1971" t="s">
        <v>3581</v>
      </c>
      <c r="B1971" t="s">
        <v>662</v>
      </c>
      <c r="C1971" t="s">
        <v>6113</v>
      </c>
      <c r="D1971" t="s">
        <v>6377</v>
      </c>
      <c r="E1971">
        <v>9.4999999999999998E-3</v>
      </c>
      <c r="F1971">
        <v>-0.1439</v>
      </c>
      <c r="G1971" t="s">
        <v>6378</v>
      </c>
    </row>
    <row r="1972" spans="1:7" x14ac:dyDescent="0.3">
      <c r="D1972" t="s">
        <v>6251</v>
      </c>
      <c r="E1972">
        <v>9.4999999999999998E-3</v>
      </c>
      <c r="F1972">
        <v>-0.21709999999999999</v>
      </c>
      <c r="G1972" t="s">
        <v>6252</v>
      </c>
    </row>
    <row r="1973" spans="1:7" x14ac:dyDescent="0.3">
      <c r="B1973">
        <v>73.599999999999994</v>
      </c>
      <c r="C1973" t="s">
        <v>588</v>
      </c>
      <c r="D1973" t="s">
        <v>3579</v>
      </c>
      <c r="E1973">
        <v>1.03E-2</v>
      </c>
      <c r="F1973">
        <v>-0.2172</v>
      </c>
      <c r="G1973" t="s">
        <v>3582</v>
      </c>
    </row>
    <row r="1974" spans="1:7" x14ac:dyDescent="0.3">
      <c r="A1974" t="s">
        <v>1046</v>
      </c>
      <c r="B1974" t="s">
        <v>662</v>
      </c>
      <c r="C1974" t="s">
        <v>6113</v>
      </c>
      <c r="D1974" t="s">
        <v>6363</v>
      </c>
      <c r="E1974">
        <v>9.4999999999999998E-3</v>
      </c>
      <c r="F1974">
        <v>-0.26079999999999998</v>
      </c>
      <c r="G1974" t="s">
        <v>6364</v>
      </c>
    </row>
    <row r="1975" spans="1:7" x14ac:dyDescent="0.3">
      <c r="D1975" t="s">
        <v>6355</v>
      </c>
      <c r="E1975">
        <v>9.4999999999999998E-3</v>
      </c>
      <c r="F1975">
        <v>-0.13930000000000001</v>
      </c>
      <c r="G1975" t="s">
        <v>6356</v>
      </c>
    </row>
    <row r="1976" spans="1:7" x14ac:dyDescent="0.3">
      <c r="D1976" t="s">
        <v>6253</v>
      </c>
      <c r="E1976">
        <v>9.4999999999999998E-3</v>
      </c>
      <c r="F1976">
        <v>-0.37730000000000002</v>
      </c>
      <c r="G1976" t="s">
        <v>6254</v>
      </c>
    </row>
    <row r="1977" spans="1:7" x14ac:dyDescent="0.3">
      <c r="B1977">
        <v>1510</v>
      </c>
      <c r="C1977" t="s">
        <v>588</v>
      </c>
      <c r="D1977" t="s">
        <v>1044</v>
      </c>
      <c r="E1977">
        <v>1.12E-2</v>
      </c>
      <c r="F1977">
        <v>-0.37769999999999998</v>
      </c>
      <c r="G1977" t="s">
        <v>1047</v>
      </c>
    </row>
    <row r="1978" spans="1:7" x14ac:dyDescent="0.3">
      <c r="B1978">
        <v>41.25</v>
      </c>
      <c r="C1978" t="s">
        <v>2564</v>
      </c>
      <c r="D1978" t="s">
        <v>4090</v>
      </c>
      <c r="E1978">
        <v>8.5000000000000006E-3</v>
      </c>
      <c r="F1978">
        <v>-0.1048</v>
      </c>
      <c r="G1978" t="s">
        <v>4091</v>
      </c>
    </row>
    <row r="1979" spans="1:7" x14ac:dyDescent="0.3">
      <c r="B1979">
        <v>20.12</v>
      </c>
      <c r="C1979" t="s">
        <v>2564</v>
      </c>
      <c r="D1979" t="s">
        <v>4809</v>
      </c>
      <c r="E1979">
        <v>9.4999999999999998E-3</v>
      </c>
      <c r="F1979">
        <v>-0.2535</v>
      </c>
      <c r="G1979" t="s">
        <v>4811</v>
      </c>
    </row>
    <row r="1980" spans="1:7" x14ac:dyDescent="0.3">
      <c r="A1980" t="s">
        <v>4379</v>
      </c>
      <c r="B1980" t="s">
        <v>662</v>
      </c>
      <c r="C1980" t="s">
        <v>2564</v>
      </c>
      <c r="D1980" t="s">
        <v>6127</v>
      </c>
      <c r="E1980">
        <v>9.4999999999999998E-3</v>
      </c>
      <c r="F1980">
        <v>-0.1056</v>
      </c>
      <c r="G1980" t="s">
        <v>6128</v>
      </c>
    </row>
    <row r="1981" spans="1:7" x14ac:dyDescent="0.3">
      <c r="B1981">
        <v>31.17</v>
      </c>
      <c r="C1981" t="s">
        <v>2564</v>
      </c>
      <c r="D1981" t="s">
        <v>4377</v>
      </c>
      <c r="E1981">
        <v>9.4999999999999998E-3</v>
      </c>
      <c r="F1981">
        <v>-4.9200000000000001E-2</v>
      </c>
      <c r="G1981" t="s">
        <v>4380</v>
      </c>
    </row>
    <row r="1982" spans="1:7" x14ac:dyDescent="0.3">
      <c r="B1982">
        <v>31.05</v>
      </c>
      <c r="C1982" t="s">
        <v>2564</v>
      </c>
      <c r="D1982" t="s">
        <v>4381</v>
      </c>
      <c r="E1982">
        <v>9.4999999999999998E-3</v>
      </c>
      <c r="F1982">
        <v>-0.12609999999999999</v>
      </c>
      <c r="G1982" t="s">
        <v>4383</v>
      </c>
    </row>
    <row r="1983" spans="1:7" x14ac:dyDescent="0.3">
      <c r="B1983">
        <v>29.38</v>
      </c>
      <c r="C1983" t="s">
        <v>1799</v>
      </c>
      <c r="D1983" t="s">
        <v>4423</v>
      </c>
      <c r="E1983">
        <v>7.9000000000000008E-3</v>
      </c>
      <c r="F1983">
        <v>-6.8599999999999994E-2</v>
      </c>
      <c r="G1983" t="s">
        <v>4425</v>
      </c>
    </row>
    <row r="1984" spans="1:7" x14ac:dyDescent="0.3">
      <c r="B1984">
        <v>20.76</v>
      </c>
      <c r="C1984" t="s">
        <v>2564</v>
      </c>
      <c r="D1984" t="s">
        <v>4768</v>
      </c>
      <c r="E1984">
        <v>9.4999999999999998E-3</v>
      </c>
      <c r="F1984">
        <v>-0.27550000000000002</v>
      </c>
      <c r="G1984" t="s">
        <v>4770</v>
      </c>
    </row>
    <row r="1985" spans="1:7" x14ac:dyDescent="0.3">
      <c r="B1985">
        <v>15.95</v>
      </c>
      <c r="C1985" t="s">
        <v>1799</v>
      </c>
      <c r="D1985" t="s">
        <v>5002</v>
      </c>
      <c r="E1985">
        <v>7.9000000000000008E-3</v>
      </c>
      <c r="F1985">
        <v>-3.8800000000000001E-2</v>
      </c>
      <c r="G1985" t="s">
        <v>5004</v>
      </c>
    </row>
    <row r="1986" spans="1:7" x14ac:dyDescent="0.3">
      <c r="A1986" t="s">
        <v>4577</v>
      </c>
      <c r="B1986">
        <v>24.96</v>
      </c>
      <c r="C1986" t="s">
        <v>588</v>
      </c>
      <c r="D1986" t="s">
        <v>4575</v>
      </c>
      <c r="E1986">
        <v>1.0699999999999999E-2</v>
      </c>
      <c r="F1986">
        <v>-3.5499999999999997E-2</v>
      </c>
      <c r="G1986" t="s">
        <v>4578</v>
      </c>
    </row>
    <row r="1987" spans="1:7" x14ac:dyDescent="0.3">
      <c r="A1987" t="s">
        <v>2344</v>
      </c>
      <c r="B1987">
        <v>253.37</v>
      </c>
      <c r="C1987" t="s">
        <v>588</v>
      </c>
      <c r="D1987" t="s">
        <v>2342</v>
      </c>
      <c r="E1987">
        <v>9.9000000000000008E-3</v>
      </c>
      <c r="F1987">
        <v>-0.19570000000000001</v>
      </c>
      <c r="G1987" t="s">
        <v>2345</v>
      </c>
    </row>
    <row r="1988" spans="1:7" x14ac:dyDescent="0.3">
      <c r="A1988" t="s">
        <v>4160</v>
      </c>
      <c r="B1988">
        <v>38.31</v>
      </c>
      <c r="C1988" t="s">
        <v>2564</v>
      </c>
      <c r="D1988" t="s">
        <v>4158</v>
      </c>
      <c r="E1988">
        <v>9.4999999999999998E-3</v>
      </c>
      <c r="F1988">
        <v>-1.3299999999999999E-2</v>
      </c>
      <c r="G1988" t="s">
        <v>4161</v>
      </c>
    </row>
    <row r="1989" spans="1:7" x14ac:dyDescent="0.3">
      <c r="A1989" t="s">
        <v>1118</v>
      </c>
      <c r="B1989">
        <v>1330</v>
      </c>
      <c r="C1989" t="s">
        <v>1115</v>
      </c>
      <c r="D1989" t="s">
        <v>1116</v>
      </c>
      <c r="E1989">
        <v>9.4999999999999998E-3</v>
      </c>
      <c r="F1989">
        <v>-0.40179999999999999</v>
      </c>
      <c r="G1989" t="s">
        <v>1119</v>
      </c>
    </row>
    <row r="1990" spans="1:7" x14ac:dyDescent="0.3">
      <c r="B1990">
        <v>278.14</v>
      </c>
      <c r="C1990" t="s">
        <v>1115</v>
      </c>
      <c r="D1990" t="s">
        <v>2287</v>
      </c>
      <c r="E1990">
        <v>9.4999999999999998E-3</v>
      </c>
      <c r="F1990">
        <v>-0.39750000000000002</v>
      </c>
      <c r="G1990" t="s">
        <v>2289</v>
      </c>
    </row>
    <row r="1991" spans="1:7" x14ac:dyDescent="0.3">
      <c r="B1991">
        <v>186.07</v>
      </c>
      <c r="C1991" t="s">
        <v>1115</v>
      </c>
      <c r="D1991" t="s">
        <v>2630</v>
      </c>
      <c r="E1991">
        <v>9.4999999999999998E-3</v>
      </c>
      <c r="F1991">
        <v>-0.27329999999999999</v>
      </c>
      <c r="G1991" t="s">
        <v>2632</v>
      </c>
    </row>
    <row r="1992" spans="1:7" x14ac:dyDescent="0.3">
      <c r="B1992">
        <v>6.59</v>
      </c>
      <c r="C1992" t="s">
        <v>588</v>
      </c>
      <c r="D1992" t="s">
        <v>5519</v>
      </c>
      <c r="E1992">
        <v>1.0699999999999999E-2</v>
      </c>
      <c r="F1992">
        <v>-0.48449999999999999</v>
      </c>
      <c r="G1992" t="s">
        <v>5521</v>
      </c>
    </row>
    <row r="1993" spans="1:7" x14ac:dyDescent="0.3">
      <c r="A1993" t="s">
        <v>1506</v>
      </c>
      <c r="B1993">
        <v>767.8</v>
      </c>
      <c r="C1993" t="s">
        <v>588</v>
      </c>
      <c r="D1993" t="s">
        <v>1504</v>
      </c>
      <c r="E1993">
        <v>1.0200000000000001E-2</v>
      </c>
      <c r="F1993">
        <v>-0.6603</v>
      </c>
      <c r="G1993" t="s">
        <v>1507</v>
      </c>
    </row>
    <row r="1994" spans="1:7" x14ac:dyDescent="0.3">
      <c r="A1994" t="s">
        <v>3365</v>
      </c>
      <c r="B1994">
        <v>91.63</v>
      </c>
      <c r="C1994" t="s">
        <v>588</v>
      </c>
      <c r="D1994" t="s">
        <v>3363</v>
      </c>
      <c r="E1994">
        <v>0.01</v>
      </c>
      <c r="F1994">
        <v>-0.47670000000000001</v>
      </c>
      <c r="G1994" t="s">
        <v>3366</v>
      </c>
    </row>
    <row r="1995" spans="1:7" x14ac:dyDescent="0.3">
      <c r="A1995" t="s">
        <v>4073</v>
      </c>
      <c r="B1995" t="s">
        <v>662</v>
      </c>
      <c r="C1995" t="s">
        <v>6113</v>
      </c>
      <c r="D1995" t="s">
        <v>6335</v>
      </c>
      <c r="E1995">
        <v>9.4999999999999998E-3</v>
      </c>
      <c r="F1995">
        <v>-0.2487</v>
      </c>
      <c r="G1995" t="s">
        <v>6336</v>
      </c>
    </row>
    <row r="1996" spans="1:7" x14ac:dyDescent="0.3">
      <c r="B1996">
        <v>41.63</v>
      </c>
      <c r="C1996" t="s">
        <v>588</v>
      </c>
      <c r="D1996" t="s">
        <v>4071</v>
      </c>
      <c r="E1996">
        <v>9.7999999999999997E-3</v>
      </c>
      <c r="F1996">
        <v>-0.22500000000000001</v>
      </c>
      <c r="G1996" t="s">
        <v>4074</v>
      </c>
    </row>
    <row r="1997" spans="1:7" x14ac:dyDescent="0.3">
      <c r="A1997" t="s">
        <v>6338</v>
      </c>
      <c r="B1997" t="s">
        <v>662</v>
      </c>
      <c r="C1997" t="s">
        <v>6113</v>
      </c>
      <c r="D1997" t="s">
        <v>6337</v>
      </c>
      <c r="E1997">
        <v>9.4999999999999998E-3</v>
      </c>
      <c r="F1997">
        <v>5.2600000000000001E-2</v>
      </c>
      <c r="G1997" t="s">
        <v>6339</v>
      </c>
    </row>
    <row r="1998" spans="1:7" x14ac:dyDescent="0.3">
      <c r="A1998" t="s">
        <v>1676</v>
      </c>
      <c r="B1998">
        <v>583.07000000000005</v>
      </c>
      <c r="C1998" t="s">
        <v>588</v>
      </c>
      <c r="D1998" t="s">
        <v>1674</v>
      </c>
      <c r="E1998">
        <v>0.01</v>
      </c>
      <c r="F1998">
        <v>0.18859999999999999</v>
      </c>
      <c r="G1998" t="s">
        <v>1677</v>
      </c>
    </row>
    <row r="1999" spans="1:7" x14ac:dyDescent="0.3">
      <c r="A1999" t="s">
        <v>765</v>
      </c>
      <c r="B1999" t="s">
        <v>662</v>
      </c>
      <c r="C1999" t="s">
        <v>6113</v>
      </c>
      <c r="D1999" t="s">
        <v>6348</v>
      </c>
      <c r="E1999">
        <v>9.4999999999999998E-3</v>
      </c>
      <c r="F1999">
        <v>-0.13780000000000001</v>
      </c>
      <c r="G1999" t="s">
        <v>6349</v>
      </c>
    </row>
    <row r="2000" spans="1:7" x14ac:dyDescent="0.3">
      <c r="B2000">
        <v>3030</v>
      </c>
      <c r="C2000" t="s">
        <v>588</v>
      </c>
      <c r="D2000" t="s">
        <v>763</v>
      </c>
      <c r="E2000">
        <v>9.9000000000000008E-3</v>
      </c>
      <c r="F2000">
        <v>-0.15970000000000001</v>
      </c>
      <c r="G2000" t="s">
        <v>766</v>
      </c>
    </row>
    <row r="2001" spans="1:7" x14ac:dyDescent="0.3">
      <c r="B2001">
        <v>138.34</v>
      </c>
      <c r="C2001" t="s">
        <v>1115</v>
      </c>
      <c r="D2001" t="s">
        <v>2915</v>
      </c>
      <c r="E2001">
        <v>9.4999999999999998E-3</v>
      </c>
      <c r="F2001">
        <v>-0.17699999999999999</v>
      </c>
      <c r="G2001" t="s">
        <v>2917</v>
      </c>
    </row>
    <row r="2002" spans="1:7" x14ac:dyDescent="0.3">
      <c r="A2002" t="s">
        <v>2450</v>
      </c>
      <c r="B2002" t="s">
        <v>662</v>
      </c>
      <c r="C2002" t="s">
        <v>6113</v>
      </c>
      <c r="D2002" t="s">
        <v>6313</v>
      </c>
      <c r="E2002">
        <v>9.4999999999999998E-3</v>
      </c>
      <c r="F2002">
        <v>-8.1799999999999998E-2</v>
      </c>
      <c r="G2002" t="s">
        <v>6314</v>
      </c>
    </row>
    <row r="2003" spans="1:7" x14ac:dyDescent="0.3">
      <c r="B2003">
        <v>223.73</v>
      </c>
      <c r="C2003" t="s">
        <v>588</v>
      </c>
      <c r="D2003" t="s">
        <v>2448</v>
      </c>
      <c r="E2003">
        <v>1.0800000000000001E-2</v>
      </c>
      <c r="F2003">
        <v>-4.2099999999999999E-2</v>
      </c>
      <c r="G2003" t="s">
        <v>2451</v>
      </c>
    </row>
    <row r="2004" spans="1:7" x14ac:dyDescent="0.3">
      <c r="A2004" t="s">
        <v>2391</v>
      </c>
      <c r="B2004">
        <v>239.74</v>
      </c>
      <c r="C2004" t="s">
        <v>588</v>
      </c>
      <c r="D2004" t="s">
        <v>2389</v>
      </c>
      <c r="E2004">
        <v>0.01</v>
      </c>
      <c r="F2004">
        <v>-0.1361</v>
      </c>
      <c r="G2004" t="s">
        <v>2392</v>
      </c>
    </row>
    <row r="2005" spans="1:7" x14ac:dyDescent="0.3">
      <c r="A2005" t="s">
        <v>4048</v>
      </c>
      <c r="B2005" t="s">
        <v>662</v>
      </c>
      <c r="C2005" t="s">
        <v>6113</v>
      </c>
      <c r="D2005" t="s">
        <v>6346</v>
      </c>
      <c r="E2005">
        <v>9.4999999999999998E-3</v>
      </c>
      <c r="F2005">
        <v>-0.13089999999999999</v>
      </c>
      <c r="G2005" t="s">
        <v>6347</v>
      </c>
    </row>
    <row r="2006" spans="1:7" x14ac:dyDescent="0.3">
      <c r="B2006">
        <v>42.72</v>
      </c>
      <c r="C2006" t="s">
        <v>588</v>
      </c>
      <c r="D2006" t="s">
        <v>4046</v>
      </c>
      <c r="E2006">
        <v>1.01E-2</v>
      </c>
      <c r="F2006">
        <v>-0.1002</v>
      </c>
      <c r="G2006" t="s">
        <v>4049</v>
      </c>
    </row>
    <row r="2007" spans="1:7" x14ac:dyDescent="0.3">
      <c r="A2007" t="s">
        <v>807</v>
      </c>
      <c r="B2007" t="s">
        <v>662</v>
      </c>
      <c r="C2007" t="s">
        <v>6113</v>
      </c>
      <c r="D2007" t="s">
        <v>6308</v>
      </c>
      <c r="E2007">
        <v>9.4999999999999998E-3</v>
      </c>
      <c r="F2007">
        <v>-0.14499999999999999</v>
      </c>
      <c r="G2007" t="s">
        <v>6309</v>
      </c>
    </row>
    <row r="2008" spans="1:7" x14ac:dyDescent="0.3">
      <c r="B2008">
        <v>2690</v>
      </c>
      <c r="C2008" t="s">
        <v>588</v>
      </c>
      <c r="D2008" t="s">
        <v>805</v>
      </c>
      <c r="E2008">
        <v>1.0800000000000001E-2</v>
      </c>
      <c r="F2008">
        <v>-9.0800000000000006E-2</v>
      </c>
      <c r="G2008" t="s">
        <v>808</v>
      </c>
    </row>
    <row r="2009" spans="1:7" x14ac:dyDescent="0.3">
      <c r="A2009" t="s">
        <v>5568</v>
      </c>
      <c r="B2009">
        <v>6.13</v>
      </c>
      <c r="C2009" t="s">
        <v>588</v>
      </c>
      <c r="D2009" t="s">
        <v>5566</v>
      </c>
      <c r="E2009">
        <v>1.0699999999999999E-2</v>
      </c>
      <c r="F2009">
        <v>-0.1135</v>
      </c>
      <c r="G2009" t="s">
        <v>5569</v>
      </c>
    </row>
    <row r="2010" spans="1:7" x14ac:dyDescent="0.3">
      <c r="A2010" t="s">
        <v>2843</v>
      </c>
      <c r="B2010">
        <v>147.24</v>
      </c>
      <c r="C2010" t="s">
        <v>588</v>
      </c>
      <c r="D2010" t="s">
        <v>2841</v>
      </c>
      <c r="E2010">
        <v>9.7999999999999997E-3</v>
      </c>
      <c r="F2010">
        <v>-0.59099999999999997</v>
      </c>
      <c r="G2010" t="s">
        <v>2844</v>
      </c>
    </row>
    <row r="2011" spans="1:7" x14ac:dyDescent="0.3">
      <c r="A2011" t="s">
        <v>6351</v>
      </c>
      <c r="B2011" t="s">
        <v>662</v>
      </c>
      <c r="C2011" t="s">
        <v>6113</v>
      </c>
      <c r="D2011" t="s">
        <v>6350</v>
      </c>
      <c r="E2011">
        <v>9.4999999999999998E-3</v>
      </c>
      <c r="F2011">
        <v>-1.2200000000000001E-2</v>
      </c>
      <c r="G2011" t="s">
        <v>6352</v>
      </c>
    </row>
    <row r="2012" spans="1:7" x14ac:dyDescent="0.3">
      <c r="A2012" t="s">
        <v>5542</v>
      </c>
      <c r="B2012">
        <v>6.41</v>
      </c>
      <c r="C2012" t="s">
        <v>588</v>
      </c>
      <c r="D2012" t="s">
        <v>5540</v>
      </c>
      <c r="E2012">
        <v>1.0699999999999999E-2</v>
      </c>
      <c r="F2012" t="s">
        <v>662</v>
      </c>
      <c r="G2012" t="s">
        <v>5543</v>
      </c>
    </row>
    <row r="2013" spans="1:7" x14ac:dyDescent="0.3">
      <c r="A2013" t="s">
        <v>4281</v>
      </c>
      <c r="B2013">
        <v>33.99</v>
      </c>
      <c r="C2013" t="s">
        <v>2564</v>
      </c>
      <c r="D2013" t="s">
        <v>4279</v>
      </c>
      <c r="E2013">
        <v>9.4999999999999998E-3</v>
      </c>
      <c r="F2013">
        <v>-3.1399999999999997E-2</v>
      </c>
      <c r="G2013" t="s">
        <v>4282</v>
      </c>
    </row>
    <row r="2014" spans="1:7" x14ac:dyDescent="0.3">
      <c r="A2014" t="s">
        <v>4134</v>
      </c>
      <c r="B2014">
        <v>39.18</v>
      </c>
      <c r="C2014" t="s">
        <v>2564</v>
      </c>
      <c r="D2014" t="s">
        <v>4132</v>
      </c>
      <c r="E2014">
        <v>9.4999999999999998E-3</v>
      </c>
      <c r="F2014">
        <v>-0.16500000000000001</v>
      </c>
      <c r="G2014" t="s">
        <v>4135</v>
      </c>
    </row>
    <row r="2015" spans="1:7" x14ac:dyDescent="0.3">
      <c r="A2015" t="s">
        <v>1393</v>
      </c>
      <c r="B2015" t="s">
        <v>662</v>
      </c>
      <c r="C2015" t="s">
        <v>6113</v>
      </c>
      <c r="D2015" t="s">
        <v>6302</v>
      </c>
      <c r="E2015">
        <v>9.4999999999999998E-3</v>
      </c>
      <c r="F2015">
        <v>0.15720000000000001</v>
      </c>
      <c r="G2015" t="s">
        <v>6303</v>
      </c>
    </row>
    <row r="2016" spans="1:7" x14ac:dyDescent="0.3">
      <c r="B2016">
        <v>868.5</v>
      </c>
      <c r="C2016" t="s">
        <v>1115</v>
      </c>
      <c r="D2016" t="s">
        <v>1391</v>
      </c>
      <c r="E2016">
        <v>9.4999999999999998E-3</v>
      </c>
      <c r="F2016">
        <v>0.16270000000000001</v>
      </c>
      <c r="G2016" t="s">
        <v>1394</v>
      </c>
    </row>
    <row r="2017" spans="1:7" x14ac:dyDescent="0.3">
      <c r="B2017">
        <v>738.47</v>
      </c>
      <c r="C2017" t="s">
        <v>588</v>
      </c>
      <c r="D2017" t="s">
        <v>1529</v>
      </c>
      <c r="E2017">
        <v>1.17E-2</v>
      </c>
      <c r="F2017">
        <v>-0.1313</v>
      </c>
      <c r="G2017" t="s">
        <v>1531</v>
      </c>
    </row>
    <row r="2018" spans="1:7" x14ac:dyDescent="0.3">
      <c r="B2018">
        <v>4.47</v>
      </c>
      <c r="C2018" t="s">
        <v>1115</v>
      </c>
      <c r="D2018" t="s">
        <v>5717</v>
      </c>
      <c r="E2018">
        <v>9.4999999999999998E-3</v>
      </c>
      <c r="F2018" t="s">
        <v>662</v>
      </c>
      <c r="G2018" t="s">
        <v>5719</v>
      </c>
    </row>
    <row r="2019" spans="1:7" x14ac:dyDescent="0.3">
      <c r="A2019" t="s">
        <v>6230</v>
      </c>
      <c r="B2019" t="s">
        <v>662</v>
      </c>
      <c r="C2019" t="s">
        <v>6113</v>
      </c>
      <c r="D2019" t="s">
        <v>6229</v>
      </c>
      <c r="E2019">
        <v>9.4999999999999998E-3</v>
      </c>
      <c r="F2019">
        <v>-0.33729999999999999</v>
      </c>
      <c r="G2019" t="s">
        <v>6231</v>
      </c>
    </row>
    <row r="2020" spans="1:7" x14ac:dyDescent="0.3">
      <c r="A2020" t="s">
        <v>4681</v>
      </c>
      <c r="B2020">
        <v>22.73</v>
      </c>
      <c r="C2020" t="s">
        <v>588</v>
      </c>
      <c r="D2020" t="s">
        <v>4679</v>
      </c>
      <c r="E2020">
        <v>9.7999999999999997E-3</v>
      </c>
      <c r="F2020">
        <v>-0.35310000000000002</v>
      </c>
      <c r="G2020" t="s">
        <v>4682</v>
      </c>
    </row>
    <row r="2021" spans="1:7" x14ac:dyDescent="0.3">
      <c r="A2021" t="s">
        <v>3134</v>
      </c>
      <c r="B2021" t="s">
        <v>662</v>
      </c>
      <c r="C2021" t="s">
        <v>6113</v>
      </c>
      <c r="D2021" t="s">
        <v>6342</v>
      </c>
      <c r="E2021">
        <v>9.4999999999999998E-3</v>
      </c>
      <c r="F2021">
        <v>-6.2E-2</v>
      </c>
      <c r="G2021" t="s">
        <v>6343</v>
      </c>
    </row>
    <row r="2022" spans="1:7" x14ac:dyDescent="0.3">
      <c r="B2022">
        <v>115.22</v>
      </c>
      <c r="C2022" t="s">
        <v>588</v>
      </c>
      <c r="D2022" t="s">
        <v>3132</v>
      </c>
      <c r="E2022">
        <v>9.9000000000000008E-3</v>
      </c>
      <c r="F2022">
        <v>-8.5400000000000004E-2</v>
      </c>
      <c r="G2022" t="s">
        <v>3135</v>
      </c>
    </row>
    <row r="2023" spans="1:7" x14ac:dyDescent="0.3">
      <c r="A2023" t="s">
        <v>2000</v>
      </c>
      <c r="B2023">
        <v>400.07</v>
      </c>
      <c r="C2023" t="s">
        <v>588</v>
      </c>
      <c r="D2023" t="s">
        <v>1998</v>
      </c>
      <c r="E2023">
        <v>9.9000000000000008E-3</v>
      </c>
      <c r="F2023">
        <v>-6.54E-2</v>
      </c>
      <c r="G2023" t="s">
        <v>2001</v>
      </c>
    </row>
    <row r="2024" spans="1:7" x14ac:dyDescent="0.3">
      <c r="A2024" t="s">
        <v>591</v>
      </c>
      <c r="B2024" t="s">
        <v>662</v>
      </c>
      <c r="C2024" t="s">
        <v>6113</v>
      </c>
      <c r="D2024" t="s">
        <v>6344</v>
      </c>
      <c r="E2024">
        <v>9.4999999999999998E-3</v>
      </c>
      <c r="F2024">
        <v>-1.6400000000000001E-2</v>
      </c>
      <c r="G2024" t="s">
        <v>6345</v>
      </c>
    </row>
    <row r="2025" spans="1:7" x14ac:dyDescent="0.3">
      <c r="B2025">
        <v>4770</v>
      </c>
      <c r="C2025" t="s">
        <v>588</v>
      </c>
      <c r="D2025" t="s">
        <v>589</v>
      </c>
      <c r="E2025">
        <v>9.5999999999999992E-3</v>
      </c>
      <c r="F2025">
        <v>-4.1200000000000001E-2</v>
      </c>
      <c r="G2025" t="s">
        <v>592</v>
      </c>
    </row>
    <row r="2026" spans="1:7" x14ac:dyDescent="0.3">
      <c r="A2026" t="s">
        <v>5156</v>
      </c>
      <c r="B2026" t="s">
        <v>662</v>
      </c>
      <c r="C2026" t="s">
        <v>6113</v>
      </c>
      <c r="D2026" t="s">
        <v>6140</v>
      </c>
      <c r="E2026">
        <v>9.4999999999999998E-3</v>
      </c>
      <c r="F2026">
        <v>-0.40699999999999997</v>
      </c>
      <c r="G2026" t="s">
        <v>6141</v>
      </c>
    </row>
    <row r="2027" spans="1:7" x14ac:dyDescent="0.3">
      <c r="B2027">
        <v>12.65</v>
      </c>
      <c r="C2027" t="s">
        <v>588</v>
      </c>
      <c r="D2027" t="s">
        <v>5154</v>
      </c>
      <c r="E2027">
        <v>1.0699999999999999E-2</v>
      </c>
      <c r="F2027">
        <v>-0.51700000000000002</v>
      </c>
      <c r="G2027" t="s">
        <v>5157</v>
      </c>
    </row>
    <row r="2028" spans="1:7" x14ac:dyDescent="0.3">
      <c r="A2028" t="s">
        <v>6286</v>
      </c>
      <c r="B2028" t="s">
        <v>662</v>
      </c>
      <c r="C2028" t="s">
        <v>6113</v>
      </c>
      <c r="D2028" t="s">
        <v>6285</v>
      </c>
      <c r="E2028">
        <v>9.4999999999999998E-3</v>
      </c>
      <c r="F2028">
        <v>-5.3E-3</v>
      </c>
      <c r="G2028" t="s">
        <v>6287</v>
      </c>
    </row>
    <row r="2029" spans="1:7" x14ac:dyDescent="0.3">
      <c r="A2029" t="s">
        <v>3785</v>
      </c>
      <c r="B2029">
        <v>57.82</v>
      </c>
      <c r="C2029" t="s">
        <v>588</v>
      </c>
      <c r="D2029" t="s">
        <v>3783</v>
      </c>
      <c r="E2029">
        <v>1.01E-2</v>
      </c>
      <c r="F2029">
        <v>-0.1002</v>
      </c>
      <c r="G2029" t="s">
        <v>3786</v>
      </c>
    </row>
    <row r="2030" spans="1:7" x14ac:dyDescent="0.3">
      <c r="A2030" t="s">
        <v>4665</v>
      </c>
      <c r="B2030" t="s">
        <v>662</v>
      </c>
      <c r="C2030" t="s">
        <v>6113</v>
      </c>
      <c r="D2030" t="s">
        <v>6340</v>
      </c>
      <c r="E2030">
        <v>9.4999999999999998E-3</v>
      </c>
      <c r="F2030">
        <v>7.1499999999999994E-2</v>
      </c>
      <c r="G2030" t="s">
        <v>6341</v>
      </c>
    </row>
    <row r="2031" spans="1:7" x14ac:dyDescent="0.3">
      <c r="B2031">
        <v>22.97</v>
      </c>
      <c r="C2031" t="s">
        <v>588</v>
      </c>
      <c r="D2031" t="s">
        <v>4663</v>
      </c>
      <c r="E2031">
        <v>0.01</v>
      </c>
      <c r="F2031">
        <v>9.1399999999999995E-2</v>
      </c>
      <c r="G2031" t="s">
        <v>4666</v>
      </c>
    </row>
    <row r="2032" spans="1:7" x14ac:dyDescent="0.3">
      <c r="A2032" t="s">
        <v>6103</v>
      </c>
      <c r="B2032" t="s">
        <v>662</v>
      </c>
      <c r="C2032" t="s">
        <v>588</v>
      </c>
      <c r="D2032" t="s">
        <v>6102</v>
      </c>
      <c r="E2032">
        <v>1.0699999999999999E-2</v>
      </c>
      <c r="F2032" t="s">
        <v>662</v>
      </c>
      <c r="G2032" t="s">
        <v>6104</v>
      </c>
    </row>
    <row r="2033" spans="1:1" x14ac:dyDescent="0.3">
      <c r="A2033" t="s">
        <v>6389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0"/>
  <sheetViews>
    <sheetView tabSelected="1" topLeftCell="A198" workbookViewId="0">
      <selection activeCell="I215" sqref="I215"/>
    </sheetView>
  </sheetViews>
  <sheetFormatPr defaultRowHeight="16.5" x14ac:dyDescent="0.3"/>
  <cols>
    <col min="1" max="1" width="5.5" bestFit="1" customWidth="1"/>
    <col min="2" max="2" width="48.5" bestFit="1" customWidth="1"/>
    <col min="3" max="3" width="64.625" bestFit="1" customWidth="1"/>
    <col min="4" max="4" width="9.625" style="4" bestFit="1" customWidth="1"/>
    <col min="5" max="5" width="9.625" bestFit="1" customWidth="1"/>
    <col min="6" max="6" width="10.625" bestFit="1" customWidth="1"/>
    <col min="7" max="7" width="8.375" bestFit="1" customWidth="1"/>
    <col min="8" max="8" width="60.875" bestFit="1" customWidth="1"/>
    <col min="9" max="9" width="8.25" bestFit="1" customWidth="1"/>
  </cols>
  <sheetData>
    <row r="1" spans="1:9" x14ac:dyDescent="0.3">
      <c r="B1" t="s">
        <v>0</v>
      </c>
      <c r="C1" t="s">
        <v>1</v>
      </c>
      <c r="D1" s="4" t="s">
        <v>6391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1856</v>
      </c>
      <c r="B2" t="s">
        <v>5960</v>
      </c>
      <c r="C2" t="s">
        <v>5961</v>
      </c>
      <c r="D2" s="4">
        <v>1.84</v>
      </c>
      <c r="E2" t="s">
        <v>5962</v>
      </c>
      <c r="F2" t="s">
        <v>662</v>
      </c>
      <c r="G2" s="1">
        <v>0.01</v>
      </c>
      <c r="H2" t="s">
        <v>662</v>
      </c>
      <c r="I2" t="s">
        <v>5963</v>
      </c>
    </row>
    <row r="3" spans="1:9" x14ac:dyDescent="0.3">
      <c r="A3">
        <v>964</v>
      </c>
      <c r="B3" t="s">
        <v>486</v>
      </c>
      <c r="C3" t="s">
        <v>3142</v>
      </c>
      <c r="D3" s="4">
        <v>114.44</v>
      </c>
      <c r="E3" t="s">
        <v>3140</v>
      </c>
      <c r="F3" s="1">
        <v>-4.2500000000000003E-2</v>
      </c>
      <c r="G3" s="1">
        <v>3.8999999999999998E-3</v>
      </c>
      <c r="H3" t="s">
        <v>3143</v>
      </c>
      <c r="I3" t="s">
        <v>3144</v>
      </c>
    </row>
    <row r="4" spans="1:9" x14ac:dyDescent="0.3">
      <c r="A4">
        <v>1151</v>
      </c>
      <c r="B4" t="s">
        <v>272</v>
      </c>
      <c r="C4" t="s">
        <v>3746</v>
      </c>
      <c r="D4" s="4">
        <v>60.6</v>
      </c>
      <c r="E4" t="s">
        <v>3747</v>
      </c>
      <c r="F4" s="1">
        <v>-1.83E-2</v>
      </c>
      <c r="G4" s="1">
        <v>7.9000000000000008E-3</v>
      </c>
      <c r="H4" t="s">
        <v>3748</v>
      </c>
      <c r="I4" t="s">
        <v>3749</v>
      </c>
    </row>
    <row r="5" spans="1:9" x14ac:dyDescent="0.3">
      <c r="A5">
        <v>1368</v>
      </c>
      <c r="B5" t="s">
        <v>486</v>
      </c>
      <c r="C5" t="s">
        <v>4450</v>
      </c>
      <c r="D5" s="4">
        <v>28.25</v>
      </c>
      <c r="E5" t="s">
        <v>4451</v>
      </c>
      <c r="F5" s="1">
        <v>-0.1439</v>
      </c>
      <c r="G5" s="1">
        <v>6.0000000000000001E-3</v>
      </c>
      <c r="H5" t="s">
        <v>4452</v>
      </c>
      <c r="I5" t="s">
        <v>4453</v>
      </c>
    </row>
    <row r="6" spans="1:9" x14ac:dyDescent="0.3">
      <c r="A6">
        <v>1724</v>
      </c>
      <c r="B6" t="s">
        <v>12</v>
      </c>
      <c r="C6" t="s">
        <v>5560</v>
      </c>
      <c r="D6" s="4">
        <v>6.2</v>
      </c>
      <c r="E6" t="s">
        <v>5561</v>
      </c>
      <c r="F6" s="1">
        <v>-0.14369999999999999</v>
      </c>
      <c r="G6" s="1">
        <v>5.8999999999999999E-3</v>
      </c>
      <c r="H6" t="s">
        <v>4452</v>
      </c>
      <c r="I6" t="s">
        <v>5562</v>
      </c>
    </row>
    <row r="7" spans="1:9" x14ac:dyDescent="0.3">
      <c r="A7">
        <v>1226</v>
      </c>
      <c r="B7" t="s">
        <v>12</v>
      </c>
      <c r="C7" t="s">
        <v>3986</v>
      </c>
      <c r="D7" s="4">
        <v>46.4</v>
      </c>
      <c r="E7" t="s">
        <v>3987</v>
      </c>
      <c r="F7" s="1">
        <v>2.3099999999999999E-2</v>
      </c>
      <c r="G7" s="1">
        <v>4.8999999999999998E-3</v>
      </c>
      <c r="H7" t="s">
        <v>3988</v>
      </c>
      <c r="I7" t="s">
        <v>3989</v>
      </c>
    </row>
    <row r="8" spans="1:9" x14ac:dyDescent="0.3">
      <c r="A8">
        <v>1584</v>
      </c>
      <c r="B8" t="s">
        <v>979</v>
      </c>
      <c r="C8" t="s">
        <v>5123</v>
      </c>
      <c r="D8" s="4">
        <v>12.99</v>
      </c>
      <c r="E8" t="s">
        <v>5124</v>
      </c>
      <c r="F8" s="1">
        <v>-4.4400000000000002E-2</v>
      </c>
      <c r="G8" s="1">
        <v>9.9000000000000008E-3</v>
      </c>
      <c r="H8" t="s">
        <v>5125</v>
      </c>
      <c r="I8" t="s">
        <v>5126</v>
      </c>
    </row>
    <row r="9" spans="1:9" x14ac:dyDescent="0.3">
      <c r="A9">
        <v>257</v>
      </c>
      <c r="B9" t="s">
        <v>12</v>
      </c>
      <c r="C9" t="s">
        <v>881</v>
      </c>
      <c r="D9" s="4">
        <f>2.19*1000</f>
        <v>2190</v>
      </c>
      <c r="E9" t="s">
        <v>882</v>
      </c>
      <c r="F9" s="1">
        <v>-5.0299999999999997E-2</v>
      </c>
      <c r="G9" s="1">
        <v>5.0000000000000001E-3</v>
      </c>
      <c r="H9" t="s">
        <v>883</v>
      </c>
      <c r="I9" t="s">
        <v>884</v>
      </c>
    </row>
    <row r="10" spans="1:9" x14ac:dyDescent="0.3">
      <c r="A10">
        <v>172</v>
      </c>
      <c r="B10" t="s">
        <v>12</v>
      </c>
      <c r="C10" t="s">
        <v>604</v>
      </c>
      <c r="D10" s="4">
        <f>4.67*1000</f>
        <v>4670</v>
      </c>
      <c r="E10" t="s">
        <v>605</v>
      </c>
      <c r="F10" s="1">
        <v>-4.6699999999999998E-2</v>
      </c>
      <c r="G10" s="1">
        <v>7.0000000000000001E-3</v>
      </c>
      <c r="H10" t="s">
        <v>606</v>
      </c>
      <c r="I10" t="s">
        <v>607</v>
      </c>
    </row>
    <row r="11" spans="1:9" x14ac:dyDescent="0.3">
      <c r="A11">
        <v>1341</v>
      </c>
      <c r="B11" t="s">
        <v>1340</v>
      </c>
      <c r="C11" t="s">
        <v>4363</v>
      </c>
      <c r="D11" s="4">
        <v>31.64</v>
      </c>
      <c r="E11" t="s">
        <v>4364</v>
      </c>
      <c r="F11" s="1">
        <v>-4.2000000000000003E-2</v>
      </c>
      <c r="G11" s="1">
        <v>1.9E-3</v>
      </c>
      <c r="H11" t="s">
        <v>606</v>
      </c>
      <c r="I11" t="s">
        <v>4365</v>
      </c>
    </row>
    <row r="12" spans="1:9" x14ac:dyDescent="0.3">
      <c r="A12">
        <v>1780</v>
      </c>
      <c r="B12" t="s">
        <v>4636</v>
      </c>
      <c r="C12" t="s">
        <v>5729</v>
      </c>
      <c r="D12" s="4">
        <v>4.21</v>
      </c>
      <c r="E12" t="s">
        <v>5730</v>
      </c>
      <c r="F12" s="1">
        <v>3.8300000000000001E-2</v>
      </c>
      <c r="G12" s="1">
        <v>7.7999999999999996E-3</v>
      </c>
      <c r="H12" t="s">
        <v>606</v>
      </c>
      <c r="I12" t="s">
        <v>5731</v>
      </c>
    </row>
    <row r="13" spans="1:9" x14ac:dyDescent="0.3">
      <c r="A13">
        <v>329</v>
      </c>
      <c r="B13" t="s">
        <v>12</v>
      </c>
      <c r="C13" t="s">
        <v>1098</v>
      </c>
      <c r="D13" s="4">
        <f>1.39*1000</f>
        <v>1390</v>
      </c>
      <c r="E13" t="s">
        <v>1093</v>
      </c>
      <c r="F13" s="1">
        <v>-7.9100000000000004E-2</v>
      </c>
      <c r="G13" s="1">
        <v>5.1000000000000004E-3</v>
      </c>
      <c r="H13" t="s">
        <v>1099</v>
      </c>
      <c r="I13" t="s">
        <v>1100</v>
      </c>
    </row>
    <row r="14" spans="1:9" x14ac:dyDescent="0.3">
      <c r="A14">
        <v>1400</v>
      </c>
      <c r="B14" t="s">
        <v>1340</v>
      </c>
      <c r="C14" t="s">
        <v>4547</v>
      </c>
      <c r="D14" s="4">
        <v>25.41</v>
      </c>
      <c r="E14" t="s">
        <v>4548</v>
      </c>
      <c r="F14" s="1">
        <v>-7.22E-2</v>
      </c>
      <c r="G14" s="1">
        <v>8.9999999999999998E-4</v>
      </c>
      <c r="H14" t="s">
        <v>1099</v>
      </c>
      <c r="I14" t="s">
        <v>4549</v>
      </c>
    </row>
    <row r="15" spans="1:9" x14ac:dyDescent="0.3">
      <c r="A15">
        <v>1057</v>
      </c>
      <c r="B15" t="s">
        <v>12</v>
      </c>
      <c r="C15" t="s">
        <v>3441</v>
      </c>
      <c r="D15" s="4">
        <v>83.68</v>
      </c>
      <c r="E15" t="s">
        <v>3442</v>
      </c>
      <c r="F15" s="1">
        <v>-0.01</v>
      </c>
      <c r="G15" s="1">
        <v>5.1000000000000004E-3</v>
      </c>
      <c r="H15" t="s">
        <v>3443</v>
      </c>
      <c r="I15" t="s">
        <v>3444</v>
      </c>
    </row>
    <row r="16" spans="1:9" x14ac:dyDescent="0.3">
      <c r="A16">
        <v>1337</v>
      </c>
      <c r="B16" t="s">
        <v>12</v>
      </c>
      <c r="C16" t="s">
        <v>4350</v>
      </c>
      <c r="D16" s="4">
        <v>31.8</v>
      </c>
      <c r="E16" t="s">
        <v>4351</v>
      </c>
      <c r="F16" s="1">
        <v>-4.5999999999999999E-3</v>
      </c>
      <c r="G16" s="1">
        <v>5.1000000000000004E-3</v>
      </c>
      <c r="H16" t="s">
        <v>4352</v>
      </c>
      <c r="I16" t="s">
        <v>4353</v>
      </c>
    </row>
    <row r="17" spans="1:9" x14ac:dyDescent="0.3">
      <c r="A17">
        <v>988</v>
      </c>
      <c r="B17" t="s">
        <v>12</v>
      </c>
      <c r="C17" t="s">
        <v>3219</v>
      </c>
      <c r="D17" s="4">
        <v>103.9</v>
      </c>
      <c r="E17" t="s">
        <v>3220</v>
      </c>
      <c r="F17" s="1">
        <v>-4.3499999999999997E-2</v>
      </c>
      <c r="G17" s="1">
        <v>5.8999999999999999E-3</v>
      </c>
      <c r="H17" t="s">
        <v>3221</v>
      </c>
      <c r="I17" t="s">
        <v>3222</v>
      </c>
    </row>
    <row r="18" spans="1:9" x14ac:dyDescent="0.3">
      <c r="A18">
        <v>1340</v>
      </c>
      <c r="B18" t="s">
        <v>272</v>
      </c>
      <c r="C18" t="s">
        <v>4360</v>
      </c>
      <c r="D18" s="4">
        <v>31.73</v>
      </c>
      <c r="E18" t="s">
        <v>4361</v>
      </c>
      <c r="F18" s="1">
        <v>-3.6999999999999998E-2</v>
      </c>
      <c r="G18" s="1">
        <v>6.3E-3</v>
      </c>
      <c r="H18" t="s">
        <v>3221</v>
      </c>
      <c r="I18" t="s">
        <v>4362</v>
      </c>
    </row>
    <row r="19" spans="1:9" x14ac:dyDescent="0.3">
      <c r="A19">
        <v>161</v>
      </c>
      <c r="B19" t="s">
        <v>12</v>
      </c>
      <c r="C19" t="s">
        <v>567</v>
      </c>
      <c r="D19" s="4">
        <f>5.05*1000</f>
        <v>5050</v>
      </c>
      <c r="E19" t="s">
        <v>568</v>
      </c>
      <c r="F19" s="1">
        <v>6.9599999999999995E-2</v>
      </c>
      <c r="G19" s="1">
        <v>5.8999999999999999E-3</v>
      </c>
      <c r="H19" t="s">
        <v>569</v>
      </c>
      <c r="I19" t="s">
        <v>570</v>
      </c>
    </row>
    <row r="20" spans="1:9" x14ac:dyDescent="0.3">
      <c r="A20">
        <v>688</v>
      </c>
      <c r="B20" t="s">
        <v>1340</v>
      </c>
      <c r="C20" t="s">
        <v>2253</v>
      </c>
      <c r="D20" s="4">
        <v>292.81</v>
      </c>
      <c r="E20" t="s">
        <v>2254</v>
      </c>
      <c r="F20" s="1">
        <v>5.91E-2</v>
      </c>
      <c r="G20" s="1">
        <v>1.9E-3</v>
      </c>
      <c r="H20" t="s">
        <v>569</v>
      </c>
      <c r="I20" t="s">
        <v>2255</v>
      </c>
    </row>
    <row r="21" spans="1:9" x14ac:dyDescent="0.3">
      <c r="A21">
        <v>1598</v>
      </c>
      <c r="B21" t="s">
        <v>280</v>
      </c>
      <c r="C21" t="s">
        <v>5171</v>
      </c>
      <c r="D21" s="4">
        <v>12.1</v>
      </c>
      <c r="E21" t="s">
        <v>5172</v>
      </c>
      <c r="F21" s="1">
        <v>7.4000000000000003E-3</v>
      </c>
      <c r="G21" s="1">
        <v>8.0000000000000002E-3</v>
      </c>
      <c r="H21" t="s">
        <v>569</v>
      </c>
      <c r="I21" t="s">
        <v>5173</v>
      </c>
    </row>
    <row r="22" spans="1:9" x14ac:dyDescent="0.3">
      <c r="A22">
        <v>136</v>
      </c>
      <c r="B22" t="s">
        <v>332</v>
      </c>
      <c r="C22" t="s">
        <v>479</v>
      </c>
      <c r="D22" s="4">
        <f>6.1*1000</f>
        <v>6100</v>
      </c>
      <c r="E22" t="s">
        <v>480</v>
      </c>
      <c r="F22" s="1">
        <v>-3.1899999999999998E-2</v>
      </c>
      <c r="G22" s="1">
        <v>1.9E-3</v>
      </c>
      <c r="H22" t="s">
        <v>481</v>
      </c>
      <c r="I22" t="s">
        <v>482</v>
      </c>
    </row>
    <row r="23" spans="1:9" x14ac:dyDescent="0.3">
      <c r="A23">
        <v>187</v>
      </c>
      <c r="B23" t="s">
        <v>12</v>
      </c>
      <c r="C23" t="s">
        <v>651</v>
      </c>
      <c r="D23" s="4">
        <f>4.04*1000</f>
        <v>4040</v>
      </c>
      <c r="E23" t="s">
        <v>652</v>
      </c>
      <c r="F23" s="1">
        <v>-3.5799999999999998E-2</v>
      </c>
      <c r="G23" s="1">
        <v>5.1000000000000004E-3</v>
      </c>
      <c r="H23" t="s">
        <v>481</v>
      </c>
      <c r="I23" t="s">
        <v>653</v>
      </c>
    </row>
    <row r="24" spans="1:9" x14ac:dyDescent="0.3">
      <c r="A24">
        <v>1331</v>
      </c>
      <c r="B24" t="s">
        <v>1340</v>
      </c>
      <c r="C24" t="s">
        <v>4329</v>
      </c>
      <c r="D24" s="4">
        <v>32.24</v>
      </c>
      <c r="E24" t="s">
        <v>4330</v>
      </c>
      <c r="F24" s="1">
        <v>-2.23E-2</v>
      </c>
      <c r="G24" s="1">
        <v>8.9999999999999998E-4</v>
      </c>
      <c r="H24" t="s">
        <v>481</v>
      </c>
      <c r="I24" t="s">
        <v>4331</v>
      </c>
    </row>
    <row r="25" spans="1:9" x14ac:dyDescent="0.3">
      <c r="A25">
        <v>1505</v>
      </c>
      <c r="B25" t="s">
        <v>12</v>
      </c>
      <c r="C25" t="s">
        <v>4882</v>
      </c>
      <c r="D25" s="4">
        <v>18.079999999999998</v>
      </c>
      <c r="E25" t="s">
        <v>4883</v>
      </c>
      <c r="F25" s="1">
        <v>-1.9099999999999999E-2</v>
      </c>
      <c r="G25" s="1">
        <v>5.3E-3</v>
      </c>
      <c r="H25" t="s">
        <v>481</v>
      </c>
      <c r="I25" t="s">
        <v>4884</v>
      </c>
    </row>
    <row r="26" spans="1:9" x14ac:dyDescent="0.3">
      <c r="A26">
        <v>557</v>
      </c>
      <c r="B26" t="s">
        <v>12</v>
      </c>
      <c r="C26" t="s">
        <v>1815</v>
      </c>
      <c r="D26" s="4">
        <v>490.09</v>
      </c>
      <c r="E26" t="s">
        <v>1816</v>
      </c>
      <c r="F26" s="1">
        <v>0.1391</v>
      </c>
      <c r="G26" s="1">
        <v>5.8999999999999999E-3</v>
      </c>
      <c r="H26" t="s">
        <v>1817</v>
      </c>
      <c r="I26" t="s">
        <v>1818</v>
      </c>
    </row>
    <row r="27" spans="1:9" x14ac:dyDescent="0.3">
      <c r="A27">
        <v>145</v>
      </c>
      <c r="B27" t="s">
        <v>12</v>
      </c>
      <c r="C27" t="s">
        <v>510</v>
      </c>
      <c r="D27" s="4">
        <f>5.71*1000</f>
        <v>5710</v>
      </c>
      <c r="E27" t="s">
        <v>511</v>
      </c>
      <c r="F27" s="1">
        <v>-8.1900000000000001E-2</v>
      </c>
      <c r="G27" s="1">
        <v>7.4000000000000003E-3</v>
      </c>
      <c r="H27" t="s">
        <v>512</v>
      </c>
      <c r="I27" t="s">
        <v>513</v>
      </c>
    </row>
    <row r="28" spans="1:9" x14ac:dyDescent="0.3">
      <c r="A28">
        <v>1308</v>
      </c>
      <c r="B28" t="s">
        <v>272</v>
      </c>
      <c r="C28" t="s">
        <v>4253</v>
      </c>
      <c r="D28" s="4">
        <v>35.26</v>
      </c>
      <c r="E28" t="s">
        <v>4254</v>
      </c>
      <c r="F28" s="1">
        <v>-7.4300000000000005E-2</v>
      </c>
      <c r="G28" s="1">
        <v>6.4999999999999997E-3</v>
      </c>
      <c r="H28" t="s">
        <v>512</v>
      </c>
      <c r="I28" t="s">
        <v>4255</v>
      </c>
    </row>
    <row r="29" spans="1:9" x14ac:dyDescent="0.3">
      <c r="A29">
        <v>1663</v>
      </c>
      <c r="B29" t="s">
        <v>941</v>
      </c>
      <c r="C29" t="s">
        <v>5375</v>
      </c>
      <c r="D29" s="4">
        <v>8.4</v>
      </c>
      <c r="E29" t="s">
        <v>5376</v>
      </c>
      <c r="F29" s="1">
        <v>-3.04E-2</v>
      </c>
      <c r="G29" s="1">
        <v>7.0000000000000001E-3</v>
      </c>
      <c r="H29" t="s">
        <v>512</v>
      </c>
      <c r="I29" t="s">
        <v>5377</v>
      </c>
    </row>
    <row r="30" spans="1:9" x14ac:dyDescent="0.3">
      <c r="A30">
        <v>1112</v>
      </c>
      <c r="B30" t="s">
        <v>12</v>
      </c>
      <c r="C30" t="s">
        <v>3620</v>
      </c>
      <c r="D30" s="4">
        <v>70.75</v>
      </c>
      <c r="E30" t="s">
        <v>3621</v>
      </c>
      <c r="F30" s="1">
        <v>-4.7800000000000002E-2</v>
      </c>
      <c r="G30" s="1">
        <v>5.8999999999999999E-3</v>
      </c>
      <c r="H30" t="s">
        <v>3622</v>
      </c>
      <c r="I30" t="s">
        <v>3623</v>
      </c>
    </row>
    <row r="31" spans="1:9" x14ac:dyDescent="0.3">
      <c r="A31">
        <v>1287</v>
      </c>
      <c r="B31" t="s">
        <v>618</v>
      </c>
      <c r="C31" t="s">
        <v>4186</v>
      </c>
      <c r="D31" s="4">
        <v>37.68</v>
      </c>
      <c r="E31" t="s">
        <v>4187</v>
      </c>
      <c r="F31" s="1">
        <v>-1.2999999999999999E-2</v>
      </c>
      <c r="G31" s="1">
        <v>6.4999999999999997E-3</v>
      </c>
      <c r="H31" t="s">
        <v>3622</v>
      </c>
      <c r="I31" t="s">
        <v>4188</v>
      </c>
    </row>
    <row r="32" spans="1:9" x14ac:dyDescent="0.3">
      <c r="A32">
        <v>131</v>
      </c>
      <c r="B32" t="s">
        <v>12</v>
      </c>
      <c r="C32" t="s">
        <v>464</v>
      </c>
      <c r="D32" s="4">
        <f>6.36*1000</f>
        <v>6360</v>
      </c>
      <c r="E32" t="s">
        <v>465</v>
      </c>
      <c r="F32" s="1">
        <v>-0.11700000000000001</v>
      </c>
      <c r="G32" s="1">
        <v>5.8999999999999999E-3</v>
      </c>
      <c r="H32" t="s">
        <v>466</v>
      </c>
      <c r="I32" t="s">
        <v>467</v>
      </c>
    </row>
    <row r="33" spans="1:9" x14ac:dyDescent="0.3">
      <c r="A33">
        <v>212</v>
      </c>
      <c r="B33" t="s">
        <v>618</v>
      </c>
      <c r="C33" t="s">
        <v>735</v>
      </c>
      <c r="D33" s="4">
        <f>3.25*1000</f>
        <v>3250</v>
      </c>
      <c r="E33" t="s">
        <v>736</v>
      </c>
      <c r="F33" s="1">
        <v>-2.35E-2</v>
      </c>
      <c r="G33" s="1">
        <v>6.4999999999999997E-3</v>
      </c>
      <c r="H33" t="s">
        <v>466</v>
      </c>
      <c r="I33" t="s">
        <v>737</v>
      </c>
    </row>
    <row r="34" spans="1:9" x14ac:dyDescent="0.3">
      <c r="A34">
        <v>315</v>
      </c>
      <c r="B34" t="s">
        <v>7</v>
      </c>
      <c r="C34" t="s">
        <v>1060</v>
      </c>
      <c r="D34" s="4">
        <f>1.5*1000</f>
        <v>1500</v>
      </c>
      <c r="E34" t="s">
        <v>1056</v>
      </c>
      <c r="F34" s="1">
        <v>-0.1026</v>
      </c>
      <c r="G34" s="1">
        <v>5.8999999999999999E-3</v>
      </c>
      <c r="H34" t="s">
        <v>466</v>
      </c>
      <c r="I34" t="s">
        <v>1061</v>
      </c>
    </row>
    <row r="35" spans="1:9" x14ac:dyDescent="0.3">
      <c r="A35">
        <v>384</v>
      </c>
      <c r="B35" t="s">
        <v>440</v>
      </c>
      <c r="C35" t="s">
        <v>1255</v>
      </c>
      <c r="D35" s="4">
        <f>1.03*1000</f>
        <v>1030</v>
      </c>
      <c r="E35" t="s">
        <v>1251</v>
      </c>
      <c r="F35" s="1">
        <v>-0.14460000000000001</v>
      </c>
      <c r="G35" s="1">
        <v>3.2000000000000002E-3</v>
      </c>
      <c r="H35" t="s">
        <v>466</v>
      </c>
      <c r="I35" t="s">
        <v>1256</v>
      </c>
    </row>
    <row r="36" spans="1:9" x14ac:dyDescent="0.3">
      <c r="A36">
        <v>410</v>
      </c>
      <c r="B36" t="s">
        <v>12</v>
      </c>
      <c r="C36" t="s">
        <v>1337</v>
      </c>
      <c r="D36" s="4">
        <v>927.23</v>
      </c>
      <c r="E36" t="s">
        <v>1338</v>
      </c>
      <c r="F36" s="1">
        <v>-2.9000000000000001E-2</v>
      </c>
      <c r="G36" s="1">
        <v>6.0000000000000001E-3</v>
      </c>
      <c r="H36" t="s">
        <v>466</v>
      </c>
      <c r="I36" t="s">
        <v>1339</v>
      </c>
    </row>
    <row r="37" spans="1:9" x14ac:dyDescent="0.3">
      <c r="A37">
        <v>480</v>
      </c>
      <c r="B37" t="s">
        <v>400</v>
      </c>
      <c r="C37" t="s">
        <v>1563</v>
      </c>
      <c r="D37" s="4">
        <v>705</v>
      </c>
      <c r="E37" t="s">
        <v>1564</v>
      </c>
      <c r="F37" s="1">
        <v>-2.46E-2</v>
      </c>
      <c r="G37" s="1">
        <v>6.0000000000000001E-3</v>
      </c>
      <c r="H37" t="s">
        <v>466</v>
      </c>
      <c r="I37" t="s">
        <v>1565</v>
      </c>
    </row>
    <row r="38" spans="1:9" x14ac:dyDescent="0.3">
      <c r="A38">
        <v>772</v>
      </c>
      <c r="B38" t="s">
        <v>24</v>
      </c>
      <c r="C38" t="s">
        <v>2529</v>
      </c>
      <c r="D38" s="4">
        <v>207.69</v>
      </c>
      <c r="E38" t="s">
        <v>2530</v>
      </c>
      <c r="F38" s="1">
        <v>-0.27050000000000002</v>
      </c>
      <c r="G38" s="1">
        <v>6.8999999999999999E-3</v>
      </c>
      <c r="H38" t="s">
        <v>466</v>
      </c>
      <c r="I38" t="s">
        <v>2531</v>
      </c>
    </row>
    <row r="39" spans="1:9" x14ac:dyDescent="0.3">
      <c r="A39">
        <v>824</v>
      </c>
      <c r="B39" t="s">
        <v>400</v>
      </c>
      <c r="C39" t="s">
        <v>2693</v>
      </c>
      <c r="D39" s="4">
        <v>173.91</v>
      </c>
      <c r="E39" t="s">
        <v>2694</v>
      </c>
      <c r="F39" s="1">
        <v>-0.1237</v>
      </c>
      <c r="G39" s="1">
        <v>7.9000000000000008E-3</v>
      </c>
      <c r="H39" t="s">
        <v>466</v>
      </c>
      <c r="I39" t="s">
        <v>2695</v>
      </c>
    </row>
    <row r="40" spans="1:9" x14ac:dyDescent="0.3">
      <c r="A40">
        <v>944</v>
      </c>
      <c r="B40" t="s">
        <v>1340</v>
      </c>
      <c r="C40" t="s">
        <v>3078</v>
      </c>
      <c r="D40" s="4">
        <v>122.64</v>
      </c>
      <c r="E40" t="s">
        <v>3076</v>
      </c>
      <c r="F40" s="1">
        <v>-0.1053</v>
      </c>
      <c r="G40" s="1">
        <v>1.9E-3</v>
      </c>
      <c r="H40" t="s">
        <v>466</v>
      </c>
      <c r="I40" t="s">
        <v>3079</v>
      </c>
    </row>
    <row r="41" spans="1:9" x14ac:dyDescent="0.3">
      <c r="A41">
        <v>1048</v>
      </c>
      <c r="B41" t="s">
        <v>400</v>
      </c>
      <c r="C41" t="s">
        <v>3412</v>
      </c>
      <c r="D41" s="4">
        <v>86.35</v>
      </c>
      <c r="E41" t="s">
        <v>3413</v>
      </c>
      <c r="F41" s="1">
        <v>-5.3100000000000001E-2</v>
      </c>
      <c r="G41" s="1">
        <v>8.8000000000000005E-3</v>
      </c>
      <c r="H41" t="s">
        <v>466</v>
      </c>
      <c r="I41" t="s">
        <v>3414</v>
      </c>
    </row>
    <row r="42" spans="1:9" x14ac:dyDescent="0.3">
      <c r="A42">
        <v>1197</v>
      </c>
      <c r="B42" t="s">
        <v>3896</v>
      </c>
      <c r="C42" t="s">
        <v>3897</v>
      </c>
      <c r="D42" s="4">
        <v>50.1</v>
      </c>
      <c r="E42" t="s">
        <v>3898</v>
      </c>
      <c r="F42" s="1">
        <v>-3.4500000000000003E-2</v>
      </c>
      <c r="G42" s="1">
        <v>8.0000000000000002E-3</v>
      </c>
      <c r="H42" t="s">
        <v>466</v>
      </c>
      <c r="I42" t="s">
        <v>3899</v>
      </c>
    </row>
    <row r="43" spans="1:9" x14ac:dyDescent="0.3">
      <c r="A43">
        <v>1475</v>
      </c>
      <c r="B43" t="s">
        <v>400</v>
      </c>
      <c r="C43" t="s">
        <v>4789</v>
      </c>
      <c r="D43" s="4">
        <v>20.29</v>
      </c>
      <c r="E43" t="s">
        <v>4790</v>
      </c>
      <c r="F43" s="1">
        <v>-7.9600000000000004E-2</v>
      </c>
      <c r="G43" s="1">
        <v>4.8999999999999998E-3</v>
      </c>
      <c r="H43" t="s">
        <v>466</v>
      </c>
      <c r="I43" t="s">
        <v>4791</v>
      </c>
    </row>
    <row r="44" spans="1:9" x14ac:dyDescent="0.3">
      <c r="A44">
        <v>1574</v>
      </c>
      <c r="B44" t="s">
        <v>618</v>
      </c>
      <c r="C44" t="s">
        <v>5091</v>
      </c>
      <c r="D44" s="4">
        <v>13.51</v>
      </c>
      <c r="E44" t="s">
        <v>5092</v>
      </c>
      <c r="F44" s="1">
        <v>-8.7300000000000003E-2</v>
      </c>
      <c r="G44" s="1">
        <v>5.0000000000000001E-3</v>
      </c>
      <c r="H44" t="s">
        <v>466</v>
      </c>
      <c r="I44" t="s">
        <v>5093</v>
      </c>
    </row>
    <row r="45" spans="1:9" x14ac:dyDescent="0.3">
      <c r="A45">
        <v>1623</v>
      </c>
      <c r="B45" t="s">
        <v>400</v>
      </c>
      <c r="C45" t="s">
        <v>5251</v>
      </c>
      <c r="D45" s="4">
        <v>10.5</v>
      </c>
      <c r="E45" t="s">
        <v>5252</v>
      </c>
      <c r="F45" s="1">
        <v>3.8899999999999997E-2</v>
      </c>
      <c r="G45" s="1">
        <v>7.0000000000000001E-3</v>
      </c>
      <c r="H45" t="s">
        <v>466</v>
      </c>
      <c r="I45" t="s">
        <v>5253</v>
      </c>
    </row>
    <row r="46" spans="1:9" x14ac:dyDescent="0.3">
      <c r="A46">
        <v>1634</v>
      </c>
      <c r="B46" t="s">
        <v>280</v>
      </c>
      <c r="C46" t="s">
        <v>5284</v>
      </c>
      <c r="D46" s="4">
        <v>9.92</v>
      </c>
      <c r="E46" t="s">
        <v>5285</v>
      </c>
      <c r="F46" s="1">
        <v>-4.4499999999999998E-2</v>
      </c>
      <c r="G46" s="1">
        <v>8.0000000000000002E-3</v>
      </c>
      <c r="H46" t="s">
        <v>466</v>
      </c>
      <c r="I46" t="s">
        <v>5286</v>
      </c>
    </row>
    <row r="47" spans="1:9" x14ac:dyDescent="0.3">
      <c r="A47">
        <v>1642</v>
      </c>
      <c r="B47" t="s">
        <v>400</v>
      </c>
      <c r="C47" t="s">
        <v>5309</v>
      </c>
      <c r="D47" s="4">
        <v>9.5500000000000007</v>
      </c>
      <c r="E47" t="s">
        <v>5310</v>
      </c>
      <c r="F47" s="1">
        <v>-0.1104</v>
      </c>
      <c r="G47" s="1">
        <v>5.8999999999999999E-3</v>
      </c>
      <c r="H47" t="s">
        <v>466</v>
      </c>
      <c r="I47" t="s">
        <v>5311</v>
      </c>
    </row>
    <row r="48" spans="1:9" x14ac:dyDescent="0.3">
      <c r="A48">
        <v>1655</v>
      </c>
      <c r="B48" t="s">
        <v>618</v>
      </c>
      <c r="C48" t="s">
        <v>5350</v>
      </c>
      <c r="D48" s="4">
        <v>8.7100000000000009</v>
      </c>
      <c r="E48" t="s">
        <v>5351</v>
      </c>
      <c r="F48" s="1">
        <v>-3.5999999999999997E-2</v>
      </c>
      <c r="G48" s="1">
        <v>6.0000000000000001E-3</v>
      </c>
      <c r="H48" t="s">
        <v>466</v>
      </c>
      <c r="I48" t="s">
        <v>5352</v>
      </c>
    </row>
    <row r="49" spans="1:9" x14ac:dyDescent="0.3">
      <c r="A49">
        <v>1806</v>
      </c>
      <c r="B49" t="s">
        <v>486</v>
      </c>
      <c r="C49" t="s">
        <v>5809</v>
      </c>
      <c r="D49" s="4">
        <v>3.48</v>
      </c>
      <c r="E49" t="s">
        <v>5810</v>
      </c>
      <c r="F49" s="1">
        <v>-0.1149</v>
      </c>
      <c r="G49" s="1">
        <v>7.4999999999999997E-3</v>
      </c>
      <c r="H49" t="s">
        <v>466</v>
      </c>
      <c r="I49" t="s">
        <v>5811</v>
      </c>
    </row>
    <row r="50" spans="1:9" x14ac:dyDescent="0.3">
      <c r="A50">
        <v>1407</v>
      </c>
      <c r="B50" t="s">
        <v>272</v>
      </c>
      <c r="C50" t="s">
        <v>4568</v>
      </c>
      <c r="D50" s="4">
        <v>25.21</v>
      </c>
      <c r="E50" t="s">
        <v>4569</v>
      </c>
      <c r="F50" s="1">
        <v>-7.5899999999999995E-2</v>
      </c>
      <c r="G50" s="1">
        <v>6.0000000000000001E-3</v>
      </c>
      <c r="H50" t="s">
        <v>4570</v>
      </c>
      <c r="I50" t="s">
        <v>4571</v>
      </c>
    </row>
    <row r="51" spans="1:9" x14ac:dyDescent="0.3">
      <c r="A51">
        <v>1802</v>
      </c>
      <c r="B51" t="s">
        <v>486</v>
      </c>
      <c r="C51" t="s">
        <v>5796</v>
      </c>
      <c r="D51" s="4">
        <v>3.54</v>
      </c>
      <c r="E51" t="s">
        <v>5797</v>
      </c>
      <c r="F51" s="1">
        <v>-0.17649999999999999</v>
      </c>
      <c r="G51" s="1">
        <v>6.7000000000000002E-3</v>
      </c>
      <c r="H51" t="s">
        <v>5798</v>
      </c>
      <c r="I51" t="s">
        <v>5799</v>
      </c>
    </row>
    <row r="52" spans="1:9" x14ac:dyDescent="0.3">
      <c r="A52">
        <v>1719</v>
      </c>
      <c r="B52" t="s">
        <v>400</v>
      </c>
      <c r="C52" t="s">
        <v>5544</v>
      </c>
      <c r="D52" s="4">
        <v>6.35</v>
      </c>
      <c r="E52" t="s">
        <v>5545</v>
      </c>
      <c r="F52" s="1">
        <v>-0.14760000000000001</v>
      </c>
      <c r="G52" s="1">
        <v>6.8999999999999999E-3</v>
      </c>
      <c r="H52" t="s">
        <v>5546</v>
      </c>
      <c r="I52" t="s">
        <v>5547</v>
      </c>
    </row>
    <row r="53" spans="1:9" x14ac:dyDescent="0.3">
      <c r="A53">
        <v>1846</v>
      </c>
      <c r="B53" t="s">
        <v>400</v>
      </c>
      <c r="C53" t="s">
        <v>5931</v>
      </c>
      <c r="D53" s="4">
        <v>2.27</v>
      </c>
      <c r="E53" t="s">
        <v>5932</v>
      </c>
      <c r="F53" s="1">
        <v>-0.15040000000000001</v>
      </c>
      <c r="G53" s="1">
        <v>7.0000000000000001E-3</v>
      </c>
      <c r="H53" t="s">
        <v>5933</v>
      </c>
      <c r="I53" t="s">
        <v>5934</v>
      </c>
    </row>
    <row r="54" spans="1:9" x14ac:dyDescent="0.3">
      <c r="A54">
        <v>1603</v>
      </c>
      <c r="B54" t="s">
        <v>486</v>
      </c>
      <c r="C54" t="s">
        <v>5185</v>
      </c>
      <c r="D54" s="4">
        <v>11.78</v>
      </c>
      <c r="E54" t="s">
        <v>5186</v>
      </c>
      <c r="F54" s="1">
        <v>-0.1075</v>
      </c>
      <c r="G54" s="1">
        <v>6.4999999999999997E-3</v>
      </c>
      <c r="H54" t="s">
        <v>5187</v>
      </c>
      <c r="I54" t="s">
        <v>5188</v>
      </c>
    </row>
    <row r="55" spans="1:9" x14ac:dyDescent="0.3">
      <c r="A55">
        <v>1172</v>
      </c>
      <c r="B55" t="s">
        <v>400</v>
      </c>
      <c r="C55" t="s">
        <v>3815</v>
      </c>
      <c r="D55" s="4">
        <v>56.06</v>
      </c>
      <c r="E55" t="s">
        <v>3816</v>
      </c>
      <c r="F55" s="1">
        <v>-1.5699999999999999E-2</v>
      </c>
      <c r="G55" s="1">
        <v>6.8999999999999999E-3</v>
      </c>
      <c r="H55" t="s">
        <v>3817</v>
      </c>
      <c r="I55" t="s">
        <v>3818</v>
      </c>
    </row>
    <row r="56" spans="1:9" x14ac:dyDescent="0.3">
      <c r="A56">
        <v>600</v>
      </c>
      <c r="B56" t="s">
        <v>486</v>
      </c>
      <c r="C56" t="s">
        <v>1962</v>
      </c>
      <c r="D56" s="4">
        <v>410.38</v>
      </c>
      <c r="E56" t="s">
        <v>1963</v>
      </c>
      <c r="F56" s="1">
        <v>-0.18229999999999999</v>
      </c>
      <c r="G56" s="1">
        <v>6.4999999999999997E-3</v>
      </c>
      <c r="H56" t="s">
        <v>1964</v>
      </c>
      <c r="I56" t="s">
        <v>1965</v>
      </c>
    </row>
    <row r="57" spans="1:9" x14ac:dyDescent="0.3">
      <c r="A57">
        <v>1588</v>
      </c>
      <c r="B57" t="s">
        <v>486</v>
      </c>
      <c r="C57" t="s">
        <v>5137</v>
      </c>
      <c r="D57" s="4">
        <v>12.86</v>
      </c>
      <c r="E57" t="s">
        <v>5138</v>
      </c>
      <c r="F57" s="1">
        <v>-1.06E-2</v>
      </c>
      <c r="G57" s="1">
        <v>6.4999999999999997E-3</v>
      </c>
      <c r="H57" t="s">
        <v>5139</v>
      </c>
      <c r="I57" t="s">
        <v>5140</v>
      </c>
    </row>
    <row r="58" spans="1:9" x14ac:dyDescent="0.3">
      <c r="A58">
        <v>1604</v>
      </c>
      <c r="B58" t="s">
        <v>486</v>
      </c>
      <c r="C58" t="s">
        <v>5189</v>
      </c>
      <c r="D58" s="4">
        <v>11.65</v>
      </c>
      <c r="E58" t="s">
        <v>5190</v>
      </c>
      <c r="F58" s="1">
        <v>-1.5599999999999999E-2</v>
      </c>
      <c r="G58" s="1">
        <v>6.6E-3</v>
      </c>
      <c r="H58" t="s">
        <v>5191</v>
      </c>
      <c r="I58" t="s">
        <v>5192</v>
      </c>
    </row>
    <row r="59" spans="1:9" x14ac:dyDescent="0.3">
      <c r="A59">
        <v>1010</v>
      </c>
      <c r="B59" t="s">
        <v>486</v>
      </c>
      <c r="C59" t="s">
        <v>3292</v>
      </c>
      <c r="D59" s="4">
        <v>95.74</v>
      </c>
      <c r="E59" t="s">
        <v>3293</v>
      </c>
      <c r="F59" s="1">
        <v>3.9100000000000003E-2</v>
      </c>
      <c r="G59" s="1">
        <v>6.4999999999999997E-3</v>
      </c>
      <c r="H59" t="s">
        <v>3294</v>
      </c>
      <c r="I59" t="s">
        <v>3295</v>
      </c>
    </row>
    <row r="60" spans="1:9" x14ac:dyDescent="0.3">
      <c r="A60">
        <v>895</v>
      </c>
      <c r="B60" t="s">
        <v>400</v>
      </c>
      <c r="C60" t="s">
        <v>2918</v>
      </c>
      <c r="D60" s="4">
        <v>137.84</v>
      </c>
      <c r="E60" t="s">
        <v>2919</v>
      </c>
      <c r="F60" s="1">
        <v>-0.16589999999999999</v>
      </c>
      <c r="G60" s="1">
        <v>6.4999999999999997E-3</v>
      </c>
      <c r="H60" t="s">
        <v>2920</v>
      </c>
      <c r="I60" t="s">
        <v>2921</v>
      </c>
    </row>
    <row r="61" spans="1:9" x14ac:dyDescent="0.3">
      <c r="A61">
        <v>1576</v>
      </c>
      <c r="B61" t="s">
        <v>486</v>
      </c>
      <c r="C61" t="s">
        <v>5097</v>
      </c>
      <c r="D61" s="4">
        <v>13.43</v>
      </c>
      <c r="E61" t="s">
        <v>5098</v>
      </c>
      <c r="F61" s="1">
        <v>-0.21260000000000001</v>
      </c>
      <c r="G61" s="1">
        <v>6.4999999999999997E-3</v>
      </c>
      <c r="H61" t="s">
        <v>2920</v>
      </c>
      <c r="I61" t="s">
        <v>5099</v>
      </c>
    </row>
    <row r="62" spans="1:9" x14ac:dyDescent="0.3">
      <c r="A62">
        <v>1347</v>
      </c>
      <c r="B62" t="s">
        <v>486</v>
      </c>
      <c r="C62" t="s">
        <v>4384</v>
      </c>
      <c r="D62" s="4">
        <v>30.74</v>
      </c>
      <c r="E62" t="s">
        <v>4385</v>
      </c>
      <c r="F62" s="1">
        <v>-1.6299999999999999E-2</v>
      </c>
      <c r="G62" s="1">
        <v>6.6E-3</v>
      </c>
      <c r="H62" t="s">
        <v>4386</v>
      </c>
      <c r="I62" t="s">
        <v>4387</v>
      </c>
    </row>
    <row r="63" spans="1:9" x14ac:dyDescent="0.3">
      <c r="A63">
        <v>322</v>
      </c>
      <c r="B63" t="s">
        <v>24</v>
      </c>
      <c r="C63" t="s">
        <v>1078</v>
      </c>
      <c r="D63" s="4">
        <f>1.43*1000</f>
        <v>1430</v>
      </c>
      <c r="E63" t="s">
        <v>1076</v>
      </c>
      <c r="F63" s="1">
        <v>-0.16250000000000001</v>
      </c>
      <c r="G63" s="1">
        <v>7.0000000000000001E-3</v>
      </c>
      <c r="H63" t="s">
        <v>1079</v>
      </c>
      <c r="I63" t="s">
        <v>1080</v>
      </c>
    </row>
    <row r="64" spans="1:9" x14ac:dyDescent="0.3">
      <c r="A64">
        <v>1344</v>
      </c>
      <c r="B64" t="s">
        <v>486</v>
      </c>
      <c r="C64" t="s">
        <v>4374</v>
      </c>
      <c r="D64" s="4">
        <v>31.4</v>
      </c>
      <c r="E64" t="s">
        <v>4375</v>
      </c>
      <c r="F64" s="1">
        <v>-0.1108</v>
      </c>
      <c r="G64" s="1">
        <v>6.4999999999999997E-3</v>
      </c>
      <c r="H64" t="s">
        <v>1079</v>
      </c>
      <c r="I64" t="s">
        <v>4376</v>
      </c>
    </row>
    <row r="65" spans="1:9" x14ac:dyDescent="0.3">
      <c r="A65">
        <v>1367</v>
      </c>
      <c r="B65" t="s">
        <v>400</v>
      </c>
      <c r="C65" t="s">
        <v>4447</v>
      </c>
      <c r="D65" s="4">
        <v>28.27</v>
      </c>
      <c r="E65" t="s">
        <v>4448</v>
      </c>
      <c r="F65" s="1">
        <v>8.9999999999999998E-4</v>
      </c>
      <c r="G65" s="1">
        <v>6.4999999999999997E-3</v>
      </c>
      <c r="H65" t="s">
        <v>1079</v>
      </c>
      <c r="I65" t="s">
        <v>4449</v>
      </c>
    </row>
    <row r="66" spans="1:9" x14ac:dyDescent="0.3">
      <c r="A66">
        <v>113</v>
      </c>
      <c r="B66" t="s">
        <v>400</v>
      </c>
      <c r="C66" t="s">
        <v>401</v>
      </c>
      <c r="D66" s="4">
        <f>7.41*1000</f>
        <v>7410</v>
      </c>
      <c r="E66" t="s">
        <v>402</v>
      </c>
      <c r="F66" s="1">
        <v>-0.25690000000000002</v>
      </c>
      <c r="G66" s="1">
        <v>7.6E-3</v>
      </c>
      <c r="H66" t="s">
        <v>403</v>
      </c>
      <c r="I66" t="s">
        <v>404</v>
      </c>
    </row>
    <row r="67" spans="1:9" x14ac:dyDescent="0.3">
      <c r="A67">
        <v>1597</v>
      </c>
      <c r="B67" t="s">
        <v>486</v>
      </c>
      <c r="C67" t="s">
        <v>5167</v>
      </c>
      <c r="D67" s="4">
        <v>12.11</v>
      </c>
      <c r="E67" t="s">
        <v>5168</v>
      </c>
      <c r="F67" s="1">
        <v>-9.8100000000000007E-2</v>
      </c>
      <c r="G67" s="1">
        <v>6.6E-3</v>
      </c>
      <c r="H67" t="s">
        <v>5169</v>
      </c>
      <c r="I67" t="s">
        <v>5170</v>
      </c>
    </row>
    <row r="68" spans="1:9" x14ac:dyDescent="0.3">
      <c r="A68">
        <v>1656</v>
      </c>
      <c r="B68" t="s">
        <v>979</v>
      </c>
      <c r="C68" t="s">
        <v>5353</v>
      </c>
      <c r="D68" s="4">
        <v>8.7100000000000009</v>
      </c>
      <c r="E68" t="s">
        <v>5351</v>
      </c>
      <c r="F68" s="1">
        <v>-0.217</v>
      </c>
      <c r="G68" s="1">
        <v>7.9000000000000008E-3</v>
      </c>
      <c r="H68" t="s">
        <v>5354</v>
      </c>
      <c r="I68" t="s">
        <v>5355</v>
      </c>
    </row>
    <row r="69" spans="1:9" x14ac:dyDescent="0.3">
      <c r="A69">
        <v>1703</v>
      </c>
      <c r="B69" t="s">
        <v>486</v>
      </c>
      <c r="C69" t="s">
        <v>5494</v>
      </c>
      <c r="D69" s="4">
        <v>7.07</v>
      </c>
      <c r="E69" t="s">
        <v>5495</v>
      </c>
      <c r="F69" s="1">
        <v>-6.1699999999999998E-2</v>
      </c>
      <c r="G69" s="1">
        <v>6.6E-3</v>
      </c>
      <c r="H69" t="s">
        <v>5496</v>
      </c>
      <c r="I69" t="s">
        <v>5497</v>
      </c>
    </row>
    <row r="70" spans="1:9" x14ac:dyDescent="0.3">
      <c r="A70">
        <v>1862</v>
      </c>
      <c r="B70" t="s">
        <v>486</v>
      </c>
      <c r="C70" t="s">
        <v>5978</v>
      </c>
      <c r="D70" s="4">
        <v>1.68</v>
      </c>
      <c r="E70" t="s">
        <v>5979</v>
      </c>
      <c r="F70" s="1">
        <v>1.43E-2</v>
      </c>
      <c r="G70" s="1">
        <v>6.6E-3</v>
      </c>
      <c r="H70" t="s">
        <v>5980</v>
      </c>
      <c r="I70" t="s">
        <v>5981</v>
      </c>
    </row>
    <row r="71" spans="1:9" x14ac:dyDescent="0.3">
      <c r="A71">
        <v>1261</v>
      </c>
      <c r="B71" t="s">
        <v>486</v>
      </c>
      <c r="C71" t="s">
        <v>4095</v>
      </c>
      <c r="D71" s="4">
        <v>40.96</v>
      </c>
      <c r="E71" t="s">
        <v>4096</v>
      </c>
      <c r="F71" s="1">
        <v>9.1000000000000004E-3</v>
      </c>
      <c r="G71" s="1">
        <v>6.1999999999999998E-3</v>
      </c>
      <c r="H71" t="s">
        <v>4097</v>
      </c>
      <c r="I71" t="s">
        <v>4098</v>
      </c>
    </row>
    <row r="72" spans="1:9" x14ac:dyDescent="0.3">
      <c r="A72">
        <v>1285</v>
      </c>
      <c r="B72" t="s">
        <v>12</v>
      </c>
      <c r="C72" t="s">
        <v>4179</v>
      </c>
      <c r="D72" s="4">
        <v>37.9</v>
      </c>
      <c r="E72" t="s">
        <v>4180</v>
      </c>
      <c r="F72" s="1">
        <v>-2.0999999999999999E-3</v>
      </c>
      <c r="G72" s="1">
        <v>6.1000000000000004E-3</v>
      </c>
      <c r="H72" t="s">
        <v>4097</v>
      </c>
      <c r="I72" t="s">
        <v>4181</v>
      </c>
    </row>
    <row r="73" spans="1:9" x14ac:dyDescent="0.3">
      <c r="A73">
        <v>848</v>
      </c>
      <c r="B73" t="s">
        <v>12</v>
      </c>
      <c r="C73" t="s">
        <v>2773</v>
      </c>
      <c r="D73" s="4">
        <v>160.09</v>
      </c>
      <c r="E73" t="s">
        <v>2774</v>
      </c>
      <c r="F73" s="1">
        <v>-0.1119</v>
      </c>
      <c r="G73" s="1">
        <v>5.3E-3</v>
      </c>
      <c r="H73" t="s">
        <v>2775</v>
      </c>
      <c r="I73" t="s">
        <v>2776</v>
      </c>
    </row>
    <row r="74" spans="1:9" s="5" customFormat="1" x14ac:dyDescent="0.3">
      <c r="A74" s="5">
        <v>142</v>
      </c>
      <c r="B74" s="5" t="s">
        <v>16</v>
      </c>
      <c r="C74" s="5" t="s">
        <v>500</v>
      </c>
      <c r="D74" s="6">
        <f>5.8*1000</f>
        <v>5800</v>
      </c>
      <c r="E74" s="5" t="s">
        <v>501</v>
      </c>
      <c r="F74" s="7">
        <v>-4.2200000000000001E-2</v>
      </c>
      <c r="G74" s="7">
        <v>8.0000000000000004E-4</v>
      </c>
      <c r="H74" s="5" t="s">
        <v>502</v>
      </c>
      <c r="I74" s="5" t="s">
        <v>503</v>
      </c>
    </row>
    <row r="75" spans="1:9" x14ac:dyDescent="0.3">
      <c r="A75">
        <v>380</v>
      </c>
      <c r="B75" t="s">
        <v>12</v>
      </c>
      <c r="C75" t="s">
        <v>1244</v>
      </c>
      <c r="D75" s="4">
        <f>1.04*1000</f>
        <v>1040</v>
      </c>
      <c r="E75" t="s">
        <v>1245</v>
      </c>
      <c r="F75" s="1">
        <v>-4.53E-2</v>
      </c>
      <c r="G75" s="1">
        <v>8.9999999999999998E-4</v>
      </c>
      <c r="H75" t="s">
        <v>502</v>
      </c>
      <c r="I75" t="s">
        <v>1246</v>
      </c>
    </row>
    <row r="76" spans="1:9" x14ac:dyDescent="0.3">
      <c r="A76">
        <v>182</v>
      </c>
      <c r="B76" t="s">
        <v>332</v>
      </c>
      <c r="C76" t="s">
        <v>636</v>
      </c>
      <c r="D76" s="4">
        <f>4.1*1000</f>
        <v>4100</v>
      </c>
      <c r="E76" t="s">
        <v>637</v>
      </c>
      <c r="F76" s="1">
        <v>-4.9200000000000001E-2</v>
      </c>
      <c r="G76" s="1">
        <v>1.9E-3</v>
      </c>
      <c r="H76" t="s">
        <v>638</v>
      </c>
      <c r="I76" t="s">
        <v>639</v>
      </c>
    </row>
    <row r="77" spans="1:9" x14ac:dyDescent="0.3">
      <c r="A77">
        <v>256</v>
      </c>
      <c r="B77" t="s">
        <v>12</v>
      </c>
      <c r="C77" t="s">
        <v>878</v>
      </c>
      <c r="D77" s="4">
        <f>2.2*1000</f>
        <v>2200</v>
      </c>
      <c r="E77" t="s">
        <v>879</v>
      </c>
      <c r="F77" s="1">
        <v>-5.79E-2</v>
      </c>
      <c r="G77" s="1">
        <v>4.7999999999999996E-3</v>
      </c>
      <c r="H77" t="s">
        <v>638</v>
      </c>
      <c r="I77" t="s">
        <v>880</v>
      </c>
    </row>
    <row r="78" spans="1:9" x14ac:dyDescent="0.3">
      <c r="A78">
        <v>1558</v>
      </c>
      <c r="B78" t="s">
        <v>280</v>
      </c>
      <c r="C78" t="s">
        <v>5040</v>
      </c>
      <c r="D78" s="4">
        <v>15.37</v>
      </c>
      <c r="E78" t="s">
        <v>5041</v>
      </c>
      <c r="F78" s="1">
        <v>-3.9399999999999998E-2</v>
      </c>
      <c r="G78" s="1">
        <v>8.0000000000000002E-3</v>
      </c>
      <c r="H78" t="s">
        <v>638</v>
      </c>
      <c r="I78" t="s">
        <v>5042</v>
      </c>
    </row>
    <row r="79" spans="1:9" x14ac:dyDescent="0.3">
      <c r="A79">
        <v>691</v>
      </c>
      <c r="B79" t="s">
        <v>280</v>
      </c>
      <c r="C79" t="s">
        <v>2262</v>
      </c>
      <c r="D79" s="4">
        <v>291.7</v>
      </c>
      <c r="E79" t="s">
        <v>2263</v>
      </c>
      <c r="F79" s="1">
        <v>2.3E-2</v>
      </c>
      <c r="G79" s="1">
        <v>5.7999999999999996E-3</v>
      </c>
      <c r="H79" t="s">
        <v>2264</v>
      </c>
      <c r="I79" t="s">
        <v>2265</v>
      </c>
    </row>
    <row r="80" spans="1:9" x14ac:dyDescent="0.3">
      <c r="A80">
        <v>251</v>
      </c>
      <c r="B80" t="s">
        <v>7</v>
      </c>
      <c r="C80" t="s">
        <v>860</v>
      </c>
      <c r="D80" s="4">
        <f>2.35*1000</f>
        <v>2350</v>
      </c>
      <c r="E80" t="s">
        <v>858</v>
      </c>
      <c r="F80" s="1">
        <v>-1.8499999999999999E-2</v>
      </c>
      <c r="G80" s="1">
        <v>2.8999999999999998E-3</v>
      </c>
      <c r="H80" t="s">
        <v>861</v>
      </c>
      <c r="I80" t="s">
        <v>862</v>
      </c>
    </row>
    <row r="81" spans="1:9" x14ac:dyDescent="0.3">
      <c r="A81">
        <v>266</v>
      </c>
      <c r="B81" t="s">
        <v>12</v>
      </c>
      <c r="C81" t="s">
        <v>908</v>
      </c>
      <c r="D81" s="4">
        <f>2.08*1000</f>
        <v>2080</v>
      </c>
      <c r="E81" t="s">
        <v>909</v>
      </c>
      <c r="F81" s="1">
        <v>-1.8499999999999999E-2</v>
      </c>
      <c r="G81" s="1">
        <v>5.8999999999999999E-3</v>
      </c>
      <c r="H81" t="s">
        <v>861</v>
      </c>
      <c r="I81" t="s">
        <v>910</v>
      </c>
    </row>
    <row r="82" spans="1:9" x14ac:dyDescent="0.3">
      <c r="A82">
        <v>1199</v>
      </c>
      <c r="B82" t="s">
        <v>1471</v>
      </c>
      <c r="C82" t="s">
        <v>3903</v>
      </c>
      <c r="D82" s="4">
        <v>49.68</v>
      </c>
      <c r="E82" t="s">
        <v>3904</v>
      </c>
      <c r="F82" s="1">
        <v>-2.5499999999999998E-2</v>
      </c>
      <c r="G82" s="1">
        <v>4.7999999999999996E-3</v>
      </c>
      <c r="H82" t="s">
        <v>861</v>
      </c>
      <c r="I82" t="s">
        <v>3905</v>
      </c>
    </row>
    <row r="83" spans="1:9" x14ac:dyDescent="0.3">
      <c r="A83">
        <v>661</v>
      </c>
      <c r="B83" t="s">
        <v>12</v>
      </c>
      <c r="C83" t="s">
        <v>2168</v>
      </c>
      <c r="D83" s="4">
        <v>329.84</v>
      </c>
      <c r="E83" t="s">
        <v>2169</v>
      </c>
      <c r="F83" s="1">
        <v>-8.0199999999999994E-2</v>
      </c>
      <c r="G83" s="1">
        <v>4.0000000000000001E-3</v>
      </c>
      <c r="H83" t="s">
        <v>2170</v>
      </c>
      <c r="I83" t="s">
        <v>2171</v>
      </c>
    </row>
    <row r="84" spans="1:9" x14ac:dyDescent="0.3">
      <c r="A84">
        <v>677</v>
      </c>
      <c r="B84" t="s">
        <v>440</v>
      </c>
      <c r="C84" t="s">
        <v>2216</v>
      </c>
      <c r="D84" s="4">
        <v>310.87</v>
      </c>
      <c r="E84" t="s">
        <v>2217</v>
      </c>
      <c r="F84" s="1">
        <v>-6.0699999999999997E-2</v>
      </c>
      <c r="G84" s="1">
        <v>5.7999999999999996E-3</v>
      </c>
      <c r="H84" t="s">
        <v>2170</v>
      </c>
      <c r="I84" t="s">
        <v>2218</v>
      </c>
    </row>
    <row r="85" spans="1:9" x14ac:dyDescent="0.3">
      <c r="A85">
        <v>1160</v>
      </c>
      <c r="B85" t="s">
        <v>440</v>
      </c>
      <c r="C85" t="s">
        <v>3776</v>
      </c>
      <c r="D85" s="4">
        <v>58.48</v>
      </c>
      <c r="E85" t="s">
        <v>3777</v>
      </c>
      <c r="F85" s="1">
        <v>-3.3E-3</v>
      </c>
      <c r="G85" s="1">
        <v>5.7999999999999996E-3</v>
      </c>
      <c r="H85" t="s">
        <v>2170</v>
      </c>
      <c r="I85" t="s">
        <v>3778</v>
      </c>
    </row>
    <row r="86" spans="1:9" x14ac:dyDescent="0.3">
      <c r="A86">
        <v>1946</v>
      </c>
      <c r="B86" t="s">
        <v>6113</v>
      </c>
      <c r="C86" t="s">
        <v>6205</v>
      </c>
      <c r="D86" s="4" t="s">
        <v>662</v>
      </c>
      <c r="E86" t="s">
        <v>662</v>
      </c>
      <c r="F86" s="1">
        <v>-6.3E-2</v>
      </c>
      <c r="G86" s="1">
        <v>5.5999999999999999E-3</v>
      </c>
      <c r="H86" t="s">
        <v>179</v>
      </c>
      <c r="I86" t="s">
        <v>6206</v>
      </c>
    </row>
    <row r="87" spans="1:9" s="5" customFormat="1" x14ac:dyDescent="0.3">
      <c r="A87" s="5">
        <v>49</v>
      </c>
      <c r="B87" s="5" t="s">
        <v>16</v>
      </c>
      <c r="C87" s="5" t="s">
        <v>177</v>
      </c>
      <c r="D87" s="6">
        <f>21.74*1000</f>
        <v>21740</v>
      </c>
      <c r="E87" s="5" t="s">
        <v>178</v>
      </c>
      <c r="F87" s="7">
        <v>-2.6800000000000001E-2</v>
      </c>
      <c r="G87" s="7">
        <v>8.0000000000000004E-4</v>
      </c>
      <c r="H87" s="5" t="s">
        <v>179</v>
      </c>
      <c r="I87" s="5" t="s">
        <v>180</v>
      </c>
    </row>
    <row r="88" spans="1:9" x14ac:dyDescent="0.3">
      <c r="A88">
        <v>93</v>
      </c>
      <c r="B88" t="s">
        <v>332</v>
      </c>
      <c r="C88" t="s">
        <v>333</v>
      </c>
      <c r="D88" s="4">
        <f>9.55*1000</f>
        <v>9550</v>
      </c>
      <c r="E88" t="s">
        <v>334</v>
      </c>
      <c r="F88" s="1">
        <v>-1.8599999999999998E-2</v>
      </c>
      <c r="G88" s="1">
        <v>8.9999999999999998E-4</v>
      </c>
      <c r="H88" t="s">
        <v>179</v>
      </c>
      <c r="I88" t="s">
        <v>335</v>
      </c>
    </row>
    <row r="89" spans="1:9" x14ac:dyDescent="0.3">
      <c r="A89">
        <v>117</v>
      </c>
      <c r="B89" t="s">
        <v>12</v>
      </c>
      <c r="C89" t="s">
        <v>415</v>
      </c>
      <c r="D89" s="4">
        <f>7.21*1000</f>
        <v>7210</v>
      </c>
      <c r="E89" t="s">
        <v>416</v>
      </c>
      <c r="F89" s="1">
        <v>-3.0599999999999999E-2</v>
      </c>
      <c r="G89" s="1">
        <v>5.1000000000000004E-3</v>
      </c>
      <c r="H89" t="s">
        <v>179</v>
      </c>
      <c r="I89" t="s">
        <v>417</v>
      </c>
    </row>
    <row r="90" spans="1:9" x14ac:dyDescent="0.3">
      <c r="A90">
        <v>153</v>
      </c>
      <c r="B90" t="s">
        <v>12</v>
      </c>
      <c r="C90" t="s">
        <v>538</v>
      </c>
      <c r="D90" s="4">
        <f>5.36*1000</f>
        <v>5360</v>
      </c>
      <c r="E90" t="s">
        <v>539</v>
      </c>
      <c r="F90" s="1">
        <v>-2.5000000000000001E-2</v>
      </c>
      <c r="G90" s="1">
        <v>8.9999999999999998E-4</v>
      </c>
      <c r="H90" t="s">
        <v>179</v>
      </c>
      <c r="I90" t="s">
        <v>540</v>
      </c>
    </row>
    <row r="91" spans="1:9" x14ac:dyDescent="0.3">
      <c r="A91">
        <v>265</v>
      </c>
      <c r="B91" t="s">
        <v>440</v>
      </c>
      <c r="C91" t="s">
        <v>905</v>
      </c>
      <c r="D91" s="4">
        <f>2.09*1000</f>
        <v>2090</v>
      </c>
      <c r="E91" t="s">
        <v>906</v>
      </c>
      <c r="F91" s="1">
        <v>1.24E-2</v>
      </c>
      <c r="G91" s="1">
        <v>5.7999999999999996E-3</v>
      </c>
      <c r="H91" t="s">
        <v>179</v>
      </c>
      <c r="I91" t="s">
        <v>907</v>
      </c>
    </row>
    <row r="92" spans="1:9" x14ac:dyDescent="0.3">
      <c r="A92">
        <v>514</v>
      </c>
      <c r="B92" t="s">
        <v>618</v>
      </c>
      <c r="C92" t="s">
        <v>1671</v>
      </c>
      <c r="D92" s="4">
        <v>595.47</v>
      </c>
      <c r="E92" t="s">
        <v>1672</v>
      </c>
      <c r="F92" s="1">
        <v>5.7000000000000002E-3</v>
      </c>
      <c r="G92" s="1">
        <v>4.5999999999999999E-3</v>
      </c>
      <c r="H92" t="s">
        <v>179</v>
      </c>
      <c r="I92" t="s">
        <v>1673</v>
      </c>
    </row>
    <row r="93" spans="1:9" x14ac:dyDescent="0.3">
      <c r="A93">
        <v>518</v>
      </c>
      <c r="B93" t="s">
        <v>12</v>
      </c>
      <c r="C93" t="s">
        <v>1684</v>
      </c>
      <c r="D93" s="4">
        <v>572.03</v>
      </c>
      <c r="E93" t="s">
        <v>1685</v>
      </c>
      <c r="F93" s="1">
        <v>-1.9E-3</v>
      </c>
      <c r="G93" s="1">
        <v>5.3E-3</v>
      </c>
      <c r="H93" t="s">
        <v>179</v>
      </c>
      <c r="I93" t="s">
        <v>1686</v>
      </c>
    </row>
    <row r="94" spans="1:9" x14ac:dyDescent="0.3">
      <c r="A94">
        <v>529</v>
      </c>
      <c r="B94" t="s">
        <v>280</v>
      </c>
      <c r="C94" t="s">
        <v>1723</v>
      </c>
      <c r="D94" s="4">
        <v>545.26</v>
      </c>
      <c r="E94" t="s">
        <v>1724</v>
      </c>
      <c r="F94" s="1">
        <v>-4.4299999999999999E-2</v>
      </c>
      <c r="G94" s="1">
        <v>8.0000000000000002E-3</v>
      </c>
      <c r="H94" t="s">
        <v>179</v>
      </c>
      <c r="I94" t="s">
        <v>1725</v>
      </c>
    </row>
    <row r="95" spans="1:9" x14ac:dyDescent="0.3">
      <c r="A95">
        <v>613</v>
      </c>
      <c r="B95" t="s">
        <v>7</v>
      </c>
      <c r="C95" t="s">
        <v>2008</v>
      </c>
      <c r="D95" s="4">
        <v>395.1</v>
      </c>
      <c r="E95" t="s">
        <v>2009</v>
      </c>
      <c r="F95" s="1">
        <v>-3.04E-2</v>
      </c>
      <c r="G95" s="1">
        <v>8.9999999999999998E-4</v>
      </c>
      <c r="H95" t="s">
        <v>179</v>
      </c>
      <c r="I95" t="s">
        <v>2010</v>
      </c>
    </row>
    <row r="96" spans="1:9" x14ac:dyDescent="0.3">
      <c r="A96">
        <v>777</v>
      </c>
      <c r="B96" t="s">
        <v>1340</v>
      </c>
      <c r="C96" t="s">
        <v>2545</v>
      </c>
      <c r="D96" s="4">
        <v>206.42</v>
      </c>
      <c r="E96" t="s">
        <v>2546</v>
      </c>
      <c r="F96" s="1">
        <v>-1.9699999999999999E-2</v>
      </c>
      <c r="G96" s="1">
        <v>8.9999999999999998E-4</v>
      </c>
      <c r="H96" t="s">
        <v>179</v>
      </c>
      <c r="I96" t="s">
        <v>2547</v>
      </c>
    </row>
    <row r="97" spans="1:9" x14ac:dyDescent="0.3">
      <c r="A97">
        <v>1090</v>
      </c>
      <c r="B97" t="s">
        <v>280</v>
      </c>
      <c r="C97" t="s">
        <v>3550</v>
      </c>
      <c r="D97" s="4">
        <v>76.28</v>
      </c>
      <c r="E97" t="s">
        <v>3551</v>
      </c>
      <c r="F97" s="1">
        <v>-4.3200000000000002E-2</v>
      </c>
      <c r="G97" s="1">
        <v>8.0000000000000002E-3</v>
      </c>
      <c r="H97" t="s">
        <v>179</v>
      </c>
      <c r="I97" t="s">
        <v>3552</v>
      </c>
    </row>
    <row r="98" spans="1:9" x14ac:dyDescent="0.3">
      <c r="A98">
        <v>1110</v>
      </c>
      <c r="B98" t="s">
        <v>440</v>
      </c>
      <c r="C98" t="s">
        <v>3614</v>
      </c>
      <c r="D98" s="4">
        <v>71.400000000000006</v>
      </c>
      <c r="E98" t="s">
        <v>3615</v>
      </c>
      <c r="F98" s="1">
        <v>-1E-3</v>
      </c>
      <c r="G98" s="1">
        <v>5.7999999999999996E-3</v>
      </c>
      <c r="H98" t="s">
        <v>179</v>
      </c>
      <c r="I98" t="s">
        <v>3616</v>
      </c>
    </row>
    <row r="99" spans="1:9" x14ac:dyDescent="0.3">
      <c r="A99">
        <v>1203</v>
      </c>
      <c r="B99" t="s">
        <v>941</v>
      </c>
      <c r="C99" t="s">
        <v>3915</v>
      </c>
      <c r="D99" s="4">
        <v>49.38</v>
      </c>
      <c r="E99" t="s">
        <v>3916</v>
      </c>
      <c r="F99" s="1">
        <v>-3.27E-2</v>
      </c>
      <c r="G99" s="1">
        <v>6.4999999999999997E-3</v>
      </c>
      <c r="H99" t="s">
        <v>179</v>
      </c>
      <c r="I99" t="s">
        <v>3917</v>
      </c>
    </row>
    <row r="100" spans="1:9" x14ac:dyDescent="0.3">
      <c r="A100">
        <v>1444</v>
      </c>
      <c r="B100" t="s">
        <v>1340</v>
      </c>
      <c r="C100" t="s">
        <v>4692</v>
      </c>
      <c r="D100" s="4">
        <v>22.4</v>
      </c>
      <c r="E100" t="s">
        <v>4693</v>
      </c>
      <c r="F100" s="1">
        <v>4.1000000000000003E-3</v>
      </c>
      <c r="G100" s="1">
        <v>8.9999999999999998E-4</v>
      </c>
      <c r="H100" t="s">
        <v>179</v>
      </c>
      <c r="I100" t="s">
        <v>4694</v>
      </c>
    </row>
    <row r="101" spans="1:9" x14ac:dyDescent="0.3">
      <c r="A101">
        <v>1451</v>
      </c>
      <c r="B101" t="s">
        <v>280</v>
      </c>
      <c r="C101" t="s">
        <v>4714</v>
      </c>
      <c r="D101" s="4">
        <v>21.95</v>
      </c>
      <c r="E101" t="s">
        <v>4715</v>
      </c>
      <c r="F101" s="1">
        <v>-3.1899999999999998E-2</v>
      </c>
      <c r="G101" s="1">
        <v>8.3000000000000001E-3</v>
      </c>
      <c r="H101" t="s">
        <v>179</v>
      </c>
      <c r="I101" t="s">
        <v>4716</v>
      </c>
    </row>
    <row r="102" spans="1:9" x14ac:dyDescent="0.3">
      <c r="A102">
        <v>1483</v>
      </c>
      <c r="B102" t="s">
        <v>248</v>
      </c>
      <c r="C102" t="s">
        <v>4815</v>
      </c>
      <c r="D102" s="4">
        <v>19.93</v>
      </c>
      <c r="E102" t="s">
        <v>4816</v>
      </c>
      <c r="F102" s="1">
        <v>-2.81E-2</v>
      </c>
      <c r="G102" s="1">
        <v>2.5000000000000001E-3</v>
      </c>
      <c r="H102" t="s">
        <v>179</v>
      </c>
      <c r="I102" t="s">
        <v>4817</v>
      </c>
    </row>
    <row r="103" spans="1:9" x14ac:dyDescent="0.3">
      <c r="A103">
        <v>1551</v>
      </c>
      <c r="B103" t="s">
        <v>618</v>
      </c>
      <c r="C103" t="s">
        <v>5020</v>
      </c>
      <c r="D103" s="4">
        <v>15.66</v>
      </c>
      <c r="E103" t="s">
        <v>5021</v>
      </c>
      <c r="F103" s="1">
        <v>-4.8999999999999998E-3</v>
      </c>
      <c r="G103" s="1">
        <v>4.7000000000000002E-3</v>
      </c>
      <c r="H103" t="s">
        <v>179</v>
      </c>
      <c r="I103" t="s">
        <v>5022</v>
      </c>
    </row>
    <row r="104" spans="1:9" x14ac:dyDescent="0.3">
      <c r="A104">
        <v>1616</v>
      </c>
      <c r="B104" t="s">
        <v>280</v>
      </c>
      <c r="C104" t="s">
        <v>5227</v>
      </c>
      <c r="D104" s="4">
        <v>10.85</v>
      </c>
      <c r="E104" t="s">
        <v>5228</v>
      </c>
      <c r="F104" s="1">
        <v>-0.16750000000000001</v>
      </c>
      <c r="G104" s="1">
        <v>7.0000000000000001E-3</v>
      </c>
      <c r="H104" t="s">
        <v>179</v>
      </c>
      <c r="I104" t="s">
        <v>5229</v>
      </c>
    </row>
    <row r="105" spans="1:9" x14ac:dyDescent="0.3">
      <c r="A105">
        <v>1837</v>
      </c>
      <c r="B105" t="s">
        <v>618</v>
      </c>
      <c r="C105" t="s">
        <v>5905</v>
      </c>
      <c r="D105" s="4">
        <v>2.64</v>
      </c>
      <c r="E105" t="s">
        <v>5906</v>
      </c>
      <c r="F105" s="1">
        <v>-2.8500000000000001E-2</v>
      </c>
      <c r="G105" s="1">
        <v>8.9999999999999998E-4</v>
      </c>
      <c r="H105" t="s">
        <v>179</v>
      </c>
      <c r="I105" t="s">
        <v>5907</v>
      </c>
    </row>
    <row r="106" spans="1:9" x14ac:dyDescent="0.3">
      <c r="A106">
        <v>279</v>
      </c>
      <c r="B106" t="s">
        <v>12</v>
      </c>
      <c r="C106" t="s">
        <v>951</v>
      </c>
      <c r="D106" s="4">
        <f>1.85*1000</f>
        <v>1850</v>
      </c>
      <c r="E106" t="s">
        <v>952</v>
      </c>
      <c r="F106" s="1">
        <v>8.8999999999999999E-3</v>
      </c>
      <c r="G106" s="1">
        <v>4.7999999999999996E-3</v>
      </c>
      <c r="H106" t="s">
        <v>953</v>
      </c>
      <c r="I106" t="s">
        <v>954</v>
      </c>
    </row>
    <row r="107" spans="1:9" x14ac:dyDescent="0.3">
      <c r="A107">
        <v>378</v>
      </c>
      <c r="B107" t="s">
        <v>460</v>
      </c>
      <c r="C107" t="s">
        <v>1239</v>
      </c>
      <c r="D107" s="4">
        <f>1.06*1000</f>
        <v>1060</v>
      </c>
      <c r="E107" t="s">
        <v>1236</v>
      </c>
      <c r="F107" s="1">
        <v>1.3299999999999999E-2</v>
      </c>
      <c r="G107" s="1">
        <v>2.8999999999999998E-3</v>
      </c>
      <c r="H107" t="s">
        <v>1240</v>
      </c>
      <c r="I107" t="s">
        <v>1241</v>
      </c>
    </row>
    <row r="108" spans="1:9" x14ac:dyDescent="0.3">
      <c r="A108">
        <v>531</v>
      </c>
      <c r="B108" t="s">
        <v>280</v>
      </c>
      <c r="C108" t="s">
        <v>1730</v>
      </c>
      <c r="D108" s="4">
        <v>543.37</v>
      </c>
      <c r="E108" t="s">
        <v>1731</v>
      </c>
      <c r="F108" s="1">
        <v>1.8700000000000001E-2</v>
      </c>
      <c r="G108" s="1">
        <v>5.8999999999999999E-3</v>
      </c>
      <c r="H108" t="s">
        <v>1240</v>
      </c>
      <c r="I108" t="s">
        <v>1732</v>
      </c>
    </row>
    <row r="109" spans="1:9" x14ac:dyDescent="0.3">
      <c r="A109">
        <v>1653</v>
      </c>
      <c r="B109" t="s">
        <v>2087</v>
      </c>
      <c r="C109" t="s">
        <v>5343</v>
      </c>
      <c r="D109" s="4">
        <v>8.92</v>
      </c>
      <c r="E109" t="s">
        <v>5344</v>
      </c>
      <c r="F109" s="1">
        <v>1.7899999999999999E-2</v>
      </c>
      <c r="G109" s="1">
        <v>4.8999999999999998E-3</v>
      </c>
      <c r="H109" t="s">
        <v>1240</v>
      </c>
      <c r="I109" t="s">
        <v>5345</v>
      </c>
    </row>
    <row r="110" spans="1:9" x14ac:dyDescent="0.3">
      <c r="A110">
        <v>846</v>
      </c>
      <c r="B110" t="s">
        <v>941</v>
      </c>
      <c r="C110" t="s">
        <v>2765</v>
      </c>
      <c r="D110" s="4">
        <v>160.9</v>
      </c>
      <c r="E110" t="s">
        <v>2766</v>
      </c>
      <c r="F110" s="1">
        <v>9.3799999999999994E-2</v>
      </c>
      <c r="G110" s="1">
        <v>6.0000000000000001E-3</v>
      </c>
      <c r="H110" t="s">
        <v>2767</v>
      </c>
      <c r="I110" t="s">
        <v>2768</v>
      </c>
    </row>
    <row r="111" spans="1:9" s="5" customFormat="1" x14ac:dyDescent="0.3">
      <c r="A111" s="5">
        <v>269</v>
      </c>
      <c r="B111" s="5" t="s">
        <v>12</v>
      </c>
      <c r="C111" s="5" t="s">
        <v>917</v>
      </c>
      <c r="D111" s="6">
        <f>1.97*1000</f>
        <v>1970</v>
      </c>
      <c r="E111" s="5" t="s">
        <v>918</v>
      </c>
      <c r="F111" s="7">
        <v>-4.1300000000000003E-2</v>
      </c>
      <c r="G111" s="7">
        <v>2.3999999999999998E-3</v>
      </c>
      <c r="H111" s="5" t="s">
        <v>919</v>
      </c>
      <c r="I111" s="5" t="s">
        <v>920</v>
      </c>
    </row>
    <row r="112" spans="1:9" x14ac:dyDescent="0.3">
      <c r="A112">
        <v>516</v>
      </c>
      <c r="B112" t="s">
        <v>460</v>
      </c>
      <c r="C112" t="s">
        <v>1678</v>
      </c>
      <c r="D112" s="4">
        <v>574.36</v>
      </c>
      <c r="E112" t="s">
        <v>1679</v>
      </c>
      <c r="F112" s="1">
        <v>3.7000000000000002E-3</v>
      </c>
      <c r="G112" s="1">
        <v>2.8999999999999998E-3</v>
      </c>
      <c r="H112" t="s">
        <v>919</v>
      </c>
      <c r="I112" t="s">
        <v>1680</v>
      </c>
    </row>
    <row r="113" spans="1:9" x14ac:dyDescent="0.3">
      <c r="A113">
        <v>768</v>
      </c>
      <c r="B113" t="s">
        <v>1864</v>
      </c>
      <c r="C113" t="s">
        <v>2517</v>
      </c>
      <c r="D113" s="4">
        <v>209.08</v>
      </c>
      <c r="E113" t="s">
        <v>2518</v>
      </c>
      <c r="F113" s="1">
        <v>-3.7999999999999999E-2</v>
      </c>
      <c r="G113" s="1">
        <v>1.5E-3</v>
      </c>
      <c r="H113" t="s">
        <v>919</v>
      </c>
      <c r="I113" t="s">
        <v>2519</v>
      </c>
    </row>
    <row r="114" spans="1:9" x14ac:dyDescent="0.3">
      <c r="A114">
        <v>809</v>
      </c>
      <c r="B114" t="s">
        <v>2645</v>
      </c>
      <c r="C114" t="s">
        <v>2646</v>
      </c>
      <c r="D114" s="4">
        <v>185.01</v>
      </c>
      <c r="E114" t="s">
        <v>2647</v>
      </c>
      <c r="F114" s="1">
        <v>-7.9100000000000004E-2</v>
      </c>
      <c r="G114" s="1">
        <v>7.4999999999999997E-3</v>
      </c>
      <c r="H114" t="s">
        <v>919</v>
      </c>
      <c r="I114" t="s">
        <v>2648</v>
      </c>
    </row>
    <row r="115" spans="1:9" x14ac:dyDescent="0.3">
      <c r="A115">
        <v>815</v>
      </c>
      <c r="B115" t="s">
        <v>444</v>
      </c>
      <c r="C115" t="s">
        <v>2665</v>
      </c>
      <c r="D115" s="4">
        <v>178.16</v>
      </c>
      <c r="E115" t="s">
        <v>2666</v>
      </c>
      <c r="F115" s="1">
        <v>-2.8400000000000002E-2</v>
      </c>
      <c r="G115" s="1">
        <v>4.1999999999999997E-3</v>
      </c>
      <c r="H115" t="s">
        <v>919</v>
      </c>
      <c r="I115" t="s">
        <v>2667</v>
      </c>
    </row>
    <row r="116" spans="1:9" x14ac:dyDescent="0.3">
      <c r="A116">
        <v>1094</v>
      </c>
      <c r="B116" t="s">
        <v>280</v>
      </c>
      <c r="C116" t="s">
        <v>3563</v>
      </c>
      <c r="D116" s="4">
        <v>75.28</v>
      </c>
      <c r="E116" t="s">
        <v>3564</v>
      </c>
      <c r="F116" s="1">
        <v>-3.8999999999999998E-3</v>
      </c>
      <c r="G116" s="1">
        <v>8.0000000000000002E-3</v>
      </c>
      <c r="H116" t="s">
        <v>919</v>
      </c>
      <c r="I116" t="s">
        <v>3565</v>
      </c>
    </row>
    <row r="117" spans="1:9" x14ac:dyDescent="0.3">
      <c r="A117">
        <v>1127</v>
      </c>
      <c r="B117" t="s">
        <v>941</v>
      </c>
      <c r="C117" t="s">
        <v>3671</v>
      </c>
      <c r="D117" s="4">
        <v>67.150000000000006</v>
      </c>
      <c r="E117" t="s">
        <v>3672</v>
      </c>
      <c r="F117" s="1">
        <v>-2.5600000000000001E-2</v>
      </c>
      <c r="G117" s="1">
        <v>7.7000000000000002E-3</v>
      </c>
      <c r="H117" t="s">
        <v>919</v>
      </c>
      <c r="I117" t="s">
        <v>3673</v>
      </c>
    </row>
    <row r="118" spans="1:9" x14ac:dyDescent="0.3">
      <c r="A118">
        <v>1189</v>
      </c>
      <c r="B118" t="s">
        <v>7</v>
      </c>
      <c r="C118" t="s">
        <v>3871</v>
      </c>
      <c r="D118" s="4">
        <v>52.29</v>
      </c>
      <c r="E118" t="s">
        <v>3872</v>
      </c>
      <c r="F118" s="1">
        <v>-1.9599999999999999E-2</v>
      </c>
      <c r="G118" s="1">
        <v>3.0000000000000001E-3</v>
      </c>
      <c r="H118" t="s">
        <v>919</v>
      </c>
      <c r="I118" t="s">
        <v>3873</v>
      </c>
    </row>
    <row r="119" spans="1:9" x14ac:dyDescent="0.3">
      <c r="A119">
        <v>1246</v>
      </c>
      <c r="B119" t="s">
        <v>2475</v>
      </c>
      <c r="C119" t="s">
        <v>4050</v>
      </c>
      <c r="D119" s="4">
        <v>42.71</v>
      </c>
      <c r="E119" t="s">
        <v>4051</v>
      </c>
      <c r="F119" s="1">
        <v>-9.7100000000000006E-2</v>
      </c>
      <c r="G119" s="1">
        <v>1.7500000000000002E-2</v>
      </c>
      <c r="H119" t="s">
        <v>919</v>
      </c>
      <c r="I119" t="s">
        <v>4052</v>
      </c>
    </row>
    <row r="120" spans="1:9" x14ac:dyDescent="0.3">
      <c r="A120">
        <v>1317</v>
      </c>
      <c r="B120" t="s">
        <v>3151</v>
      </c>
      <c r="C120" t="s">
        <v>4283</v>
      </c>
      <c r="D120" s="4">
        <v>33.83</v>
      </c>
      <c r="E120" t="s">
        <v>4284</v>
      </c>
      <c r="F120" s="1">
        <v>-5.6399999999999999E-2</v>
      </c>
      <c r="G120" s="1">
        <v>6.7000000000000002E-3</v>
      </c>
      <c r="H120" t="s">
        <v>919</v>
      </c>
      <c r="I120" t="s">
        <v>4285</v>
      </c>
    </row>
    <row r="121" spans="1:9" x14ac:dyDescent="0.3">
      <c r="A121">
        <v>1330</v>
      </c>
      <c r="B121" t="s">
        <v>3896</v>
      </c>
      <c r="C121" t="s">
        <v>4326</v>
      </c>
      <c r="D121" s="4">
        <v>32.35</v>
      </c>
      <c r="E121" t="s">
        <v>4327</v>
      </c>
      <c r="F121" t="s">
        <v>662</v>
      </c>
      <c r="G121" s="1">
        <v>8.0000000000000002E-3</v>
      </c>
      <c r="H121" t="s">
        <v>919</v>
      </c>
      <c r="I121" t="s">
        <v>4328</v>
      </c>
    </row>
    <row r="122" spans="1:9" x14ac:dyDescent="0.3">
      <c r="A122">
        <v>1807</v>
      </c>
      <c r="B122" t="s">
        <v>941</v>
      </c>
      <c r="C122" t="s">
        <v>5812</v>
      </c>
      <c r="D122" s="4">
        <v>3.44</v>
      </c>
      <c r="E122" t="s">
        <v>5813</v>
      </c>
      <c r="F122" s="1">
        <v>6.7000000000000002E-3</v>
      </c>
      <c r="G122" s="1">
        <v>7.3000000000000001E-3</v>
      </c>
      <c r="H122" t="s">
        <v>919</v>
      </c>
      <c r="I122" t="s">
        <v>5814</v>
      </c>
    </row>
    <row r="123" spans="1:9" x14ac:dyDescent="0.3">
      <c r="A123">
        <v>1904</v>
      </c>
      <c r="B123" t="s">
        <v>6113</v>
      </c>
      <c r="C123" t="s">
        <v>6118</v>
      </c>
      <c r="D123" s="4" t="s">
        <v>662</v>
      </c>
      <c r="E123" t="s">
        <v>662</v>
      </c>
      <c r="F123" t="s">
        <v>662</v>
      </c>
      <c r="G123" s="1">
        <v>5.7999999999999996E-3</v>
      </c>
      <c r="H123" t="s">
        <v>6119</v>
      </c>
      <c r="I123" t="s">
        <v>6120</v>
      </c>
    </row>
    <row r="124" spans="1:9" x14ac:dyDescent="0.3">
      <c r="A124">
        <v>1078</v>
      </c>
      <c r="B124" t="s">
        <v>486</v>
      </c>
      <c r="C124" t="s">
        <v>3510</v>
      </c>
      <c r="D124" s="4">
        <v>78.010000000000005</v>
      </c>
      <c r="E124" t="s">
        <v>3511</v>
      </c>
      <c r="F124" s="1">
        <v>-0.45350000000000001</v>
      </c>
      <c r="G124" s="1">
        <v>5.1000000000000004E-3</v>
      </c>
      <c r="H124" t="s">
        <v>3512</v>
      </c>
      <c r="I124" t="s">
        <v>3513</v>
      </c>
    </row>
    <row r="125" spans="1:9" x14ac:dyDescent="0.3">
      <c r="A125">
        <v>1159</v>
      </c>
      <c r="B125" t="s">
        <v>486</v>
      </c>
      <c r="C125" t="s">
        <v>3772</v>
      </c>
      <c r="D125" s="4">
        <v>58.57</v>
      </c>
      <c r="E125" t="s">
        <v>3773</v>
      </c>
      <c r="F125" s="1">
        <v>-8.6599999999999996E-2</v>
      </c>
      <c r="G125" s="1">
        <v>5.0000000000000001E-3</v>
      </c>
      <c r="H125" t="s">
        <v>3774</v>
      </c>
      <c r="I125" t="s">
        <v>3775</v>
      </c>
    </row>
    <row r="126" spans="1:9" x14ac:dyDescent="0.3">
      <c r="A126">
        <v>1296</v>
      </c>
      <c r="B126" t="s">
        <v>486</v>
      </c>
      <c r="C126" t="s">
        <v>4215</v>
      </c>
      <c r="D126" s="4">
        <v>36.54</v>
      </c>
      <c r="E126" t="s">
        <v>4216</v>
      </c>
      <c r="F126" s="1">
        <v>-9.9000000000000005E-2</v>
      </c>
      <c r="G126" s="1">
        <v>5.0000000000000001E-3</v>
      </c>
      <c r="H126" t="s">
        <v>3774</v>
      </c>
      <c r="I126" t="s">
        <v>4217</v>
      </c>
    </row>
    <row r="127" spans="1:9" x14ac:dyDescent="0.3">
      <c r="A127">
        <v>1320</v>
      </c>
      <c r="B127" t="s">
        <v>440</v>
      </c>
      <c r="C127" t="s">
        <v>4294</v>
      </c>
      <c r="D127" s="4">
        <v>33.76</v>
      </c>
      <c r="E127" t="s">
        <v>4295</v>
      </c>
      <c r="F127" s="1">
        <v>-0.26050000000000001</v>
      </c>
      <c r="G127" s="1">
        <v>4.4999999999999997E-3</v>
      </c>
      <c r="H127" t="s">
        <v>4296</v>
      </c>
      <c r="I127" t="s">
        <v>4297</v>
      </c>
    </row>
    <row r="128" spans="1:9" x14ac:dyDescent="0.3">
      <c r="A128">
        <v>1618</v>
      </c>
      <c r="B128" t="s">
        <v>2475</v>
      </c>
      <c r="C128" t="s">
        <v>5233</v>
      </c>
      <c r="D128" s="4">
        <v>10.77</v>
      </c>
      <c r="E128" t="s">
        <v>5234</v>
      </c>
      <c r="F128" s="1">
        <v>-0.3947</v>
      </c>
      <c r="G128" s="1">
        <v>8.9999999999999993E-3</v>
      </c>
      <c r="H128" t="s">
        <v>5235</v>
      </c>
      <c r="I128" t="s">
        <v>5236</v>
      </c>
    </row>
    <row r="129" spans="1:9" x14ac:dyDescent="0.3">
      <c r="A129">
        <v>1628</v>
      </c>
      <c r="B129" t="s">
        <v>1871</v>
      </c>
      <c r="C129" t="s">
        <v>5265</v>
      </c>
      <c r="D129" s="4">
        <v>10.23</v>
      </c>
      <c r="E129" t="s">
        <v>5266</v>
      </c>
      <c r="F129" s="1">
        <v>-0.2702</v>
      </c>
      <c r="G129" s="1">
        <v>4.0000000000000001E-3</v>
      </c>
      <c r="H129" t="s">
        <v>5267</v>
      </c>
      <c r="I129" t="s">
        <v>5268</v>
      </c>
    </row>
    <row r="130" spans="1:9" x14ac:dyDescent="0.3">
      <c r="A130">
        <v>628</v>
      </c>
      <c r="B130" t="s">
        <v>618</v>
      </c>
      <c r="C130" t="s">
        <v>2059</v>
      </c>
      <c r="D130" s="4">
        <v>378.09</v>
      </c>
      <c r="E130" t="s">
        <v>2060</v>
      </c>
      <c r="F130" s="1">
        <v>-4.4200000000000003E-2</v>
      </c>
      <c r="G130" s="1">
        <v>8.9999999999999998E-4</v>
      </c>
      <c r="H130" t="s">
        <v>2061</v>
      </c>
      <c r="I130" t="s">
        <v>2062</v>
      </c>
    </row>
    <row r="131" spans="1:9" x14ac:dyDescent="0.3">
      <c r="A131">
        <v>806</v>
      </c>
      <c r="B131" t="s">
        <v>12</v>
      </c>
      <c r="C131" t="s">
        <v>2636</v>
      </c>
      <c r="D131" s="4">
        <v>185.11</v>
      </c>
      <c r="E131" t="s">
        <v>2637</v>
      </c>
      <c r="F131" s="1">
        <v>-3.7699999999999997E-2</v>
      </c>
      <c r="G131" s="1">
        <v>2.5000000000000001E-3</v>
      </c>
      <c r="H131" t="s">
        <v>2061</v>
      </c>
      <c r="I131" t="s">
        <v>2638</v>
      </c>
    </row>
    <row r="132" spans="1:9" x14ac:dyDescent="0.3">
      <c r="A132">
        <v>418</v>
      </c>
      <c r="B132" t="s">
        <v>618</v>
      </c>
      <c r="C132" t="s">
        <v>1366</v>
      </c>
      <c r="D132" s="4">
        <v>896.12</v>
      </c>
      <c r="E132" t="s">
        <v>1367</v>
      </c>
      <c r="F132" s="1">
        <v>4.6100000000000002E-2</v>
      </c>
      <c r="G132" s="1">
        <v>2E-3</v>
      </c>
      <c r="H132" t="s">
        <v>1368</v>
      </c>
      <c r="I132" t="s">
        <v>1369</v>
      </c>
    </row>
    <row r="133" spans="1:9" x14ac:dyDescent="0.3">
      <c r="A133">
        <v>812</v>
      </c>
      <c r="B133" t="s">
        <v>440</v>
      </c>
      <c r="C133" t="s">
        <v>2655</v>
      </c>
      <c r="D133" s="4">
        <v>181.86</v>
      </c>
      <c r="E133" t="s">
        <v>2656</v>
      </c>
      <c r="F133" s="1">
        <v>3.3799999999999997E-2</v>
      </c>
      <c r="G133" s="1">
        <v>5.7999999999999996E-3</v>
      </c>
      <c r="H133" t="s">
        <v>1368</v>
      </c>
      <c r="I133" t="s">
        <v>2657</v>
      </c>
    </row>
    <row r="134" spans="1:9" x14ac:dyDescent="0.3">
      <c r="A134">
        <v>932</v>
      </c>
      <c r="B134" t="s">
        <v>1348</v>
      </c>
      <c r="C134" t="s">
        <v>3039</v>
      </c>
      <c r="D134" s="4">
        <v>125.11</v>
      </c>
      <c r="E134" t="s">
        <v>3040</v>
      </c>
      <c r="F134" s="1">
        <v>-4.4299999999999999E-2</v>
      </c>
      <c r="G134" s="1">
        <v>4.1999999999999997E-3</v>
      </c>
      <c r="H134" t="s">
        <v>3041</v>
      </c>
      <c r="I134" t="s">
        <v>3042</v>
      </c>
    </row>
    <row r="135" spans="1:9" x14ac:dyDescent="0.3">
      <c r="A135">
        <v>66</v>
      </c>
      <c r="B135" t="s">
        <v>12</v>
      </c>
      <c r="C135" t="s">
        <v>236</v>
      </c>
      <c r="D135" s="4">
        <f>14.45*1000</f>
        <v>14450</v>
      </c>
      <c r="E135" t="s">
        <v>237</v>
      </c>
      <c r="F135" s="1">
        <v>-7.1800000000000003E-2</v>
      </c>
      <c r="G135" s="1">
        <v>4.0000000000000001E-3</v>
      </c>
      <c r="H135" t="s">
        <v>238</v>
      </c>
      <c r="I135" t="s">
        <v>239</v>
      </c>
    </row>
    <row r="136" spans="1:9" x14ac:dyDescent="0.3">
      <c r="A136">
        <v>978</v>
      </c>
      <c r="B136" t="s">
        <v>12</v>
      </c>
      <c r="C136" t="s">
        <v>3186</v>
      </c>
      <c r="D136" s="4">
        <v>108.34</v>
      </c>
      <c r="E136" t="s">
        <v>3187</v>
      </c>
      <c r="F136" s="1">
        <v>-5.2200000000000003E-2</v>
      </c>
      <c r="G136" s="1">
        <v>4.3E-3</v>
      </c>
      <c r="H136" t="s">
        <v>238</v>
      </c>
      <c r="I136" t="s">
        <v>3188</v>
      </c>
    </row>
    <row r="137" spans="1:9" x14ac:dyDescent="0.3">
      <c r="A137">
        <v>1205</v>
      </c>
      <c r="B137" t="s">
        <v>440</v>
      </c>
      <c r="C137" t="s">
        <v>3921</v>
      </c>
      <c r="D137" s="4">
        <v>49.27</v>
      </c>
      <c r="E137" t="s">
        <v>3922</v>
      </c>
      <c r="F137" s="1">
        <v>-3.5299999999999998E-2</v>
      </c>
      <c r="G137" s="1">
        <v>3.8E-3</v>
      </c>
      <c r="H137" t="s">
        <v>238</v>
      </c>
      <c r="I137" t="s">
        <v>3923</v>
      </c>
    </row>
    <row r="138" spans="1:9" x14ac:dyDescent="0.3">
      <c r="A138">
        <v>1952</v>
      </c>
      <c r="B138" t="s">
        <v>6113</v>
      </c>
      <c r="C138" t="s">
        <v>6217</v>
      </c>
      <c r="D138" s="4" t="s">
        <v>662</v>
      </c>
      <c r="E138" t="s">
        <v>662</v>
      </c>
      <c r="F138" s="1">
        <v>-7.9100000000000004E-2</v>
      </c>
      <c r="G138" s="1">
        <v>5.1000000000000004E-3</v>
      </c>
      <c r="H138" t="s">
        <v>34</v>
      </c>
      <c r="I138" t="s">
        <v>6218</v>
      </c>
    </row>
    <row r="139" spans="1:9" x14ac:dyDescent="0.3">
      <c r="A139">
        <v>6</v>
      </c>
      <c r="B139" t="s">
        <v>12</v>
      </c>
      <c r="C139" t="s">
        <v>32</v>
      </c>
      <c r="D139" s="4">
        <f>101.2*1000</f>
        <v>101200</v>
      </c>
      <c r="E139" t="s">
        <v>33</v>
      </c>
      <c r="F139" s="1">
        <v>-3.3300000000000003E-2</v>
      </c>
      <c r="G139" s="1">
        <v>6.9999999999999999E-4</v>
      </c>
      <c r="H139" t="s">
        <v>34</v>
      </c>
      <c r="I139" t="s">
        <v>35</v>
      </c>
    </row>
    <row r="140" spans="1:9" s="5" customFormat="1" x14ac:dyDescent="0.3">
      <c r="A140" s="5">
        <v>17</v>
      </c>
      <c r="B140" s="5" t="s">
        <v>12</v>
      </c>
      <c r="C140" s="5" t="s">
        <v>71</v>
      </c>
      <c r="D140" s="6">
        <f>55.36*1000</f>
        <v>55360</v>
      </c>
      <c r="E140" s="5" t="s">
        <v>72</v>
      </c>
      <c r="F140" s="7">
        <v>-2.7199999999999998E-2</v>
      </c>
      <c r="G140" s="7">
        <v>3.2000000000000002E-3</v>
      </c>
      <c r="H140" s="5" t="s">
        <v>34</v>
      </c>
      <c r="I140" s="5" t="s">
        <v>73</v>
      </c>
    </row>
    <row r="141" spans="1:9" x14ac:dyDescent="0.3">
      <c r="A141">
        <v>108</v>
      </c>
      <c r="B141" t="s">
        <v>12</v>
      </c>
      <c r="C141" t="s">
        <v>384</v>
      </c>
      <c r="D141" s="4">
        <f>7.81*1000</f>
        <v>7810</v>
      </c>
      <c r="E141" t="s">
        <v>385</v>
      </c>
      <c r="F141" s="1">
        <v>-2.81E-2</v>
      </c>
      <c r="G141" s="1">
        <v>2E-3</v>
      </c>
      <c r="H141" t="s">
        <v>34</v>
      </c>
      <c r="I141" t="s">
        <v>386</v>
      </c>
    </row>
    <row r="142" spans="1:9" x14ac:dyDescent="0.3">
      <c r="A142">
        <v>111</v>
      </c>
      <c r="B142" t="s">
        <v>12</v>
      </c>
      <c r="C142" t="s">
        <v>393</v>
      </c>
      <c r="D142" s="4">
        <f>7.53*1000</f>
        <v>7530</v>
      </c>
      <c r="E142" t="s">
        <v>394</v>
      </c>
      <c r="F142" s="1">
        <v>-2.5899999999999999E-2</v>
      </c>
      <c r="G142" s="1">
        <v>2E-3</v>
      </c>
      <c r="H142" t="s">
        <v>34</v>
      </c>
      <c r="I142" t="s">
        <v>395</v>
      </c>
    </row>
    <row r="143" spans="1:9" x14ac:dyDescent="0.3">
      <c r="A143">
        <v>176</v>
      </c>
      <c r="B143" t="s">
        <v>618</v>
      </c>
      <c r="C143" t="s">
        <v>619</v>
      </c>
      <c r="D143" s="4">
        <f>4.34*1000</f>
        <v>4340</v>
      </c>
      <c r="E143" t="s">
        <v>620</v>
      </c>
      <c r="F143" s="1">
        <v>-9.1000000000000004E-3</v>
      </c>
      <c r="G143" s="1">
        <v>3.5999999999999999E-3</v>
      </c>
      <c r="H143" t="s">
        <v>34</v>
      </c>
      <c r="I143" t="s">
        <v>621</v>
      </c>
    </row>
    <row r="144" spans="1:9" x14ac:dyDescent="0.3">
      <c r="A144">
        <v>204</v>
      </c>
      <c r="B144" t="s">
        <v>332</v>
      </c>
      <c r="C144" t="s">
        <v>707</v>
      </c>
      <c r="D144" s="4">
        <f>3.47*1000</f>
        <v>3470</v>
      </c>
      <c r="E144" t="s">
        <v>708</v>
      </c>
      <c r="F144" s="1">
        <v>-2.4299999999999999E-2</v>
      </c>
      <c r="G144" s="1">
        <v>6.9999999999999999E-4</v>
      </c>
      <c r="H144" t="s">
        <v>34</v>
      </c>
      <c r="I144" t="s">
        <v>709</v>
      </c>
    </row>
    <row r="145" spans="1:9" x14ac:dyDescent="0.3">
      <c r="A145">
        <v>210</v>
      </c>
      <c r="B145" t="s">
        <v>12</v>
      </c>
      <c r="C145" t="s">
        <v>728</v>
      </c>
      <c r="D145" s="4">
        <f>3.29*1000</f>
        <v>3290</v>
      </c>
      <c r="E145" t="s">
        <v>729</v>
      </c>
      <c r="F145" s="1">
        <v>-9.2999999999999992E-3</v>
      </c>
      <c r="G145" s="1">
        <v>3.5000000000000001E-3</v>
      </c>
      <c r="H145" t="s">
        <v>34</v>
      </c>
      <c r="I145" t="s">
        <v>730</v>
      </c>
    </row>
    <row r="146" spans="1:9" x14ac:dyDescent="0.3">
      <c r="A146">
        <v>372</v>
      </c>
      <c r="B146" t="s">
        <v>440</v>
      </c>
      <c r="C146" t="s">
        <v>1221</v>
      </c>
      <c r="D146" s="4">
        <f>1.11*1000</f>
        <v>1110</v>
      </c>
      <c r="E146" t="s">
        <v>1222</v>
      </c>
      <c r="F146" s="1">
        <v>-1.3899999999999999E-2</v>
      </c>
      <c r="G146" s="1">
        <v>5.7999999999999996E-3</v>
      </c>
      <c r="H146" t="s">
        <v>34</v>
      </c>
      <c r="I146" t="s">
        <v>1223</v>
      </c>
    </row>
    <row r="147" spans="1:9" x14ac:dyDescent="0.3">
      <c r="A147">
        <v>420</v>
      </c>
      <c r="B147" t="s">
        <v>7</v>
      </c>
      <c r="C147" t="s">
        <v>1373</v>
      </c>
      <c r="D147" s="4">
        <v>894.93</v>
      </c>
      <c r="E147" t="s">
        <v>1374</v>
      </c>
      <c r="F147" s="1">
        <v>-2.3599999999999999E-2</v>
      </c>
      <c r="G147" s="1">
        <v>3.0000000000000001E-3</v>
      </c>
      <c r="H147" t="s">
        <v>34</v>
      </c>
      <c r="I147" t="s">
        <v>1375</v>
      </c>
    </row>
    <row r="148" spans="1:9" x14ac:dyDescent="0.3">
      <c r="A148">
        <v>441</v>
      </c>
      <c r="B148" t="s">
        <v>332</v>
      </c>
      <c r="C148" t="s">
        <v>1439</v>
      </c>
      <c r="D148" s="4">
        <v>822.61</v>
      </c>
      <c r="E148" t="s">
        <v>1440</v>
      </c>
      <c r="F148" s="1">
        <v>-2.7799999999999998E-2</v>
      </c>
      <c r="G148" s="1">
        <v>3.7000000000000002E-3</v>
      </c>
      <c r="H148" t="s">
        <v>34</v>
      </c>
      <c r="I148" t="s">
        <v>1441</v>
      </c>
    </row>
    <row r="149" spans="1:9" x14ac:dyDescent="0.3">
      <c r="A149">
        <v>503</v>
      </c>
      <c r="B149" t="s">
        <v>440</v>
      </c>
      <c r="C149" t="s">
        <v>1636</v>
      </c>
      <c r="D149" s="4">
        <v>622.29999999999995</v>
      </c>
      <c r="E149" t="s">
        <v>1637</v>
      </c>
      <c r="F149" s="1">
        <v>1.17E-2</v>
      </c>
      <c r="G149" s="1">
        <v>4.7999999999999996E-3</v>
      </c>
      <c r="H149" t="s">
        <v>34</v>
      </c>
      <c r="I149" t="s">
        <v>1638</v>
      </c>
    </row>
    <row r="150" spans="1:9" x14ac:dyDescent="0.3">
      <c r="A150">
        <v>535</v>
      </c>
      <c r="B150" t="s">
        <v>839</v>
      </c>
      <c r="C150" t="s">
        <v>1743</v>
      </c>
      <c r="D150" s="4">
        <v>534.41999999999996</v>
      </c>
      <c r="E150" t="s">
        <v>1744</v>
      </c>
      <c r="F150" s="1">
        <v>-2.3E-2</v>
      </c>
      <c r="G150" s="1">
        <v>3.8999999999999998E-3</v>
      </c>
      <c r="H150" t="s">
        <v>34</v>
      </c>
      <c r="I150" t="s">
        <v>1745</v>
      </c>
    </row>
    <row r="151" spans="1:9" x14ac:dyDescent="0.3">
      <c r="A151">
        <v>618</v>
      </c>
      <c r="B151" t="s">
        <v>248</v>
      </c>
      <c r="C151" t="s">
        <v>2025</v>
      </c>
      <c r="D151" s="4">
        <v>386.26</v>
      </c>
      <c r="E151" t="s">
        <v>2026</v>
      </c>
      <c r="F151" s="1">
        <v>-2.7699999999999999E-2</v>
      </c>
      <c r="G151" s="1">
        <v>2E-3</v>
      </c>
      <c r="H151" t="s">
        <v>34</v>
      </c>
      <c r="I151" t="s">
        <v>2027</v>
      </c>
    </row>
    <row r="152" spans="1:9" x14ac:dyDescent="0.3">
      <c r="A152">
        <v>640</v>
      </c>
      <c r="B152" t="s">
        <v>440</v>
      </c>
      <c r="C152" t="s">
        <v>2100</v>
      </c>
      <c r="D152" s="4">
        <v>362.16</v>
      </c>
      <c r="E152" t="s">
        <v>2101</v>
      </c>
      <c r="F152" s="1">
        <v>-3.3099999999999997E-2</v>
      </c>
      <c r="G152" s="1">
        <v>4.1999999999999997E-3</v>
      </c>
      <c r="H152" t="s">
        <v>34</v>
      </c>
      <c r="I152" t="s">
        <v>2102</v>
      </c>
    </row>
    <row r="153" spans="1:9" x14ac:dyDescent="0.3">
      <c r="A153">
        <v>674</v>
      </c>
      <c r="B153" t="s">
        <v>1864</v>
      </c>
      <c r="C153" t="s">
        <v>2207</v>
      </c>
      <c r="D153" s="4">
        <v>316.33999999999997</v>
      </c>
      <c r="E153" t="s">
        <v>2208</v>
      </c>
      <c r="F153" s="1">
        <v>-1.52E-2</v>
      </c>
      <c r="G153" s="1">
        <v>2E-3</v>
      </c>
      <c r="H153" t="s">
        <v>34</v>
      </c>
      <c r="I153" t="s">
        <v>2209</v>
      </c>
    </row>
    <row r="154" spans="1:9" x14ac:dyDescent="0.3">
      <c r="A154">
        <v>676</v>
      </c>
      <c r="B154" t="s">
        <v>12</v>
      </c>
      <c r="C154" t="s">
        <v>2213</v>
      </c>
      <c r="D154" s="4">
        <v>312.51</v>
      </c>
      <c r="E154" t="s">
        <v>2214</v>
      </c>
      <c r="F154" s="1">
        <v>-4.7699999999999999E-2</v>
      </c>
      <c r="G154" s="1">
        <v>1.1999999999999999E-3</v>
      </c>
      <c r="H154" t="s">
        <v>34</v>
      </c>
      <c r="I154" t="s">
        <v>2215</v>
      </c>
    </row>
    <row r="155" spans="1:9" x14ac:dyDescent="0.3">
      <c r="A155">
        <v>704</v>
      </c>
      <c r="B155" t="s">
        <v>7</v>
      </c>
      <c r="C155" t="s">
        <v>2305</v>
      </c>
      <c r="D155" s="4">
        <v>268.63</v>
      </c>
      <c r="E155" t="s">
        <v>2306</v>
      </c>
      <c r="F155" s="1">
        <v>-3.2199999999999999E-2</v>
      </c>
      <c r="G155" s="1">
        <v>2E-3</v>
      </c>
      <c r="H155" t="s">
        <v>34</v>
      </c>
      <c r="I155" t="s">
        <v>2307</v>
      </c>
    </row>
    <row r="156" spans="1:9" x14ac:dyDescent="0.3">
      <c r="A156">
        <v>831</v>
      </c>
      <c r="B156" t="s">
        <v>780</v>
      </c>
      <c r="C156" t="s">
        <v>2717</v>
      </c>
      <c r="D156" s="4">
        <v>170.06</v>
      </c>
      <c r="E156" t="s">
        <v>2718</v>
      </c>
      <c r="F156" s="1">
        <v>-2.0199999999999999E-2</v>
      </c>
      <c r="G156" s="1">
        <v>3.0000000000000001E-3</v>
      </c>
      <c r="H156" t="s">
        <v>34</v>
      </c>
      <c r="I156" t="s">
        <v>2719</v>
      </c>
    </row>
    <row r="157" spans="1:9" x14ac:dyDescent="0.3">
      <c r="A157">
        <v>833</v>
      </c>
      <c r="B157" t="s">
        <v>440</v>
      </c>
      <c r="C157" t="s">
        <v>2723</v>
      </c>
      <c r="D157" s="4">
        <v>168.67</v>
      </c>
      <c r="E157" t="s">
        <v>2724</v>
      </c>
      <c r="F157" s="1">
        <v>1.78E-2</v>
      </c>
      <c r="G157" s="1">
        <v>4.0000000000000001E-3</v>
      </c>
      <c r="H157" t="s">
        <v>34</v>
      </c>
      <c r="I157" t="s">
        <v>2725</v>
      </c>
    </row>
    <row r="158" spans="1:9" x14ac:dyDescent="0.3">
      <c r="A158">
        <v>986</v>
      </c>
      <c r="B158" t="s">
        <v>24</v>
      </c>
      <c r="C158" t="s">
        <v>3212</v>
      </c>
      <c r="D158" s="4">
        <v>105.2</v>
      </c>
      <c r="E158" t="s">
        <v>3213</v>
      </c>
      <c r="F158" s="1">
        <v>-3.0099999999999998E-2</v>
      </c>
      <c r="G158" s="1">
        <v>6.9999999999999999E-4</v>
      </c>
      <c r="H158" t="s">
        <v>34</v>
      </c>
      <c r="I158" t="s">
        <v>3214</v>
      </c>
    </row>
    <row r="159" spans="1:9" x14ac:dyDescent="0.3">
      <c r="A159">
        <v>1114</v>
      </c>
      <c r="B159" t="s">
        <v>1799</v>
      </c>
      <c r="C159" t="s">
        <v>3627</v>
      </c>
      <c r="D159" s="4">
        <v>70.56</v>
      </c>
      <c r="E159" t="s">
        <v>3628</v>
      </c>
      <c r="F159" s="1">
        <v>-7.6E-3</v>
      </c>
      <c r="G159" s="1">
        <v>8.5000000000000006E-3</v>
      </c>
      <c r="H159" t="s">
        <v>34</v>
      </c>
      <c r="I159" t="s">
        <v>3629</v>
      </c>
    </row>
    <row r="160" spans="1:9" x14ac:dyDescent="0.3">
      <c r="A160">
        <v>1117</v>
      </c>
      <c r="B160" t="s">
        <v>2475</v>
      </c>
      <c r="C160" t="s">
        <v>3638</v>
      </c>
      <c r="D160" s="4">
        <v>69.12</v>
      </c>
      <c r="E160" t="s">
        <v>3639</v>
      </c>
      <c r="F160" s="1">
        <v>-0.13250000000000001</v>
      </c>
      <c r="G160" s="1">
        <v>5.8999999999999999E-3</v>
      </c>
      <c r="H160" t="s">
        <v>34</v>
      </c>
      <c r="I160" t="s">
        <v>3640</v>
      </c>
    </row>
    <row r="161" spans="1:9" x14ac:dyDescent="0.3">
      <c r="A161">
        <v>1180</v>
      </c>
      <c r="B161" t="s">
        <v>1799</v>
      </c>
      <c r="C161" t="s">
        <v>3844</v>
      </c>
      <c r="D161" s="4">
        <v>53.24</v>
      </c>
      <c r="E161" t="s">
        <v>3845</v>
      </c>
      <c r="F161" s="1">
        <v>-1.4E-2</v>
      </c>
      <c r="G161" s="1">
        <v>8.6E-3</v>
      </c>
      <c r="H161" t="s">
        <v>34</v>
      </c>
      <c r="I161" t="s">
        <v>3846</v>
      </c>
    </row>
    <row r="162" spans="1:9" x14ac:dyDescent="0.3">
      <c r="A162">
        <v>1302</v>
      </c>
      <c r="B162" t="s">
        <v>440</v>
      </c>
      <c r="C162" t="s">
        <v>4234</v>
      </c>
      <c r="D162" s="4">
        <v>36.1</v>
      </c>
      <c r="E162" t="s">
        <v>4235</v>
      </c>
      <c r="F162" s="1">
        <v>-1.21E-2</v>
      </c>
      <c r="G162" s="1">
        <v>3.8E-3</v>
      </c>
      <c r="H162" t="s">
        <v>34</v>
      </c>
      <c r="I162" t="s">
        <v>4236</v>
      </c>
    </row>
    <row r="163" spans="1:9" x14ac:dyDescent="0.3">
      <c r="A163">
        <v>1360</v>
      </c>
      <c r="B163" t="s">
        <v>618</v>
      </c>
      <c r="C163" t="s">
        <v>4426</v>
      </c>
      <c r="D163" s="4">
        <v>28.98</v>
      </c>
      <c r="E163" t="s">
        <v>4427</v>
      </c>
      <c r="F163" s="1">
        <v>-2.5000000000000001E-2</v>
      </c>
      <c r="G163" s="1">
        <v>1.4E-3</v>
      </c>
      <c r="H163" t="s">
        <v>34</v>
      </c>
      <c r="I163" t="s">
        <v>4428</v>
      </c>
    </row>
    <row r="164" spans="1:9" x14ac:dyDescent="0.3">
      <c r="A164">
        <v>1485</v>
      </c>
      <c r="B164" t="s">
        <v>1799</v>
      </c>
      <c r="C164" t="s">
        <v>4821</v>
      </c>
      <c r="D164" s="4">
        <v>19.579999999999998</v>
      </c>
      <c r="E164" t="s">
        <v>4822</v>
      </c>
      <c r="F164" s="1">
        <v>-1.9199999999999998E-2</v>
      </c>
      <c r="G164" s="1">
        <v>8.5000000000000006E-3</v>
      </c>
      <c r="H164" t="s">
        <v>34</v>
      </c>
      <c r="I164" t="s">
        <v>4823</v>
      </c>
    </row>
    <row r="165" spans="1:9" x14ac:dyDescent="0.3">
      <c r="A165">
        <v>1531</v>
      </c>
      <c r="B165" t="s">
        <v>1340</v>
      </c>
      <c r="C165" t="s">
        <v>4958</v>
      </c>
      <c r="D165" s="4">
        <v>16.899999999999999</v>
      </c>
      <c r="E165" t="s">
        <v>4959</v>
      </c>
      <c r="F165" s="1">
        <v>1.38E-2</v>
      </c>
      <c r="G165" s="1">
        <v>4.0000000000000001E-3</v>
      </c>
      <c r="H165" t="s">
        <v>34</v>
      </c>
      <c r="I165" t="s">
        <v>4960</v>
      </c>
    </row>
    <row r="166" spans="1:9" x14ac:dyDescent="0.3">
      <c r="A166">
        <v>1566</v>
      </c>
      <c r="B166" t="s">
        <v>1799</v>
      </c>
      <c r="C166" t="s">
        <v>5066</v>
      </c>
      <c r="D166" s="4">
        <v>14.31</v>
      </c>
      <c r="E166" t="s">
        <v>5067</v>
      </c>
      <c r="F166" s="1">
        <v>-1.61E-2</v>
      </c>
      <c r="G166" s="1">
        <v>8.5000000000000006E-3</v>
      </c>
      <c r="H166" t="s">
        <v>34</v>
      </c>
      <c r="I166" t="s">
        <v>5068</v>
      </c>
    </row>
    <row r="167" spans="1:9" x14ac:dyDescent="0.3">
      <c r="A167">
        <v>1571</v>
      </c>
      <c r="B167" t="s">
        <v>280</v>
      </c>
      <c r="C167" t="s">
        <v>5082</v>
      </c>
      <c r="D167" s="4">
        <v>13.86</v>
      </c>
      <c r="E167" t="s">
        <v>5083</v>
      </c>
      <c r="F167" s="1">
        <v>-2.4899999999999999E-2</v>
      </c>
      <c r="G167" s="1">
        <v>8.9999999999999993E-3</v>
      </c>
      <c r="H167" t="s">
        <v>34</v>
      </c>
      <c r="I167" t="s">
        <v>5084</v>
      </c>
    </row>
    <row r="168" spans="1:9" x14ac:dyDescent="0.3">
      <c r="A168">
        <v>1580</v>
      </c>
      <c r="B168" t="s">
        <v>280</v>
      </c>
      <c r="C168" t="s">
        <v>5110</v>
      </c>
      <c r="D168" s="4">
        <v>13.21</v>
      </c>
      <c r="E168" t="s">
        <v>5111</v>
      </c>
      <c r="F168" s="1">
        <v>-2.93E-2</v>
      </c>
      <c r="G168" s="1">
        <v>8.9999999999999993E-3</v>
      </c>
      <c r="H168" t="s">
        <v>34</v>
      </c>
      <c r="I168" t="s">
        <v>5112</v>
      </c>
    </row>
    <row r="169" spans="1:9" x14ac:dyDescent="0.3">
      <c r="A169">
        <v>1624</v>
      </c>
      <c r="B169" t="s">
        <v>280</v>
      </c>
      <c r="C169" t="s">
        <v>5254</v>
      </c>
      <c r="D169" s="4">
        <v>10.45</v>
      </c>
      <c r="E169" t="s">
        <v>5255</v>
      </c>
      <c r="F169" s="1">
        <v>-4.1799999999999997E-2</v>
      </c>
      <c r="G169" s="1">
        <v>8.9999999999999993E-3</v>
      </c>
      <c r="H169" t="s">
        <v>34</v>
      </c>
      <c r="I169" t="s">
        <v>5256</v>
      </c>
    </row>
    <row r="170" spans="1:9" x14ac:dyDescent="0.3">
      <c r="A170">
        <v>1636</v>
      </c>
      <c r="B170" t="s">
        <v>1904</v>
      </c>
      <c r="C170" t="s">
        <v>5290</v>
      </c>
      <c r="D170" s="4">
        <v>9.84</v>
      </c>
      <c r="E170" t="s">
        <v>5291</v>
      </c>
      <c r="F170" t="s">
        <v>662</v>
      </c>
      <c r="G170" s="1">
        <v>7.0000000000000001E-3</v>
      </c>
      <c r="H170" t="s">
        <v>34</v>
      </c>
      <c r="I170" t="s">
        <v>5292</v>
      </c>
    </row>
    <row r="171" spans="1:9" x14ac:dyDescent="0.3">
      <c r="A171">
        <v>1676</v>
      </c>
      <c r="B171" t="s">
        <v>280</v>
      </c>
      <c r="C171" t="s">
        <v>5416</v>
      </c>
      <c r="D171" s="4">
        <v>7.8</v>
      </c>
      <c r="E171" t="s">
        <v>5417</v>
      </c>
      <c r="F171" s="1">
        <v>-2.3800000000000002E-2</v>
      </c>
      <c r="G171" s="1">
        <v>8.9999999999999993E-3</v>
      </c>
      <c r="H171" t="s">
        <v>34</v>
      </c>
      <c r="I171" t="s">
        <v>5418</v>
      </c>
    </row>
    <row r="172" spans="1:9" x14ac:dyDescent="0.3">
      <c r="A172">
        <v>1686</v>
      </c>
      <c r="B172" t="s">
        <v>440</v>
      </c>
      <c r="C172" t="s">
        <v>5444</v>
      </c>
      <c r="D172" s="4">
        <v>7.59</v>
      </c>
      <c r="E172" t="s">
        <v>5445</v>
      </c>
      <c r="F172" s="1">
        <v>-1.7299999999999999E-2</v>
      </c>
      <c r="G172" s="1">
        <v>3.0000000000000001E-3</v>
      </c>
      <c r="H172" t="s">
        <v>34</v>
      </c>
      <c r="I172" t="s">
        <v>5446</v>
      </c>
    </row>
    <row r="173" spans="1:9" x14ac:dyDescent="0.3">
      <c r="A173">
        <v>1823</v>
      </c>
      <c r="B173" t="s">
        <v>1842</v>
      </c>
      <c r="C173" t="s">
        <v>5861</v>
      </c>
      <c r="D173" s="4">
        <v>3</v>
      </c>
      <c r="E173" t="s">
        <v>5862</v>
      </c>
      <c r="F173" t="s">
        <v>662</v>
      </c>
      <c r="G173" s="1">
        <v>3.2000000000000002E-3</v>
      </c>
      <c r="H173" t="s">
        <v>34</v>
      </c>
      <c r="I173" t="s">
        <v>5863</v>
      </c>
    </row>
    <row r="174" spans="1:9" x14ac:dyDescent="0.3">
      <c r="A174">
        <v>56</v>
      </c>
      <c r="B174" t="s">
        <v>12</v>
      </c>
      <c r="C174" t="s">
        <v>201</v>
      </c>
      <c r="D174" s="4">
        <f>16.48*1000</f>
        <v>16480</v>
      </c>
      <c r="E174" t="s">
        <v>202</v>
      </c>
      <c r="F174" s="1">
        <v>1.43E-2</v>
      </c>
      <c r="G174" s="1">
        <v>3.8999999999999998E-3</v>
      </c>
      <c r="H174" t="s">
        <v>203</v>
      </c>
      <c r="I174" t="s">
        <v>204</v>
      </c>
    </row>
    <row r="175" spans="1:9" x14ac:dyDescent="0.3">
      <c r="A175">
        <v>79</v>
      </c>
      <c r="B175" t="s">
        <v>12</v>
      </c>
      <c r="C175" t="s">
        <v>284</v>
      </c>
      <c r="D175" s="4">
        <f>12.64*1000</f>
        <v>12640</v>
      </c>
      <c r="E175" t="s">
        <v>285</v>
      </c>
      <c r="F175" s="1">
        <v>-6.9599999999999995E-2</v>
      </c>
      <c r="G175" s="1">
        <v>4.0000000000000001E-3</v>
      </c>
      <c r="H175" t="s">
        <v>286</v>
      </c>
      <c r="I175" t="s">
        <v>287</v>
      </c>
    </row>
    <row r="176" spans="1:9" x14ac:dyDescent="0.3">
      <c r="A176">
        <v>563</v>
      </c>
      <c r="B176" t="s">
        <v>24</v>
      </c>
      <c r="C176" t="s">
        <v>1834</v>
      </c>
      <c r="D176" s="4">
        <v>478.95</v>
      </c>
      <c r="E176" t="s">
        <v>1835</v>
      </c>
      <c r="F176" s="1">
        <v>-6.9099999999999995E-2</v>
      </c>
      <c r="G176" s="1">
        <v>4.8999999999999998E-3</v>
      </c>
      <c r="H176" t="s">
        <v>1836</v>
      </c>
      <c r="I176" t="s">
        <v>1837</v>
      </c>
    </row>
    <row r="177" spans="1:9" x14ac:dyDescent="0.3">
      <c r="A177">
        <v>173</v>
      </c>
      <c r="B177" t="s">
        <v>12</v>
      </c>
      <c r="C177" t="s">
        <v>608</v>
      </c>
      <c r="D177" s="4">
        <f>4.51*1000</f>
        <v>4510</v>
      </c>
      <c r="E177" t="s">
        <v>609</v>
      </c>
      <c r="F177" s="1">
        <v>3.3700000000000001E-2</v>
      </c>
      <c r="G177" s="1">
        <v>4.8999999999999998E-3</v>
      </c>
      <c r="H177" t="s">
        <v>610</v>
      </c>
      <c r="I177" t="s">
        <v>611</v>
      </c>
    </row>
    <row r="178" spans="1:9" x14ac:dyDescent="0.3">
      <c r="A178">
        <v>1030</v>
      </c>
      <c r="B178" t="s">
        <v>460</v>
      </c>
      <c r="C178" t="s">
        <v>3354</v>
      </c>
      <c r="D178" s="4">
        <v>92.13</v>
      </c>
      <c r="E178" t="s">
        <v>3355</v>
      </c>
      <c r="F178" s="1">
        <v>2.1999999999999999E-2</v>
      </c>
      <c r="G178" s="1">
        <v>3.8999999999999998E-3</v>
      </c>
      <c r="H178" t="s">
        <v>610</v>
      </c>
      <c r="I178" t="s">
        <v>3356</v>
      </c>
    </row>
    <row r="179" spans="1:9" x14ac:dyDescent="0.3">
      <c r="A179">
        <v>1600</v>
      </c>
      <c r="B179" t="s">
        <v>486</v>
      </c>
      <c r="C179" t="s">
        <v>5177</v>
      </c>
      <c r="D179" s="4">
        <v>11.98</v>
      </c>
      <c r="E179" t="s">
        <v>5175</v>
      </c>
      <c r="F179" s="1">
        <v>3.9800000000000002E-2</v>
      </c>
      <c r="G179" s="1">
        <v>5.5999999999999999E-3</v>
      </c>
      <c r="H179" t="s">
        <v>610</v>
      </c>
      <c r="I179" t="s">
        <v>5178</v>
      </c>
    </row>
    <row r="180" spans="1:9" s="5" customFormat="1" x14ac:dyDescent="0.3">
      <c r="A180" s="5">
        <v>115</v>
      </c>
      <c r="B180" s="5" t="s">
        <v>116</v>
      </c>
      <c r="C180" s="5" t="s">
        <v>408</v>
      </c>
      <c r="D180" s="6">
        <f>7.37*1000</f>
        <v>7370</v>
      </c>
      <c r="E180" s="5" t="s">
        <v>409</v>
      </c>
      <c r="F180" s="7">
        <v>5.3E-3</v>
      </c>
      <c r="G180" s="7">
        <v>2.5000000000000001E-3</v>
      </c>
      <c r="H180" s="5" t="s">
        <v>410</v>
      </c>
      <c r="I180" s="5" t="s">
        <v>411</v>
      </c>
    </row>
    <row r="181" spans="1:9" x14ac:dyDescent="0.3">
      <c r="A181">
        <v>624</v>
      </c>
      <c r="B181" t="s">
        <v>440</v>
      </c>
      <c r="C181" t="s">
        <v>2045</v>
      </c>
      <c r="D181" s="4">
        <v>379.42</v>
      </c>
      <c r="E181" t="s">
        <v>2046</v>
      </c>
      <c r="F181" s="1">
        <v>2.7099999999999999E-2</v>
      </c>
      <c r="G181" s="1">
        <v>4.7999999999999996E-3</v>
      </c>
      <c r="H181" t="s">
        <v>410</v>
      </c>
      <c r="I181" t="s">
        <v>2047</v>
      </c>
    </row>
    <row r="182" spans="1:9" x14ac:dyDescent="0.3">
      <c r="A182">
        <v>667</v>
      </c>
      <c r="B182" t="s">
        <v>24</v>
      </c>
      <c r="C182" t="s">
        <v>2187</v>
      </c>
      <c r="D182" s="4">
        <v>322.20999999999998</v>
      </c>
      <c r="E182" t="s">
        <v>2188</v>
      </c>
      <c r="F182" s="1">
        <v>4.7000000000000002E-3</v>
      </c>
      <c r="G182" s="1">
        <v>2.3E-3</v>
      </c>
      <c r="H182" t="s">
        <v>410</v>
      </c>
      <c r="I182" t="s">
        <v>2189</v>
      </c>
    </row>
    <row r="183" spans="1:9" x14ac:dyDescent="0.3">
      <c r="A183">
        <v>839</v>
      </c>
      <c r="B183" t="s">
        <v>517</v>
      </c>
      <c r="C183" t="s">
        <v>2742</v>
      </c>
      <c r="D183" s="4">
        <v>164.71</v>
      </c>
      <c r="E183" t="s">
        <v>2743</v>
      </c>
      <c r="F183" s="1">
        <v>3.3000000000000002E-2</v>
      </c>
      <c r="G183" s="1">
        <v>5.0000000000000001E-3</v>
      </c>
      <c r="H183" t="s">
        <v>410</v>
      </c>
      <c r="I183" t="s">
        <v>2744</v>
      </c>
    </row>
    <row r="184" spans="1:9" x14ac:dyDescent="0.3">
      <c r="A184">
        <v>877</v>
      </c>
      <c r="B184" t="s">
        <v>941</v>
      </c>
      <c r="C184" t="s">
        <v>2863</v>
      </c>
      <c r="D184" s="4">
        <v>142.72999999999999</v>
      </c>
      <c r="E184" t="s">
        <v>2864</v>
      </c>
      <c r="F184" s="1">
        <v>-2.1299999999999999E-2</v>
      </c>
      <c r="G184" s="1">
        <v>6.6E-3</v>
      </c>
      <c r="H184" t="s">
        <v>410</v>
      </c>
      <c r="I184" t="s">
        <v>2865</v>
      </c>
    </row>
    <row r="185" spans="1:9" x14ac:dyDescent="0.3">
      <c r="A185">
        <v>893</v>
      </c>
      <c r="B185" t="s">
        <v>440</v>
      </c>
      <c r="C185" t="s">
        <v>2912</v>
      </c>
      <c r="D185" s="4">
        <v>138.53</v>
      </c>
      <c r="E185" t="s">
        <v>2913</v>
      </c>
      <c r="F185" s="1">
        <v>2.4799999999999999E-2</v>
      </c>
      <c r="G185" s="1">
        <v>5.7999999999999996E-3</v>
      </c>
      <c r="H185" t="s">
        <v>410</v>
      </c>
      <c r="I185" t="s">
        <v>2914</v>
      </c>
    </row>
    <row r="186" spans="1:9" x14ac:dyDescent="0.3">
      <c r="A186">
        <v>970</v>
      </c>
      <c r="B186" t="s">
        <v>1182</v>
      </c>
      <c r="C186" t="s">
        <v>3161</v>
      </c>
      <c r="D186" s="4">
        <v>112.23</v>
      </c>
      <c r="E186" t="s">
        <v>3162</v>
      </c>
      <c r="F186" s="1">
        <v>-1.8100000000000002E-2</v>
      </c>
      <c r="G186" s="1">
        <v>4.4999999999999997E-3</v>
      </c>
      <c r="H186" t="s">
        <v>410</v>
      </c>
      <c r="I186" t="s">
        <v>3163</v>
      </c>
    </row>
    <row r="187" spans="1:9" x14ac:dyDescent="0.3">
      <c r="A187">
        <v>977</v>
      </c>
      <c r="B187" t="s">
        <v>1904</v>
      </c>
      <c r="C187" t="s">
        <v>3183</v>
      </c>
      <c r="D187" s="4">
        <v>109.06</v>
      </c>
      <c r="E187" t="s">
        <v>3184</v>
      </c>
      <c r="F187" s="1">
        <v>-2.3400000000000001E-2</v>
      </c>
      <c r="G187" s="1">
        <v>4.0000000000000002E-4</v>
      </c>
      <c r="H187" t="s">
        <v>410</v>
      </c>
      <c r="I187" t="s">
        <v>3185</v>
      </c>
    </row>
    <row r="188" spans="1:9" x14ac:dyDescent="0.3">
      <c r="A188">
        <v>1054</v>
      </c>
      <c r="B188" t="s">
        <v>2792</v>
      </c>
      <c r="C188" t="s">
        <v>3431</v>
      </c>
      <c r="D188" s="4">
        <v>84.09</v>
      </c>
      <c r="E188" t="s">
        <v>3432</v>
      </c>
      <c r="F188" s="1">
        <v>-3.32E-2</v>
      </c>
      <c r="G188" s="1">
        <v>6.1999999999999998E-3</v>
      </c>
      <c r="H188" t="s">
        <v>410</v>
      </c>
      <c r="I188" t="s">
        <v>3433</v>
      </c>
    </row>
    <row r="189" spans="1:9" x14ac:dyDescent="0.3">
      <c r="A189">
        <v>1265</v>
      </c>
      <c r="B189" t="s">
        <v>1182</v>
      </c>
      <c r="C189" t="s">
        <v>4109</v>
      </c>
      <c r="D189" s="4">
        <v>40.19</v>
      </c>
      <c r="E189" t="s">
        <v>4110</v>
      </c>
      <c r="F189" s="1">
        <v>-2.7300000000000001E-2</v>
      </c>
      <c r="G189" s="1">
        <v>4.4999999999999997E-3</v>
      </c>
      <c r="H189" t="s">
        <v>410</v>
      </c>
      <c r="I189" t="s">
        <v>4111</v>
      </c>
    </row>
    <row r="190" spans="1:9" x14ac:dyDescent="0.3">
      <c r="A190">
        <v>1500</v>
      </c>
      <c r="B190" t="s">
        <v>1182</v>
      </c>
      <c r="C190" t="s">
        <v>4867</v>
      </c>
      <c r="D190" s="4">
        <v>18.350000000000001</v>
      </c>
      <c r="E190" t="s">
        <v>4865</v>
      </c>
      <c r="F190" s="1">
        <v>3.4200000000000001E-2</v>
      </c>
      <c r="G190" s="1">
        <v>4.4999999999999997E-3</v>
      </c>
      <c r="H190" t="s">
        <v>410</v>
      </c>
      <c r="I190" t="s">
        <v>4868</v>
      </c>
    </row>
    <row r="191" spans="1:9" x14ac:dyDescent="0.3">
      <c r="A191">
        <v>1761</v>
      </c>
      <c r="B191" t="s">
        <v>444</v>
      </c>
      <c r="C191" t="s">
        <v>5671</v>
      </c>
      <c r="D191" s="4">
        <v>4.99</v>
      </c>
      <c r="E191" t="s">
        <v>5672</v>
      </c>
      <c r="F191" s="1">
        <v>-2.2100000000000002E-2</v>
      </c>
      <c r="G191" s="1">
        <v>1.1999999999999999E-3</v>
      </c>
      <c r="H191" t="s">
        <v>410</v>
      </c>
      <c r="I191" t="s">
        <v>5673</v>
      </c>
    </row>
    <row r="192" spans="1:9" x14ac:dyDescent="0.3">
      <c r="A192">
        <v>1771</v>
      </c>
      <c r="B192" t="s">
        <v>486</v>
      </c>
      <c r="C192" t="s">
        <v>5701</v>
      </c>
      <c r="D192" s="4">
        <v>4.6100000000000003</v>
      </c>
      <c r="E192" t="s">
        <v>5702</v>
      </c>
      <c r="F192" s="1">
        <v>-4.6300000000000001E-2</v>
      </c>
      <c r="G192" s="1">
        <v>3.5000000000000001E-3</v>
      </c>
      <c r="H192" t="s">
        <v>410</v>
      </c>
      <c r="I192" t="s">
        <v>5703</v>
      </c>
    </row>
    <row r="193" spans="1:9" x14ac:dyDescent="0.3">
      <c r="A193">
        <v>887</v>
      </c>
      <c r="B193" t="s">
        <v>440</v>
      </c>
      <c r="C193" t="s">
        <v>2893</v>
      </c>
      <c r="D193" s="4">
        <v>140.11000000000001</v>
      </c>
      <c r="E193" t="s">
        <v>2894</v>
      </c>
      <c r="F193" s="1">
        <v>-2.1899999999999999E-2</v>
      </c>
      <c r="G193" s="1">
        <v>5.7999999999999996E-3</v>
      </c>
      <c r="H193" t="s">
        <v>2895</v>
      </c>
      <c r="I193" t="s">
        <v>2896</v>
      </c>
    </row>
    <row r="194" spans="1:9" s="5" customFormat="1" x14ac:dyDescent="0.3">
      <c r="A194" s="5">
        <v>200</v>
      </c>
      <c r="B194" s="5" t="s">
        <v>116</v>
      </c>
      <c r="C194" s="5" t="s">
        <v>693</v>
      </c>
      <c r="D194" s="6">
        <f>3.68*1000</f>
        <v>3680</v>
      </c>
      <c r="E194" s="5" t="s">
        <v>694</v>
      </c>
      <c r="F194" s="7">
        <v>-7.8100000000000003E-2</v>
      </c>
      <c r="G194" s="7">
        <v>1.1000000000000001E-3</v>
      </c>
      <c r="H194" s="5" t="s">
        <v>695</v>
      </c>
      <c r="I194" s="5" t="s">
        <v>696</v>
      </c>
    </row>
    <row r="195" spans="1:9" x14ac:dyDescent="0.3">
      <c r="A195">
        <v>233</v>
      </c>
      <c r="B195" t="s">
        <v>116</v>
      </c>
      <c r="C195" t="s">
        <v>802</v>
      </c>
      <c r="D195" s="4">
        <f>2.71*1000</f>
        <v>2710</v>
      </c>
      <c r="E195" t="s">
        <v>803</v>
      </c>
      <c r="F195" s="1">
        <v>-5.7799999999999997E-2</v>
      </c>
      <c r="G195" s="1">
        <v>3.8999999999999998E-3</v>
      </c>
      <c r="H195" t="s">
        <v>695</v>
      </c>
      <c r="I195" t="s">
        <v>804</v>
      </c>
    </row>
    <row r="196" spans="1:9" x14ac:dyDescent="0.3">
      <c r="A196">
        <v>330</v>
      </c>
      <c r="B196" t="s">
        <v>440</v>
      </c>
      <c r="C196" t="s">
        <v>1101</v>
      </c>
      <c r="D196" s="4">
        <f>1.38*1000</f>
        <v>1380</v>
      </c>
      <c r="E196" t="s">
        <v>1102</v>
      </c>
      <c r="F196" s="1">
        <v>-5.3800000000000001E-2</v>
      </c>
      <c r="G196" s="1">
        <v>5.7999999999999996E-3</v>
      </c>
      <c r="H196" t="s">
        <v>695</v>
      </c>
      <c r="I196" t="s">
        <v>1103</v>
      </c>
    </row>
    <row r="197" spans="1:9" x14ac:dyDescent="0.3">
      <c r="A197">
        <v>456</v>
      </c>
      <c r="B197" t="s">
        <v>7</v>
      </c>
      <c r="C197" t="s">
        <v>1488</v>
      </c>
      <c r="D197" s="4">
        <v>786.75</v>
      </c>
      <c r="E197" t="s">
        <v>1489</v>
      </c>
      <c r="F197" s="1">
        <v>-7.7299999999999994E-2</v>
      </c>
      <c r="G197" s="1">
        <v>4.0000000000000001E-3</v>
      </c>
      <c r="H197" t="s">
        <v>695</v>
      </c>
      <c r="I197" t="s">
        <v>1490</v>
      </c>
    </row>
    <row r="198" spans="1:9" x14ac:dyDescent="0.3">
      <c r="A198">
        <v>782</v>
      </c>
      <c r="B198" t="s">
        <v>12</v>
      </c>
      <c r="C198" t="s">
        <v>2561</v>
      </c>
      <c r="D198" s="4">
        <v>200.31</v>
      </c>
      <c r="E198" t="s">
        <v>2562</v>
      </c>
      <c r="F198" s="1">
        <v>-4.9700000000000001E-2</v>
      </c>
      <c r="G198" s="1">
        <v>4.0000000000000001E-3</v>
      </c>
      <c r="H198" t="s">
        <v>695</v>
      </c>
      <c r="I198" t="s">
        <v>2563</v>
      </c>
    </row>
    <row r="199" spans="1:9" x14ac:dyDescent="0.3">
      <c r="A199">
        <v>1581</v>
      </c>
      <c r="B199" t="s">
        <v>280</v>
      </c>
      <c r="C199" t="s">
        <v>5113</v>
      </c>
      <c r="D199" s="4">
        <v>13.14</v>
      </c>
      <c r="E199" t="s">
        <v>5114</v>
      </c>
      <c r="F199" s="1">
        <v>-6.6199999999999995E-2</v>
      </c>
      <c r="G199" s="1">
        <v>8.0000000000000002E-3</v>
      </c>
      <c r="H199" t="s">
        <v>695</v>
      </c>
      <c r="I199" t="s">
        <v>5115</v>
      </c>
    </row>
    <row r="200" spans="1:9" x14ac:dyDescent="0.3">
      <c r="A200">
        <v>333</v>
      </c>
      <c r="B200" t="s">
        <v>863</v>
      </c>
      <c r="C200" t="s">
        <v>1109</v>
      </c>
      <c r="D200" s="4">
        <f>1.34*1000</f>
        <v>1340</v>
      </c>
      <c r="E200" t="s">
        <v>1110</v>
      </c>
      <c r="F200" s="1">
        <v>-3.8199999999999998E-2</v>
      </c>
      <c r="G200" s="1">
        <v>3.5999999999999999E-3</v>
      </c>
      <c r="H200" t="s">
        <v>1111</v>
      </c>
      <c r="I200" t="s">
        <v>1112</v>
      </c>
    </row>
    <row r="201" spans="1:9" x14ac:dyDescent="0.3">
      <c r="A201">
        <v>1568</v>
      </c>
      <c r="B201" t="s">
        <v>12</v>
      </c>
      <c r="C201" t="s">
        <v>5072</v>
      </c>
      <c r="D201" s="4">
        <v>13.91</v>
      </c>
      <c r="E201" t="s">
        <v>5073</v>
      </c>
      <c r="F201" s="1">
        <v>-4.9000000000000002E-2</v>
      </c>
      <c r="G201" s="1">
        <v>3.0000000000000001E-3</v>
      </c>
      <c r="H201" t="s">
        <v>1111</v>
      </c>
      <c r="I201" t="s">
        <v>5074</v>
      </c>
    </row>
    <row r="202" spans="1:9" s="5" customFormat="1" x14ac:dyDescent="0.3">
      <c r="A202" s="5">
        <v>5</v>
      </c>
      <c r="B202" s="5" t="s">
        <v>16</v>
      </c>
      <c r="C202" s="5" t="s">
        <v>28</v>
      </c>
      <c r="D202" s="6">
        <f>108.51*1000</f>
        <v>108510</v>
      </c>
      <c r="E202" s="5" t="s">
        <v>29</v>
      </c>
      <c r="F202" s="7">
        <v>-3.3300000000000003E-2</v>
      </c>
      <c r="G202" s="7">
        <v>5.0000000000000001E-4</v>
      </c>
      <c r="H202" s="5" t="s">
        <v>30</v>
      </c>
      <c r="I202" s="5" t="s">
        <v>31</v>
      </c>
    </row>
    <row r="203" spans="1:9" x14ac:dyDescent="0.3">
      <c r="A203">
        <v>38</v>
      </c>
      <c r="B203" t="s">
        <v>116</v>
      </c>
      <c r="C203" t="s">
        <v>142</v>
      </c>
      <c r="D203" s="4">
        <f>28.87*1000</f>
        <v>28870</v>
      </c>
      <c r="E203" t="s">
        <v>143</v>
      </c>
      <c r="F203" s="1">
        <v>-2.8199999999999999E-2</v>
      </c>
      <c r="G203" s="1">
        <v>5.9999999999999995E-4</v>
      </c>
      <c r="H203" t="s">
        <v>30</v>
      </c>
      <c r="I203" t="s">
        <v>144</v>
      </c>
    </row>
    <row r="204" spans="1:9" x14ac:dyDescent="0.3">
      <c r="A204">
        <v>74</v>
      </c>
      <c r="B204" t="s">
        <v>7</v>
      </c>
      <c r="C204" t="s">
        <v>266</v>
      </c>
      <c r="D204" s="4">
        <f>12.88*1000</f>
        <v>12880</v>
      </c>
      <c r="E204" t="s">
        <v>267</v>
      </c>
      <c r="F204" s="1">
        <v>-3.8199999999999998E-2</v>
      </c>
      <c r="G204" s="1">
        <v>4.0000000000000002E-4</v>
      </c>
      <c r="H204" t="s">
        <v>30</v>
      </c>
      <c r="I204" t="s">
        <v>268</v>
      </c>
    </row>
    <row r="205" spans="1:9" x14ac:dyDescent="0.3">
      <c r="A205">
        <v>123</v>
      </c>
      <c r="B205" t="s">
        <v>12</v>
      </c>
      <c r="C205" t="s">
        <v>434</v>
      </c>
      <c r="D205" s="4">
        <f>6.86*1000</f>
        <v>6860</v>
      </c>
      <c r="E205" t="s">
        <v>435</v>
      </c>
      <c r="F205" s="1">
        <v>-3.3799999999999997E-2</v>
      </c>
      <c r="G205" s="1">
        <v>5.0000000000000001E-4</v>
      </c>
      <c r="H205" t="s">
        <v>30</v>
      </c>
      <c r="I205" t="s">
        <v>436</v>
      </c>
    </row>
    <row r="206" spans="1:9" x14ac:dyDescent="0.3">
      <c r="A206">
        <v>179</v>
      </c>
      <c r="B206" t="s">
        <v>12</v>
      </c>
      <c r="C206" t="s">
        <v>628</v>
      </c>
      <c r="D206" s="4">
        <f>4.22*1000</f>
        <v>4220</v>
      </c>
      <c r="E206" t="s">
        <v>629</v>
      </c>
      <c r="F206" s="1">
        <v>-3.3099999999999997E-2</v>
      </c>
      <c r="G206" s="1">
        <v>3.0000000000000001E-3</v>
      </c>
      <c r="H206" t="s">
        <v>30</v>
      </c>
      <c r="I206" t="s">
        <v>630</v>
      </c>
    </row>
    <row r="207" spans="1:9" x14ac:dyDescent="0.3">
      <c r="A207">
        <v>216</v>
      </c>
      <c r="B207" t="s">
        <v>248</v>
      </c>
      <c r="C207" t="s">
        <v>746</v>
      </c>
      <c r="D207" s="4">
        <f>3.21*1000</f>
        <v>3210</v>
      </c>
      <c r="E207" t="s">
        <v>747</v>
      </c>
      <c r="F207" s="1">
        <v>-3.7199999999999997E-2</v>
      </c>
      <c r="G207" s="1">
        <v>2.5000000000000001E-3</v>
      </c>
      <c r="H207" t="s">
        <v>30</v>
      </c>
      <c r="I207" t="s">
        <v>748</v>
      </c>
    </row>
    <row r="208" spans="1:9" x14ac:dyDescent="0.3">
      <c r="A208">
        <v>283</v>
      </c>
      <c r="B208" t="s">
        <v>964</v>
      </c>
      <c r="C208" t="s">
        <v>965</v>
      </c>
      <c r="D208" s="4">
        <f>1.79*1000</f>
        <v>1790</v>
      </c>
      <c r="E208" t="s">
        <v>966</v>
      </c>
      <c r="F208" s="1">
        <v>-2.24E-2</v>
      </c>
      <c r="G208" s="1">
        <v>2.8999999999999998E-3</v>
      </c>
      <c r="H208" t="s">
        <v>30</v>
      </c>
      <c r="I208" t="s">
        <v>967</v>
      </c>
    </row>
    <row r="209" spans="1:9" x14ac:dyDescent="0.3">
      <c r="A209">
        <v>342</v>
      </c>
      <c r="B209" t="s">
        <v>863</v>
      </c>
      <c r="C209" t="s">
        <v>1137</v>
      </c>
      <c r="D209" s="4">
        <f>1.26*1000</f>
        <v>1260</v>
      </c>
      <c r="E209" t="s">
        <v>1134</v>
      </c>
      <c r="F209" s="1">
        <v>-2.69E-2</v>
      </c>
      <c r="G209" s="1">
        <v>2.3E-3</v>
      </c>
      <c r="H209" t="s">
        <v>30</v>
      </c>
      <c r="I209" t="s">
        <v>1138</v>
      </c>
    </row>
    <row r="210" spans="1:9" x14ac:dyDescent="0.3">
      <c r="A210">
        <v>354</v>
      </c>
      <c r="B210" t="s">
        <v>240</v>
      </c>
      <c r="C210" t="s">
        <v>1171</v>
      </c>
      <c r="D210" s="4">
        <f>1.19*1000</f>
        <v>1190</v>
      </c>
      <c r="E210" t="s">
        <v>1172</v>
      </c>
      <c r="F210" s="1">
        <v>-2.4299999999999999E-2</v>
      </c>
      <c r="G210" s="1">
        <v>1.8E-3</v>
      </c>
      <c r="H210" t="s">
        <v>30</v>
      </c>
      <c r="I210" t="s">
        <v>1173</v>
      </c>
    </row>
    <row r="211" spans="1:9" x14ac:dyDescent="0.3">
      <c r="A211">
        <v>364</v>
      </c>
      <c r="B211" t="s">
        <v>24</v>
      </c>
      <c r="C211" t="s">
        <v>1197</v>
      </c>
      <c r="D211" s="4">
        <f>1.15*1000</f>
        <v>1150</v>
      </c>
      <c r="E211" t="s">
        <v>1198</v>
      </c>
      <c r="F211" s="1">
        <v>4.5999999999999999E-3</v>
      </c>
      <c r="G211" s="1">
        <v>4.4999999999999997E-3</v>
      </c>
      <c r="H211" t="s">
        <v>30</v>
      </c>
      <c r="I211" t="s">
        <v>1199</v>
      </c>
    </row>
    <row r="212" spans="1:9" x14ac:dyDescent="0.3">
      <c r="A212">
        <v>422</v>
      </c>
      <c r="B212" t="s">
        <v>12</v>
      </c>
      <c r="C212" t="s">
        <v>1379</v>
      </c>
      <c r="D212" s="4">
        <v>887.14</v>
      </c>
      <c r="E212" t="s">
        <v>1380</v>
      </c>
      <c r="F212" s="1">
        <v>-2.35E-2</v>
      </c>
      <c r="G212" s="1">
        <v>3.0000000000000001E-3</v>
      </c>
      <c r="H212" t="s">
        <v>30</v>
      </c>
      <c r="I212" t="s">
        <v>1381</v>
      </c>
    </row>
    <row r="213" spans="1:9" x14ac:dyDescent="0.3">
      <c r="A213">
        <v>431</v>
      </c>
      <c r="B213" t="s">
        <v>12</v>
      </c>
      <c r="C213" t="s">
        <v>1408</v>
      </c>
      <c r="D213" s="4">
        <v>842.51</v>
      </c>
      <c r="E213" t="s">
        <v>1409</v>
      </c>
      <c r="F213" s="1">
        <v>-4.99E-2</v>
      </c>
      <c r="G213" s="1">
        <v>3.0000000000000001E-3</v>
      </c>
      <c r="H213" t="s">
        <v>30</v>
      </c>
      <c r="I213" t="s">
        <v>1410</v>
      </c>
    </row>
    <row r="214" spans="1:9" x14ac:dyDescent="0.3">
      <c r="A214">
        <v>483</v>
      </c>
      <c r="B214" t="s">
        <v>24</v>
      </c>
      <c r="C214" t="s">
        <v>1572</v>
      </c>
      <c r="D214" s="4">
        <v>689.06</v>
      </c>
      <c r="E214" t="s">
        <v>1573</v>
      </c>
      <c r="F214" s="1">
        <v>-3.0000000000000001E-3</v>
      </c>
      <c r="G214" s="1">
        <v>2.5000000000000001E-3</v>
      </c>
      <c r="H214" t="s">
        <v>30</v>
      </c>
      <c r="I214" t="s">
        <v>1574</v>
      </c>
    </row>
    <row r="215" spans="1:9" x14ac:dyDescent="0.3">
      <c r="A215">
        <v>499</v>
      </c>
      <c r="B215" t="s">
        <v>444</v>
      </c>
      <c r="C215" t="s">
        <v>1623</v>
      </c>
      <c r="D215" s="4">
        <v>637.28</v>
      </c>
      <c r="E215" t="s">
        <v>1624</v>
      </c>
      <c r="F215" s="1">
        <v>-2.7400000000000001E-2</v>
      </c>
      <c r="G215" s="1">
        <v>3.8999999999999998E-3</v>
      </c>
      <c r="H215" t="s">
        <v>30</v>
      </c>
      <c r="I215" t="s">
        <v>1625</v>
      </c>
    </row>
    <row r="216" spans="1:9" x14ac:dyDescent="0.3">
      <c r="A216">
        <v>590</v>
      </c>
      <c r="B216" t="s">
        <v>280</v>
      </c>
      <c r="C216" t="s">
        <v>1928</v>
      </c>
      <c r="D216" s="4">
        <v>427.16</v>
      </c>
      <c r="E216" t="s">
        <v>1929</v>
      </c>
      <c r="F216" s="1">
        <v>-3.4099999999999998E-2</v>
      </c>
      <c r="G216" s="1">
        <v>8.0000000000000002E-3</v>
      </c>
      <c r="H216" t="s">
        <v>30</v>
      </c>
      <c r="I216" t="s">
        <v>1930</v>
      </c>
    </row>
    <row r="217" spans="1:9" x14ac:dyDescent="0.3">
      <c r="A217">
        <v>645</v>
      </c>
      <c r="B217" t="s">
        <v>1182</v>
      </c>
      <c r="C217" t="s">
        <v>2117</v>
      </c>
      <c r="D217" s="4">
        <v>350.58</v>
      </c>
      <c r="E217" t="s">
        <v>2118</v>
      </c>
      <c r="F217" s="1">
        <v>-2.3400000000000001E-2</v>
      </c>
      <c r="G217" s="1">
        <v>3.5000000000000001E-3</v>
      </c>
      <c r="H217" t="s">
        <v>30</v>
      </c>
      <c r="I217" t="s">
        <v>2119</v>
      </c>
    </row>
    <row r="218" spans="1:9" x14ac:dyDescent="0.3">
      <c r="A218">
        <v>743</v>
      </c>
      <c r="B218" t="s">
        <v>1864</v>
      </c>
      <c r="C218" t="s">
        <v>2436</v>
      </c>
      <c r="D218" s="4">
        <v>228.88</v>
      </c>
      <c r="E218" t="s">
        <v>2437</v>
      </c>
      <c r="F218" s="1">
        <v>-1.9400000000000001E-2</v>
      </c>
      <c r="G218" s="1">
        <v>2.5000000000000001E-3</v>
      </c>
      <c r="H218" t="s">
        <v>30</v>
      </c>
      <c r="I218" t="s">
        <v>2438</v>
      </c>
    </row>
    <row r="219" spans="1:9" x14ac:dyDescent="0.3">
      <c r="A219">
        <v>752</v>
      </c>
      <c r="B219" t="s">
        <v>24</v>
      </c>
      <c r="C219" t="s">
        <v>2466</v>
      </c>
      <c r="D219" s="4">
        <v>220.24</v>
      </c>
      <c r="E219" t="s">
        <v>2467</v>
      </c>
      <c r="F219" s="1">
        <v>-0.1069</v>
      </c>
      <c r="G219" s="1">
        <v>8.0000000000000002E-3</v>
      </c>
      <c r="H219" t="s">
        <v>30</v>
      </c>
      <c r="I219" t="s">
        <v>2468</v>
      </c>
    </row>
    <row r="220" spans="1:9" x14ac:dyDescent="0.3">
      <c r="A220">
        <v>834</v>
      </c>
      <c r="B220" t="s">
        <v>280</v>
      </c>
      <c r="C220" t="s">
        <v>2726</v>
      </c>
      <c r="D220" s="4">
        <v>168.06</v>
      </c>
      <c r="E220" t="s">
        <v>2727</v>
      </c>
      <c r="F220" s="1">
        <v>-3.49E-2</v>
      </c>
      <c r="G220" s="1">
        <v>8.3000000000000001E-3</v>
      </c>
      <c r="H220" t="s">
        <v>30</v>
      </c>
      <c r="I220" t="s">
        <v>2728</v>
      </c>
    </row>
    <row r="221" spans="1:9" x14ac:dyDescent="0.3">
      <c r="A221">
        <v>903</v>
      </c>
      <c r="B221" t="s">
        <v>1025</v>
      </c>
      <c r="C221" t="s">
        <v>2944</v>
      </c>
      <c r="D221" s="4">
        <v>134.19999999999999</v>
      </c>
      <c r="E221" t="s">
        <v>2945</v>
      </c>
      <c r="F221" s="1">
        <v>-3.2500000000000001E-2</v>
      </c>
      <c r="G221" s="1">
        <v>2.3999999999999998E-3</v>
      </c>
      <c r="H221" t="s">
        <v>30</v>
      </c>
      <c r="I221" t="s">
        <v>2946</v>
      </c>
    </row>
    <row r="222" spans="1:9" x14ac:dyDescent="0.3">
      <c r="A222">
        <v>907</v>
      </c>
      <c r="B222" t="s">
        <v>24</v>
      </c>
      <c r="C222" t="s">
        <v>2959</v>
      </c>
      <c r="D222" s="4">
        <v>133.06</v>
      </c>
      <c r="E222" t="s">
        <v>2960</v>
      </c>
      <c r="F222" s="1">
        <v>-3.3300000000000003E-2</v>
      </c>
      <c r="G222" s="1">
        <v>2.8999999999999998E-3</v>
      </c>
      <c r="H222" t="s">
        <v>30</v>
      </c>
      <c r="I222" t="s">
        <v>2961</v>
      </c>
    </row>
    <row r="223" spans="1:9" x14ac:dyDescent="0.3">
      <c r="A223">
        <v>934</v>
      </c>
      <c r="B223" t="s">
        <v>24</v>
      </c>
      <c r="C223" t="s">
        <v>3046</v>
      </c>
      <c r="D223" s="4">
        <v>124.68</v>
      </c>
      <c r="E223" t="s">
        <v>3047</v>
      </c>
      <c r="F223" s="1">
        <v>-5.7099999999999998E-2</v>
      </c>
      <c r="G223" s="1">
        <v>3.3999999999999998E-3</v>
      </c>
      <c r="H223" t="s">
        <v>30</v>
      </c>
      <c r="I223" t="s">
        <v>3048</v>
      </c>
    </row>
    <row r="224" spans="1:9" x14ac:dyDescent="0.3">
      <c r="A224">
        <v>1023</v>
      </c>
      <c r="B224" t="s">
        <v>3223</v>
      </c>
      <c r="C224" t="s">
        <v>3332</v>
      </c>
      <c r="D224" s="4">
        <v>93.18</v>
      </c>
      <c r="E224" t="s">
        <v>3333</v>
      </c>
      <c r="F224" s="1">
        <v>-1.0200000000000001E-2</v>
      </c>
      <c r="G224" s="1">
        <v>3.8999999999999998E-3</v>
      </c>
      <c r="H224" t="s">
        <v>30</v>
      </c>
      <c r="I224" t="s">
        <v>3334</v>
      </c>
    </row>
    <row r="225" spans="1:9" x14ac:dyDescent="0.3">
      <c r="A225">
        <v>1055</v>
      </c>
      <c r="B225" t="s">
        <v>1340</v>
      </c>
      <c r="C225" t="s">
        <v>3434</v>
      </c>
      <c r="D225" s="4">
        <v>84</v>
      </c>
      <c r="E225" t="s">
        <v>3435</v>
      </c>
      <c r="F225" s="1">
        <v>4.1399999999999999E-2</v>
      </c>
      <c r="G225" s="1">
        <v>4.0000000000000001E-3</v>
      </c>
      <c r="H225" t="s">
        <v>30</v>
      </c>
      <c r="I225" t="s">
        <v>3436</v>
      </c>
    </row>
    <row r="226" spans="1:9" x14ac:dyDescent="0.3">
      <c r="A226">
        <v>1073</v>
      </c>
      <c r="B226" t="s">
        <v>2595</v>
      </c>
      <c r="C226" t="s">
        <v>3493</v>
      </c>
      <c r="D226" s="4">
        <v>79.98</v>
      </c>
      <c r="E226" t="s">
        <v>3494</v>
      </c>
      <c r="F226" s="1">
        <v>-4.9700000000000001E-2</v>
      </c>
      <c r="G226" s="1">
        <v>6.1000000000000004E-3</v>
      </c>
      <c r="H226" t="s">
        <v>30</v>
      </c>
      <c r="I226" t="s">
        <v>3495</v>
      </c>
    </row>
    <row r="227" spans="1:9" x14ac:dyDescent="0.3">
      <c r="A227">
        <v>1080</v>
      </c>
      <c r="B227" t="s">
        <v>941</v>
      </c>
      <c r="C227" t="s">
        <v>3517</v>
      </c>
      <c r="D227" s="4">
        <v>77.98</v>
      </c>
      <c r="E227" t="s">
        <v>3515</v>
      </c>
      <c r="F227" s="1">
        <v>2.3699999999999999E-2</v>
      </c>
      <c r="G227" s="1">
        <v>6.4999999999999997E-3</v>
      </c>
      <c r="H227" t="s">
        <v>30</v>
      </c>
      <c r="I227" t="s">
        <v>3518</v>
      </c>
    </row>
    <row r="228" spans="1:9" x14ac:dyDescent="0.3">
      <c r="A228">
        <v>1088</v>
      </c>
      <c r="B228" t="s">
        <v>444</v>
      </c>
      <c r="C228" t="s">
        <v>3544</v>
      </c>
      <c r="D228" s="4">
        <v>76.510000000000005</v>
      </c>
      <c r="E228" t="s">
        <v>3545</v>
      </c>
      <c r="F228" s="1">
        <v>-1.14E-2</v>
      </c>
      <c r="G228" s="1">
        <v>3.2000000000000002E-3</v>
      </c>
      <c r="H228" t="s">
        <v>30</v>
      </c>
      <c r="I228" t="s">
        <v>3546</v>
      </c>
    </row>
    <row r="229" spans="1:9" x14ac:dyDescent="0.3">
      <c r="A229">
        <v>1165</v>
      </c>
      <c r="B229" t="s">
        <v>618</v>
      </c>
      <c r="C229" t="s">
        <v>3793</v>
      </c>
      <c r="D229" s="4">
        <v>57.1</v>
      </c>
      <c r="E229" t="s">
        <v>3794</v>
      </c>
      <c r="F229" s="1">
        <v>-2.58E-2</v>
      </c>
      <c r="G229" s="1">
        <v>2.3999999999999998E-3</v>
      </c>
      <c r="H229" t="s">
        <v>30</v>
      </c>
      <c r="I229" t="s">
        <v>3795</v>
      </c>
    </row>
    <row r="230" spans="1:9" x14ac:dyDescent="0.3">
      <c r="A230">
        <v>1193</v>
      </c>
      <c r="B230" t="s">
        <v>2070</v>
      </c>
      <c r="C230" t="s">
        <v>3883</v>
      </c>
      <c r="D230" s="4">
        <v>51.21</v>
      </c>
      <c r="E230" t="s">
        <v>3884</v>
      </c>
      <c r="F230" s="1">
        <v>1.2999999999999999E-2</v>
      </c>
      <c r="G230" s="1">
        <v>5.8999999999999999E-3</v>
      </c>
      <c r="H230" t="s">
        <v>30</v>
      </c>
      <c r="I230" t="s">
        <v>3885</v>
      </c>
    </row>
    <row r="231" spans="1:9" x14ac:dyDescent="0.3">
      <c r="A231">
        <v>1271</v>
      </c>
      <c r="B231" t="s">
        <v>4128</v>
      </c>
      <c r="C231" t="s">
        <v>4129</v>
      </c>
      <c r="D231" s="4">
        <v>39.200000000000003</v>
      </c>
      <c r="E231" t="s">
        <v>4130</v>
      </c>
      <c r="F231" s="1">
        <v>-1.8200000000000001E-2</v>
      </c>
      <c r="G231" s="1">
        <v>2.8999999999999998E-3</v>
      </c>
      <c r="H231" t="s">
        <v>30</v>
      </c>
      <c r="I231" t="s">
        <v>4131</v>
      </c>
    </row>
    <row r="232" spans="1:9" x14ac:dyDescent="0.3">
      <c r="A232">
        <v>1357</v>
      </c>
      <c r="B232" t="s">
        <v>280</v>
      </c>
      <c r="C232" t="s">
        <v>4417</v>
      </c>
      <c r="D232" s="4">
        <v>29.55</v>
      </c>
      <c r="E232" t="s">
        <v>4418</v>
      </c>
      <c r="F232" s="1">
        <v>-3.0700000000000002E-2</v>
      </c>
      <c r="G232" s="1">
        <v>6.4999999999999997E-3</v>
      </c>
      <c r="H232" t="s">
        <v>30</v>
      </c>
      <c r="I232" t="s">
        <v>4419</v>
      </c>
    </row>
    <row r="233" spans="1:9" x14ac:dyDescent="0.3">
      <c r="A233">
        <v>1364</v>
      </c>
      <c r="B233" t="s">
        <v>7</v>
      </c>
      <c r="C233" t="s">
        <v>4438</v>
      </c>
      <c r="D233" s="4">
        <v>28.4</v>
      </c>
      <c r="E233" t="s">
        <v>4439</v>
      </c>
      <c r="F233" t="s">
        <v>662</v>
      </c>
      <c r="G233" s="1">
        <v>1.1999999999999999E-3</v>
      </c>
      <c r="H233" t="s">
        <v>30</v>
      </c>
      <c r="I233" t="s">
        <v>4440</v>
      </c>
    </row>
    <row r="234" spans="1:9" x14ac:dyDescent="0.3">
      <c r="A234">
        <v>1425</v>
      </c>
      <c r="B234" t="s">
        <v>280</v>
      </c>
      <c r="C234" t="s">
        <v>4630</v>
      </c>
      <c r="D234" s="4">
        <v>23.62</v>
      </c>
      <c r="E234" t="s">
        <v>4631</v>
      </c>
      <c r="F234" s="1">
        <v>-3.8300000000000001E-2</v>
      </c>
      <c r="G234" s="1">
        <v>7.0000000000000001E-3</v>
      </c>
      <c r="H234" t="s">
        <v>30</v>
      </c>
      <c r="I234" t="s">
        <v>4632</v>
      </c>
    </row>
    <row r="235" spans="1:9" x14ac:dyDescent="0.3">
      <c r="A235">
        <v>1495</v>
      </c>
      <c r="B235" t="s">
        <v>24</v>
      </c>
      <c r="C235" t="s">
        <v>4851</v>
      </c>
      <c r="D235" s="4">
        <v>18.72</v>
      </c>
      <c r="E235" t="s">
        <v>4852</v>
      </c>
      <c r="F235" s="1">
        <v>9.9000000000000008E-3</v>
      </c>
      <c r="G235" s="1">
        <v>3.0000000000000001E-3</v>
      </c>
      <c r="H235" t="s">
        <v>30</v>
      </c>
      <c r="I235" t="s">
        <v>4853</v>
      </c>
    </row>
    <row r="236" spans="1:9" x14ac:dyDescent="0.3">
      <c r="A236">
        <v>1525</v>
      </c>
      <c r="B236" t="s">
        <v>460</v>
      </c>
      <c r="C236" t="s">
        <v>4942</v>
      </c>
      <c r="D236" s="4">
        <v>17.079999999999998</v>
      </c>
      <c r="E236" t="s">
        <v>4939</v>
      </c>
      <c r="F236" s="1">
        <v>-2.8199999999999999E-2</v>
      </c>
      <c r="G236" s="1">
        <v>3.8999999999999998E-3</v>
      </c>
      <c r="H236" t="s">
        <v>30</v>
      </c>
      <c r="I236" t="s">
        <v>4943</v>
      </c>
    </row>
    <row r="237" spans="1:9" x14ac:dyDescent="0.3">
      <c r="A237">
        <v>1527</v>
      </c>
      <c r="B237" t="s">
        <v>12</v>
      </c>
      <c r="C237" t="s">
        <v>4947</v>
      </c>
      <c r="D237" s="4">
        <v>17.059999999999999</v>
      </c>
      <c r="E237" t="s">
        <v>4945</v>
      </c>
      <c r="F237" s="1">
        <v>-4.7E-2</v>
      </c>
      <c r="G237" s="1">
        <v>3.0000000000000001E-3</v>
      </c>
      <c r="H237" t="s">
        <v>30</v>
      </c>
      <c r="I237" t="s">
        <v>4948</v>
      </c>
    </row>
    <row r="238" spans="1:9" x14ac:dyDescent="0.3">
      <c r="A238">
        <v>1638</v>
      </c>
      <c r="B238" t="s">
        <v>1904</v>
      </c>
      <c r="C238" t="s">
        <v>5296</v>
      </c>
      <c r="D238" s="4">
        <v>9.7899999999999991</v>
      </c>
      <c r="E238" t="s">
        <v>5297</v>
      </c>
      <c r="F238" t="s">
        <v>662</v>
      </c>
      <c r="G238" s="1">
        <v>8.0000000000000002E-3</v>
      </c>
      <c r="H238" t="s">
        <v>30</v>
      </c>
      <c r="I238" t="s">
        <v>5298</v>
      </c>
    </row>
    <row r="239" spans="1:9" x14ac:dyDescent="0.3">
      <c r="A239">
        <v>1652</v>
      </c>
      <c r="B239" t="s">
        <v>24</v>
      </c>
      <c r="C239" t="s">
        <v>5340</v>
      </c>
      <c r="D239" s="4">
        <v>8.9600000000000009</v>
      </c>
      <c r="E239" t="s">
        <v>5341</v>
      </c>
      <c r="F239" s="1">
        <v>-2.35E-2</v>
      </c>
      <c r="G239" s="1">
        <v>2.5000000000000001E-3</v>
      </c>
      <c r="H239" t="s">
        <v>30</v>
      </c>
      <c r="I239" t="s">
        <v>5342</v>
      </c>
    </row>
    <row r="240" spans="1:9" x14ac:dyDescent="0.3">
      <c r="A240">
        <v>1684</v>
      </c>
      <c r="B240" t="s">
        <v>5438</v>
      </c>
      <c r="C240" t="s">
        <v>5439</v>
      </c>
      <c r="D240" s="4">
        <v>7.68</v>
      </c>
      <c r="E240" t="s">
        <v>5440</v>
      </c>
      <c r="F240" s="1">
        <v>-7.5600000000000001E-2</v>
      </c>
      <c r="G240" s="1">
        <v>7.9000000000000008E-3</v>
      </c>
      <c r="H240" t="s">
        <v>30</v>
      </c>
      <c r="I240" t="s">
        <v>5441</v>
      </c>
    </row>
    <row r="241" spans="1:9" x14ac:dyDescent="0.3">
      <c r="A241">
        <v>1700</v>
      </c>
      <c r="B241" t="s">
        <v>24</v>
      </c>
      <c r="C241" t="s">
        <v>5486</v>
      </c>
      <c r="D241" s="4">
        <v>7.1</v>
      </c>
      <c r="E241" t="s">
        <v>5487</v>
      </c>
      <c r="F241" s="1">
        <v>-5.3699999999999998E-2</v>
      </c>
      <c r="G241" s="1">
        <v>4.4999999999999997E-3</v>
      </c>
      <c r="H241" t="s">
        <v>30</v>
      </c>
      <c r="I241" t="s">
        <v>5488</v>
      </c>
    </row>
    <row r="242" spans="1:9" x14ac:dyDescent="0.3">
      <c r="A242">
        <v>1746</v>
      </c>
      <c r="B242" t="s">
        <v>2951</v>
      </c>
      <c r="C242" t="s">
        <v>5626</v>
      </c>
      <c r="D242" s="4">
        <v>5.45</v>
      </c>
      <c r="E242" t="s">
        <v>5627</v>
      </c>
      <c r="F242" s="1">
        <v>4.8999999999999998E-3</v>
      </c>
      <c r="G242" s="1">
        <v>4.4999999999999997E-3</v>
      </c>
      <c r="H242" t="s">
        <v>30</v>
      </c>
      <c r="I242" t="s">
        <v>5628</v>
      </c>
    </row>
    <row r="243" spans="1:9" x14ac:dyDescent="0.3">
      <c r="A243">
        <v>190</v>
      </c>
      <c r="B243" t="s">
        <v>240</v>
      </c>
      <c r="C243" t="s">
        <v>660</v>
      </c>
      <c r="D243" s="4">
        <f>3.84*1000</f>
        <v>3840</v>
      </c>
      <c r="E243" t="s">
        <v>661</v>
      </c>
      <c r="F243" t="s">
        <v>662</v>
      </c>
      <c r="G243" s="1">
        <v>3.5000000000000001E-3</v>
      </c>
      <c r="H243" t="s">
        <v>663</v>
      </c>
      <c r="I243" t="s">
        <v>664</v>
      </c>
    </row>
    <row r="244" spans="1:9" x14ac:dyDescent="0.3">
      <c r="A244">
        <v>340</v>
      </c>
      <c r="B244" t="s">
        <v>12</v>
      </c>
      <c r="C244" t="s">
        <v>1131</v>
      </c>
      <c r="D244" s="4">
        <f>1.27*1000</f>
        <v>1270</v>
      </c>
      <c r="E244" t="s">
        <v>1127</v>
      </c>
      <c r="F244" s="1">
        <v>2.47E-2</v>
      </c>
      <c r="G244" s="1">
        <v>3.0000000000000001E-3</v>
      </c>
      <c r="H244" t="s">
        <v>663</v>
      </c>
      <c r="I244" t="s">
        <v>1132</v>
      </c>
    </row>
    <row r="245" spans="1:9" x14ac:dyDescent="0.3">
      <c r="A245">
        <v>896</v>
      </c>
      <c r="B245" t="s">
        <v>2475</v>
      </c>
      <c r="C245" t="s">
        <v>2922</v>
      </c>
      <c r="D245" s="4">
        <v>136.72999999999999</v>
      </c>
      <c r="E245" t="s">
        <v>2923</v>
      </c>
      <c r="F245" s="1">
        <v>-4.0000000000000001E-3</v>
      </c>
      <c r="G245" s="1">
        <v>5.8999999999999999E-3</v>
      </c>
      <c r="H245" t="s">
        <v>663</v>
      </c>
      <c r="I245" t="s">
        <v>2924</v>
      </c>
    </row>
    <row r="246" spans="1:9" x14ac:dyDescent="0.3">
      <c r="A246">
        <v>1269</v>
      </c>
      <c r="B246" t="s">
        <v>460</v>
      </c>
      <c r="C246" t="s">
        <v>4121</v>
      </c>
      <c r="D246" s="4">
        <v>39.46</v>
      </c>
      <c r="E246" t="s">
        <v>4122</v>
      </c>
      <c r="F246" s="1">
        <v>1.37E-2</v>
      </c>
      <c r="G246" s="1">
        <v>3.8999999999999998E-3</v>
      </c>
      <c r="H246" t="s">
        <v>663</v>
      </c>
      <c r="I246" t="s">
        <v>4123</v>
      </c>
    </row>
    <row r="247" spans="1:9" x14ac:dyDescent="0.3">
      <c r="A247">
        <v>1844</v>
      </c>
      <c r="B247" t="s">
        <v>3867</v>
      </c>
      <c r="C247" t="s">
        <v>5925</v>
      </c>
      <c r="D247" s="4">
        <v>2.41</v>
      </c>
      <c r="E247" t="s">
        <v>5926</v>
      </c>
      <c r="F247" s="1">
        <v>-1.3100000000000001E-2</v>
      </c>
      <c r="G247" s="1">
        <v>3.8999999999999998E-3</v>
      </c>
      <c r="H247" t="s">
        <v>663</v>
      </c>
      <c r="I247" t="s">
        <v>5927</v>
      </c>
    </row>
    <row r="248" spans="1:9" x14ac:dyDescent="0.3">
      <c r="A248">
        <v>1434</v>
      </c>
      <c r="B248" t="s">
        <v>863</v>
      </c>
      <c r="C248" t="s">
        <v>4659</v>
      </c>
      <c r="D248" s="4">
        <v>22.99</v>
      </c>
      <c r="E248" t="s">
        <v>4660</v>
      </c>
      <c r="F248" s="1">
        <v>4.0000000000000001E-3</v>
      </c>
      <c r="G248" s="1">
        <v>2.5000000000000001E-3</v>
      </c>
      <c r="H248" t="s">
        <v>4661</v>
      </c>
      <c r="I248" t="s">
        <v>4662</v>
      </c>
    </row>
    <row r="249" spans="1:9" x14ac:dyDescent="0.3">
      <c r="A249">
        <v>520</v>
      </c>
      <c r="B249" t="s">
        <v>12</v>
      </c>
      <c r="C249" t="s">
        <v>1692</v>
      </c>
      <c r="D249" s="4">
        <v>563.32000000000005</v>
      </c>
      <c r="E249" t="s">
        <v>1693</v>
      </c>
      <c r="F249" s="1">
        <v>-3.1199999999999999E-2</v>
      </c>
      <c r="G249" s="1">
        <v>2E-3</v>
      </c>
      <c r="H249" t="s">
        <v>1694</v>
      </c>
      <c r="I249" t="s">
        <v>1695</v>
      </c>
    </row>
    <row r="250" spans="1:9" x14ac:dyDescent="0.3">
      <c r="A250">
        <v>735</v>
      </c>
      <c r="B250" t="s">
        <v>12</v>
      </c>
      <c r="C250" t="s">
        <v>2408</v>
      </c>
      <c r="D250" s="4">
        <v>235.76</v>
      </c>
      <c r="E250" t="s">
        <v>2409</v>
      </c>
      <c r="F250" s="1">
        <v>-5.91E-2</v>
      </c>
      <c r="G250" s="1">
        <v>4.7999999999999996E-3</v>
      </c>
      <c r="H250" t="s">
        <v>2410</v>
      </c>
      <c r="I250" t="s">
        <v>2411</v>
      </c>
    </row>
    <row r="251" spans="1:9" x14ac:dyDescent="0.3">
      <c r="A251">
        <v>1136</v>
      </c>
      <c r="B251" t="s">
        <v>12</v>
      </c>
      <c r="C251" t="s">
        <v>3698</v>
      </c>
      <c r="D251" s="4">
        <v>64.5</v>
      </c>
      <c r="E251" t="s">
        <v>3699</v>
      </c>
      <c r="F251" s="1">
        <v>-5.3699999999999998E-2</v>
      </c>
      <c r="G251" s="1">
        <v>4.7999999999999996E-3</v>
      </c>
      <c r="H251" t="s">
        <v>2410</v>
      </c>
      <c r="I251" t="s">
        <v>3700</v>
      </c>
    </row>
    <row r="252" spans="1:9" x14ac:dyDescent="0.3">
      <c r="A252">
        <v>414</v>
      </c>
      <c r="B252" t="s">
        <v>486</v>
      </c>
      <c r="C252" t="s">
        <v>1352</v>
      </c>
      <c r="D252" s="4">
        <v>907.6</v>
      </c>
      <c r="E252" t="s">
        <v>1353</v>
      </c>
      <c r="F252" s="1">
        <v>-0.33479999999999999</v>
      </c>
      <c r="G252" s="1">
        <v>6.7999999999999996E-3</v>
      </c>
      <c r="H252" t="s">
        <v>1354</v>
      </c>
      <c r="I252" t="s">
        <v>1355</v>
      </c>
    </row>
    <row r="253" spans="1:9" x14ac:dyDescent="0.3">
      <c r="A253">
        <v>1800</v>
      </c>
      <c r="B253" t="s">
        <v>440</v>
      </c>
      <c r="C253" t="s">
        <v>5789</v>
      </c>
      <c r="D253" s="4">
        <v>3.56</v>
      </c>
      <c r="E253" t="s">
        <v>5790</v>
      </c>
      <c r="F253" s="1">
        <v>-0.21859999999999999</v>
      </c>
      <c r="G253" s="1">
        <v>4.4999999999999997E-3</v>
      </c>
      <c r="H253" t="s">
        <v>5791</v>
      </c>
      <c r="I253" t="s">
        <v>5792</v>
      </c>
    </row>
    <row r="254" spans="1:9" x14ac:dyDescent="0.3">
      <c r="A254">
        <v>1867</v>
      </c>
      <c r="B254" t="s">
        <v>5994</v>
      </c>
      <c r="C254" t="s">
        <v>5995</v>
      </c>
      <c r="D254" s="4">
        <v>1.44</v>
      </c>
      <c r="E254" t="s">
        <v>5996</v>
      </c>
      <c r="F254" t="s">
        <v>662</v>
      </c>
      <c r="G254" s="1">
        <v>7.7999999999999996E-3</v>
      </c>
      <c r="H254" t="s">
        <v>5997</v>
      </c>
      <c r="I254" t="s">
        <v>5998</v>
      </c>
    </row>
    <row r="255" spans="1:9" x14ac:dyDescent="0.3">
      <c r="A255">
        <v>1899</v>
      </c>
      <c r="B255" t="s">
        <v>5994</v>
      </c>
      <c r="C255" t="s">
        <v>6105</v>
      </c>
      <c r="D255" s="4" t="s">
        <v>662</v>
      </c>
      <c r="E255" t="s">
        <v>662</v>
      </c>
      <c r="F255" t="s">
        <v>662</v>
      </c>
      <c r="G255" s="1">
        <v>6.7999999999999996E-3</v>
      </c>
      <c r="H255" t="s">
        <v>6106</v>
      </c>
      <c r="I255" t="s">
        <v>6107</v>
      </c>
    </row>
    <row r="256" spans="1:9" x14ac:dyDescent="0.3">
      <c r="A256">
        <v>566</v>
      </c>
      <c r="B256" t="s">
        <v>486</v>
      </c>
      <c r="C256" t="s">
        <v>1846</v>
      </c>
      <c r="D256" s="4">
        <v>476.75</v>
      </c>
      <c r="E256" t="s">
        <v>1847</v>
      </c>
      <c r="F256" s="1">
        <v>-7.46E-2</v>
      </c>
      <c r="G256" s="1">
        <v>6.7999999999999996E-3</v>
      </c>
      <c r="H256" t="s">
        <v>1848</v>
      </c>
      <c r="I256" t="s">
        <v>1849</v>
      </c>
    </row>
    <row r="257" spans="1:9" x14ac:dyDescent="0.3">
      <c r="A257">
        <v>1479</v>
      </c>
      <c r="B257" t="s">
        <v>280</v>
      </c>
      <c r="C257" t="s">
        <v>4801</v>
      </c>
      <c r="D257" s="4">
        <v>20.170000000000002</v>
      </c>
      <c r="E257" t="s">
        <v>4802</v>
      </c>
      <c r="F257" s="1">
        <v>-1.8100000000000002E-2</v>
      </c>
      <c r="G257" s="1">
        <v>9.7000000000000003E-3</v>
      </c>
      <c r="H257" t="s">
        <v>4803</v>
      </c>
      <c r="I257" t="s">
        <v>4804</v>
      </c>
    </row>
    <row r="258" spans="1:9" x14ac:dyDescent="0.3">
      <c r="A258">
        <v>1848</v>
      </c>
      <c r="B258" t="s">
        <v>921</v>
      </c>
      <c r="C258" t="s">
        <v>5937</v>
      </c>
      <c r="D258" s="4">
        <v>2.23</v>
      </c>
      <c r="E258" t="s">
        <v>5938</v>
      </c>
      <c r="F258" s="1">
        <v>-0.19259999999999999</v>
      </c>
      <c r="G258" s="1">
        <v>7.4999999999999997E-3</v>
      </c>
      <c r="H258" t="s">
        <v>4803</v>
      </c>
      <c r="I258" t="s">
        <v>5939</v>
      </c>
    </row>
    <row r="259" spans="1:9" x14ac:dyDescent="0.3">
      <c r="A259">
        <v>1338</v>
      </c>
      <c r="B259" t="s">
        <v>1864</v>
      </c>
      <c r="C259" t="s">
        <v>4354</v>
      </c>
      <c r="D259" s="4">
        <v>31.8</v>
      </c>
      <c r="E259" t="s">
        <v>4351</v>
      </c>
      <c r="F259" s="1">
        <v>3.4200000000000001E-2</v>
      </c>
      <c r="G259" s="1">
        <v>3.0000000000000001E-3</v>
      </c>
      <c r="H259" t="s">
        <v>4355</v>
      </c>
      <c r="I259" t="s">
        <v>4356</v>
      </c>
    </row>
    <row r="260" spans="1:9" x14ac:dyDescent="0.3">
      <c r="A260">
        <v>1310</v>
      </c>
      <c r="B260" t="s">
        <v>280</v>
      </c>
      <c r="C260" t="s">
        <v>4259</v>
      </c>
      <c r="D260" s="4">
        <v>35.119999999999997</v>
      </c>
      <c r="E260" t="s">
        <v>4260</v>
      </c>
      <c r="F260" s="1">
        <v>-1.9800000000000002E-2</v>
      </c>
      <c r="G260" s="1">
        <v>6.0000000000000001E-3</v>
      </c>
      <c r="H260" t="s">
        <v>4261</v>
      </c>
      <c r="I260" t="s">
        <v>4262</v>
      </c>
    </row>
    <row r="261" spans="1:9" x14ac:dyDescent="0.3">
      <c r="A261">
        <v>1570</v>
      </c>
      <c r="B261" t="s">
        <v>979</v>
      </c>
      <c r="C261" t="s">
        <v>5078</v>
      </c>
      <c r="D261" s="4">
        <v>13.87</v>
      </c>
      <c r="E261" t="s">
        <v>5079</v>
      </c>
      <c r="F261" t="s">
        <v>662</v>
      </c>
      <c r="G261" s="1">
        <v>5.0000000000000001E-3</v>
      </c>
      <c r="H261" t="s">
        <v>5080</v>
      </c>
      <c r="I261" t="s">
        <v>5081</v>
      </c>
    </row>
    <row r="262" spans="1:9" x14ac:dyDescent="0.3">
      <c r="A262">
        <v>258</v>
      </c>
      <c r="B262" t="s">
        <v>486</v>
      </c>
      <c r="C262" t="s">
        <v>885</v>
      </c>
      <c r="D262" s="4">
        <f>2.19*1000</f>
        <v>2190</v>
      </c>
      <c r="E262" t="s">
        <v>882</v>
      </c>
      <c r="F262" s="1">
        <v>-0.20549999999999999</v>
      </c>
      <c r="G262" s="1">
        <v>6.7999999999999996E-3</v>
      </c>
      <c r="H262" t="s">
        <v>886</v>
      </c>
      <c r="I262" t="s">
        <v>887</v>
      </c>
    </row>
    <row r="263" spans="1:9" x14ac:dyDescent="0.3">
      <c r="A263">
        <v>837</v>
      </c>
      <c r="B263" t="s">
        <v>486</v>
      </c>
      <c r="C263" t="s">
        <v>2736</v>
      </c>
      <c r="D263" s="4">
        <v>165.99</v>
      </c>
      <c r="E263" t="s">
        <v>2737</v>
      </c>
      <c r="F263" s="1">
        <v>-0.1295</v>
      </c>
      <c r="G263" s="1">
        <v>6.7999999999999996E-3</v>
      </c>
      <c r="H263" t="s">
        <v>886</v>
      </c>
      <c r="I263" t="s">
        <v>2738</v>
      </c>
    </row>
    <row r="264" spans="1:9" x14ac:dyDescent="0.3">
      <c r="A264">
        <v>1158</v>
      </c>
      <c r="B264" t="s">
        <v>1871</v>
      </c>
      <c r="C264" t="s">
        <v>3768</v>
      </c>
      <c r="D264" s="4">
        <v>59.09</v>
      </c>
      <c r="E264" t="s">
        <v>3769</v>
      </c>
      <c r="F264" s="1">
        <v>-2.2599999999999999E-2</v>
      </c>
      <c r="G264" s="1">
        <v>4.0000000000000001E-3</v>
      </c>
      <c r="H264" t="s">
        <v>3770</v>
      </c>
      <c r="I264" t="s">
        <v>3771</v>
      </c>
    </row>
    <row r="265" spans="1:9" x14ac:dyDescent="0.3">
      <c r="A265">
        <v>1463</v>
      </c>
      <c r="B265" t="s">
        <v>272</v>
      </c>
      <c r="C265" t="s">
        <v>4751</v>
      </c>
      <c r="D265" s="4">
        <v>21.1</v>
      </c>
      <c r="E265" t="s">
        <v>4752</v>
      </c>
      <c r="F265" s="1">
        <v>4.3900000000000002E-2</v>
      </c>
      <c r="G265" s="1">
        <v>9.5999999999999992E-3</v>
      </c>
      <c r="H265" t="s">
        <v>4753</v>
      </c>
      <c r="I265" t="s">
        <v>4754</v>
      </c>
    </row>
    <row r="266" spans="1:9" s="5" customFormat="1" x14ac:dyDescent="0.3">
      <c r="A266" s="5">
        <v>445</v>
      </c>
      <c r="B266" s="5" t="s">
        <v>12</v>
      </c>
      <c r="C266" s="5" t="s">
        <v>1452</v>
      </c>
      <c r="D266" s="6">
        <v>815.41</v>
      </c>
      <c r="E266" s="5" t="s">
        <v>1453</v>
      </c>
      <c r="F266" s="7">
        <v>-5.3400000000000003E-2</v>
      </c>
      <c r="G266" s="7">
        <v>5.0000000000000001E-3</v>
      </c>
      <c r="H266" s="5" t="s">
        <v>1454</v>
      </c>
      <c r="I266" s="5" t="s">
        <v>1455</v>
      </c>
    </row>
    <row r="267" spans="1:9" x14ac:dyDescent="0.3">
      <c r="A267">
        <v>526</v>
      </c>
      <c r="B267" t="s">
        <v>7</v>
      </c>
      <c r="C267" t="s">
        <v>1713</v>
      </c>
      <c r="D267" s="4">
        <v>551.94000000000005</v>
      </c>
      <c r="E267" t="s">
        <v>1714</v>
      </c>
      <c r="F267" s="1">
        <v>-4.5100000000000001E-2</v>
      </c>
      <c r="G267" s="1">
        <v>4.8999999999999998E-3</v>
      </c>
      <c r="H267" t="s">
        <v>1454</v>
      </c>
      <c r="I267" t="s">
        <v>1715</v>
      </c>
    </row>
    <row r="268" spans="1:9" x14ac:dyDescent="0.3">
      <c r="A268">
        <v>996</v>
      </c>
      <c r="B268" t="s">
        <v>280</v>
      </c>
      <c r="C268" t="s">
        <v>3247</v>
      </c>
      <c r="D268" s="4">
        <v>101.4</v>
      </c>
      <c r="E268" t="s">
        <v>3248</v>
      </c>
      <c r="F268" s="1">
        <v>-0.1875</v>
      </c>
      <c r="G268" s="1">
        <v>6.0000000000000001E-3</v>
      </c>
      <c r="H268" t="s">
        <v>1454</v>
      </c>
      <c r="I268" t="s">
        <v>3249</v>
      </c>
    </row>
    <row r="269" spans="1:9" x14ac:dyDescent="0.3">
      <c r="A269">
        <v>271</v>
      </c>
      <c r="B269" t="s">
        <v>440</v>
      </c>
      <c r="C269" t="s">
        <v>925</v>
      </c>
      <c r="D269" s="4">
        <f>1.95*1000</f>
        <v>1950</v>
      </c>
      <c r="E269" t="s">
        <v>923</v>
      </c>
      <c r="F269" s="1">
        <v>2.92E-2</v>
      </c>
      <c r="G269" s="1">
        <v>6.3E-3</v>
      </c>
      <c r="H269" t="s">
        <v>926</v>
      </c>
      <c r="I269" t="s">
        <v>927</v>
      </c>
    </row>
    <row r="270" spans="1:9" x14ac:dyDescent="0.3">
      <c r="A270">
        <v>436</v>
      </c>
      <c r="B270" t="s">
        <v>12</v>
      </c>
      <c r="C270" t="s">
        <v>1424</v>
      </c>
      <c r="D270" s="4">
        <v>831.78</v>
      </c>
      <c r="E270" t="s">
        <v>1425</v>
      </c>
      <c r="F270" s="1">
        <v>-3.0000000000000001E-3</v>
      </c>
      <c r="G270" s="1">
        <v>4.8999999999999998E-3</v>
      </c>
      <c r="H270" t="s">
        <v>926</v>
      </c>
      <c r="I270" t="s">
        <v>1426</v>
      </c>
    </row>
    <row r="271" spans="1:9" x14ac:dyDescent="0.3">
      <c r="A271">
        <v>681</v>
      </c>
      <c r="B271" t="s">
        <v>7</v>
      </c>
      <c r="C271" t="s">
        <v>2228</v>
      </c>
      <c r="D271" s="4">
        <v>306.41000000000003</v>
      </c>
      <c r="E271" t="s">
        <v>2229</v>
      </c>
      <c r="F271" s="1">
        <v>4.48E-2</v>
      </c>
      <c r="G271" s="1">
        <v>4.8999999999999998E-3</v>
      </c>
      <c r="H271" t="s">
        <v>926</v>
      </c>
      <c r="I271" t="s">
        <v>2230</v>
      </c>
    </row>
    <row r="272" spans="1:9" x14ac:dyDescent="0.3">
      <c r="A272">
        <v>1071</v>
      </c>
      <c r="B272" t="s">
        <v>486</v>
      </c>
      <c r="C272" t="s">
        <v>3487</v>
      </c>
      <c r="D272" s="4">
        <v>80.5</v>
      </c>
      <c r="E272" t="s">
        <v>3488</v>
      </c>
      <c r="F272" s="1">
        <v>-1.8E-3</v>
      </c>
      <c r="G272" s="1">
        <v>6.7000000000000002E-3</v>
      </c>
      <c r="H272" t="s">
        <v>926</v>
      </c>
      <c r="I272" t="s">
        <v>3489</v>
      </c>
    </row>
    <row r="273" spans="1:9" x14ac:dyDescent="0.3">
      <c r="A273">
        <v>157</v>
      </c>
      <c r="B273" t="s">
        <v>116</v>
      </c>
      <c r="C273" t="s">
        <v>552</v>
      </c>
      <c r="D273" s="4">
        <f>5.12*1000</f>
        <v>5120</v>
      </c>
      <c r="E273" t="s">
        <v>553</v>
      </c>
      <c r="F273" s="1">
        <v>-5.4999999999999997E-3</v>
      </c>
      <c r="G273" s="1">
        <v>3.8999999999999998E-3</v>
      </c>
      <c r="H273" t="s">
        <v>554</v>
      </c>
      <c r="I273" t="s">
        <v>555</v>
      </c>
    </row>
    <row r="274" spans="1:9" x14ac:dyDescent="0.3">
      <c r="A274">
        <v>826</v>
      </c>
      <c r="B274" t="s">
        <v>24</v>
      </c>
      <c r="C274" t="s">
        <v>2699</v>
      </c>
      <c r="D274" s="4">
        <v>173.1</v>
      </c>
      <c r="E274" t="s">
        <v>2700</v>
      </c>
      <c r="F274" s="1">
        <v>-7.7200000000000005E-2</v>
      </c>
      <c r="G274" s="1">
        <v>3.0000000000000001E-3</v>
      </c>
      <c r="H274" t="s">
        <v>554</v>
      </c>
      <c r="I274" t="s">
        <v>2701</v>
      </c>
    </row>
    <row r="275" spans="1:9" x14ac:dyDescent="0.3">
      <c r="A275">
        <v>1281</v>
      </c>
      <c r="B275" t="s">
        <v>1904</v>
      </c>
      <c r="C275" t="s">
        <v>4166</v>
      </c>
      <c r="D275" s="4">
        <v>38.03</v>
      </c>
      <c r="E275" t="s">
        <v>4167</v>
      </c>
      <c r="F275" s="1">
        <v>-4.2700000000000002E-2</v>
      </c>
      <c r="G275" s="1">
        <v>1.1000000000000001E-3</v>
      </c>
      <c r="H275" t="s">
        <v>554</v>
      </c>
      <c r="I275" t="s">
        <v>4168</v>
      </c>
    </row>
    <row r="276" spans="1:9" x14ac:dyDescent="0.3">
      <c r="A276">
        <v>1350</v>
      </c>
      <c r="B276" t="s">
        <v>24</v>
      </c>
      <c r="C276" t="s">
        <v>4394</v>
      </c>
      <c r="D276" s="4">
        <v>30.12</v>
      </c>
      <c r="E276" t="s">
        <v>4395</v>
      </c>
      <c r="F276" s="1">
        <v>-2.63E-2</v>
      </c>
      <c r="G276" s="1">
        <v>3.5000000000000001E-3</v>
      </c>
      <c r="H276" t="s">
        <v>554</v>
      </c>
      <c r="I276" t="s">
        <v>4396</v>
      </c>
    </row>
    <row r="277" spans="1:9" x14ac:dyDescent="0.3">
      <c r="A277">
        <v>1390</v>
      </c>
      <c r="B277" t="s">
        <v>517</v>
      </c>
      <c r="C277" t="s">
        <v>4517</v>
      </c>
      <c r="D277" s="4">
        <v>26.06</v>
      </c>
      <c r="E277" t="s">
        <v>4518</v>
      </c>
      <c r="F277" s="1">
        <v>-1.6799999999999999E-2</v>
      </c>
      <c r="G277" s="1">
        <v>6.0000000000000001E-3</v>
      </c>
      <c r="H277" t="s">
        <v>554</v>
      </c>
      <c r="I277" t="s">
        <v>4519</v>
      </c>
    </row>
    <row r="278" spans="1:9" x14ac:dyDescent="0.3">
      <c r="A278">
        <v>1532</v>
      </c>
      <c r="B278" t="s">
        <v>1182</v>
      </c>
      <c r="C278" t="s">
        <v>4961</v>
      </c>
      <c r="D278" s="4">
        <v>16.78</v>
      </c>
      <c r="E278" t="s">
        <v>4962</v>
      </c>
      <c r="F278" s="1">
        <v>-2.0400000000000001E-2</v>
      </c>
      <c r="G278" s="1">
        <v>5.0000000000000001E-3</v>
      </c>
      <c r="H278" t="s">
        <v>554</v>
      </c>
      <c r="I278" t="s">
        <v>4963</v>
      </c>
    </row>
    <row r="279" spans="1:9" x14ac:dyDescent="0.3">
      <c r="A279">
        <v>246</v>
      </c>
      <c r="B279" t="s">
        <v>440</v>
      </c>
      <c r="C279" t="s">
        <v>843</v>
      </c>
      <c r="D279" s="4">
        <f>2.44*1000</f>
        <v>2440</v>
      </c>
      <c r="E279" t="s">
        <v>841</v>
      </c>
      <c r="F279" s="1">
        <v>5.3E-3</v>
      </c>
      <c r="G279" s="1">
        <v>5.7999999999999996E-3</v>
      </c>
      <c r="H279" t="s">
        <v>844</v>
      </c>
      <c r="I279" t="s">
        <v>845</v>
      </c>
    </row>
    <row r="280" spans="1:9" x14ac:dyDescent="0.3">
      <c r="A280">
        <v>488</v>
      </c>
      <c r="B280" t="s">
        <v>7</v>
      </c>
      <c r="C280" t="s">
        <v>1589</v>
      </c>
      <c r="D280" s="4">
        <v>680.45</v>
      </c>
      <c r="E280" t="s">
        <v>1590</v>
      </c>
      <c r="F280" s="1">
        <v>-1.03E-2</v>
      </c>
      <c r="G280" s="1">
        <v>6.4999999999999997E-3</v>
      </c>
      <c r="H280" t="s">
        <v>844</v>
      </c>
      <c r="I280" t="s">
        <v>1591</v>
      </c>
    </row>
    <row r="281" spans="1:9" x14ac:dyDescent="0.3">
      <c r="A281">
        <v>615</v>
      </c>
      <c r="B281" t="s">
        <v>12</v>
      </c>
      <c r="C281" t="s">
        <v>2015</v>
      </c>
      <c r="D281" s="4">
        <v>392.59</v>
      </c>
      <c r="E281" t="s">
        <v>2016</v>
      </c>
      <c r="F281" s="1">
        <v>-1.8599999999999998E-2</v>
      </c>
      <c r="G281" s="1">
        <v>7.1000000000000004E-3</v>
      </c>
      <c r="H281" t="s">
        <v>844</v>
      </c>
      <c r="I281" t="s">
        <v>2017</v>
      </c>
    </row>
    <row r="282" spans="1:9" x14ac:dyDescent="0.3">
      <c r="A282">
        <v>879</v>
      </c>
      <c r="B282" t="s">
        <v>280</v>
      </c>
      <c r="C282" t="s">
        <v>2869</v>
      </c>
      <c r="D282" s="4">
        <v>142.63999999999999</v>
      </c>
      <c r="E282" t="s">
        <v>2870</v>
      </c>
      <c r="F282" s="1">
        <v>-2.1499999999999998E-2</v>
      </c>
      <c r="G282" s="1">
        <v>8.0000000000000002E-3</v>
      </c>
      <c r="H282" t="s">
        <v>844</v>
      </c>
      <c r="I282" t="s">
        <v>2871</v>
      </c>
    </row>
    <row r="283" spans="1:9" x14ac:dyDescent="0.3">
      <c r="A283">
        <v>1940</v>
      </c>
      <c r="B283" t="s">
        <v>6113</v>
      </c>
      <c r="C283" t="s">
        <v>6193</v>
      </c>
      <c r="D283" s="4" t="s">
        <v>662</v>
      </c>
      <c r="E283" t="s">
        <v>662</v>
      </c>
      <c r="F283" s="1">
        <v>-9.7999999999999997E-3</v>
      </c>
      <c r="G283" s="1">
        <v>6.1000000000000004E-3</v>
      </c>
      <c r="H283" t="s">
        <v>42</v>
      </c>
      <c r="I283" t="s">
        <v>6194</v>
      </c>
    </row>
    <row r="284" spans="1:9" s="5" customFormat="1" x14ac:dyDescent="0.3">
      <c r="A284" s="5">
        <v>8</v>
      </c>
      <c r="B284" s="5" t="s">
        <v>16</v>
      </c>
      <c r="C284" s="5" t="s">
        <v>40</v>
      </c>
      <c r="D284" s="6">
        <f>82.19*1000</f>
        <v>82190</v>
      </c>
      <c r="E284" s="5" t="s">
        <v>41</v>
      </c>
      <c r="F284" s="7">
        <v>-3.3799999999999997E-2</v>
      </c>
      <c r="G284" s="7">
        <v>1E-3</v>
      </c>
      <c r="H284" s="5" t="s">
        <v>42</v>
      </c>
      <c r="I284" s="5" t="s">
        <v>43</v>
      </c>
    </row>
    <row r="285" spans="1:9" s="5" customFormat="1" x14ac:dyDescent="0.3">
      <c r="A285" s="5">
        <v>10</v>
      </c>
      <c r="B285" s="5" t="s">
        <v>12</v>
      </c>
      <c r="C285" s="5" t="s">
        <v>48</v>
      </c>
      <c r="D285" s="6">
        <f>76.71*1000</f>
        <v>76710</v>
      </c>
      <c r="E285" s="5" t="s">
        <v>49</v>
      </c>
      <c r="F285" s="7">
        <v>-4.1300000000000003E-2</v>
      </c>
      <c r="G285" s="7">
        <v>1.1000000000000001E-3</v>
      </c>
      <c r="H285" s="5" t="s">
        <v>42</v>
      </c>
      <c r="I285" s="5" t="s">
        <v>50</v>
      </c>
    </row>
    <row r="286" spans="1:9" s="5" customFormat="1" x14ac:dyDescent="0.3">
      <c r="A286" s="5">
        <v>37</v>
      </c>
      <c r="B286" s="5" t="s">
        <v>12</v>
      </c>
      <c r="C286" s="5" t="s">
        <v>139</v>
      </c>
      <c r="D286" s="6">
        <f>29.03*1000</f>
        <v>29030</v>
      </c>
      <c r="E286" s="5" t="s">
        <v>140</v>
      </c>
      <c r="F286" s="7">
        <v>-4.6199999999999998E-2</v>
      </c>
      <c r="G286" s="7">
        <v>7.0000000000000001E-3</v>
      </c>
      <c r="H286" s="5" t="s">
        <v>42</v>
      </c>
      <c r="I286" s="5" t="s">
        <v>141</v>
      </c>
    </row>
    <row r="287" spans="1:9" x14ac:dyDescent="0.3">
      <c r="A287">
        <v>92</v>
      </c>
      <c r="B287" t="s">
        <v>116</v>
      </c>
      <c r="C287" t="s">
        <v>329</v>
      </c>
      <c r="D287" s="4">
        <f>9.62*1000</f>
        <v>9620</v>
      </c>
      <c r="E287" t="s">
        <v>330</v>
      </c>
      <c r="F287" s="1">
        <v>-3.8699999999999998E-2</v>
      </c>
      <c r="G287" s="1">
        <v>1.1000000000000001E-3</v>
      </c>
      <c r="H287" t="s">
        <v>42</v>
      </c>
      <c r="I287" t="s">
        <v>331</v>
      </c>
    </row>
    <row r="288" spans="1:9" x14ac:dyDescent="0.3">
      <c r="A288">
        <v>133</v>
      </c>
      <c r="B288" t="s">
        <v>12</v>
      </c>
      <c r="C288" t="s">
        <v>471</v>
      </c>
      <c r="D288" s="4">
        <f>6.25*1000</f>
        <v>6250</v>
      </c>
      <c r="E288" t="s">
        <v>472</v>
      </c>
      <c r="F288" s="1">
        <v>-5.0599999999999999E-2</v>
      </c>
      <c r="G288" s="1">
        <v>2.5000000000000001E-3</v>
      </c>
      <c r="H288" t="s">
        <v>42</v>
      </c>
      <c r="I288" t="s">
        <v>473</v>
      </c>
    </row>
    <row r="289" spans="1:9" x14ac:dyDescent="0.3">
      <c r="A289">
        <v>140</v>
      </c>
      <c r="B289" t="s">
        <v>7</v>
      </c>
      <c r="C289" t="s">
        <v>493</v>
      </c>
      <c r="D289" s="4">
        <f>5.97*1000</f>
        <v>5970</v>
      </c>
      <c r="E289" t="s">
        <v>494</v>
      </c>
      <c r="F289" s="1">
        <v>-3.4000000000000002E-2</v>
      </c>
      <c r="G289" s="1">
        <v>1.1000000000000001E-3</v>
      </c>
      <c r="H289" t="s">
        <v>42</v>
      </c>
      <c r="I289" t="s">
        <v>495</v>
      </c>
    </row>
    <row r="290" spans="1:9" x14ac:dyDescent="0.3">
      <c r="A290">
        <v>193</v>
      </c>
      <c r="B290" t="s">
        <v>440</v>
      </c>
      <c r="C290" t="s">
        <v>671</v>
      </c>
      <c r="D290" s="4">
        <f>3.8*1000</f>
        <v>3800</v>
      </c>
      <c r="E290" t="s">
        <v>672</v>
      </c>
      <c r="F290" s="1">
        <v>-6.0400000000000002E-2</v>
      </c>
      <c r="G290" s="1">
        <v>3.2000000000000002E-3</v>
      </c>
      <c r="H290" t="s">
        <v>42</v>
      </c>
      <c r="I290" t="s">
        <v>673</v>
      </c>
    </row>
    <row r="291" spans="1:9" x14ac:dyDescent="0.3">
      <c r="A291">
        <v>196</v>
      </c>
      <c r="B291" t="s">
        <v>12</v>
      </c>
      <c r="C291" t="s">
        <v>681</v>
      </c>
      <c r="D291" s="4">
        <f>3.78*1000</f>
        <v>3780</v>
      </c>
      <c r="E291" t="s">
        <v>678</v>
      </c>
      <c r="F291" s="1">
        <v>-2E-3</v>
      </c>
      <c r="G291" s="1">
        <v>2.5000000000000001E-3</v>
      </c>
      <c r="H291" t="s">
        <v>42</v>
      </c>
      <c r="I291" t="s">
        <v>682</v>
      </c>
    </row>
    <row r="292" spans="1:9" x14ac:dyDescent="0.3">
      <c r="A292">
        <v>253</v>
      </c>
      <c r="B292" t="s">
        <v>12</v>
      </c>
      <c r="C292" t="s">
        <v>867</v>
      </c>
      <c r="D292" s="4">
        <f>2.31*1000</f>
        <v>2310</v>
      </c>
      <c r="E292" t="s">
        <v>868</v>
      </c>
      <c r="F292" s="1">
        <v>-3.8999999999999998E-3</v>
      </c>
      <c r="G292" s="1">
        <v>2.5000000000000001E-3</v>
      </c>
      <c r="H292" t="s">
        <v>42</v>
      </c>
      <c r="I292" t="s">
        <v>869</v>
      </c>
    </row>
    <row r="293" spans="1:9" x14ac:dyDescent="0.3">
      <c r="A293">
        <v>323</v>
      </c>
      <c r="B293" t="s">
        <v>24</v>
      </c>
      <c r="C293" t="s">
        <v>1081</v>
      </c>
      <c r="D293" s="4">
        <f>1.42*1000</f>
        <v>1420</v>
      </c>
      <c r="E293" t="s">
        <v>1082</v>
      </c>
      <c r="F293" s="1">
        <v>-4.1999999999999997E-3</v>
      </c>
      <c r="G293" s="1">
        <v>5.0000000000000001E-3</v>
      </c>
      <c r="H293" t="s">
        <v>42</v>
      </c>
      <c r="I293" t="s">
        <v>1083</v>
      </c>
    </row>
    <row r="294" spans="1:9" x14ac:dyDescent="0.3">
      <c r="A294">
        <v>334</v>
      </c>
      <c r="B294" t="s">
        <v>248</v>
      </c>
      <c r="C294" t="s">
        <v>1113</v>
      </c>
      <c r="D294" s="4">
        <f>1.34*1000</f>
        <v>1340</v>
      </c>
      <c r="E294" t="s">
        <v>1110</v>
      </c>
      <c r="F294" s="1">
        <v>-3.3799999999999997E-2</v>
      </c>
      <c r="G294" s="1">
        <v>4.4999999999999997E-3</v>
      </c>
      <c r="H294" t="s">
        <v>42</v>
      </c>
      <c r="I294" t="s">
        <v>1114</v>
      </c>
    </row>
    <row r="295" spans="1:9" x14ac:dyDescent="0.3">
      <c r="A295">
        <v>385</v>
      </c>
      <c r="B295" t="s">
        <v>863</v>
      </c>
      <c r="C295" t="s">
        <v>1257</v>
      </c>
      <c r="D295" s="4">
        <f>1.03*1000</f>
        <v>1030</v>
      </c>
      <c r="E295" t="s">
        <v>1251</v>
      </c>
      <c r="F295" s="1">
        <v>-2.3800000000000002E-2</v>
      </c>
      <c r="G295" s="1">
        <v>3.3E-3</v>
      </c>
      <c r="H295" t="s">
        <v>42</v>
      </c>
      <c r="I295" t="s">
        <v>1258</v>
      </c>
    </row>
    <row r="296" spans="1:9" x14ac:dyDescent="0.3">
      <c r="A296">
        <v>421</v>
      </c>
      <c r="B296" t="s">
        <v>12</v>
      </c>
      <c r="C296" t="s">
        <v>1376</v>
      </c>
      <c r="D296" s="4">
        <v>893.56</v>
      </c>
      <c r="E296" t="s">
        <v>1377</v>
      </c>
      <c r="F296" s="1">
        <v>-1.0200000000000001E-2</v>
      </c>
      <c r="G296" s="1">
        <v>4.4999999999999997E-3</v>
      </c>
      <c r="H296" t="s">
        <v>42</v>
      </c>
      <c r="I296" t="s">
        <v>1378</v>
      </c>
    </row>
    <row r="297" spans="1:9" x14ac:dyDescent="0.3">
      <c r="A297">
        <v>478</v>
      </c>
      <c r="B297" t="s">
        <v>839</v>
      </c>
      <c r="C297" t="s">
        <v>1557</v>
      </c>
      <c r="D297" s="4">
        <v>710.68</v>
      </c>
      <c r="E297" t="s">
        <v>1558</v>
      </c>
      <c r="F297" s="1">
        <v>-2.7799999999999998E-2</v>
      </c>
      <c r="G297" s="1">
        <v>4.8999999999999998E-3</v>
      </c>
      <c r="H297" t="s">
        <v>42</v>
      </c>
      <c r="I297" t="s">
        <v>1559</v>
      </c>
    </row>
    <row r="298" spans="1:9" x14ac:dyDescent="0.3">
      <c r="A298">
        <v>495</v>
      </c>
      <c r="B298" t="s">
        <v>240</v>
      </c>
      <c r="C298" t="s">
        <v>1611</v>
      </c>
      <c r="D298" s="4">
        <v>640.57000000000005</v>
      </c>
      <c r="E298" t="s">
        <v>1612</v>
      </c>
      <c r="F298" s="1">
        <v>-1.78E-2</v>
      </c>
      <c r="G298" s="1">
        <v>3.5000000000000001E-3</v>
      </c>
      <c r="H298" t="s">
        <v>42</v>
      </c>
      <c r="I298" t="s">
        <v>1613</v>
      </c>
    </row>
    <row r="299" spans="1:9" x14ac:dyDescent="0.3">
      <c r="A299">
        <v>581</v>
      </c>
      <c r="B299" t="s">
        <v>280</v>
      </c>
      <c r="C299" t="s">
        <v>1898</v>
      </c>
      <c r="D299" s="4">
        <v>436.06</v>
      </c>
      <c r="E299" t="s">
        <v>1899</v>
      </c>
      <c r="F299" s="1">
        <v>-2.3E-3</v>
      </c>
      <c r="G299" s="1">
        <v>8.0000000000000002E-3</v>
      </c>
      <c r="H299" t="s">
        <v>42</v>
      </c>
      <c r="I299" t="s">
        <v>1900</v>
      </c>
    </row>
    <row r="300" spans="1:9" x14ac:dyDescent="0.3">
      <c r="A300">
        <v>633</v>
      </c>
      <c r="B300" t="s">
        <v>24</v>
      </c>
      <c r="C300" t="s">
        <v>2077</v>
      </c>
      <c r="D300" s="4">
        <v>370.1</v>
      </c>
      <c r="E300" t="s">
        <v>2078</v>
      </c>
      <c r="F300" s="1">
        <v>1.5299999999999999E-2</v>
      </c>
      <c r="G300" s="1">
        <v>3.0000000000000001E-3</v>
      </c>
      <c r="H300" t="s">
        <v>42</v>
      </c>
      <c r="I300" t="s">
        <v>2079</v>
      </c>
    </row>
    <row r="301" spans="1:9" x14ac:dyDescent="0.3">
      <c r="A301">
        <v>647</v>
      </c>
      <c r="B301" t="s">
        <v>332</v>
      </c>
      <c r="C301" t="s">
        <v>2123</v>
      </c>
      <c r="D301" s="4">
        <v>346.64</v>
      </c>
      <c r="E301" t="s">
        <v>2124</v>
      </c>
      <c r="F301" s="1">
        <v>-4.9599999999999998E-2</v>
      </c>
      <c r="G301" s="1">
        <v>3.8999999999999998E-3</v>
      </c>
      <c r="H301" t="s">
        <v>42</v>
      </c>
      <c r="I301" t="s">
        <v>2125</v>
      </c>
    </row>
    <row r="302" spans="1:9" x14ac:dyDescent="0.3">
      <c r="A302">
        <v>663</v>
      </c>
      <c r="B302" t="s">
        <v>444</v>
      </c>
      <c r="C302" t="s">
        <v>2175</v>
      </c>
      <c r="D302" s="4">
        <v>329.08</v>
      </c>
      <c r="E302" t="s">
        <v>2176</v>
      </c>
      <c r="F302" s="1">
        <v>-3.32E-2</v>
      </c>
      <c r="G302" s="1">
        <v>5.8999999999999999E-3</v>
      </c>
      <c r="H302" t="s">
        <v>42</v>
      </c>
      <c r="I302" t="s">
        <v>2177</v>
      </c>
    </row>
    <row r="303" spans="1:9" x14ac:dyDescent="0.3">
      <c r="A303">
        <v>728</v>
      </c>
      <c r="B303" t="s">
        <v>1182</v>
      </c>
      <c r="C303" t="s">
        <v>2386</v>
      </c>
      <c r="D303" s="4">
        <v>240.43</v>
      </c>
      <c r="E303" t="s">
        <v>2387</v>
      </c>
      <c r="F303" s="1">
        <v>1.1000000000000001E-3</v>
      </c>
      <c r="G303" s="1">
        <v>4.4999999999999997E-3</v>
      </c>
      <c r="H303" t="s">
        <v>42</v>
      </c>
      <c r="I303" t="s">
        <v>2388</v>
      </c>
    </row>
    <row r="304" spans="1:9" x14ac:dyDescent="0.3">
      <c r="A304">
        <v>769</v>
      </c>
      <c r="B304" t="s">
        <v>24</v>
      </c>
      <c r="C304" t="s">
        <v>2520</v>
      </c>
      <c r="D304" s="4">
        <v>208.73</v>
      </c>
      <c r="E304" t="s">
        <v>2521</v>
      </c>
      <c r="F304" s="1">
        <v>-4.4999999999999997E-3</v>
      </c>
      <c r="G304" s="1">
        <v>8.9999999999999993E-3</v>
      </c>
      <c r="H304" t="s">
        <v>42</v>
      </c>
      <c r="I304" t="s">
        <v>2522</v>
      </c>
    </row>
    <row r="305" spans="1:9" x14ac:dyDescent="0.3">
      <c r="A305">
        <v>803</v>
      </c>
      <c r="B305" t="s">
        <v>12</v>
      </c>
      <c r="C305" t="s">
        <v>2627</v>
      </c>
      <c r="D305" s="4">
        <v>186.85</v>
      </c>
      <c r="E305" t="s">
        <v>2628</v>
      </c>
      <c r="F305" s="1">
        <v>-4.6800000000000001E-2</v>
      </c>
      <c r="G305" s="1">
        <v>1.46E-2</v>
      </c>
      <c r="H305" t="s">
        <v>42</v>
      </c>
      <c r="I305" t="s">
        <v>2629</v>
      </c>
    </row>
    <row r="306" spans="1:9" x14ac:dyDescent="0.3">
      <c r="A306">
        <v>817</v>
      </c>
      <c r="B306" t="s">
        <v>332</v>
      </c>
      <c r="C306" t="s">
        <v>2671</v>
      </c>
      <c r="D306" s="4">
        <v>177.78</v>
      </c>
      <c r="E306" t="s">
        <v>2672</v>
      </c>
      <c r="F306" s="1">
        <v>-2.3999999999999998E-3</v>
      </c>
      <c r="G306" s="1">
        <v>4.4000000000000003E-3</v>
      </c>
      <c r="H306" t="s">
        <v>42</v>
      </c>
      <c r="I306" t="s">
        <v>2673</v>
      </c>
    </row>
    <row r="307" spans="1:9" x14ac:dyDescent="0.3">
      <c r="A307">
        <v>863</v>
      </c>
      <c r="B307" t="s">
        <v>780</v>
      </c>
      <c r="C307" t="s">
        <v>2820</v>
      </c>
      <c r="D307" s="4">
        <v>150.38999999999999</v>
      </c>
      <c r="E307" t="s">
        <v>2821</v>
      </c>
      <c r="F307" s="1">
        <v>-5.3199999999999997E-2</v>
      </c>
      <c r="G307" s="1">
        <v>3.5000000000000001E-3</v>
      </c>
      <c r="H307" t="s">
        <v>42</v>
      </c>
      <c r="I307" t="s">
        <v>2822</v>
      </c>
    </row>
    <row r="308" spans="1:9" x14ac:dyDescent="0.3">
      <c r="A308">
        <v>884</v>
      </c>
      <c r="B308" t="s">
        <v>7</v>
      </c>
      <c r="C308" t="s">
        <v>2884</v>
      </c>
      <c r="D308" s="4">
        <v>140.84</v>
      </c>
      <c r="E308" t="s">
        <v>2885</v>
      </c>
      <c r="F308" s="1">
        <v>-4.0099999999999997E-2</v>
      </c>
      <c r="G308" s="1">
        <v>3.0000000000000001E-3</v>
      </c>
      <c r="H308" t="s">
        <v>42</v>
      </c>
      <c r="I308" t="s">
        <v>2886</v>
      </c>
    </row>
    <row r="309" spans="1:9" x14ac:dyDescent="0.3">
      <c r="A309">
        <v>923</v>
      </c>
      <c r="B309" t="s">
        <v>12</v>
      </c>
      <c r="C309" t="s">
        <v>3012</v>
      </c>
      <c r="D309" s="4">
        <v>128.6</v>
      </c>
      <c r="E309" t="s">
        <v>3013</v>
      </c>
      <c r="F309" s="1">
        <v>-8.8200000000000001E-2</v>
      </c>
      <c r="G309" s="1">
        <v>7.0000000000000001E-3</v>
      </c>
      <c r="H309" t="s">
        <v>42</v>
      </c>
      <c r="I309" t="s">
        <v>3014</v>
      </c>
    </row>
    <row r="310" spans="1:9" x14ac:dyDescent="0.3">
      <c r="A310">
        <v>966</v>
      </c>
      <c r="B310" t="s">
        <v>618</v>
      </c>
      <c r="C310" t="s">
        <v>3148</v>
      </c>
      <c r="D310" s="4">
        <v>114</v>
      </c>
      <c r="E310" t="s">
        <v>3149</v>
      </c>
      <c r="F310" s="1">
        <v>-4.7199999999999999E-2</v>
      </c>
      <c r="G310" s="1">
        <v>6.6E-3</v>
      </c>
      <c r="H310" t="s">
        <v>42</v>
      </c>
      <c r="I310" t="s">
        <v>3150</v>
      </c>
    </row>
    <row r="311" spans="1:9" x14ac:dyDescent="0.3">
      <c r="A311">
        <v>972</v>
      </c>
      <c r="B311" t="s">
        <v>2475</v>
      </c>
      <c r="C311" t="s">
        <v>3167</v>
      </c>
      <c r="D311" s="4">
        <v>111.86</v>
      </c>
      <c r="E311" t="s">
        <v>3168</v>
      </c>
      <c r="F311" s="1">
        <v>3.6999999999999998E-2</v>
      </c>
      <c r="G311" s="1">
        <v>4.8999999999999998E-3</v>
      </c>
      <c r="H311" t="s">
        <v>42</v>
      </c>
      <c r="I311" t="s">
        <v>3169</v>
      </c>
    </row>
    <row r="312" spans="1:9" x14ac:dyDescent="0.3">
      <c r="A312">
        <v>989</v>
      </c>
      <c r="B312" t="s">
        <v>3223</v>
      </c>
      <c r="C312" t="s">
        <v>3224</v>
      </c>
      <c r="D312" s="4">
        <v>103.87</v>
      </c>
      <c r="E312" t="s">
        <v>3225</v>
      </c>
      <c r="F312" s="1">
        <v>-1.9599999999999999E-2</v>
      </c>
      <c r="G312" s="1">
        <v>4.8999999999999998E-3</v>
      </c>
      <c r="H312" t="s">
        <v>42</v>
      </c>
      <c r="I312" t="s">
        <v>3226</v>
      </c>
    </row>
    <row r="313" spans="1:9" x14ac:dyDescent="0.3">
      <c r="A313">
        <v>999</v>
      </c>
      <c r="B313" t="s">
        <v>1799</v>
      </c>
      <c r="C313" t="s">
        <v>3256</v>
      </c>
      <c r="D313" s="4">
        <v>100.6</v>
      </c>
      <c r="E313" t="s">
        <v>3257</v>
      </c>
      <c r="F313" s="1">
        <v>-2.8899999999999999E-2</v>
      </c>
      <c r="G313" s="1">
        <v>8.8999999999999999E-3</v>
      </c>
      <c r="H313" t="s">
        <v>42</v>
      </c>
      <c r="I313" t="s">
        <v>3258</v>
      </c>
    </row>
    <row r="314" spans="1:9" x14ac:dyDescent="0.3">
      <c r="A314">
        <v>1012</v>
      </c>
      <c r="B314" t="s">
        <v>2070</v>
      </c>
      <c r="C314" t="s">
        <v>3299</v>
      </c>
      <c r="D314" s="4">
        <v>94.9</v>
      </c>
      <c r="E314" t="s">
        <v>3300</v>
      </c>
      <c r="F314" s="1">
        <v>3.6200000000000003E-2</v>
      </c>
      <c r="G314" s="1">
        <v>6.4999999999999997E-3</v>
      </c>
      <c r="H314" t="s">
        <v>42</v>
      </c>
      <c r="I314" t="s">
        <v>3301</v>
      </c>
    </row>
    <row r="315" spans="1:9" x14ac:dyDescent="0.3">
      <c r="A315">
        <v>1026</v>
      </c>
      <c r="B315" t="s">
        <v>440</v>
      </c>
      <c r="C315" t="s">
        <v>3342</v>
      </c>
      <c r="D315" s="4">
        <v>92.86</v>
      </c>
      <c r="E315" t="s">
        <v>3343</v>
      </c>
      <c r="F315" s="1">
        <v>-1.2500000000000001E-2</v>
      </c>
      <c r="G315" s="1">
        <v>3.2000000000000002E-3</v>
      </c>
      <c r="H315" t="s">
        <v>42</v>
      </c>
      <c r="I315" t="s">
        <v>3344</v>
      </c>
    </row>
    <row r="316" spans="1:9" x14ac:dyDescent="0.3">
      <c r="A316">
        <v>1069</v>
      </c>
      <c r="B316" t="s">
        <v>7</v>
      </c>
      <c r="C316" t="s">
        <v>3480</v>
      </c>
      <c r="D316" s="4">
        <v>81.5</v>
      </c>
      <c r="E316" t="s">
        <v>3481</v>
      </c>
      <c r="F316" s="1">
        <v>-4.5999999999999999E-3</v>
      </c>
      <c r="G316" s="1">
        <v>3.0000000000000001E-3</v>
      </c>
      <c r="H316" t="s">
        <v>42</v>
      </c>
      <c r="I316" t="s">
        <v>3482</v>
      </c>
    </row>
    <row r="317" spans="1:9" x14ac:dyDescent="0.3">
      <c r="A317">
        <v>1089</v>
      </c>
      <c r="B317" t="s">
        <v>12</v>
      </c>
      <c r="C317" t="s">
        <v>3547</v>
      </c>
      <c r="D317" s="4">
        <v>76.31</v>
      </c>
      <c r="E317" t="s">
        <v>3548</v>
      </c>
      <c r="F317" s="1">
        <v>-6.6000000000000003E-2</v>
      </c>
      <c r="G317" s="1">
        <v>1.6000000000000001E-3</v>
      </c>
      <c r="H317" t="s">
        <v>42</v>
      </c>
      <c r="I317" t="s">
        <v>3549</v>
      </c>
    </row>
    <row r="318" spans="1:9" x14ac:dyDescent="0.3">
      <c r="A318">
        <v>1095</v>
      </c>
      <c r="B318" t="s">
        <v>2951</v>
      </c>
      <c r="C318" t="s">
        <v>3566</v>
      </c>
      <c r="D318" s="4">
        <v>74.72</v>
      </c>
      <c r="E318" t="s">
        <v>3567</v>
      </c>
      <c r="F318" s="1">
        <v>-1.01E-2</v>
      </c>
      <c r="G318" s="1">
        <v>1.6000000000000001E-3</v>
      </c>
      <c r="H318" t="s">
        <v>42</v>
      </c>
      <c r="I318" t="s">
        <v>3568</v>
      </c>
    </row>
    <row r="319" spans="1:9" x14ac:dyDescent="0.3">
      <c r="A319">
        <v>1221</v>
      </c>
      <c r="B319" t="s">
        <v>280</v>
      </c>
      <c r="C319" t="s">
        <v>3969</v>
      </c>
      <c r="D319" s="4">
        <v>47.25</v>
      </c>
      <c r="E319" t="s">
        <v>3970</v>
      </c>
      <c r="F319" s="1">
        <v>-1.9099999999999999E-2</v>
      </c>
      <c r="G319" s="1">
        <v>9.4999999999999998E-3</v>
      </c>
      <c r="H319" t="s">
        <v>42</v>
      </c>
      <c r="I319" t="s">
        <v>3971</v>
      </c>
    </row>
    <row r="320" spans="1:9" x14ac:dyDescent="0.3">
      <c r="A320">
        <v>1255</v>
      </c>
      <c r="B320" t="s">
        <v>964</v>
      </c>
      <c r="C320" t="s">
        <v>4078</v>
      </c>
      <c r="D320" s="4">
        <v>41.44</v>
      </c>
      <c r="E320" t="s">
        <v>4079</v>
      </c>
      <c r="F320" s="1">
        <v>-6.7000000000000002E-3</v>
      </c>
      <c r="G320" s="1">
        <v>4.4000000000000003E-3</v>
      </c>
      <c r="H320" t="s">
        <v>42</v>
      </c>
      <c r="I320" t="s">
        <v>4080</v>
      </c>
    </row>
    <row r="321" spans="1:9" x14ac:dyDescent="0.3">
      <c r="A321">
        <v>1292</v>
      </c>
      <c r="B321" t="s">
        <v>1799</v>
      </c>
      <c r="C321" t="s">
        <v>4202</v>
      </c>
      <c r="D321" s="4">
        <v>37.19</v>
      </c>
      <c r="E321" t="s">
        <v>4203</v>
      </c>
      <c r="F321" s="1">
        <v>-1.7000000000000001E-2</v>
      </c>
      <c r="G321" s="1">
        <v>8.9999999999999993E-3</v>
      </c>
      <c r="H321" t="s">
        <v>42</v>
      </c>
      <c r="I321" t="s">
        <v>4204</v>
      </c>
    </row>
    <row r="322" spans="1:9" x14ac:dyDescent="0.3">
      <c r="A322">
        <v>1312</v>
      </c>
      <c r="B322" t="s">
        <v>1799</v>
      </c>
      <c r="C322" t="s">
        <v>4267</v>
      </c>
      <c r="D322" s="4">
        <v>34.979999999999997</v>
      </c>
      <c r="E322" t="s">
        <v>4268</v>
      </c>
      <c r="F322" s="1">
        <v>-2.2499999999999999E-2</v>
      </c>
      <c r="G322" s="1">
        <v>8.8999999999999999E-3</v>
      </c>
      <c r="H322" t="s">
        <v>42</v>
      </c>
      <c r="I322" t="s">
        <v>4269</v>
      </c>
    </row>
    <row r="323" spans="1:9" x14ac:dyDescent="0.3">
      <c r="A323">
        <v>1326</v>
      </c>
      <c r="B323" t="s">
        <v>248</v>
      </c>
      <c r="C323" t="s">
        <v>4314</v>
      </c>
      <c r="D323" s="4">
        <v>32.93</v>
      </c>
      <c r="E323" t="s">
        <v>4315</v>
      </c>
      <c r="F323" s="1">
        <v>-4.0800000000000003E-2</v>
      </c>
      <c r="G323" s="1">
        <v>3.5999999999999999E-3</v>
      </c>
      <c r="H323" t="s">
        <v>42</v>
      </c>
      <c r="I323" t="s">
        <v>4316</v>
      </c>
    </row>
    <row r="324" spans="1:9" x14ac:dyDescent="0.3">
      <c r="A324">
        <v>1329</v>
      </c>
      <c r="B324" t="s">
        <v>3896</v>
      </c>
      <c r="C324" t="s">
        <v>4323</v>
      </c>
      <c r="D324" s="4">
        <v>32.729999999999997</v>
      </c>
      <c r="E324" t="s">
        <v>4324</v>
      </c>
      <c r="F324" t="s">
        <v>662</v>
      </c>
      <c r="G324" s="1">
        <v>8.0000000000000002E-3</v>
      </c>
      <c r="H324" t="s">
        <v>42</v>
      </c>
      <c r="I324" t="s">
        <v>4325</v>
      </c>
    </row>
    <row r="325" spans="1:9" x14ac:dyDescent="0.3">
      <c r="A325">
        <v>1351</v>
      </c>
      <c r="B325" t="s">
        <v>12</v>
      </c>
      <c r="C325" t="s">
        <v>4397</v>
      </c>
      <c r="D325" s="4">
        <v>29.97</v>
      </c>
      <c r="E325" t="s">
        <v>4398</v>
      </c>
      <c r="F325" s="1">
        <v>-2.46E-2</v>
      </c>
      <c r="G325" s="1">
        <v>1.6000000000000001E-3</v>
      </c>
      <c r="H325" t="s">
        <v>42</v>
      </c>
      <c r="I325" t="s">
        <v>4399</v>
      </c>
    </row>
    <row r="326" spans="1:9" x14ac:dyDescent="0.3">
      <c r="A326">
        <v>1352</v>
      </c>
      <c r="B326" t="s">
        <v>7</v>
      </c>
      <c r="C326" t="s">
        <v>4400</v>
      </c>
      <c r="D326" s="4">
        <v>29.95</v>
      </c>
      <c r="E326" t="s">
        <v>4401</v>
      </c>
      <c r="F326" t="s">
        <v>662</v>
      </c>
      <c r="G326" s="1">
        <v>1.6000000000000001E-3</v>
      </c>
      <c r="H326" t="s">
        <v>42</v>
      </c>
      <c r="I326" t="s">
        <v>4402</v>
      </c>
    </row>
    <row r="327" spans="1:9" x14ac:dyDescent="0.3">
      <c r="A327">
        <v>1366</v>
      </c>
      <c r="B327" t="s">
        <v>440</v>
      </c>
      <c r="C327" t="s">
        <v>4444</v>
      </c>
      <c r="D327" s="4">
        <v>28.32</v>
      </c>
      <c r="E327" t="s">
        <v>4445</v>
      </c>
      <c r="F327" s="1">
        <v>-1.8100000000000002E-2</v>
      </c>
      <c r="G327" s="1">
        <v>3.2000000000000002E-3</v>
      </c>
      <c r="H327" t="s">
        <v>42</v>
      </c>
      <c r="I327" t="s">
        <v>4446</v>
      </c>
    </row>
    <row r="328" spans="1:9" x14ac:dyDescent="0.3">
      <c r="A328">
        <v>1373</v>
      </c>
      <c r="B328" t="s">
        <v>400</v>
      </c>
      <c r="C328" t="s">
        <v>4465</v>
      </c>
      <c r="D328" s="4">
        <v>27.88</v>
      </c>
      <c r="E328" t="s">
        <v>4466</v>
      </c>
      <c r="F328" s="1">
        <v>5.3E-3</v>
      </c>
      <c r="G328" s="1">
        <v>2.5000000000000001E-3</v>
      </c>
      <c r="H328" t="s">
        <v>42</v>
      </c>
      <c r="I328" t="s">
        <v>4467</v>
      </c>
    </row>
    <row r="329" spans="1:9" x14ac:dyDescent="0.3">
      <c r="A329">
        <v>1403</v>
      </c>
      <c r="B329" t="s">
        <v>618</v>
      </c>
      <c r="C329" t="s">
        <v>4556</v>
      </c>
      <c r="D329" s="4">
        <v>25.32</v>
      </c>
      <c r="E329" t="s">
        <v>4557</v>
      </c>
      <c r="F329" s="1">
        <v>-6.0299999999999999E-2</v>
      </c>
      <c r="G329" s="1">
        <v>2E-3</v>
      </c>
      <c r="H329" t="s">
        <v>42</v>
      </c>
      <c r="I329" t="s">
        <v>4558</v>
      </c>
    </row>
    <row r="330" spans="1:9" x14ac:dyDescent="0.3">
      <c r="A330">
        <v>1432</v>
      </c>
      <c r="B330" t="s">
        <v>280</v>
      </c>
      <c r="C330" t="s">
        <v>4652</v>
      </c>
      <c r="D330" s="4">
        <v>23.1</v>
      </c>
      <c r="E330" t="s">
        <v>4653</v>
      </c>
      <c r="F330" s="1">
        <v>-0.1077</v>
      </c>
      <c r="G330" s="1">
        <v>6.4000000000000003E-3</v>
      </c>
      <c r="H330" t="s">
        <v>42</v>
      </c>
      <c r="I330" t="s">
        <v>4654</v>
      </c>
    </row>
    <row r="331" spans="1:9" x14ac:dyDescent="0.3">
      <c r="A331">
        <v>1455</v>
      </c>
      <c r="B331" t="s">
        <v>486</v>
      </c>
      <c r="C331" t="s">
        <v>4727</v>
      </c>
      <c r="D331" s="4">
        <v>21.62</v>
      </c>
      <c r="E331" t="s">
        <v>4728</v>
      </c>
      <c r="F331" s="1">
        <v>-7.3000000000000001E-3</v>
      </c>
      <c r="G331" s="1">
        <v>7.0000000000000001E-3</v>
      </c>
      <c r="H331" t="s">
        <v>42</v>
      </c>
      <c r="I331" t="s">
        <v>4729</v>
      </c>
    </row>
    <row r="332" spans="1:9" x14ac:dyDescent="0.3">
      <c r="A332">
        <v>1457</v>
      </c>
      <c r="B332" t="s">
        <v>1340</v>
      </c>
      <c r="C332" t="s">
        <v>4733</v>
      </c>
      <c r="D332" s="4">
        <v>21.48</v>
      </c>
      <c r="E332" t="s">
        <v>4734</v>
      </c>
      <c r="F332" s="1">
        <v>5.9999999999999995E-4</v>
      </c>
      <c r="G332" s="1">
        <v>4.4999999999999997E-3</v>
      </c>
      <c r="H332" t="s">
        <v>42</v>
      </c>
      <c r="I332" t="s">
        <v>4735</v>
      </c>
    </row>
    <row r="333" spans="1:9" x14ac:dyDescent="0.3">
      <c r="A333">
        <v>1467</v>
      </c>
      <c r="B333" t="s">
        <v>460</v>
      </c>
      <c r="C333" t="s">
        <v>4765</v>
      </c>
      <c r="D333" s="4">
        <v>20.77</v>
      </c>
      <c r="E333" t="s">
        <v>4766</v>
      </c>
      <c r="F333" s="1">
        <v>-1.01E-2</v>
      </c>
      <c r="G333" s="1">
        <v>4.4999999999999997E-3</v>
      </c>
      <c r="H333" t="s">
        <v>42</v>
      </c>
      <c r="I333" t="s">
        <v>4767</v>
      </c>
    </row>
    <row r="334" spans="1:9" x14ac:dyDescent="0.3">
      <c r="A334">
        <v>1533</v>
      </c>
      <c r="B334" t="s">
        <v>24</v>
      </c>
      <c r="C334" t="s">
        <v>4964</v>
      </c>
      <c r="D334" s="4">
        <v>16.760000000000002</v>
      </c>
      <c r="E334" t="s">
        <v>4965</v>
      </c>
      <c r="F334" s="1">
        <v>-4.0300000000000002E-2</v>
      </c>
      <c r="G334" s="1">
        <v>1.6000000000000001E-3</v>
      </c>
      <c r="H334" t="s">
        <v>42</v>
      </c>
      <c r="I334" t="s">
        <v>4966</v>
      </c>
    </row>
    <row r="335" spans="1:9" x14ac:dyDescent="0.3">
      <c r="A335">
        <v>1546</v>
      </c>
      <c r="B335" t="s">
        <v>444</v>
      </c>
      <c r="C335" t="s">
        <v>5005</v>
      </c>
      <c r="D335" s="4">
        <v>15.95</v>
      </c>
      <c r="E335" t="s">
        <v>5003</v>
      </c>
      <c r="F335" s="1">
        <v>-2.3999999999999998E-3</v>
      </c>
      <c r="G335" s="1">
        <v>4.0000000000000001E-3</v>
      </c>
      <c r="H335" t="s">
        <v>42</v>
      </c>
      <c r="I335" t="s">
        <v>5006</v>
      </c>
    </row>
    <row r="336" spans="1:9" x14ac:dyDescent="0.3">
      <c r="A336">
        <v>1635</v>
      </c>
      <c r="B336" t="s">
        <v>941</v>
      </c>
      <c r="C336" t="s">
        <v>5287</v>
      </c>
      <c r="D336" s="4">
        <v>9.9</v>
      </c>
      <c r="E336" t="s">
        <v>5288</v>
      </c>
      <c r="F336" s="1">
        <v>2.5499999999999998E-2</v>
      </c>
      <c r="G336" s="1">
        <v>7.0000000000000001E-3</v>
      </c>
      <c r="H336" t="s">
        <v>42</v>
      </c>
      <c r="I336" t="s">
        <v>5289</v>
      </c>
    </row>
    <row r="337" spans="1:9" x14ac:dyDescent="0.3">
      <c r="A337">
        <v>1643</v>
      </c>
      <c r="B337" t="s">
        <v>1904</v>
      </c>
      <c r="C337" t="s">
        <v>5312</v>
      </c>
      <c r="D337" s="4">
        <v>9.52</v>
      </c>
      <c r="E337" t="s">
        <v>5313</v>
      </c>
      <c r="F337" t="s">
        <v>662</v>
      </c>
      <c r="G337" s="1">
        <v>1.1000000000000001E-3</v>
      </c>
      <c r="H337" t="s">
        <v>42</v>
      </c>
      <c r="I337" t="s">
        <v>5314</v>
      </c>
    </row>
    <row r="338" spans="1:9" x14ac:dyDescent="0.3">
      <c r="A338">
        <v>1689</v>
      </c>
      <c r="B338" t="s">
        <v>1799</v>
      </c>
      <c r="C338" t="s">
        <v>5453</v>
      </c>
      <c r="D338" s="4">
        <v>7.47</v>
      </c>
      <c r="E338" t="s">
        <v>5454</v>
      </c>
      <c r="F338" s="1">
        <v>-2.1299999999999999E-2</v>
      </c>
      <c r="G338" s="1">
        <v>8.8999999999999999E-3</v>
      </c>
      <c r="H338" t="s">
        <v>42</v>
      </c>
      <c r="I338" t="s">
        <v>5455</v>
      </c>
    </row>
    <row r="339" spans="1:9" x14ac:dyDescent="0.3">
      <c r="A339">
        <v>1693</v>
      </c>
      <c r="B339" t="s">
        <v>280</v>
      </c>
      <c r="C339" t="s">
        <v>5465</v>
      </c>
      <c r="D339" s="4">
        <v>7.38</v>
      </c>
      <c r="E339" t="s">
        <v>5466</v>
      </c>
      <c r="F339" s="1">
        <v>5.4999999999999997E-3</v>
      </c>
      <c r="G339" s="1">
        <v>7.4999999999999997E-3</v>
      </c>
      <c r="H339" t="s">
        <v>42</v>
      </c>
      <c r="I339" t="s">
        <v>5467</v>
      </c>
    </row>
    <row r="340" spans="1:9" x14ac:dyDescent="0.3">
      <c r="A340">
        <v>1725</v>
      </c>
      <c r="B340" t="s">
        <v>24</v>
      </c>
      <c r="C340" t="s">
        <v>5563</v>
      </c>
      <c r="D340" s="4">
        <v>6.18</v>
      </c>
      <c r="E340" t="s">
        <v>5564</v>
      </c>
      <c r="F340" s="1">
        <v>-1.9099999999999999E-2</v>
      </c>
      <c r="G340" s="1">
        <v>3.0999999999999999E-3</v>
      </c>
      <c r="H340" t="s">
        <v>42</v>
      </c>
      <c r="I340" t="s">
        <v>5565</v>
      </c>
    </row>
    <row r="341" spans="1:9" x14ac:dyDescent="0.3">
      <c r="A341">
        <v>1818</v>
      </c>
      <c r="B341" t="s">
        <v>1842</v>
      </c>
      <c r="C341" t="s">
        <v>5846</v>
      </c>
      <c r="D341" s="4">
        <v>3.13</v>
      </c>
      <c r="E341" t="s">
        <v>5847</v>
      </c>
      <c r="F341" t="s">
        <v>662</v>
      </c>
      <c r="G341" s="1">
        <v>3.0999999999999999E-3</v>
      </c>
      <c r="H341" t="s">
        <v>42</v>
      </c>
      <c r="I341" t="s">
        <v>5848</v>
      </c>
    </row>
    <row r="342" spans="1:9" x14ac:dyDescent="0.3">
      <c r="A342">
        <v>1840</v>
      </c>
      <c r="B342" t="s">
        <v>440</v>
      </c>
      <c r="C342" t="s">
        <v>5915</v>
      </c>
      <c r="D342" s="4">
        <v>2.5299999999999998</v>
      </c>
      <c r="E342" t="s">
        <v>5913</v>
      </c>
      <c r="F342" s="1">
        <v>-2.3900000000000001E-2</v>
      </c>
      <c r="G342" s="1">
        <v>4.7999999999999996E-3</v>
      </c>
      <c r="H342" t="s">
        <v>42</v>
      </c>
      <c r="I342" t="s">
        <v>5916</v>
      </c>
    </row>
    <row r="343" spans="1:9" x14ac:dyDescent="0.3">
      <c r="A343">
        <v>1121</v>
      </c>
      <c r="B343" t="s">
        <v>863</v>
      </c>
      <c r="C343" t="s">
        <v>3651</v>
      </c>
      <c r="D343" s="4">
        <v>68.67</v>
      </c>
      <c r="E343" t="s">
        <v>3652</v>
      </c>
      <c r="F343" s="1">
        <v>5.1000000000000004E-3</v>
      </c>
      <c r="G343" s="1">
        <v>3.5999999999999999E-3</v>
      </c>
      <c r="H343" t="s">
        <v>3653</v>
      </c>
      <c r="I343" t="s">
        <v>3654</v>
      </c>
    </row>
    <row r="344" spans="1:9" x14ac:dyDescent="0.3">
      <c r="A344">
        <v>1679</v>
      </c>
      <c r="B344" t="s">
        <v>3867</v>
      </c>
      <c r="C344" t="s">
        <v>5424</v>
      </c>
      <c r="D344" s="4">
        <v>7.75</v>
      </c>
      <c r="E344" t="s">
        <v>5425</v>
      </c>
      <c r="F344" s="1">
        <v>-4.1999999999999997E-3</v>
      </c>
      <c r="G344" s="1">
        <v>5.0000000000000001E-3</v>
      </c>
      <c r="H344" t="s">
        <v>3653</v>
      </c>
      <c r="I344" t="s">
        <v>5426</v>
      </c>
    </row>
    <row r="345" spans="1:9" x14ac:dyDescent="0.3">
      <c r="A345">
        <v>905</v>
      </c>
      <c r="B345" t="s">
        <v>2951</v>
      </c>
      <c r="C345" t="s">
        <v>2952</v>
      </c>
      <c r="D345" s="4">
        <v>133.51</v>
      </c>
      <c r="E345" t="s">
        <v>2948</v>
      </c>
      <c r="F345" s="1">
        <v>-7.6700000000000004E-2</v>
      </c>
      <c r="G345" s="1">
        <v>4.8999999999999998E-3</v>
      </c>
      <c r="H345" t="s">
        <v>2953</v>
      </c>
      <c r="I345" t="s">
        <v>2954</v>
      </c>
    </row>
    <row r="346" spans="1:9" x14ac:dyDescent="0.3">
      <c r="A346">
        <v>1838</v>
      </c>
      <c r="B346" t="s">
        <v>400</v>
      </c>
      <c r="C346" t="s">
        <v>5908</v>
      </c>
      <c r="D346" s="4">
        <v>2.57</v>
      </c>
      <c r="E346" t="s">
        <v>5909</v>
      </c>
      <c r="F346" s="1">
        <v>-0.13780000000000001</v>
      </c>
      <c r="G346" s="1">
        <v>7.9000000000000008E-3</v>
      </c>
      <c r="H346" t="s">
        <v>5910</v>
      </c>
      <c r="I346" t="s">
        <v>5911</v>
      </c>
    </row>
    <row r="347" spans="1:9" x14ac:dyDescent="0.3">
      <c r="A347">
        <v>1070</v>
      </c>
      <c r="B347" t="s">
        <v>400</v>
      </c>
      <c r="C347" t="s">
        <v>3483</v>
      </c>
      <c r="D347" s="4">
        <v>80.67</v>
      </c>
      <c r="E347" t="s">
        <v>3484</v>
      </c>
      <c r="F347" s="1">
        <v>-0.25519999999999998</v>
      </c>
      <c r="G347" s="1">
        <v>6.0000000000000001E-3</v>
      </c>
      <c r="H347" t="s">
        <v>3485</v>
      </c>
      <c r="I347" t="s">
        <v>3486</v>
      </c>
    </row>
    <row r="348" spans="1:9" x14ac:dyDescent="0.3">
      <c r="A348">
        <v>1512</v>
      </c>
      <c r="B348" t="s">
        <v>12</v>
      </c>
      <c r="C348" t="s">
        <v>4902</v>
      </c>
      <c r="D348" s="4">
        <v>17.84</v>
      </c>
      <c r="E348" t="s">
        <v>4903</v>
      </c>
      <c r="F348" s="1">
        <v>-2.81E-2</v>
      </c>
      <c r="G348" s="1">
        <v>6.0000000000000001E-3</v>
      </c>
      <c r="H348" t="s">
        <v>4904</v>
      </c>
      <c r="I348" t="s">
        <v>4905</v>
      </c>
    </row>
    <row r="349" spans="1:9" x14ac:dyDescent="0.3">
      <c r="A349">
        <v>401</v>
      </c>
      <c r="B349" t="s">
        <v>979</v>
      </c>
      <c r="C349" t="s">
        <v>1304</v>
      </c>
      <c r="D349" s="4">
        <v>955.2</v>
      </c>
      <c r="E349" t="s">
        <v>1305</v>
      </c>
      <c r="F349" s="1">
        <v>-0.25430000000000003</v>
      </c>
      <c r="G349" s="1">
        <v>8.6E-3</v>
      </c>
      <c r="H349" t="s">
        <v>1306</v>
      </c>
      <c r="I349" t="s">
        <v>1307</v>
      </c>
    </row>
    <row r="350" spans="1:9" x14ac:dyDescent="0.3">
      <c r="A350">
        <v>1794</v>
      </c>
      <c r="B350" t="s">
        <v>486</v>
      </c>
      <c r="C350" t="s">
        <v>5770</v>
      </c>
      <c r="D350" s="4">
        <v>3.73</v>
      </c>
      <c r="E350" t="s">
        <v>5771</v>
      </c>
      <c r="F350" s="1">
        <v>-0.24160000000000001</v>
      </c>
      <c r="G350" s="1">
        <v>6.4999999999999997E-3</v>
      </c>
      <c r="H350" t="s">
        <v>1306</v>
      </c>
      <c r="I350" t="s">
        <v>5772</v>
      </c>
    </row>
    <row r="351" spans="1:9" x14ac:dyDescent="0.3">
      <c r="A351">
        <v>459</v>
      </c>
      <c r="B351" t="s">
        <v>618</v>
      </c>
      <c r="C351" t="s">
        <v>1497</v>
      </c>
      <c r="D351" s="4">
        <v>770.58</v>
      </c>
      <c r="E351" t="s">
        <v>1498</v>
      </c>
      <c r="F351" s="1">
        <v>-4.2099999999999999E-2</v>
      </c>
      <c r="G351" s="1">
        <v>1.5E-3</v>
      </c>
      <c r="H351" t="s">
        <v>1499</v>
      </c>
      <c r="I351" t="s">
        <v>1500</v>
      </c>
    </row>
    <row r="352" spans="1:9" x14ac:dyDescent="0.3">
      <c r="A352">
        <v>1335</v>
      </c>
      <c r="B352" t="s">
        <v>12</v>
      </c>
      <c r="C352" t="s">
        <v>4343</v>
      </c>
      <c r="D352" s="4">
        <v>31.9</v>
      </c>
      <c r="E352" t="s">
        <v>4344</v>
      </c>
      <c r="F352" s="1">
        <v>-5.79E-2</v>
      </c>
      <c r="G352" s="1">
        <v>5.3E-3</v>
      </c>
      <c r="H352" t="s">
        <v>4345</v>
      </c>
      <c r="I352" t="s">
        <v>4346</v>
      </c>
    </row>
    <row r="353" spans="1:9" x14ac:dyDescent="0.3">
      <c r="A353">
        <v>444</v>
      </c>
      <c r="B353" t="s">
        <v>12</v>
      </c>
      <c r="C353" t="s">
        <v>1448</v>
      </c>
      <c r="D353" s="4">
        <v>819.81</v>
      </c>
      <c r="E353" t="s">
        <v>1449</v>
      </c>
      <c r="F353" s="1">
        <v>1.12E-2</v>
      </c>
      <c r="G353" s="1">
        <v>5.1000000000000004E-3</v>
      </c>
      <c r="H353" t="s">
        <v>1450</v>
      </c>
      <c r="I353" t="s">
        <v>1451</v>
      </c>
    </row>
    <row r="354" spans="1:9" x14ac:dyDescent="0.3">
      <c r="A354">
        <v>1615</v>
      </c>
      <c r="B354" t="s">
        <v>1340</v>
      </c>
      <c r="C354" t="s">
        <v>5224</v>
      </c>
      <c r="D354" s="4">
        <v>10.88</v>
      </c>
      <c r="E354" t="s">
        <v>5225</v>
      </c>
      <c r="F354" s="1">
        <v>8.0999999999999996E-3</v>
      </c>
      <c r="G354" s="1">
        <v>8.9999999999999998E-4</v>
      </c>
      <c r="H354" t="s">
        <v>1450</v>
      </c>
      <c r="I354" t="s">
        <v>5226</v>
      </c>
    </row>
    <row r="355" spans="1:9" s="5" customFormat="1" x14ac:dyDescent="0.3">
      <c r="A355" s="5">
        <v>549</v>
      </c>
      <c r="B355" s="5" t="s">
        <v>12</v>
      </c>
      <c r="C355" s="5" t="s">
        <v>1789</v>
      </c>
      <c r="D355" s="6">
        <v>502.92</v>
      </c>
      <c r="E355" s="5" t="s">
        <v>1790</v>
      </c>
      <c r="F355" s="7">
        <v>-4.0899999999999999E-2</v>
      </c>
      <c r="G355" s="7">
        <v>7.9000000000000008E-3</v>
      </c>
      <c r="H355" s="5" t="s">
        <v>1791</v>
      </c>
      <c r="I355" s="5" t="s">
        <v>1792</v>
      </c>
    </row>
    <row r="356" spans="1:9" x14ac:dyDescent="0.3">
      <c r="A356">
        <v>1273</v>
      </c>
      <c r="B356" t="s">
        <v>486</v>
      </c>
      <c r="C356" t="s">
        <v>4136</v>
      </c>
      <c r="D356" s="4">
        <v>39.03</v>
      </c>
      <c r="E356" t="s">
        <v>4137</v>
      </c>
      <c r="F356" s="1">
        <v>-2.5999999999999999E-2</v>
      </c>
      <c r="G356" s="1">
        <v>2E-3</v>
      </c>
      <c r="H356" t="s">
        <v>4138</v>
      </c>
      <c r="I356" t="s">
        <v>4139</v>
      </c>
    </row>
    <row r="357" spans="1:9" x14ac:dyDescent="0.3">
      <c r="A357">
        <v>1286</v>
      </c>
      <c r="B357" t="s">
        <v>12</v>
      </c>
      <c r="C357" t="s">
        <v>4182</v>
      </c>
      <c r="D357" s="4">
        <v>37.71</v>
      </c>
      <c r="E357" t="s">
        <v>4183</v>
      </c>
      <c r="F357" s="1">
        <v>-8.5400000000000004E-2</v>
      </c>
      <c r="G357" s="1">
        <v>5.8999999999999999E-3</v>
      </c>
      <c r="H357" t="s">
        <v>4184</v>
      </c>
      <c r="I357" t="s">
        <v>4185</v>
      </c>
    </row>
    <row r="358" spans="1:9" x14ac:dyDescent="0.3">
      <c r="A358">
        <v>249</v>
      </c>
      <c r="B358" t="s">
        <v>12</v>
      </c>
      <c r="C358" t="s">
        <v>853</v>
      </c>
      <c r="D358" s="4">
        <f>2.42*1000</f>
        <v>2420</v>
      </c>
      <c r="E358" t="s">
        <v>854</v>
      </c>
      <c r="F358" s="1">
        <v>-3.44E-2</v>
      </c>
      <c r="G358" s="1">
        <v>5.1000000000000004E-3</v>
      </c>
      <c r="H358" t="s">
        <v>855</v>
      </c>
      <c r="I358" t="s">
        <v>856</v>
      </c>
    </row>
    <row r="359" spans="1:9" x14ac:dyDescent="0.3">
      <c r="A359">
        <v>1047</v>
      </c>
      <c r="B359" t="s">
        <v>280</v>
      </c>
      <c r="C359" t="s">
        <v>3409</v>
      </c>
      <c r="D359" s="4">
        <v>86.7</v>
      </c>
      <c r="E359" t="s">
        <v>3410</v>
      </c>
      <c r="F359" s="1">
        <v>-8.8499999999999995E-2</v>
      </c>
      <c r="G359" s="1">
        <v>8.0000000000000002E-3</v>
      </c>
      <c r="H359" t="s">
        <v>855</v>
      </c>
      <c r="I359" t="s">
        <v>3411</v>
      </c>
    </row>
    <row r="360" spans="1:9" x14ac:dyDescent="0.3">
      <c r="A360">
        <v>1163</v>
      </c>
      <c r="B360" t="s">
        <v>12</v>
      </c>
      <c r="C360" t="s">
        <v>3787</v>
      </c>
      <c r="D360" s="4">
        <v>57.75</v>
      </c>
      <c r="E360" t="s">
        <v>3788</v>
      </c>
      <c r="F360" s="1">
        <v>-6.3E-3</v>
      </c>
      <c r="G360" s="1">
        <v>5.3E-3</v>
      </c>
      <c r="H360" t="s">
        <v>855</v>
      </c>
      <c r="I360" t="s">
        <v>3789</v>
      </c>
    </row>
    <row r="361" spans="1:9" x14ac:dyDescent="0.3">
      <c r="A361">
        <v>1348</v>
      </c>
      <c r="B361" t="s">
        <v>440</v>
      </c>
      <c r="C361" t="s">
        <v>4388</v>
      </c>
      <c r="D361" s="4">
        <v>30.72</v>
      </c>
      <c r="E361" t="s">
        <v>4389</v>
      </c>
      <c r="F361" s="1">
        <v>2.6700000000000002E-2</v>
      </c>
      <c r="G361" s="1">
        <v>4.7999999999999996E-3</v>
      </c>
      <c r="H361" t="s">
        <v>855</v>
      </c>
      <c r="I361" t="s">
        <v>4390</v>
      </c>
    </row>
    <row r="362" spans="1:9" x14ac:dyDescent="0.3">
      <c r="A362">
        <v>1492</v>
      </c>
      <c r="B362" t="s">
        <v>1340</v>
      </c>
      <c r="C362" t="s">
        <v>4842</v>
      </c>
      <c r="D362" s="4">
        <v>18.89</v>
      </c>
      <c r="E362" t="s">
        <v>4843</v>
      </c>
      <c r="F362" s="1">
        <v>-3.61E-2</v>
      </c>
      <c r="G362" s="1">
        <v>8.9999999999999998E-4</v>
      </c>
      <c r="H362" t="s">
        <v>855</v>
      </c>
      <c r="I362" t="s">
        <v>4844</v>
      </c>
    </row>
    <row r="363" spans="1:9" x14ac:dyDescent="0.3">
      <c r="A363">
        <v>1587</v>
      </c>
      <c r="B363" t="s">
        <v>618</v>
      </c>
      <c r="C363" t="s">
        <v>5134</v>
      </c>
      <c r="D363" s="4">
        <v>12.9</v>
      </c>
      <c r="E363" t="s">
        <v>5135</v>
      </c>
      <c r="F363" s="1">
        <v>-8.3999999999999995E-3</v>
      </c>
      <c r="G363" s="1">
        <v>4.4999999999999997E-3</v>
      </c>
      <c r="H363" t="s">
        <v>855</v>
      </c>
      <c r="I363" t="s">
        <v>5136</v>
      </c>
    </row>
    <row r="364" spans="1:9" x14ac:dyDescent="0.3">
      <c r="A364">
        <v>1365</v>
      </c>
      <c r="B364" t="s">
        <v>460</v>
      </c>
      <c r="C364" t="s">
        <v>4441</v>
      </c>
      <c r="D364" s="4">
        <v>28.4</v>
      </c>
      <c r="E364" t="s">
        <v>4439</v>
      </c>
      <c r="F364" s="1">
        <v>-8.0100000000000005E-2</v>
      </c>
      <c r="G364" s="1">
        <v>6.4000000000000003E-3</v>
      </c>
      <c r="H364" t="s">
        <v>4442</v>
      </c>
      <c r="I364" t="s">
        <v>4443</v>
      </c>
    </row>
    <row r="365" spans="1:9" x14ac:dyDescent="0.3">
      <c r="A365">
        <v>407</v>
      </c>
      <c r="B365" t="s">
        <v>486</v>
      </c>
      <c r="C365" t="s">
        <v>1326</v>
      </c>
      <c r="D365" s="4">
        <v>930.93</v>
      </c>
      <c r="E365" t="s">
        <v>1327</v>
      </c>
      <c r="F365" s="1">
        <v>-5.5500000000000001E-2</v>
      </c>
      <c r="G365" s="1">
        <v>5.8999999999999999E-3</v>
      </c>
      <c r="H365" t="s">
        <v>1328</v>
      </c>
      <c r="I365" t="s">
        <v>1329</v>
      </c>
    </row>
    <row r="366" spans="1:9" x14ac:dyDescent="0.3">
      <c r="A366">
        <v>689</v>
      </c>
      <c r="B366" t="s">
        <v>7</v>
      </c>
      <c r="C366" t="s">
        <v>2256</v>
      </c>
      <c r="D366" s="4">
        <v>292.12</v>
      </c>
      <c r="E366" t="s">
        <v>2257</v>
      </c>
      <c r="F366" s="1">
        <v>2.3999999999999998E-3</v>
      </c>
      <c r="G366" s="1">
        <v>4.0000000000000001E-3</v>
      </c>
      <c r="H366" t="s">
        <v>1328</v>
      </c>
      <c r="I366" t="s">
        <v>2258</v>
      </c>
    </row>
    <row r="367" spans="1:9" x14ac:dyDescent="0.3">
      <c r="A367">
        <v>1133</v>
      </c>
      <c r="B367" t="s">
        <v>440</v>
      </c>
      <c r="C367" t="s">
        <v>3690</v>
      </c>
      <c r="D367" s="4">
        <v>65.08</v>
      </c>
      <c r="E367" t="s">
        <v>3691</v>
      </c>
      <c r="F367" s="1">
        <v>4.3299999999999998E-2</v>
      </c>
      <c r="G367" s="1">
        <v>5.7999999999999996E-3</v>
      </c>
      <c r="H367" t="s">
        <v>1328</v>
      </c>
      <c r="I367" t="s">
        <v>3692</v>
      </c>
    </row>
    <row r="368" spans="1:9" s="5" customFormat="1" x14ac:dyDescent="0.3">
      <c r="A368" s="5">
        <v>197</v>
      </c>
      <c r="B368" s="5" t="s">
        <v>12</v>
      </c>
      <c r="C368" s="5" t="s">
        <v>683</v>
      </c>
      <c r="D368" s="6">
        <f>3.72*1000</f>
        <v>3720</v>
      </c>
      <c r="E368" s="5" t="s">
        <v>684</v>
      </c>
      <c r="F368" s="7">
        <v>-2E-3</v>
      </c>
      <c r="G368" s="7">
        <v>4.0000000000000001E-3</v>
      </c>
      <c r="H368" s="5" t="s">
        <v>685</v>
      </c>
      <c r="I368" s="5" t="s">
        <v>686</v>
      </c>
    </row>
    <row r="369" spans="1:9" x14ac:dyDescent="0.3">
      <c r="A369">
        <v>876</v>
      </c>
      <c r="B369" t="s">
        <v>2246</v>
      </c>
      <c r="C369" t="s">
        <v>2860</v>
      </c>
      <c r="D369" s="4">
        <v>142.84</v>
      </c>
      <c r="E369" t="s">
        <v>2861</v>
      </c>
      <c r="F369" s="1">
        <v>-0.104</v>
      </c>
      <c r="G369" s="1">
        <v>5.1999999999999998E-3</v>
      </c>
      <c r="H369" t="s">
        <v>685</v>
      </c>
      <c r="I369" t="s">
        <v>2862</v>
      </c>
    </row>
    <row r="370" spans="1:9" x14ac:dyDescent="0.3">
      <c r="A370">
        <v>1001</v>
      </c>
      <c r="B370" t="s">
        <v>7</v>
      </c>
      <c r="C370" t="s">
        <v>3262</v>
      </c>
      <c r="D370" s="4">
        <v>99.6</v>
      </c>
      <c r="E370" t="s">
        <v>3263</v>
      </c>
      <c r="F370" s="1">
        <v>1.2E-2</v>
      </c>
      <c r="G370" s="1">
        <v>5.0000000000000001E-3</v>
      </c>
      <c r="H370" t="s">
        <v>685</v>
      </c>
      <c r="I370" t="s">
        <v>3264</v>
      </c>
    </row>
    <row r="371" spans="1:9" x14ac:dyDescent="0.3">
      <c r="A371">
        <v>1152</v>
      </c>
      <c r="B371" t="s">
        <v>2378</v>
      </c>
      <c r="C371" t="s">
        <v>3750</v>
      </c>
      <c r="D371" s="4">
        <v>60.42</v>
      </c>
      <c r="E371" t="s">
        <v>3751</v>
      </c>
      <c r="F371" s="1">
        <v>1.1000000000000001E-3</v>
      </c>
      <c r="G371" s="1">
        <v>5.4000000000000003E-3</v>
      </c>
      <c r="H371" t="s">
        <v>685</v>
      </c>
      <c r="I371" t="s">
        <v>3752</v>
      </c>
    </row>
    <row r="372" spans="1:9" x14ac:dyDescent="0.3">
      <c r="A372">
        <v>1622</v>
      </c>
      <c r="B372" t="s">
        <v>5247</v>
      </c>
      <c r="C372" t="s">
        <v>5248</v>
      </c>
      <c r="D372" s="4">
        <v>10.55</v>
      </c>
      <c r="E372" t="s">
        <v>5249</v>
      </c>
      <c r="F372" s="1">
        <v>-2.2700000000000001E-2</v>
      </c>
      <c r="G372" s="1">
        <v>4.8999999999999998E-3</v>
      </c>
      <c r="H372" t="s">
        <v>685</v>
      </c>
      <c r="I372" t="s">
        <v>5250</v>
      </c>
    </row>
    <row r="373" spans="1:9" x14ac:dyDescent="0.3">
      <c r="A373">
        <v>1885</v>
      </c>
      <c r="B373" t="s">
        <v>2462</v>
      </c>
      <c r="C373" t="s">
        <v>6055</v>
      </c>
      <c r="D373" s="4">
        <f>752.46*0.001</f>
        <v>0.75246000000000002</v>
      </c>
      <c r="E373" t="s">
        <v>6056</v>
      </c>
      <c r="F373" s="1">
        <v>-2.76E-2</v>
      </c>
      <c r="G373" s="1">
        <v>2E-3</v>
      </c>
      <c r="H373" t="s">
        <v>685</v>
      </c>
      <c r="I373" t="s">
        <v>6057</v>
      </c>
    </row>
    <row r="374" spans="1:9" x14ac:dyDescent="0.3">
      <c r="A374">
        <v>598</v>
      </c>
      <c r="B374" t="s">
        <v>460</v>
      </c>
      <c r="C374" t="s">
        <v>1954</v>
      </c>
      <c r="D374" s="4">
        <v>414.31</v>
      </c>
      <c r="E374" t="s">
        <v>1955</v>
      </c>
      <c r="F374" s="1">
        <v>-0.14879999999999999</v>
      </c>
      <c r="G374" s="1">
        <v>5.8999999999999999E-3</v>
      </c>
      <c r="H374" t="s">
        <v>1956</v>
      </c>
      <c r="I374" t="s">
        <v>1957</v>
      </c>
    </row>
    <row r="375" spans="1:9" x14ac:dyDescent="0.3">
      <c r="A375">
        <v>761</v>
      </c>
      <c r="B375" t="s">
        <v>1340</v>
      </c>
      <c r="C375" t="s">
        <v>2496</v>
      </c>
      <c r="D375" s="4">
        <v>212.84</v>
      </c>
      <c r="E375" t="s">
        <v>2497</v>
      </c>
      <c r="F375" s="1">
        <v>-9.6699999999999994E-2</v>
      </c>
      <c r="G375" s="1">
        <v>5.8999999999999999E-3</v>
      </c>
      <c r="H375" t="s">
        <v>1956</v>
      </c>
      <c r="I375" t="s">
        <v>2498</v>
      </c>
    </row>
    <row r="376" spans="1:9" x14ac:dyDescent="0.3">
      <c r="A376">
        <v>1238</v>
      </c>
      <c r="B376" t="s">
        <v>2378</v>
      </c>
      <c r="C376" t="s">
        <v>4024</v>
      </c>
      <c r="D376" s="4">
        <v>43.58</v>
      </c>
      <c r="E376" t="s">
        <v>4025</v>
      </c>
      <c r="F376" s="1">
        <v>-0.1666</v>
      </c>
      <c r="G376" s="1">
        <v>5.1999999999999998E-3</v>
      </c>
      <c r="H376" t="s">
        <v>1956</v>
      </c>
      <c r="I376" t="s">
        <v>4026</v>
      </c>
    </row>
    <row r="377" spans="1:9" x14ac:dyDescent="0.3">
      <c r="A377">
        <v>985</v>
      </c>
      <c r="B377" t="s">
        <v>460</v>
      </c>
      <c r="C377" t="s">
        <v>3208</v>
      </c>
      <c r="D377" s="4">
        <v>105.66</v>
      </c>
      <c r="E377" t="s">
        <v>3209</v>
      </c>
      <c r="F377" s="1">
        <v>6.7000000000000002E-3</v>
      </c>
      <c r="G377" s="1">
        <v>5.8999999999999999E-3</v>
      </c>
      <c r="H377" t="s">
        <v>3210</v>
      </c>
      <c r="I377" t="s">
        <v>3211</v>
      </c>
    </row>
    <row r="378" spans="1:9" x14ac:dyDescent="0.3">
      <c r="A378">
        <v>1879</v>
      </c>
      <c r="B378" t="s">
        <v>24</v>
      </c>
      <c r="C378" t="s">
        <v>6036</v>
      </c>
      <c r="D378" s="4">
        <v>1.02</v>
      </c>
      <c r="E378" t="s">
        <v>6037</v>
      </c>
      <c r="F378" s="1">
        <v>-0.18079999999999999</v>
      </c>
      <c r="G378" s="1">
        <v>5.8999999999999999E-3</v>
      </c>
      <c r="H378" t="s">
        <v>6038</v>
      </c>
      <c r="I378" t="s">
        <v>6039</v>
      </c>
    </row>
    <row r="379" spans="1:9" x14ac:dyDescent="0.3">
      <c r="A379">
        <v>1422</v>
      </c>
      <c r="B379" t="s">
        <v>4619</v>
      </c>
      <c r="C379" t="s">
        <v>4620</v>
      </c>
      <c r="D379" s="4">
        <v>23.8</v>
      </c>
      <c r="E379" t="s">
        <v>4621</v>
      </c>
      <c r="F379" s="1">
        <v>-0.1042</v>
      </c>
      <c r="G379" s="1">
        <v>1.18E-2</v>
      </c>
      <c r="H379" t="s">
        <v>4622</v>
      </c>
      <c r="I379" t="s">
        <v>4623</v>
      </c>
    </row>
    <row r="380" spans="1:9" s="5" customFormat="1" x14ac:dyDescent="0.3">
      <c r="A380" s="5">
        <v>43</v>
      </c>
      <c r="B380" s="5" t="s">
        <v>16</v>
      </c>
      <c r="C380" s="5" t="s">
        <v>158</v>
      </c>
      <c r="D380" s="6">
        <f>24.74*1000</f>
        <v>24740</v>
      </c>
      <c r="E380" s="5" t="s">
        <v>159</v>
      </c>
      <c r="F380" s="7">
        <v>-4.4600000000000001E-2</v>
      </c>
      <c r="G380" s="7">
        <v>8.0000000000000004E-4</v>
      </c>
      <c r="H380" s="5" t="s">
        <v>160</v>
      </c>
      <c r="I380" s="5" t="s">
        <v>161</v>
      </c>
    </row>
    <row r="381" spans="1:9" x14ac:dyDescent="0.3">
      <c r="A381">
        <v>54</v>
      </c>
      <c r="B381" t="s">
        <v>12</v>
      </c>
      <c r="C381" t="s">
        <v>194</v>
      </c>
      <c r="D381" s="4">
        <f>17.49*1000</f>
        <v>17490</v>
      </c>
      <c r="E381" t="s">
        <v>195</v>
      </c>
      <c r="F381" s="1">
        <v>-4.1300000000000003E-2</v>
      </c>
      <c r="G381" s="1">
        <v>3.2000000000000002E-3</v>
      </c>
      <c r="H381" t="s">
        <v>160</v>
      </c>
      <c r="I381" t="s">
        <v>196</v>
      </c>
    </row>
    <row r="382" spans="1:9" x14ac:dyDescent="0.3">
      <c r="A382">
        <v>155</v>
      </c>
      <c r="B382" t="s">
        <v>12</v>
      </c>
      <c r="C382" t="s">
        <v>545</v>
      </c>
      <c r="D382" s="4">
        <f>5.32*1000</f>
        <v>5320</v>
      </c>
      <c r="E382" t="s">
        <v>546</v>
      </c>
      <c r="F382" s="1">
        <v>-1.3299999999999999E-2</v>
      </c>
      <c r="G382" s="1">
        <v>2E-3</v>
      </c>
      <c r="H382" t="s">
        <v>160</v>
      </c>
      <c r="I382" t="s">
        <v>547</v>
      </c>
    </row>
    <row r="383" spans="1:9" x14ac:dyDescent="0.3">
      <c r="A383">
        <v>231</v>
      </c>
      <c r="B383" t="s">
        <v>280</v>
      </c>
      <c r="C383" t="s">
        <v>796</v>
      </c>
      <c r="D383" s="4">
        <f>2.76*1000</f>
        <v>2760</v>
      </c>
      <c r="E383" t="s">
        <v>797</v>
      </c>
      <c r="F383" s="1">
        <v>-5.5800000000000002E-2</v>
      </c>
      <c r="G383" s="1">
        <v>8.6999999999999994E-3</v>
      </c>
      <c r="H383" t="s">
        <v>160</v>
      </c>
      <c r="I383" t="s">
        <v>798</v>
      </c>
    </row>
    <row r="384" spans="1:9" x14ac:dyDescent="0.3">
      <c r="A384">
        <v>432</v>
      </c>
      <c r="B384" t="s">
        <v>1411</v>
      </c>
      <c r="C384" t="s">
        <v>1412</v>
      </c>
      <c r="D384" s="4">
        <v>842.12</v>
      </c>
      <c r="E384" t="s">
        <v>1413</v>
      </c>
      <c r="F384" s="1">
        <v>-4.2500000000000003E-2</v>
      </c>
      <c r="G384" s="1">
        <v>8.5000000000000006E-3</v>
      </c>
      <c r="H384" t="s">
        <v>160</v>
      </c>
      <c r="I384" t="s">
        <v>1414</v>
      </c>
    </row>
    <row r="385" spans="1:9" x14ac:dyDescent="0.3">
      <c r="A385">
        <v>528</v>
      </c>
      <c r="B385" t="s">
        <v>7</v>
      </c>
      <c r="C385" t="s">
        <v>1720</v>
      </c>
      <c r="D385" s="4">
        <v>549.16</v>
      </c>
      <c r="E385" t="s">
        <v>1721</v>
      </c>
      <c r="F385" s="1">
        <v>-3.6299999999999999E-2</v>
      </c>
      <c r="G385" s="1">
        <v>8.9999999999999998E-4</v>
      </c>
      <c r="H385" t="s">
        <v>160</v>
      </c>
      <c r="I385" t="s">
        <v>1722</v>
      </c>
    </row>
    <row r="386" spans="1:9" x14ac:dyDescent="0.3">
      <c r="A386">
        <v>540</v>
      </c>
      <c r="B386" t="s">
        <v>12</v>
      </c>
      <c r="C386" t="s">
        <v>1760</v>
      </c>
      <c r="D386" s="4">
        <v>523.95000000000005</v>
      </c>
      <c r="E386" t="s">
        <v>1761</v>
      </c>
      <c r="F386" s="1">
        <v>-8.4099999999999994E-2</v>
      </c>
      <c r="G386" s="1">
        <v>4.8999999999999998E-3</v>
      </c>
      <c r="H386" t="s">
        <v>160</v>
      </c>
      <c r="I386" t="s">
        <v>1762</v>
      </c>
    </row>
    <row r="387" spans="1:9" x14ac:dyDescent="0.3">
      <c r="A387">
        <v>650</v>
      </c>
      <c r="B387" t="s">
        <v>2083</v>
      </c>
      <c r="C387" t="s">
        <v>2134</v>
      </c>
      <c r="D387" s="4">
        <v>343.85</v>
      </c>
      <c r="E387" t="s">
        <v>2135</v>
      </c>
      <c r="F387" s="1">
        <v>-6.0499999999999998E-2</v>
      </c>
      <c r="G387" s="1">
        <v>6.3E-3</v>
      </c>
      <c r="H387" t="s">
        <v>160</v>
      </c>
      <c r="I387" t="s">
        <v>2136</v>
      </c>
    </row>
    <row r="388" spans="1:9" x14ac:dyDescent="0.3">
      <c r="A388">
        <v>764</v>
      </c>
      <c r="B388" t="s">
        <v>280</v>
      </c>
      <c r="C388" t="s">
        <v>2505</v>
      </c>
      <c r="D388" s="4">
        <v>210.61</v>
      </c>
      <c r="E388" t="s">
        <v>2506</v>
      </c>
      <c r="F388" s="1">
        <v>-5.5100000000000003E-2</v>
      </c>
      <c r="G388" s="1">
        <v>7.1000000000000004E-3</v>
      </c>
      <c r="H388" t="s">
        <v>160</v>
      </c>
      <c r="I388" t="s">
        <v>2507</v>
      </c>
    </row>
    <row r="389" spans="1:9" x14ac:dyDescent="0.3">
      <c r="A389">
        <v>873</v>
      </c>
      <c r="B389" t="s">
        <v>12</v>
      </c>
      <c r="C389" t="s">
        <v>2851</v>
      </c>
      <c r="D389" s="4">
        <v>143.69</v>
      </c>
      <c r="E389" t="s">
        <v>2852</v>
      </c>
      <c r="F389" s="1">
        <v>-2.29E-2</v>
      </c>
      <c r="G389" s="1">
        <v>3.5000000000000001E-3</v>
      </c>
      <c r="H389" t="s">
        <v>160</v>
      </c>
      <c r="I389" t="s">
        <v>2853</v>
      </c>
    </row>
    <row r="390" spans="1:9" x14ac:dyDescent="0.3">
      <c r="A390">
        <v>915</v>
      </c>
      <c r="B390" t="s">
        <v>1289</v>
      </c>
      <c r="C390" t="s">
        <v>2985</v>
      </c>
      <c r="D390" s="4">
        <v>129.72</v>
      </c>
      <c r="E390" t="s">
        <v>2986</v>
      </c>
      <c r="F390" s="1">
        <v>-0.1305</v>
      </c>
      <c r="G390" s="1">
        <v>1.24E-2</v>
      </c>
      <c r="H390" t="s">
        <v>160</v>
      </c>
      <c r="I390" t="s">
        <v>2987</v>
      </c>
    </row>
    <row r="391" spans="1:9" x14ac:dyDescent="0.3">
      <c r="A391">
        <v>951</v>
      </c>
      <c r="B391" t="s">
        <v>2378</v>
      </c>
      <c r="C391" t="s">
        <v>3100</v>
      </c>
      <c r="D391" s="4">
        <v>118.7</v>
      </c>
      <c r="E391" t="s">
        <v>3101</v>
      </c>
      <c r="F391" s="1">
        <v>-1.47E-2</v>
      </c>
      <c r="G391" s="1">
        <v>5.0000000000000001E-3</v>
      </c>
      <c r="H391" t="s">
        <v>160</v>
      </c>
      <c r="I391" t="s">
        <v>3102</v>
      </c>
    </row>
    <row r="392" spans="1:9" x14ac:dyDescent="0.3">
      <c r="A392">
        <v>980</v>
      </c>
      <c r="B392" t="s">
        <v>2931</v>
      </c>
      <c r="C392" t="s">
        <v>3192</v>
      </c>
      <c r="D392" s="4">
        <v>107.88</v>
      </c>
      <c r="E392" t="s">
        <v>3193</v>
      </c>
      <c r="F392" s="1">
        <v>-0.1137</v>
      </c>
      <c r="G392" s="1">
        <v>7.4999999999999997E-3</v>
      </c>
      <c r="H392" t="s">
        <v>160</v>
      </c>
      <c r="I392" t="s">
        <v>3194</v>
      </c>
    </row>
    <row r="393" spans="1:9" x14ac:dyDescent="0.3">
      <c r="A393">
        <v>1029</v>
      </c>
      <c r="B393" t="s">
        <v>2087</v>
      </c>
      <c r="C393" t="s">
        <v>3351</v>
      </c>
      <c r="D393" s="4">
        <v>92.14</v>
      </c>
      <c r="E393" t="s">
        <v>3352</v>
      </c>
      <c r="F393" s="1">
        <v>-4.0399999999999998E-2</v>
      </c>
      <c r="G393" s="1">
        <v>8.8999999999999999E-3</v>
      </c>
      <c r="H393" t="s">
        <v>160</v>
      </c>
      <c r="I393" t="s">
        <v>3353</v>
      </c>
    </row>
    <row r="394" spans="1:9" x14ac:dyDescent="0.3">
      <c r="A394">
        <v>1091</v>
      </c>
      <c r="B394" t="s">
        <v>2931</v>
      </c>
      <c r="C394" t="s">
        <v>3553</v>
      </c>
      <c r="D394" s="4">
        <v>76.23</v>
      </c>
      <c r="E394" t="s">
        <v>3554</v>
      </c>
      <c r="F394" s="1">
        <v>-0.12130000000000001</v>
      </c>
      <c r="G394" s="1">
        <v>7.4999999999999997E-3</v>
      </c>
      <c r="H394" t="s">
        <v>160</v>
      </c>
      <c r="I394" t="s">
        <v>3555</v>
      </c>
    </row>
    <row r="395" spans="1:9" x14ac:dyDescent="0.3">
      <c r="A395">
        <v>1175</v>
      </c>
      <c r="B395" t="s">
        <v>2353</v>
      </c>
      <c r="C395" t="s">
        <v>3826</v>
      </c>
      <c r="D395" s="4">
        <v>55.63</v>
      </c>
      <c r="E395" t="s">
        <v>3827</v>
      </c>
      <c r="F395" s="1">
        <v>-2.5499999999999998E-2</v>
      </c>
      <c r="G395" s="1">
        <v>9.4999999999999998E-3</v>
      </c>
      <c r="H395" t="s">
        <v>160</v>
      </c>
      <c r="I395" t="s">
        <v>3828</v>
      </c>
    </row>
    <row r="396" spans="1:9" x14ac:dyDescent="0.3">
      <c r="A396">
        <v>1206</v>
      </c>
      <c r="B396" t="s">
        <v>460</v>
      </c>
      <c r="C396" t="s">
        <v>3924</v>
      </c>
      <c r="D396" s="4">
        <v>49.17</v>
      </c>
      <c r="E396" t="s">
        <v>3925</v>
      </c>
      <c r="F396" s="1">
        <v>-9.35E-2</v>
      </c>
      <c r="G396" s="1">
        <v>5.8999999999999999E-3</v>
      </c>
      <c r="H396" t="s">
        <v>160</v>
      </c>
      <c r="I396" t="s">
        <v>3926</v>
      </c>
    </row>
    <row r="397" spans="1:9" x14ac:dyDescent="0.3">
      <c r="A397">
        <v>1224</v>
      </c>
      <c r="B397" t="s">
        <v>3978</v>
      </c>
      <c r="C397" t="s">
        <v>3979</v>
      </c>
      <c r="D397" s="4">
        <v>46.65</v>
      </c>
      <c r="E397" t="s">
        <v>3980</v>
      </c>
      <c r="F397" s="1">
        <v>-1.5E-3</v>
      </c>
      <c r="G397" s="1">
        <v>8.0000000000000002E-3</v>
      </c>
      <c r="H397" t="s">
        <v>160</v>
      </c>
      <c r="I397" t="s">
        <v>3981</v>
      </c>
    </row>
    <row r="398" spans="1:9" x14ac:dyDescent="0.3">
      <c r="A398">
        <v>1242</v>
      </c>
      <c r="B398" t="s">
        <v>3680</v>
      </c>
      <c r="C398" t="s">
        <v>4037</v>
      </c>
      <c r="D398" s="4">
        <v>43.4</v>
      </c>
      <c r="E398" t="s">
        <v>4038</v>
      </c>
      <c r="F398" s="1">
        <v>-4.0000000000000002E-4</v>
      </c>
      <c r="G398" s="1">
        <v>1.14E-2</v>
      </c>
      <c r="H398" t="s">
        <v>160</v>
      </c>
      <c r="I398" t="s">
        <v>4039</v>
      </c>
    </row>
    <row r="399" spans="1:9" x14ac:dyDescent="0.3">
      <c r="A399">
        <v>1251</v>
      </c>
      <c r="B399" t="s">
        <v>3680</v>
      </c>
      <c r="C399" t="s">
        <v>4065</v>
      </c>
      <c r="D399" s="4">
        <v>41.92</v>
      </c>
      <c r="E399" t="s">
        <v>4066</v>
      </c>
      <c r="F399" s="1">
        <v>-4.5999999999999999E-3</v>
      </c>
      <c r="G399" s="1">
        <v>1.2500000000000001E-2</v>
      </c>
      <c r="H399" t="s">
        <v>160</v>
      </c>
      <c r="I399" t="s">
        <v>4067</v>
      </c>
    </row>
    <row r="400" spans="1:9" x14ac:dyDescent="0.3">
      <c r="A400">
        <v>1266</v>
      </c>
      <c r="B400" t="s">
        <v>444</v>
      </c>
      <c r="C400" t="s">
        <v>4112</v>
      </c>
      <c r="D400" s="4">
        <v>39.92</v>
      </c>
      <c r="E400" t="s">
        <v>4113</v>
      </c>
      <c r="F400" s="1">
        <v>-4.7000000000000002E-3</v>
      </c>
      <c r="G400" s="1">
        <v>5.7000000000000002E-3</v>
      </c>
      <c r="H400" t="s">
        <v>160</v>
      </c>
      <c r="I400" t="s">
        <v>4114</v>
      </c>
    </row>
    <row r="401" spans="1:9" x14ac:dyDescent="0.3">
      <c r="A401">
        <v>1280</v>
      </c>
      <c r="B401" t="s">
        <v>4162</v>
      </c>
      <c r="C401" t="s">
        <v>4163</v>
      </c>
      <c r="D401" s="4">
        <v>38.29</v>
      </c>
      <c r="E401" t="s">
        <v>4164</v>
      </c>
      <c r="F401" s="1">
        <v>-8.1100000000000005E-2</v>
      </c>
      <c r="G401" s="1">
        <v>5.1000000000000004E-3</v>
      </c>
      <c r="H401" t="s">
        <v>160</v>
      </c>
      <c r="I401" t="s">
        <v>4165</v>
      </c>
    </row>
    <row r="402" spans="1:9" x14ac:dyDescent="0.3">
      <c r="A402">
        <v>1377</v>
      </c>
      <c r="B402" t="s">
        <v>1340</v>
      </c>
      <c r="C402" t="s">
        <v>4477</v>
      </c>
      <c r="D402" s="4">
        <v>27.23</v>
      </c>
      <c r="E402" t="s">
        <v>4478</v>
      </c>
      <c r="F402" s="1">
        <v>2.8799999999999999E-2</v>
      </c>
      <c r="G402" s="1">
        <v>4.4999999999999997E-3</v>
      </c>
      <c r="H402" t="s">
        <v>160</v>
      </c>
      <c r="I402" t="s">
        <v>4479</v>
      </c>
    </row>
    <row r="403" spans="1:9" x14ac:dyDescent="0.3">
      <c r="A403">
        <v>1427</v>
      </c>
      <c r="B403" t="s">
        <v>4636</v>
      </c>
      <c r="C403" t="s">
        <v>4637</v>
      </c>
      <c r="D403" s="4">
        <v>23.46</v>
      </c>
      <c r="E403" t="s">
        <v>4638</v>
      </c>
      <c r="F403" s="1">
        <v>1.5800000000000002E-2</v>
      </c>
      <c r="G403" s="1">
        <v>6.4999999999999997E-3</v>
      </c>
      <c r="H403" t="s">
        <v>160</v>
      </c>
      <c r="I403" t="s">
        <v>4639</v>
      </c>
    </row>
    <row r="404" spans="1:9" x14ac:dyDescent="0.3">
      <c r="A404">
        <v>1429</v>
      </c>
      <c r="B404" t="s">
        <v>4642</v>
      </c>
      <c r="C404" t="s">
        <v>4643</v>
      </c>
      <c r="D404" s="4">
        <v>23.39</v>
      </c>
      <c r="E404" t="s">
        <v>4644</v>
      </c>
      <c r="F404" s="1">
        <v>-4.41E-2</v>
      </c>
      <c r="G404" s="1">
        <v>7.4999999999999997E-3</v>
      </c>
      <c r="H404" t="s">
        <v>160</v>
      </c>
      <c r="I404" t="s">
        <v>4645</v>
      </c>
    </row>
    <row r="405" spans="1:9" x14ac:dyDescent="0.3">
      <c r="A405">
        <v>1433</v>
      </c>
      <c r="B405" t="s">
        <v>4655</v>
      </c>
      <c r="C405" t="s">
        <v>4656</v>
      </c>
      <c r="D405" s="4">
        <v>23.06</v>
      </c>
      <c r="E405" t="s">
        <v>4657</v>
      </c>
      <c r="F405" t="s">
        <v>662</v>
      </c>
      <c r="G405" s="1">
        <v>9.5999999999999992E-3</v>
      </c>
      <c r="H405" t="s">
        <v>160</v>
      </c>
      <c r="I405" t="s">
        <v>4658</v>
      </c>
    </row>
    <row r="406" spans="1:9" x14ac:dyDescent="0.3">
      <c r="A406">
        <v>1471</v>
      </c>
      <c r="B406" t="s">
        <v>1340</v>
      </c>
      <c r="C406" t="s">
        <v>4777</v>
      </c>
      <c r="D406" s="4">
        <v>20.59</v>
      </c>
      <c r="E406" t="s">
        <v>4778</v>
      </c>
      <c r="F406" s="1">
        <v>-1.1299999999999999E-2</v>
      </c>
      <c r="G406" s="1">
        <v>6.0000000000000001E-3</v>
      </c>
      <c r="H406" t="s">
        <v>160</v>
      </c>
      <c r="I406" t="s">
        <v>4779</v>
      </c>
    </row>
    <row r="407" spans="1:9" x14ac:dyDescent="0.3">
      <c r="A407">
        <v>1499</v>
      </c>
      <c r="B407" t="s">
        <v>4863</v>
      </c>
      <c r="C407" t="s">
        <v>4864</v>
      </c>
      <c r="D407" s="4">
        <v>18.350000000000001</v>
      </c>
      <c r="E407" t="s">
        <v>4865</v>
      </c>
      <c r="F407" s="1">
        <v>-2.35E-2</v>
      </c>
      <c r="G407" s="1">
        <v>8.8999999999999999E-3</v>
      </c>
      <c r="H407" t="s">
        <v>160</v>
      </c>
      <c r="I407" t="s">
        <v>4866</v>
      </c>
    </row>
    <row r="408" spans="1:9" x14ac:dyDescent="0.3">
      <c r="A408">
        <v>1502</v>
      </c>
      <c r="B408" t="s">
        <v>440</v>
      </c>
      <c r="C408" t="s">
        <v>4872</v>
      </c>
      <c r="D408" s="4">
        <v>18.260000000000002</v>
      </c>
      <c r="E408" t="s">
        <v>4873</v>
      </c>
      <c r="F408" s="1">
        <v>-5.11E-2</v>
      </c>
      <c r="G408" s="1">
        <v>9.9000000000000008E-3</v>
      </c>
      <c r="H408" t="s">
        <v>160</v>
      </c>
      <c r="I408" t="s">
        <v>4874</v>
      </c>
    </row>
    <row r="409" spans="1:9" x14ac:dyDescent="0.3">
      <c r="A409">
        <v>1504</v>
      </c>
      <c r="B409" t="s">
        <v>272</v>
      </c>
      <c r="C409" t="s">
        <v>4879</v>
      </c>
      <c r="D409" s="4">
        <v>18.23</v>
      </c>
      <c r="E409" t="s">
        <v>4880</v>
      </c>
      <c r="F409" s="1">
        <v>-3.3799999999999997E-2</v>
      </c>
      <c r="G409" s="1">
        <v>5.1999999999999998E-3</v>
      </c>
      <c r="H409" t="s">
        <v>160</v>
      </c>
      <c r="I409" t="s">
        <v>4881</v>
      </c>
    </row>
    <row r="410" spans="1:9" x14ac:dyDescent="0.3">
      <c r="A410">
        <v>1510</v>
      </c>
      <c r="B410" t="s">
        <v>295</v>
      </c>
      <c r="C410" t="s">
        <v>4898</v>
      </c>
      <c r="D410" s="4">
        <v>17.87</v>
      </c>
      <c r="E410" t="s">
        <v>4895</v>
      </c>
      <c r="F410" t="s">
        <v>662</v>
      </c>
      <c r="G410" s="1">
        <v>5.4999999999999997E-3</v>
      </c>
      <c r="H410" t="s">
        <v>160</v>
      </c>
      <c r="I410" t="s">
        <v>4899</v>
      </c>
    </row>
    <row r="411" spans="1:9" x14ac:dyDescent="0.3">
      <c r="A411">
        <v>1543</v>
      </c>
      <c r="B411" t="s">
        <v>1340</v>
      </c>
      <c r="C411" t="s">
        <v>4996</v>
      </c>
      <c r="D411" s="4">
        <v>16.02</v>
      </c>
      <c r="E411" t="s">
        <v>4997</v>
      </c>
      <c r="F411" s="1">
        <v>1E-4</v>
      </c>
      <c r="G411" s="1">
        <v>3.5000000000000001E-3</v>
      </c>
      <c r="H411" t="s">
        <v>160</v>
      </c>
      <c r="I411" t="s">
        <v>4998</v>
      </c>
    </row>
    <row r="412" spans="1:9" x14ac:dyDescent="0.3">
      <c r="A412">
        <v>1626</v>
      </c>
      <c r="B412" t="s">
        <v>2475</v>
      </c>
      <c r="C412" t="s">
        <v>5260</v>
      </c>
      <c r="D412" s="4">
        <v>10.29</v>
      </c>
      <c r="E412" t="s">
        <v>5261</v>
      </c>
      <c r="F412" s="1">
        <v>-0.1696</v>
      </c>
      <c r="G412" s="1">
        <v>6.0000000000000001E-3</v>
      </c>
      <c r="H412" t="s">
        <v>160</v>
      </c>
      <c r="I412" t="s">
        <v>5262</v>
      </c>
    </row>
    <row r="413" spans="1:9" x14ac:dyDescent="0.3">
      <c r="A413">
        <v>1738</v>
      </c>
      <c r="B413" t="s">
        <v>4144</v>
      </c>
      <c r="C413" t="s">
        <v>5603</v>
      </c>
      <c r="D413" s="4">
        <v>5.79</v>
      </c>
      <c r="E413" t="s">
        <v>5604</v>
      </c>
      <c r="F413" s="1">
        <v>-5.7999999999999996E-3</v>
      </c>
      <c r="G413" s="1">
        <v>7.4999999999999997E-3</v>
      </c>
      <c r="H413" t="s">
        <v>160</v>
      </c>
      <c r="I413" t="s">
        <v>5605</v>
      </c>
    </row>
    <row r="414" spans="1:9" x14ac:dyDescent="0.3">
      <c r="A414">
        <v>1742</v>
      </c>
      <c r="B414" t="s">
        <v>5275</v>
      </c>
      <c r="C414" t="s">
        <v>5615</v>
      </c>
      <c r="D414" s="4">
        <v>5.52</v>
      </c>
      <c r="E414" t="s">
        <v>5616</v>
      </c>
      <c r="F414" s="1">
        <v>-0.18679999999999999</v>
      </c>
      <c r="G414" s="1">
        <v>8.0000000000000002E-3</v>
      </c>
      <c r="H414" t="s">
        <v>160</v>
      </c>
      <c r="I414" t="s">
        <v>5617</v>
      </c>
    </row>
    <row r="415" spans="1:9" x14ac:dyDescent="0.3">
      <c r="A415">
        <v>1768</v>
      </c>
      <c r="B415" t="s">
        <v>1398</v>
      </c>
      <c r="C415" t="s">
        <v>5692</v>
      </c>
      <c r="D415" s="4">
        <v>4.72</v>
      </c>
      <c r="E415" t="s">
        <v>5693</v>
      </c>
      <c r="F415" s="1">
        <v>-0.1153</v>
      </c>
      <c r="G415" s="1">
        <v>7.4999999999999997E-3</v>
      </c>
      <c r="H415" t="s">
        <v>160</v>
      </c>
      <c r="I415" t="s">
        <v>5694</v>
      </c>
    </row>
    <row r="416" spans="1:9" x14ac:dyDescent="0.3">
      <c r="A416">
        <v>1773</v>
      </c>
      <c r="B416" t="s">
        <v>5707</v>
      </c>
      <c r="C416" t="s">
        <v>5708</v>
      </c>
      <c r="D416" s="4">
        <v>4.5199999999999996</v>
      </c>
      <c r="E416" t="s">
        <v>5709</v>
      </c>
      <c r="F416" t="s">
        <v>662</v>
      </c>
      <c r="G416" s="1">
        <v>8.0000000000000002E-3</v>
      </c>
      <c r="H416" t="s">
        <v>160</v>
      </c>
      <c r="I416" t="s">
        <v>5710</v>
      </c>
    </row>
    <row r="417" spans="1:9" x14ac:dyDescent="0.3">
      <c r="A417">
        <v>1830</v>
      </c>
      <c r="B417" t="s">
        <v>460</v>
      </c>
      <c r="C417" t="s">
        <v>5882</v>
      </c>
      <c r="D417" s="4">
        <v>2.81</v>
      </c>
      <c r="E417" t="s">
        <v>5883</v>
      </c>
      <c r="F417" s="1">
        <v>-0.1081</v>
      </c>
      <c r="G417" s="1">
        <v>5.8999999999999999E-3</v>
      </c>
      <c r="H417" t="s">
        <v>160</v>
      </c>
      <c r="I417" t="s">
        <v>5884</v>
      </c>
    </row>
    <row r="418" spans="1:9" x14ac:dyDescent="0.3">
      <c r="A418">
        <v>519</v>
      </c>
      <c r="B418" t="s">
        <v>1687</v>
      </c>
      <c r="C418" t="s">
        <v>1688</v>
      </c>
      <c r="D418" s="4">
        <v>567.07000000000005</v>
      </c>
      <c r="E418" t="s">
        <v>1689</v>
      </c>
      <c r="F418" t="s">
        <v>662</v>
      </c>
      <c r="G418" s="1">
        <v>8.5000000000000006E-3</v>
      </c>
      <c r="H418" t="s">
        <v>1690</v>
      </c>
      <c r="I418" t="s">
        <v>1691</v>
      </c>
    </row>
    <row r="419" spans="1:9" x14ac:dyDescent="0.3">
      <c r="A419">
        <v>726</v>
      </c>
      <c r="B419" t="s">
        <v>2378</v>
      </c>
      <c r="C419" t="s">
        <v>2379</v>
      </c>
      <c r="D419" s="4">
        <v>241.48</v>
      </c>
      <c r="E419" t="s">
        <v>2380</v>
      </c>
      <c r="F419" s="1">
        <v>-0.1585</v>
      </c>
      <c r="G419" s="1">
        <v>5.7000000000000002E-3</v>
      </c>
      <c r="H419" t="s">
        <v>1690</v>
      </c>
      <c r="I419" t="s">
        <v>2381</v>
      </c>
    </row>
    <row r="420" spans="1:9" x14ac:dyDescent="0.3">
      <c r="A420">
        <v>801</v>
      </c>
      <c r="B420" t="s">
        <v>1340</v>
      </c>
      <c r="C420" t="s">
        <v>2621</v>
      </c>
      <c r="D420" s="4">
        <v>190.69</v>
      </c>
      <c r="E420" t="s">
        <v>2622</v>
      </c>
      <c r="F420" s="1">
        <v>-0.10730000000000001</v>
      </c>
      <c r="G420" s="1">
        <v>5.3E-3</v>
      </c>
      <c r="H420" t="s">
        <v>1690</v>
      </c>
      <c r="I420" t="s">
        <v>2623</v>
      </c>
    </row>
    <row r="421" spans="1:9" x14ac:dyDescent="0.3">
      <c r="A421">
        <v>1190</v>
      </c>
      <c r="B421" t="s">
        <v>460</v>
      </c>
      <c r="C421" t="s">
        <v>3874</v>
      </c>
      <c r="D421" s="4">
        <v>52.02</v>
      </c>
      <c r="E421" t="s">
        <v>3875</v>
      </c>
      <c r="F421" s="1">
        <v>-0.224</v>
      </c>
      <c r="G421" s="1">
        <v>5.8999999999999999E-3</v>
      </c>
      <c r="H421" t="s">
        <v>1690</v>
      </c>
      <c r="I421" t="s">
        <v>3876</v>
      </c>
    </row>
    <row r="422" spans="1:9" x14ac:dyDescent="0.3">
      <c r="A422">
        <v>1278</v>
      </c>
      <c r="B422" t="s">
        <v>4154</v>
      </c>
      <c r="C422" t="s">
        <v>4155</v>
      </c>
      <c r="D422" s="4">
        <v>38.479999999999997</v>
      </c>
      <c r="E422" t="s">
        <v>4156</v>
      </c>
      <c r="F422" s="1">
        <v>-4.9599999999999998E-2</v>
      </c>
      <c r="G422" s="1">
        <v>6.8999999999999999E-3</v>
      </c>
      <c r="H422" t="s">
        <v>1690</v>
      </c>
      <c r="I422" t="s">
        <v>4157</v>
      </c>
    </row>
    <row r="423" spans="1:9" x14ac:dyDescent="0.3">
      <c r="A423">
        <v>1550</v>
      </c>
      <c r="B423" t="s">
        <v>440</v>
      </c>
      <c r="C423" t="s">
        <v>5017</v>
      </c>
      <c r="D423" s="4">
        <v>15.7</v>
      </c>
      <c r="E423" t="s">
        <v>5018</v>
      </c>
      <c r="F423" s="1">
        <v>-0.22259999999999999</v>
      </c>
      <c r="G423" s="1">
        <v>2E-3</v>
      </c>
      <c r="H423" t="s">
        <v>1690</v>
      </c>
      <c r="I423" t="s">
        <v>5019</v>
      </c>
    </row>
    <row r="424" spans="1:9" x14ac:dyDescent="0.3">
      <c r="A424">
        <v>1606</v>
      </c>
      <c r="B424" t="s">
        <v>4290</v>
      </c>
      <c r="C424" t="s">
        <v>5196</v>
      </c>
      <c r="D424" s="4">
        <v>11.58</v>
      </c>
      <c r="E424" t="s">
        <v>5197</v>
      </c>
      <c r="F424" s="1">
        <v>-0.2203</v>
      </c>
      <c r="G424" s="1">
        <v>5.4999999999999997E-3</v>
      </c>
      <c r="H424" t="s">
        <v>1690</v>
      </c>
      <c r="I424" t="s">
        <v>5198</v>
      </c>
    </row>
    <row r="425" spans="1:9" x14ac:dyDescent="0.3">
      <c r="A425">
        <v>1722</v>
      </c>
      <c r="B425" t="s">
        <v>780</v>
      </c>
      <c r="C425" t="s">
        <v>5554</v>
      </c>
      <c r="D425" s="4">
        <v>6.24</v>
      </c>
      <c r="E425" t="s">
        <v>5555</v>
      </c>
      <c r="F425" s="1">
        <v>5.7999999999999996E-3</v>
      </c>
      <c r="G425" s="1">
        <v>6.4000000000000003E-3</v>
      </c>
      <c r="H425" t="s">
        <v>1690</v>
      </c>
      <c r="I425" t="s">
        <v>5556</v>
      </c>
    </row>
    <row r="426" spans="1:9" x14ac:dyDescent="0.3">
      <c r="A426">
        <v>1872</v>
      </c>
      <c r="B426" t="s">
        <v>24</v>
      </c>
      <c r="C426" t="s">
        <v>6013</v>
      </c>
      <c r="D426" s="4">
        <v>1.22</v>
      </c>
      <c r="E426" t="s">
        <v>6014</v>
      </c>
      <c r="F426" s="1">
        <v>-0.1386</v>
      </c>
      <c r="G426" s="1">
        <v>4.7999999999999996E-3</v>
      </c>
      <c r="H426" t="s">
        <v>1690</v>
      </c>
      <c r="I426" t="s">
        <v>6015</v>
      </c>
    </row>
    <row r="427" spans="1:9" x14ac:dyDescent="0.3">
      <c r="A427">
        <v>938</v>
      </c>
      <c r="B427" t="s">
        <v>2070</v>
      </c>
      <c r="C427" t="s">
        <v>3059</v>
      </c>
      <c r="D427" s="4">
        <v>124.39</v>
      </c>
      <c r="E427" t="s">
        <v>3060</v>
      </c>
      <c r="F427" s="1">
        <v>-2.0899999999999998E-2</v>
      </c>
      <c r="G427" s="1">
        <v>7.1000000000000004E-3</v>
      </c>
      <c r="H427" t="s">
        <v>3061</v>
      </c>
      <c r="I427" t="s">
        <v>3062</v>
      </c>
    </row>
    <row r="428" spans="1:9" x14ac:dyDescent="0.3">
      <c r="A428">
        <v>1219</v>
      </c>
      <c r="B428" t="s">
        <v>3680</v>
      </c>
      <c r="C428" t="s">
        <v>3964</v>
      </c>
      <c r="D428" s="4">
        <v>47.46</v>
      </c>
      <c r="E428" t="s">
        <v>3962</v>
      </c>
      <c r="F428" s="1">
        <v>-2.9100000000000001E-2</v>
      </c>
      <c r="G428" s="1">
        <v>1.2500000000000001E-2</v>
      </c>
      <c r="H428" t="s">
        <v>3061</v>
      </c>
      <c r="I428" t="s">
        <v>3965</v>
      </c>
    </row>
    <row r="429" spans="1:9" x14ac:dyDescent="0.3">
      <c r="A429">
        <v>1547</v>
      </c>
      <c r="B429" t="s">
        <v>5007</v>
      </c>
      <c r="C429" t="s">
        <v>5008</v>
      </c>
      <c r="D429" s="4">
        <v>15.93</v>
      </c>
      <c r="E429" t="s">
        <v>5009</v>
      </c>
      <c r="F429" t="s">
        <v>662</v>
      </c>
      <c r="G429" s="1">
        <v>8.0000000000000002E-3</v>
      </c>
      <c r="H429" t="s">
        <v>3061</v>
      </c>
      <c r="I429" t="s">
        <v>5010</v>
      </c>
    </row>
    <row r="430" spans="1:9" x14ac:dyDescent="0.3">
      <c r="A430">
        <v>1657</v>
      </c>
      <c r="B430" t="s">
        <v>5356</v>
      </c>
      <c r="C430" t="s">
        <v>5357</v>
      </c>
      <c r="D430" s="4">
        <v>8.69</v>
      </c>
      <c r="E430" t="s">
        <v>5358</v>
      </c>
      <c r="F430" t="s">
        <v>662</v>
      </c>
      <c r="G430" s="1">
        <v>4.8999999999999998E-3</v>
      </c>
      <c r="H430" t="s">
        <v>3061</v>
      </c>
      <c r="I430" t="s">
        <v>5359</v>
      </c>
    </row>
    <row r="431" spans="1:9" x14ac:dyDescent="0.3">
      <c r="A431">
        <v>347</v>
      </c>
      <c r="B431" t="s">
        <v>1150</v>
      </c>
      <c r="C431" t="s">
        <v>1151</v>
      </c>
      <c r="D431" s="4">
        <f>1.21*1000</f>
        <v>1210</v>
      </c>
      <c r="E431" t="s">
        <v>1152</v>
      </c>
      <c r="F431" s="1">
        <v>-1.1299999999999999E-2</v>
      </c>
      <c r="G431" s="1">
        <v>3.0000000000000001E-3</v>
      </c>
      <c r="H431" t="s">
        <v>1153</v>
      </c>
      <c r="I431" t="s">
        <v>1154</v>
      </c>
    </row>
    <row r="432" spans="1:9" x14ac:dyDescent="0.3">
      <c r="A432">
        <v>389</v>
      </c>
      <c r="B432" t="s">
        <v>280</v>
      </c>
      <c r="C432" t="s">
        <v>1266</v>
      </c>
      <c r="D432" s="4">
        <f>1.02*1000</f>
        <v>1020</v>
      </c>
      <c r="E432" t="s">
        <v>1262</v>
      </c>
      <c r="F432" s="1">
        <v>-8.9999999999999998E-4</v>
      </c>
      <c r="G432" s="1">
        <v>7.0000000000000001E-3</v>
      </c>
      <c r="H432" t="s">
        <v>1153</v>
      </c>
      <c r="I432" t="s">
        <v>1267</v>
      </c>
    </row>
    <row r="433" spans="1:9" x14ac:dyDescent="0.3">
      <c r="A433">
        <v>1300</v>
      </c>
      <c r="B433" t="s">
        <v>4227</v>
      </c>
      <c r="C433" t="s">
        <v>4228</v>
      </c>
      <c r="D433" s="4">
        <v>36.17</v>
      </c>
      <c r="E433" t="s">
        <v>4229</v>
      </c>
      <c r="F433" s="1">
        <v>-0.1575</v>
      </c>
      <c r="G433" s="1">
        <v>7.4999999999999997E-3</v>
      </c>
      <c r="H433" t="s">
        <v>1153</v>
      </c>
      <c r="I433" t="s">
        <v>4230</v>
      </c>
    </row>
    <row r="434" spans="1:9" x14ac:dyDescent="0.3">
      <c r="A434">
        <v>369</v>
      </c>
      <c r="B434" t="s">
        <v>272</v>
      </c>
      <c r="C434" t="s">
        <v>1210</v>
      </c>
      <c r="D434" s="4">
        <f>1.13*1000</f>
        <v>1130</v>
      </c>
      <c r="E434" t="s">
        <v>1211</v>
      </c>
      <c r="F434" s="1">
        <v>-2.2100000000000002E-2</v>
      </c>
      <c r="G434" s="1">
        <v>5.5999999999999999E-3</v>
      </c>
      <c r="H434" t="s">
        <v>1212</v>
      </c>
      <c r="I434" t="s">
        <v>1213</v>
      </c>
    </row>
    <row r="435" spans="1:9" x14ac:dyDescent="0.3">
      <c r="A435">
        <v>1067</v>
      </c>
      <c r="B435" t="s">
        <v>12</v>
      </c>
      <c r="C435" t="s">
        <v>3474</v>
      </c>
      <c r="D435" s="4">
        <v>81.650000000000006</v>
      </c>
      <c r="E435" t="s">
        <v>3475</v>
      </c>
      <c r="F435" s="1">
        <v>2.06E-2</v>
      </c>
      <c r="G435" s="1">
        <v>3.8999999999999998E-3</v>
      </c>
      <c r="H435" t="s">
        <v>1212</v>
      </c>
      <c r="I435" t="s">
        <v>3476</v>
      </c>
    </row>
    <row r="436" spans="1:9" x14ac:dyDescent="0.3">
      <c r="A436">
        <v>1736</v>
      </c>
      <c r="B436" t="s">
        <v>280</v>
      </c>
      <c r="C436" t="s">
        <v>5596</v>
      </c>
      <c r="D436" s="4">
        <v>5.83</v>
      </c>
      <c r="E436" t="s">
        <v>5597</v>
      </c>
      <c r="F436" s="1">
        <v>1.61E-2</v>
      </c>
      <c r="G436" s="1">
        <v>7.0000000000000001E-3</v>
      </c>
      <c r="H436" t="s">
        <v>1212</v>
      </c>
      <c r="I436" t="s">
        <v>5598</v>
      </c>
    </row>
    <row r="437" spans="1:9" x14ac:dyDescent="0.3">
      <c r="A437">
        <v>1751</v>
      </c>
      <c r="B437" t="s">
        <v>486</v>
      </c>
      <c r="C437" t="s">
        <v>5640</v>
      </c>
      <c r="D437" s="4">
        <v>5.36</v>
      </c>
      <c r="E437" t="s">
        <v>5641</v>
      </c>
      <c r="F437" s="1">
        <v>-0.17</v>
      </c>
      <c r="G437" s="1">
        <v>5.0000000000000001E-3</v>
      </c>
      <c r="H437" t="s">
        <v>1212</v>
      </c>
      <c r="I437" t="s">
        <v>5642</v>
      </c>
    </row>
    <row r="438" spans="1:9" x14ac:dyDescent="0.3">
      <c r="A438">
        <v>1826</v>
      </c>
      <c r="B438" t="s">
        <v>5869</v>
      </c>
      <c r="C438" t="s">
        <v>5870</v>
      </c>
      <c r="D438" s="4">
        <v>2.88</v>
      </c>
      <c r="E438" t="s">
        <v>5871</v>
      </c>
      <c r="F438" t="s">
        <v>662</v>
      </c>
      <c r="G438" s="1">
        <v>7.4999999999999997E-3</v>
      </c>
      <c r="H438" t="s">
        <v>1212</v>
      </c>
      <c r="I438" t="s">
        <v>5872</v>
      </c>
    </row>
    <row r="439" spans="1:9" x14ac:dyDescent="0.3">
      <c r="A439">
        <v>1847</v>
      </c>
      <c r="B439" t="s">
        <v>272</v>
      </c>
      <c r="C439" t="s">
        <v>5935</v>
      </c>
      <c r="D439" s="4">
        <v>2.27</v>
      </c>
      <c r="E439" t="s">
        <v>5932</v>
      </c>
      <c r="F439" t="s">
        <v>662</v>
      </c>
      <c r="G439" s="1">
        <v>6.8999999999999999E-3</v>
      </c>
      <c r="H439" t="s">
        <v>1212</v>
      </c>
      <c r="I439" t="s">
        <v>5936</v>
      </c>
    </row>
    <row r="440" spans="1:9" x14ac:dyDescent="0.3">
      <c r="A440">
        <v>207</v>
      </c>
      <c r="B440" t="s">
        <v>717</v>
      </c>
      <c r="C440" t="s">
        <v>718</v>
      </c>
      <c r="D440" s="4">
        <f>3.42*1000</f>
        <v>3420</v>
      </c>
      <c r="E440" t="s">
        <v>714</v>
      </c>
      <c r="F440" s="1">
        <v>-8.3900000000000002E-2</v>
      </c>
      <c r="G440" s="1">
        <v>6.0000000000000001E-3</v>
      </c>
      <c r="H440" t="s">
        <v>719</v>
      </c>
      <c r="I440" t="s">
        <v>720</v>
      </c>
    </row>
    <row r="441" spans="1:9" x14ac:dyDescent="0.3">
      <c r="A441">
        <v>1955</v>
      </c>
      <c r="B441" t="s">
        <v>6113</v>
      </c>
      <c r="C441" t="s">
        <v>6223</v>
      </c>
      <c r="D441" s="4" t="s">
        <v>662</v>
      </c>
      <c r="E441" t="s">
        <v>662</v>
      </c>
      <c r="F441" s="1">
        <v>-6.5199999999999994E-2</v>
      </c>
      <c r="G441" s="1">
        <v>3.4099999999999998E-2</v>
      </c>
      <c r="H441" t="s">
        <v>2316</v>
      </c>
      <c r="I441" t="s">
        <v>6224</v>
      </c>
    </row>
    <row r="442" spans="1:9" x14ac:dyDescent="0.3">
      <c r="A442">
        <v>707</v>
      </c>
      <c r="B442" t="s">
        <v>24</v>
      </c>
      <c r="C442" t="s">
        <v>2314</v>
      </c>
      <c r="D442" s="4">
        <v>262.41000000000003</v>
      </c>
      <c r="E442" t="s">
        <v>2315</v>
      </c>
      <c r="F442" s="1">
        <v>-0.1018</v>
      </c>
      <c r="G442" s="1">
        <v>1.44E-2</v>
      </c>
      <c r="H442" t="s">
        <v>2316</v>
      </c>
      <c r="I442" t="s">
        <v>2317</v>
      </c>
    </row>
    <row r="443" spans="1:9" x14ac:dyDescent="0.3">
      <c r="A443">
        <v>1083</v>
      </c>
      <c r="B443" t="s">
        <v>280</v>
      </c>
      <c r="C443" t="s">
        <v>3525</v>
      </c>
      <c r="D443" s="4">
        <v>77.260000000000005</v>
      </c>
      <c r="E443" t="s">
        <v>3526</v>
      </c>
      <c r="F443" s="1">
        <v>-2.2599999999999999E-2</v>
      </c>
      <c r="G443" s="1">
        <v>7.0000000000000001E-3</v>
      </c>
      <c r="H443" t="s">
        <v>3527</v>
      </c>
      <c r="I443" t="s">
        <v>3528</v>
      </c>
    </row>
    <row r="444" spans="1:9" x14ac:dyDescent="0.3">
      <c r="A444">
        <v>570</v>
      </c>
      <c r="B444" t="s">
        <v>272</v>
      </c>
      <c r="C444" t="s">
        <v>1860</v>
      </c>
      <c r="D444" s="4">
        <v>470.5</v>
      </c>
      <c r="E444" t="s">
        <v>1861</v>
      </c>
      <c r="F444" s="1">
        <v>-0.18410000000000001</v>
      </c>
      <c r="G444" s="1">
        <v>3.5000000000000001E-3</v>
      </c>
      <c r="H444" t="s">
        <v>1862</v>
      </c>
      <c r="I444" t="s">
        <v>1863</v>
      </c>
    </row>
    <row r="445" spans="1:9" x14ac:dyDescent="0.3">
      <c r="A445">
        <v>406</v>
      </c>
      <c r="B445" t="s">
        <v>1308</v>
      </c>
      <c r="C445" t="s">
        <v>1322</v>
      </c>
      <c r="D445" s="4">
        <v>937.6</v>
      </c>
      <c r="E445" t="s">
        <v>1323</v>
      </c>
      <c r="F445" s="1">
        <v>-0.29649999999999999</v>
      </c>
      <c r="G445" s="1">
        <v>7.1000000000000004E-3</v>
      </c>
      <c r="H445" t="s">
        <v>1324</v>
      </c>
      <c r="I445" t="s">
        <v>1325</v>
      </c>
    </row>
    <row r="446" spans="1:9" x14ac:dyDescent="0.3">
      <c r="A446">
        <v>751</v>
      </c>
      <c r="B446" t="s">
        <v>2462</v>
      </c>
      <c r="C446" t="s">
        <v>2463</v>
      </c>
      <c r="D446" s="4">
        <v>220.75</v>
      </c>
      <c r="E446" t="s">
        <v>2464</v>
      </c>
      <c r="F446" s="1">
        <v>-0.2046</v>
      </c>
      <c r="G446" s="1">
        <v>6.7999999999999996E-3</v>
      </c>
      <c r="H446" t="s">
        <v>1324</v>
      </c>
      <c r="I446" t="s">
        <v>2465</v>
      </c>
    </row>
    <row r="447" spans="1:9" x14ac:dyDescent="0.3">
      <c r="A447">
        <v>860</v>
      </c>
      <c r="B447" t="s">
        <v>280</v>
      </c>
      <c r="C447" t="s">
        <v>2811</v>
      </c>
      <c r="D447" s="4">
        <v>151.56</v>
      </c>
      <c r="E447" t="s">
        <v>2812</v>
      </c>
      <c r="F447" s="1">
        <v>-2.7699999999999999E-2</v>
      </c>
      <c r="G447" s="1">
        <v>6.4999999999999997E-3</v>
      </c>
      <c r="H447" t="s">
        <v>1324</v>
      </c>
      <c r="I447" t="s">
        <v>2813</v>
      </c>
    </row>
    <row r="448" spans="1:9" x14ac:dyDescent="0.3">
      <c r="A448">
        <v>1025</v>
      </c>
      <c r="B448" t="s">
        <v>486</v>
      </c>
      <c r="C448" t="s">
        <v>3339</v>
      </c>
      <c r="D448" s="4">
        <v>92.91</v>
      </c>
      <c r="E448" t="s">
        <v>3340</v>
      </c>
      <c r="F448" s="1">
        <v>-0.4304</v>
      </c>
      <c r="G448" s="1">
        <v>5.0000000000000001E-3</v>
      </c>
      <c r="H448" t="s">
        <v>1324</v>
      </c>
      <c r="I448" t="s">
        <v>3341</v>
      </c>
    </row>
    <row r="449" spans="1:9" x14ac:dyDescent="0.3">
      <c r="A449">
        <v>1790</v>
      </c>
      <c r="B449" t="s">
        <v>24</v>
      </c>
      <c r="C449" t="s">
        <v>5759</v>
      </c>
      <c r="D449" s="4">
        <v>3.88</v>
      </c>
      <c r="E449" t="s">
        <v>5757</v>
      </c>
      <c r="F449" s="1">
        <v>-0.28179999999999999</v>
      </c>
      <c r="G449" s="1">
        <v>6.0000000000000001E-3</v>
      </c>
      <c r="H449" t="s">
        <v>1324</v>
      </c>
      <c r="I449" t="s">
        <v>5760</v>
      </c>
    </row>
    <row r="450" spans="1:9" x14ac:dyDescent="0.3">
      <c r="A450">
        <v>749</v>
      </c>
      <c r="B450" t="s">
        <v>272</v>
      </c>
      <c r="C450" t="s">
        <v>2455</v>
      </c>
      <c r="D450" s="4">
        <v>222.78</v>
      </c>
      <c r="E450" t="s">
        <v>2456</v>
      </c>
      <c r="F450" s="1">
        <v>-4.8099999999999997E-2</v>
      </c>
      <c r="G450" s="1">
        <v>3.5000000000000001E-3</v>
      </c>
      <c r="H450" t="s">
        <v>2457</v>
      </c>
      <c r="I450" t="s">
        <v>2458</v>
      </c>
    </row>
    <row r="451" spans="1:9" x14ac:dyDescent="0.3">
      <c r="A451">
        <v>736</v>
      </c>
      <c r="B451" t="s">
        <v>248</v>
      </c>
      <c r="C451" t="s">
        <v>2412</v>
      </c>
      <c r="D451" s="4">
        <v>235.01</v>
      </c>
      <c r="E451" t="s">
        <v>2413</v>
      </c>
      <c r="F451" s="1">
        <v>-0.19170000000000001</v>
      </c>
      <c r="G451" s="1">
        <v>7.4999999999999997E-3</v>
      </c>
      <c r="H451" t="s">
        <v>2414</v>
      </c>
      <c r="I451" t="s">
        <v>2415</v>
      </c>
    </row>
    <row r="452" spans="1:9" x14ac:dyDescent="0.3">
      <c r="A452">
        <v>778</v>
      </c>
      <c r="B452" t="s">
        <v>517</v>
      </c>
      <c r="C452" t="s">
        <v>2548</v>
      </c>
      <c r="D452" s="4">
        <v>205.92</v>
      </c>
      <c r="E452" t="s">
        <v>2549</v>
      </c>
      <c r="F452" s="1">
        <v>-0.17280000000000001</v>
      </c>
      <c r="G452" s="1">
        <v>5.0000000000000001E-3</v>
      </c>
      <c r="H452" t="s">
        <v>2414</v>
      </c>
      <c r="I452" t="s">
        <v>2550</v>
      </c>
    </row>
    <row r="453" spans="1:9" x14ac:dyDescent="0.3">
      <c r="A453">
        <v>1560</v>
      </c>
      <c r="B453" t="s">
        <v>12</v>
      </c>
      <c r="C453" t="s">
        <v>5047</v>
      </c>
      <c r="D453" s="4">
        <v>15.18</v>
      </c>
      <c r="E453" t="s">
        <v>5048</v>
      </c>
      <c r="F453" s="1">
        <v>-0.26790000000000003</v>
      </c>
      <c r="G453" s="1">
        <v>8.8000000000000005E-3</v>
      </c>
      <c r="H453" t="s">
        <v>2414</v>
      </c>
      <c r="I453" t="s">
        <v>5049</v>
      </c>
    </row>
    <row r="454" spans="1:9" x14ac:dyDescent="0.3">
      <c r="A454">
        <v>1901</v>
      </c>
      <c r="B454" t="s">
        <v>6110</v>
      </c>
      <c r="C454" t="s">
        <v>6111</v>
      </c>
      <c r="D454" s="4" t="s">
        <v>662</v>
      </c>
      <c r="E454" t="s">
        <v>662</v>
      </c>
      <c r="F454" t="s">
        <v>662</v>
      </c>
      <c r="G454" s="1">
        <v>7.4999999999999997E-3</v>
      </c>
      <c r="H454" t="s">
        <v>298</v>
      </c>
      <c r="I454" t="s">
        <v>6112</v>
      </c>
    </row>
    <row r="455" spans="1:9" x14ac:dyDescent="0.3">
      <c r="A455">
        <v>1921</v>
      </c>
      <c r="B455" t="s">
        <v>6113</v>
      </c>
      <c r="C455" t="s">
        <v>6153</v>
      </c>
      <c r="D455" s="4" t="s">
        <v>662</v>
      </c>
      <c r="E455" t="s">
        <v>662</v>
      </c>
      <c r="F455" s="1">
        <v>-0.13769999999999999</v>
      </c>
      <c r="G455" s="1">
        <v>4.4999999999999997E-3</v>
      </c>
      <c r="H455" t="s">
        <v>298</v>
      </c>
      <c r="I455" t="s">
        <v>6154</v>
      </c>
    </row>
    <row r="456" spans="1:9" x14ac:dyDescent="0.3">
      <c r="A456">
        <v>82</v>
      </c>
      <c r="B456" t="s">
        <v>295</v>
      </c>
      <c r="C456" t="s">
        <v>296</v>
      </c>
      <c r="D456" s="4">
        <f>12.14*1000</f>
        <v>12140</v>
      </c>
      <c r="E456" t="s">
        <v>297</v>
      </c>
      <c r="F456" s="1">
        <v>-0.39729999999999999</v>
      </c>
      <c r="G456" s="1">
        <v>7.4999999999999997E-3</v>
      </c>
      <c r="H456" t="s">
        <v>298</v>
      </c>
      <c r="I456" t="s">
        <v>299</v>
      </c>
    </row>
    <row r="457" spans="1:9" x14ac:dyDescent="0.3">
      <c r="A457">
        <v>289</v>
      </c>
      <c r="B457" t="s">
        <v>7</v>
      </c>
      <c r="C457" t="s">
        <v>984</v>
      </c>
      <c r="D457" s="4">
        <f>1.75*1000</f>
        <v>1750</v>
      </c>
      <c r="E457" t="s">
        <v>985</v>
      </c>
      <c r="F457" s="1">
        <v>-0.19939999999999999</v>
      </c>
      <c r="G457" s="1">
        <v>2E-3</v>
      </c>
      <c r="H457" t="s">
        <v>298</v>
      </c>
      <c r="I457" t="s">
        <v>986</v>
      </c>
    </row>
    <row r="458" spans="1:9" x14ac:dyDescent="0.3">
      <c r="A458">
        <v>586</v>
      </c>
      <c r="B458" t="s">
        <v>248</v>
      </c>
      <c r="C458" t="s">
        <v>1914</v>
      </c>
      <c r="D458" s="4">
        <v>433.43</v>
      </c>
      <c r="E458" t="s">
        <v>1915</v>
      </c>
      <c r="F458" s="1">
        <v>-0.13089999999999999</v>
      </c>
      <c r="G458" s="1">
        <v>5.0000000000000001E-3</v>
      </c>
      <c r="H458" t="s">
        <v>298</v>
      </c>
      <c r="I458" t="s">
        <v>1916</v>
      </c>
    </row>
    <row r="459" spans="1:9" x14ac:dyDescent="0.3">
      <c r="A459">
        <v>719</v>
      </c>
      <c r="B459" t="s">
        <v>2353</v>
      </c>
      <c r="C459" t="s">
        <v>2354</v>
      </c>
      <c r="D459" s="4">
        <v>250.53</v>
      </c>
      <c r="E459" t="s">
        <v>2355</v>
      </c>
      <c r="F459" t="s">
        <v>662</v>
      </c>
      <c r="G459" s="1">
        <v>7.4999999999999997E-3</v>
      </c>
      <c r="H459" t="s">
        <v>298</v>
      </c>
      <c r="I459" t="s">
        <v>2356</v>
      </c>
    </row>
    <row r="460" spans="1:9" x14ac:dyDescent="0.3">
      <c r="A460">
        <v>1035</v>
      </c>
      <c r="B460" t="s">
        <v>486</v>
      </c>
      <c r="C460" t="s">
        <v>3371</v>
      </c>
      <c r="D460" s="4">
        <v>90.15</v>
      </c>
      <c r="E460" t="s">
        <v>3372</v>
      </c>
      <c r="F460" s="1">
        <v>-0.26329999999999998</v>
      </c>
      <c r="G460" s="1">
        <v>5.0000000000000001E-3</v>
      </c>
      <c r="H460" t="s">
        <v>298</v>
      </c>
      <c r="I460" t="s">
        <v>3373</v>
      </c>
    </row>
    <row r="461" spans="1:9" x14ac:dyDescent="0.3">
      <c r="A461">
        <v>1137</v>
      </c>
      <c r="B461" t="s">
        <v>1268</v>
      </c>
      <c r="C461" t="s">
        <v>3701</v>
      </c>
      <c r="D461" s="4">
        <v>64.08</v>
      </c>
      <c r="E461" t="s">
        <v>3702</v>
      </c>
      <c r="F461" s="1">
        <v>-0.25969999999999999</v>
      </c>
      <c r="G461" s="1">
        <v>1.49E-2</v>
      </c>
      <c r="H461" t="s">
        <v>298</v>
      </c>
      <c r="I461" t="s">
        <v>3703</v>
      </c>
    </row>
    <row r="462" spans="1:9" x14ac:dyDescent="0.3">
      <c r="A462">
        <v>1154</v>
      </c>
      <c r="B462" t="s">
        <v>460</v>
      </c>
      <c r="C462" t="s">
        <v>3756</v>
      </c>
      <c r="D462" s="4">
        <v>60.36</v>
      </c>
      <c r="E462" t="s">
        <v>3757</v>
      </c>
      <c r="F462" s="1">
        <v>-2.7E-2</v>
      </c>
      <c r="G462" s="1">
        <v>5.8999999999999999E-3</v>
      </c>
      <c r="H462" t="s">
        <v>298</v>
      </c>
      <c r="I462" t="s">
        <v>3758</v>
      </c>
    </row>
    <row r="463" spans="1:9" x14ac:dyDescent="0.3">
      <c r="A463">
        <v>1595</v>
      </c>
      <c r="B463" t="s">
        <v>1308</v>
      </c>
      <c r="C463" t="s">
        <v>5161</v>
      </c>
      <c r="D463" s="4">
        <v>12.2</v>
      </c>
      <c r="E463" t="s">
        <v>5162</v>
      </c>
      <c r="F463" s="1">
        <v>-0.22370000000000001</v>
      </c>
      <c r="G463" s="1">
        <v>4.8999999999999998E-3</v>
      </c>
      <c r="H463" t="s">
        <v>298</v>
      </c>
      <c r="I463" t="s">
        <v>5163</v>
      </c>
    </row>
    <row r="464" spans="1:9" x14ac:dyDescent="0.3">
      <c r="A464">
        <v>1677</v>
      </c>
      <c r="B464" t="s">
        <v>979</v>
      </c>
      <c r="C464" t="s">
        <v>5419</v>
      </c>
      <c r="D464" s="4">
        <v>7.76</v>
      </c>
      <c r="E464" t="s">
        <v>5420</v>
      </c>
      <c r="F464" s="1">
        <v>-0.1358</v>
      </c>
      <c r="G464" s="1">
        <v>8.6999999999999994E-3</v>
      </c>
      <c r="H464" t="s">
        <v>298</v>
      </c>
      <c r="I464" t="s">
        <v>5421</v>
      </c>
    </row>
    <row r="465" spans="1:9" x14ac:dyDescent="0.3">
      <c r="A465">
        <v>1766</v>
      </c>
      <c r="B465" t="s">
        <v>5685</v>
      </c>
      <c r="C465" t="s">
        <v>5686</v>
      </c>
      <c r="D465" s="4">
        <v>4.78</v>
      </c>
      <c r="E465" t="s">
        <v>5687</v>
      </c>
      <c r="F465" s="1">
        <v>-8.2799999999999999E-2</v>
      </c>
      <c r="G465" s="1">
        <v>7.4999999999999997E-3</v>
      </c>
      <c r="H465" t="s">
        <v>298</v>
      </c>
      <c r="I465" t="s">
        <v>5688</v>
      </c>
    </row>
    <row r="466" spans="1:9" x14ac:dyDescent="0.3">
      <c r="A466">
        <v>1798</v>
      </c>
      <c r="B466" t="s">
        <v>280</v>
      </c>
      <c r="C466" t="s">
        <v>5783</v>
      </c>
      <c r="D466" s="4">
        <v>3.66</v>
      </c>
      <c r="E466" t="s">
        <v>5784</v>
      </c>
      <c r="F466" s="1">
        <v>-0.18740000000000001</v>
      </c>
      <c r="G466" s="1">
        <v>7.4999999999999997E-3</v>
      </c>
      <c r="H466" t="s">
        <v>298</v>
      </c>
      <c r="I466" t="s">
        <v>5785</v>
      </c>
    </row>
    <row r="467" spans="1:9" x14ac:dyDescent="0.3">
      <c r="A467">
        <v>1884</v>
      </c>
      <c r="B467" t="s">
        <v>1308</v>
      </c>
      <c r="C467" t="s">
        <v>6052</v>
      </c>
      <c r="D467" s="4">
        <f>875.89*0.001</f>
        <v>0.87589000000000006</v>
      </c>
      <c r="E467" t="s">
        <v>6053</v>
      </c>
      <c r="F467" s="1">
        <v>-0.25080000000000002</v>
      </c>
      <c r="G467" s="1">
        <v>5.8999999999999999E-3</v>
      </c>
      <c r="H467" t="s">
        <v>298</v>
      </c>
      <c r="I467" t="s">
        <v>6054</v>
      </c>
    </row>
    <row r="468" spans="1:9" x14ac:dyDescent="0.3">
      <c r="A468">
        <v>1886</v>
      </c>
      <c r="B468" t="s">
        <v>6058</v>
      </c>
      <c r="C468" t="s">
        <v>6059</v>
      </c>
      <c r="D468" s="4">
        <f>665.5*0.001</f>
        <v>0.66549999999999998</v>
      </c>
      <c r="E468" t="s">
        <v>6060</v>
      </c>
      <c r="F468" t="s">
        <v>662</v>
      </c>
      <c r="G468" s="1">
        <v>7.4999999999999997E-3</v>
      </c>
      <c r="H468" t="s">
        <v>298</v>
      </c>
      <c r="I468" t="s">
        <v>6061</v>
      </c>
    </row>
    <row r="469" spans="1:9" x14ac:dyDescent="0.3">
      <c r="A469">
        <v>484</v>
      </c>
      <c r="B469" t="s">
        <v>921</v>
      </c>
      <c r="C469" t="s">
        <v>1575</v>
      </c>
      <c r="D469" s="4">
        <v>688.49</v>
      </c>
      <c r="E469" t="s">
        <v>1576</v>
      </c>
      <c r="F469" s="1">
        <v>-0.32829999999999998</v>
      </c>
      <c r="G469" s="1">
        <v>7.4999999999999997E-3</v>
      </c>
      <c r="H469" t="s">
        <v>1577</v>
      </c>
      <c r="I469" t="s">
        <v>1578</v>
      </c>
    </row>
    <row r="470" spans="1:9" x14ac:dyDescent="0.3">
      <c r="A470">
        <v>868</v>
      </c>
      <c r="B470" t="s">
        <v>1289</v>
      </c>
      <c r="C470" t="s">
        <v>2835</v>
      </c>
      <c r="D470" s="4">
        <v>147.83000000000001</v>
      </c>
      <c r="E470" t="s">
        <v>2836</v>
      </c>
      <c r="F470" s="1">
        <v>-0.35510000000000003</v>
      </c>
      <c r="G470" s="1">
        <v>7.6E-3</v>
      </c>
      <c r="H470" t="s">
        <v>1577</v>
      </c>
      <c r="I470" t="s">
        <v>2837</v>
      </c>
    </row>
    <row r="471" spans="1:9" x14ac:dyDescent="0.3">
      <c r="A471">
        <v>1120</v>
      </c>
      <c r="B471" t="s">
        <v>1308</v>
      </c>
      <c r="C471" t="s">
        <v>3648</v>
      </c>
      <c r="D471" s="4">
        <v>69.02</v>
      </c>
      <c r="E471" t="s">
        <v>3649</v>
      </c>
      <c r="F471" s="1">
        <v>-0.36299999999999999</v>
      </c>
      <c r="G471" s="1">
        <v>7.4999999999999997E-3</v>
      </c>
      <c r="H471" t="s">
        <v>1577</v>
      </c>
      <c r="I471" t="s">
        <v>3650</v>
      </c>
    </row>
    <row r="472" spans="1:9" x14ac:dyDescent="0.3">
      <c r="A472">
        <v>1439</v>
      </c>
      <c r="B472" t="s">
        <v>2070</v>
      </c>
      <c r="C472" t="s">
        <v>4676</v>
      </c>
      <c r="D472" s="4">
        <v>22.76</v>
      </c>
      <c r="E472" t="s">
        <v>4677</v>
      </c>
      <c r="F472" s="1">
        <v>-0.2074</v>
      </c>
      <c r="G472" s="1">
        <v>4.1999999999999997E-3</v>
      </c>
      <c r="H472" t="s">
        <v>1577</v>
      </c>
      <c r="I472" t="s">
        <v>4678</v>
      </c>
    </row>
    <row r="473" spans="1:9" x14ac:dyDescent="0.3">
      <c r="A473">
        <v>1808</v>
      </c>
      <c r="B473" t="s">
        <v>5815</v>
      </c>
      <c r="C473" t="s">
        <v>5816</v>
      </c>
      <c r="D473" s="4">
        <v>3.43</v>
      </c>
      <c r="E473" t="s">
        <v>5817</v>
      </c>
      <c r="F473" s="1">
        <v>-0.38800000000000001</v>
      </c>
      <c r="G473" s="1">
        <v>7.9000000000000008E-3</v>
      </c>
      <c r="H473" t="s">
        <v>1577</v>
      </c>
      <c r="I473" t="s">
        <v>5818</v>
      </c>
    </row>
    <row r="474" spans="1:9" x14ac:dyDescent="0.3">
      <c r="A474">
        <v>727</v>
      </c>
      <c r="B474" t="s">
        <v>1398</v>
      </c>
      <c r="C474" t="s">
        <v>2382</v>
      </c>
      <c r="D474" s="4">
        <v>241.06</v>
      </c>
      <c r="E474" t="s">
        <v>2383</v>
      </c>
      <c r="F474" s="1">
        <v>-0.31519999999999998</v>
      </c>
      <c r="G474" s="1">
        <v>7.4999999999999997E-3</v>
      </c>
      <c r="H474" t="s">
        <v>2384</v>
      </c>
      <c r="I474" t="s">
        <v>2385</v>
      </c>
    </row>
    <row r="475" spans="1:9" x14ac:dyDescent="0.3">
      <c r="A475">
        <v>1036</v>
      </c>
      <c r="B475" t="s">
        <v>272</v>
      </c>
      <c r="C475" t="s">
        <v>3374</v>
      </c>
      <c r="D475" s="4">
        <v>89.85</v>
      </c>
      <c r="E475" t="s">
        <v>3375</v>
      </c>
      <c r="F475" s="1">
        <v>-0.1709</v>
      </c>
      <c r="G475" s="1">
        <v>6.4999999999999997E-3</v>
      </c>
      <c r="H475" t="s">
        <v>2384</v>
      </c>
      <c r="I475" t="s">
        <v>3376</v>
      </c>
    </row>
    <row r="476" spans="1:9" x14ac:dyDescent="0.3">
      <c r="A476">
        <v>1894</v>
      </c>
      <c r="B476" t="s">
        <v>6088</v>
      </c>
      <c r="C476" t="s">
        <v>6089</v>
      </c>
      <c r="D476" s="4">
        <f>460.16*0.001</f>
        <v>0.46016000000000001</v>
      </c>
      <c r="E476" t="s">
        <v>6090</v>
      </c>
      <c r="F476" t="s">
        <v>662</v>
      </c>
      <c r="G476" s="1">
        <v>7.9000000000000008E-3</v>
      </c>
      <c r="H476" t="s">
        <v>2384</v>
      </c>
      <c r="I476" t="s">
        <v>6091</v>
      </c>
    </row>
    <row r="477" spans="1:9" x14ac:dyDescent="0.3">
      <c r="A477">
        <v>721</v>
      </c>
      <c r="B477" t="s">
        <v>12</v>
      </c>
      <c r="C477" t="s">
        <v>2360</v>
      </c>
      <c r="D477" s="4">
        <v>248.62</v>
      </c>
      <c r="E477" t="s">
        <v>2361</v>
      </c>
      <c r="F477" s="1">
        <v>-8.9399999999999993E-2</v>
      </c>
      <c r="G477" s="1">
        <v>4.3E-3</v>
      </c>
      <c r="H477" t="s">
        <v>2362</v>
      </c>
      <c r="I477" t="s">
        <v>2363</v>
      </c>
    </row>
    <row r="478" spans="1:9" x14ac:dyDescent="0.3">
      <c r="A478">
        <v>1619</v>
      </c>
      <c r="B478" t="s">
        <v>280</v>
      </c>
      <c r="C478" t="s">
        <v>5237</v>
      </c>
      <c r="D478" s="4">
        <v>10.69</v>
      </c>
      <c r="E478" t="s">
        <v>5238</v>
      </c>
      <c r="F478" s="1">
        <v>-2.8500000000000001E-2</v>
      </c>
      <c r="G478" s="1">
        <v>7.0000000000000001E-3</v>
      </c>
      <c r="H478" t="s">
        <v>5239</v>
      </c>
      <c r="I478" t="s">
        <v>5240</v>
      </c>
    </row>
    <row r="479" spans="1:9" x14ac:dyDescent="0.3">
      <c r="A479">
        <v>1902</v>
      </c>
      <c r="B479" t="s">
        <v>6113</v>
      </c>
      <c r="C479" t="s">
        <v>6114</v>
      </c>
      <c r="D479" s="4" t="s">
        <v>662</v>
      </c>
      <c r="E479" t="s">
        <v>662</v>
      </c>
      <c r="F479" t="s">
        <v>662</v>
      </c>
      <c r="G479" s="1">
        <v>5.7999999999999996E-3</v>
      </c>
      <c r="H479" t="s">
        <v>4925</v>
      </c>
      <c r="I479" t="s">
        <v>6115</v>
      </c>
    </row>
    <row r="480" spans="1:9" x14ac:dyDescent="0.3">
      <c r="A480">
        <v>1934</v>
      </c>
      <c r="B480" t="s">
        <v>6113</v>
      </c>
      <c r="C480" t="s">
        <v>6180</v>
      </c>
      <c r="D480" s="4" t="s">
        <v>662</v>
      </c>
      <c r="E480" t="s">
        <v>662</v>
      </c>
      <c r="F480" s="1">
        <v>-0.18779999999999999</v>
      </c>
      <c r="G480" s="1">
        <v>5.0000000000000001E-3</v>
      </c>
      <c r="H480" t="s">
        <v>4925</v>
      </c>
      <c r="I480" t="s">
        <v>6181</v>
      </c>
    </row>
    <row r="481" spans="1:9" x14ac:dyDescent="0.3">
      <c r="A481">
        <v>1519</v>
      </c>
      <c r="B481" t="s">
        <v>248</v>
      </c>
      <c r="C481" t="s">
        <v>4923</v>
      </c>
      <c r="D481" s="4">
        <v>17.399999999999999</v>
      </c>
      <c r="E481" t="s">
        <v>4924</v>
      </c>
      <c r="F481" t="s">
        <v>662</v>
      </c>
      <c r="G481" s="1">
        <v>7.4999999999999997E-3</v>
      </c>
      <c r="H481" t="s">
        <v>4925</v>
      </c>
      <c r="I481" t="s">
        <v>4926</v>
      </c>
    </row>
    <row r="482" spans="1:9" x14ac:dyDescent="0.3">
      <c r="A482">
        <v>1664</v>
      </c>
      <c r="B482" t="s">
        <v>5378</v>
      </c>
      <c r="C482" t="s">
        <v>5379</v>
      </c>
      <c r="D482" s="4">
        <v>8.3800000000000008</v>
      </c>
      <c r="E482" t="s">
        <v>5380</v>
      </c>
      <c r="F482" s="1">
        <v>-8.7099999999999997E-2</v>
      </c>
      <c r="G482" s="1">
        <v>6.0000000000000001E-3</v>
      </c>
      <c r="H482" t="s">
        <v>4925</v>
      </c>
      <c r="I482" t="s">
        <v>5381</v>
      </c>
    </row>
    <row r="483" spans="1:9" x14ac:dyDescent="0.3">
      <c r="A483">
        <v>1688</v>
      </c>
      <c r="B483" t="s">
        <v>979</v>
      </c>
      <c r="C483" t="s">
        <v>5450</v>
      </c>
      <c r="D483" s="4">
        <v>7.48</v>
      </c>
      <c r="E483" t="s">
        <v>5451</v>
      </c>
      <c r="F483" t="s">
        <v>662</v>
      </c>
      <c r="G483" s="1">
        <v>7.0000000000000001E-3</v>
      </c>
      <c r="H483" t="s">
        <v>4925</v>
      </c>
      <c r="I483" t="s">
        <v>5452</v>
      </c>
    </row>
    <row r="484" spans="1:9" x14ac:dyDescent="0.3">
      <c r="A484">
        <v>1706</v>
      </c>
      <c r="B484" t="s">
        <v>1864</v>
      </c>
      <c r="C484" t="s">
        <v>5504</v>
      </c>
      <c r="D484" s="4">
        <v>6.83</v>
      </c>
      <c r="E484" t="s">
        <v>5505</v>
      </c>
      <c r="F484" s="1">
        <v>-3.2399999999999998E-2</v>
      </c>
      <c r="G484" s="1">
        <v>4.4999999999999997E-3</v>
      </c>
      <c r="H484" t="s">
        <v>4925</v>
      </c>
      <c r="I484" t="s">
        <v>5506</v>
      </c>
    </row>
    <row r="485" spans="1:9" x14ac:dyDescent="0.3">
      <c r="A485">
        <v>1744</v>
      </c>
      <c r="B485" t="s">
        <v>486</v>
      </c>
      <c r="C485" t="s">
        <v>5620</v>
      </c>
      <c r="D485" s="4">
        <v>5.49</v>
      </c>
      <c r="E485" t="s">
        <v>5621</v>
      </c>
      <c r="F485" s="1">
        <v>-0.28839999999999999</v>
      </c>
      <c r="G485" s="1">
        <v>5.0000000000000001E-3</v>
      </c>
      <c r="H485" t="s">
        <v>4925</v>
      </c>
      <c r="I485" t="s">
        <v>5622</v>
      </c>
    </row>
    <row r="486" spans="1:9" x14ac:dyDescent="0.3">
      <c r="A486">
        <v>1783</v>
      </c>
      <c r="B486" t="s">
        <v>2475</v>
      </c>
      <c r="C486" t="s">
        <v>5737</v>
      </c>
      <c r="D486" s="4">
        <v>4.16</v>
      </c>
      <c r="E486" t="s">
        <v>5738</v>
      </c>
      <c r="F486" t="s">
        <v>662</v>
      </c>
      <c r="G486" s="1">
        <v>6.0000000000000001E-3</v>
      </c>
      <c r="H486" t="s">
        <v>4925</v>
      </c>
      <c r="I486" t="s">
        <v>5739</v>
      </c>
    </row>
    <row r="487" spans="1:9" x14ac:dyDescent="0.3">
      <c r="A487">
        <v>606</v>
      </c>
      <c r="B487" t="s">
        <v>12</v>
      </c>
      <c r="C487" t="s">
        <v>1984</v>
      </c>
      <c r="D487" s="4">
        <v>403.2</v>
      </c>
      <c r="E487" t="s">
        <v>1985</v>
      </c>
      <c r="F487" s="1">
        <v>-6.1199999999999997E-2</v>
      </c>
      <c r="G487" s="1">
        <v>4.3E-3</v>
      </c>
      <c r="H487" t="s">
        <v>1986</v>
      </c>
      <c r="I487" t="s">
        <v>1987</v>
      </c>
    </row>
    <row r="488" spans="1:9" x14ac:dyDescent="0.3">
      <c r="A488">
        <v>377</v>
      </c>
      <c r="B488" t="s">
        <v>12</v>
      </c>
      <c r="C488" t="s">
        <v>1235</v>
      </c>
      <c r="D488" s="4">
        <f>1.06*1000</f>
        <v>1060</v>
      </c>
      <c r="E488" t="s">
        <v>1236</v>
      </c>
      <c r="F488" s="1">
        <v>4.7E-2</v>
      </c>
      <c r="G488" s="1">
        <v>4.3E-3</v>
      </c>
      <c r="H488" t="s">
        <v>1237</v>
      </c>
      <c r="I488" t="s">
        <v>1238</v>
      </c>
    </row>
    <row r="489" spans="1:9" x14ac:dyDescent="0.3">
      <c r="A489">
        <v>286</v>
      </c>
      <c r="B489" t="s">
        <v>486</v>
      </c>
      <c r="C489" t="s">
        <v>972</v>
      </c>
      <c r="D489" s="4">
        <f>1.78*1000</f>
        <v>1780</v>
      </c>
      <c r="E489" t="s">
        <v>973</v>
      </c>
      <c r="F489" s="1">
        <v>2.3300000000000001E-2</v>
      </c>
      <c r="G489" s="1">
        <v>6.4999999999999997E-3</v>
      </c>
      <c r="H489" t="s">
        <v>974</v>
      </c>
      <c r="I489" t="s">
        <v>975</v>
      </c>
    </row>
    <row r="490" spans="1:9" x14ac:dyDescent="0.3">
      <c r="A490">
        <v>160</v>
      </c>
      <c r="B490" t="s">
        <v>280</v>
      </c>
      <c r="C490" t="s">
        <v>563</v>
      </c>
      <c r="D490" s="4">
        <f>5.07*1000</f>
        <v>5070</v>
      </c>
      <c r="E490" t="s">
        <v>564</v>
      </c>
      <c r="F490" s="1">
        <v>-0.13109999999999999</v>
      </c>
      <c r="G490" s="1">
        <v>6.0000000000000001E-3</v>
      </c>
      <c r="H490" t="s">
        <v>565</v>
      </c>
      <c r="I490" t="s">
        <v>566</v>
      </c>
    </row>
    <row r="491" spans="1:9" x14ac:dyDescent="0.3">
      <c r="A491">
        <v>270</v>
      </c>
      <c r="B491" t="s">
        <v>921</v>
      </c>
      <c r="C491" t="s">
        <v>922</v>
      </c>
      <c r="D491" s="4">
        <f>1.95*1000</f>
        <v>1950</v>
      </c>
      <c r="E491" t="s">
        <v>923</v>
      </c>
      <c r="F491" s="1">
        <v>-0.1739</v>
      </c>
      <c r="G491" s="1">
        <v>6.0000000000000001E-3</v>
      </c>
      <c r="H491" t="s">
        <v>565</v>
      </c>
      <c r="I491" t="s">
        <v>924</v>
      </c>
    </row>
    <row r="492" spans="1:9" x14ac:dyDescent="0.3">
      <c r="A492">
        <v>395</v>
      </c>
      <c r="B492" t="s">
        <v>486</v>
      </c>
      <c r="C492" t="s">
        <v>1283</v>
      </c>
      <c r="D492" s="4">
        <v>987.72</v>
      </c>
      <c r="E492" t="s">
        <v>1284</v>
      </c>
      <c r="F492" s="1">
        <v>-0.1522</v>
      </c>
      <c r="G492" s="1">
        <v>5.0000000000000001E-3</v>
      </c>
      <c r="H492" t="s">
        <v>565</v>
      </c>
      <c r="I492" t="s">
        <v>1285</v>
      </c>
    </row>
    <row r="493" spans="1:9" x14ac:dyDescent="0.3">
      <c r="A493">
        <v>538</v>
      </c>
      <c r="B493" t="s">
        <v>12</v>
      </c>
      <c r="C493" t="s">
        <v>1754</v>
      </c>
      <c r="D493" s="4">
        <v>529.41999999999996</v>
      </c>
      <c r="E493" t="s">
        <v>1755</v>
      </c>
      <c r="F493" s="1">
        <v>-0.14480000000000001</v>
      </c>
      <c r="G493" s="1">
        <v>4.7000000000000002E-3</v>
      </c>
      <c r="H493" t="s">
        <v>565</v>
      </c>
      <c r="I493" t="s">
        <v>1756</v>
      </c>
    </row>
    <row r="494" spans="1:9" x14ac:dyDescent="0.3">
      <c r="A494">
        <v>1594</v>
      </c>
      <c r="B494" t="s">
        <v>1842</v>
      </c>
      <c r="C494" t="s">
        <v>5158</v>
      </c>
      <c r="D494" s="4">
        <v>12.44</v>
      </c>
      <c r="E494" t="s">
        <v>5159</v>
      </c>
      <c r="F494" s="1">
        <v>-0.31990000000000002</v>
      </c>
      <c r="G494" s="1">
        <v>9.4999999999999998E-3</v>
      </c>
      <c r="H494" t="s">
        <v>565</v>
      </c>
      <c r="I494" t="s">
        <v>5160</v>
      </c>
    </row>
    <row r="495" spans="1:9" x14ac:dyDescent="0.3">
      <c r="A495">
        <v>685</v>
      </c>
      <c r="B495" t="s">
        <v>486</v>
      </c>
      <c r="C495" t="s">
        <v>2242</v>
      </c>
      <c r="D495" s="4">
        <v>302.52</v>
      </c>
      <c r="E495" t="s">
        <v>2243</v>
      </c>
      <c r="F495" s="1">
        <v>-0.26290000000000002</v>
      </c>
      <c r="G495" s="1">
        <v>6.4999999999999997E-3</v>
      </c>
      <c r="H495" t="s">
        <v>2244</v>
      </c>
      <c r="I495" t="s">
        <v>2245</v>
      </c>
    </row>
    <row r="496" spans="1:9" x14ac:dyDescent="0.3">
      <c r="A496">
        <v>869</v>
      </c>
      <c r="B496" t="s">
        <v>486</v>
      </c>
      <c r="C496" t="s">
        <v>2838</v>
      </c>
      <c r="D496" s="4">
        <v>147.38999999999999</v>
      </c>
      <c r="E496" t="s">
        <v>2839</v>
      </c>
      <c r="F496" s="1">
        <v>-0.2382</v>
      </c>
      <c r="G496" s="1">
        <v>5.0000000000000001E-3</v>
      </c>
      <c r="H496" t="s">
        <v>2244</v>
      </c>
      <c r="I496" t="s">
        <v>2840</v>
      </c>
    </row>
    <row r="497" spans="1:9" x14ac:dyDescent="0.3">
      <c r="A497">
        <v>1011</v>
      </c>
      <c r="B497" t="s">
        <v>979</v>
      </c>
      <c r="C497" t="s">
        <v>3296</v>
      </c>
      <c r="D497" s="4">
        <v>95.67</v>
      </c>
      <c r="E497" t="s">
        <v>3297</v>
      </c>
      <c r="F497" s="1">
        <v>-0.4052</v>
      </c>
      <c r="G497" s="1">
        <v>8.5000000000000006E-3</v>
      </c>
      <c r="H497" t="s">
        <v>2244</v>
      </c>
      <c r="I497" t="s">
        <v>3298</v>
      </c>
    </row>
    <row r="498" spans="1:9" x14ac:dyDescent="0.3">
      <c r="A498">
        <v>1277</v>
      </c>
      <c r="B498" t="s">
        <v>280</v>
      </c>
      <c r="C498" t="s">
        <v>4151</v>
      </c>
      <c r="D498" s="4">
        <v>38.56</v>
      </c>
      <c r="E498" t="s">
        <v>4152</v>
      </c>
      <c r="F498" s="1">
        <v>-0.41120000000000001</v>
      </c>
      <c r="G498" s="1">
        <v>8.5000000000000006E-3</v>
      </c>
      <c r="H498" t="s">
        <v>2244</v>
      </c>
      <c r="I498" t="s">
        <v>4153</v>
      </c>
    </row>
    <row r="499" spans="1:9" x14ac:dyDescent="0.3">
      <c r="A499">
        <v>1282</v>
      </c>
      <c r="B499" t="s">
        <v>272</v>
      </c>
      <c r="C499" t="s">
        <v>4169</v>
      </c>
      <c r="D499" s="4">
        <v>38.020000000000003</v>
      </c>
      <c r="E499" t="s">
        <v>4170</v>
      </c>
      <c r="F499" s="1">
        <v>-0.49109999999999998</v>
      </c>
      <c r="G499" s="1">
        <v>5.0000000000000001E-3</v>
      </c>
      <c r="H499" t="s">
        <v>2244</v>
      </c>
      <c r="I499" t="s">
        <v>4171</v>
      </c>
    </row>
    <row r="500" spans="1:9" x14ac:dyDescent="0.3">
      <c r="A500">
        <v>1470</v>
      </c>
      <c r="B500" t="s">
        <v>1340</v>
      </c>
      <c r="C500" t="s">
        <v>4774</v>
      </c>
      <c r="D500" s="4">
        <v>20.62</v>
      </c>
      <c r="E500" t="s">
        <v>4775</v>
      </c>
      <c r="F500" s="1">
        <v>-0.39119999999999999</v>
      </c>
      <c r="G500" s="1">
        <v>5.0000000000000001E-3</v>
      </c>
      <c r="H500" t="s">
        <v>2244</v>
      </c>
      <c r="I500" t="s">
        <v>4776</v>
      </c>
    </row>
    <row r="501" spans="1:9" x14ac:dyDescent="0.3">
      <c r="A501">
        <v>1552</v>
      </c>
      <c r="B501" t="s">
        <v>2087</v>
      </c>
      <c r="C501" t="s">
        <v>5023</v>
      </c>
      <c r="D501" s="4">
        <v>15.66</v>
      </c>
      <c r="E501" t="s">
        <v>5021</v>
      </c>
      <c r="F501" s="1">
        <v>-0.33550000000000002</v>
      </c>
      <c r="G501" s="1">
        <v>5.8999999999999999E-3</v>
      </c>
      <c r="H501" t="s">
        <v>2244</v>
      </c>
      <c r="I501" t="s">
        <v>5024</v>
      </c>
    </row>
    <row r="502" spans="1:9" x14ac:dyDescent="0.3">
      <c r="A502">
        <v>1627</v>
      </c>
      <c r="B502" t="s">
        <v>1150</v>
      </c>
      <c r="C502" t="s">
        <v>5263</v>
      </c>
      <c r="D502" s="4">
        <v>10.29</v>
      </c>
      <c r="E502" t="s">
        <v>5261</v>
      </c>
      <c r="F502" t="s">
        <v>662</v>
      </c>
      <c r="G502" s="1">
        <v>4.4999999999999997E-3</v>
      </c>
      <c r="H502" t="s">
        <v>2244</v>
      </c>
      <c r="I502" t="s">
        <v>5264</v>
      </c>
    </row>
    <row r="503" spans="1:9" x14ac:dyDescent="0.3">
      <c r="A503">
        <v>1714</v>
      </c>
      <c r="B503" t="s">
        <v>24</v>
      </c>
      <c r="C503" t="s">
        <v>5528</v>
      </c>
      <c r="D503" s="4">
        <v>6.5</v>
      </c>
      <c r="E503" t="s">
        <v>5529</v>
      </c>
      <c r="F503" s="1">
        <v>-0.4103</v>
      </c>
      <c r="G503" s="1">
        <v>6.0000000000000001E-3</v>
      </c>
      <c r="H503" t="s">
        <v>2244</v>
      </c>
      <c r="I503" t="s">
        <v>5530</v>
      </c>
    </row>
    <row r="504" spans="1:9" x14ac:dyDescent="0.3">
      <c r="A504">
        <v>1758</v>
      </c>
      <c r="B504" t="s">
        <v>5661</v>
      </c>
      <c r="C504" t="s">
        <v>5662</v>
      </c>
      <c r="D504" s="4">
        <v>5.2</v>
      </c>
      <c r="E504" t="s">
        <v>5663</v>
      </c>
      <c r="F504" t="s">
        <v>662</v>
      </c>
      <c r="G504" s="1">
        <v>8.5000000000000006E-3</v>
      </c>
      <c r="H504" t="s">
        <v>2244</v>
      </c>
      <c r="I504" t="s">
        <v>5664</v>
      </c>
    </row>
    <row r="505" spans="1:9" x14ac:dyDescent="0.3">
      <c r="A505">
        <v>1890</v>
      </c>
      <c r="B505" t="s">
        <v>1308</v>
      </c>
      <c r="C505" t="s">
        <v>6073</v>
      </c>
      <c r="D505" s="4">
        <f>541.75*0.001</f>
        <v>0.54175000000000006</v>
      </c>
      <c r="E505" t="s">
        <v>6074</v>
      </c>
      <c r="F505" s="1">
        <v>-0.20349999999999999</v>
      </c>
      <c r="G505" s="1">
        <v>5.8999999999999999E-3</v>
      </c>
      <c r="H505" t="s">
        <v>2244</v>
      </c>
      <c r="I505" t="s">
        <v>6075</v>
      </c>
    </row>
    <row r="506" spans="1:9" x14ac:dyDescent="0.3">
      <c r="A506">
        <v>417</v>
      </c>
      <c r="B506" t="s">
        <v>921</v>
      </c>
      <c r="C506" t="s">
        <v>1362</v>
      </c>
      <c r="D506" s="4">
        <v>899.17</v>
      </c>
      <c r="E506" t="s">
        <v>1363</v>
      </c>
      <c r="F506" s="1">
        <v>-0.25209999999999999</v>
      </c>
      <c r="G506" s="1">
        <v>7.4999999999999997E-3</v>
      </c>
      <c r="H506" t="s">
        <v>1364</v>
      </c>
      <c r="I506" t="s">
        <v>1365</v>
      </c>
    </row>
    <row r="507" spans="1:9" x14ac:dyDescent="0.3">
      <c r="A507">
        <v>403</v>
      </c>
      <c r="B507" t="s">
        <v>272</v>
      </c>
      <c r="C507" t="s">
        <v>1312</v>
      </c>
      <c r="D507" s="4">
        <v>952.13</v>
      </c>
      <c r="E507" t="s">
        <v>1313</v>
      </c>
      <c r="F507" s="1">
        <v>-4.0300000000000002E-2</v>
      </c>
      <c r="G507" s="1">
        <v>5.8999999999999999E-3</v>
      </c>
      <c r="H507" t="s">
        <v>1314</v>
      </c>
      <c r="I507" t="s">
        <v>1315</v>
      </c>
    </row>
    <row r="508" spans="1:9" s="5" customFormat="1" x14ac:dyDescent="0.3">
      <c r="A508" s="5">
        <v>298</v>
      </c>
      <c r="B508" s="5" t="s">
        <v>12</v>
      </c>
      <c r="C508" s="5" t="s">
        <v>1010</v>
      </c>
      <c r="D508" s="6">
        <f>1.67*1000</f>
        <v>1670</v>
      </c>
      <c r="E508" s="5" t="s">
        <v>1011</v>
      </c>
      <c r="F508" s="7">
        <v>7.6100000000000001E-2</v>
      </c>
      <c r="G508" s="7">
        <v>4.3E-3</v>
      </c>
      <c r="H508" s="5" t="s">
        <v>1012</v>
      </c>
      <c r="I508" s="5" t="s">
        <v>1013</v>
      </c>
    </row>
    <row r="509" spans="1:9" x14ac:dyDescent="0.3">
      <c r="A509">
        <v>597</v>
      </c>
      <c r="B509" t="s">
        <v>24</v>
      </c>
      <c r="C509" t="s">
        <v>1950</v>
      </c>
      <c r="D509" s="4">
        <v>415.32</v>
      </c>
      <c r="E509" t="s">
        <v>1951</v>
      </c>
      <c r="F509" s="1">
        <v>-0.13070000000000001</v>
      </c>
      <c r="G509" s="1">
        <v>5.4999999999999997E-3</v>
      </c>
      <c r="H509" t="s">
        <v>1952</v>
      </c>
      <c r="I509" t="s">
        <v>1953</v>
      </c>
    </row>
    <row r="510" spans="1:9" x14ac:dyDescent="0.3">
      <c r="A510">
        <v>994</v>
      </c>
      <c r="B510" t="s">
        <v>248</v>
      </c>
      <c r="C510" t="s">
        <v>3241</v>
      </c>
      <c r="D510" s="4">
        <v>102.32</v>
      </c>
      <c r="E510" t="s">
        <v>3242</v>
      </c>
      <c r="F510" s="1">
        <v>-0.11360000000000001</v>
      </c>
      <c r="G510" s="1">
        <v>7.4999999999999997E-3</v>
      </c>
      <c r="H510" t="s">
        <v>1952</v>
      </c>
      <c r="I510" t="s">
        <v>3243</v>
      </c>
    </row>
    <row r="511" spans="1:9" x14ac:dyDescent="0.3">
      <c r="A511">
        <v>995</v>
      </c>
      <c r="B511" t="s">
        <v>486</v>
      </c>
      <c r="C511" t="s">
        <v>3244</v>
      </c>
      <c r="D511" s="4">
        <v>101.73</v>
      </c>
      <c r="E511" t="s">
        <v>3245</v>
      </c>
      <c r="F511" s="1">
        <v>-0.2838</v>
      </c>
      <c r="G511" s="1">
        <v>5.0000000000000001E-3</v>
      </c>
      <c r="H511" t="s">
        <v>1952</v>
      </c>
      <c r="I511" t="s">
        <v>3246</v>
      </c>
    </row>
    <row r="512" spans="1:9" x14ac:dyDescent="0.3">
      <c r="A512">
        <v>1103</v>
      </c>
      <c r="B512" t="s">
        <v>272</v>
      </c>
      <c r="C512" t="s">
        <v>3592</v>
      </c>
      <c r="D512" s="4">
        <v>72.84</v>
      </c>
      <c r="E512" t="s">
        <v>3593</v>
      </c>
      <c r="F512" s="1">
        <v>-0.1162</v>
      </c>
      <c r="G512" s="1">
        <v>5.4999999999999997E-3</v>
      </c>
      <c r="H512" t="s">
        <v>1952</v>
      </c>
      <c r="I512" t="s">
        <v>3594</v>
      </c>
    </row>
    <row r="513" spans="1:9" x14ac:dyDescent="0.3">
      <c r="A513">
        <v>1765</v>
      </c>
      <c r="B513" t="s">
        <v>1864</v>
      </c>
      <c r="C513" t="s">
        <v>5683</v>
      </c>
      <c r="D513" s="4">
        <v>4.83</v>
      </c>
      <c r="E513" t="s">
        <v>5681</v>
      </c>
      <c r="F513" s="1">
        <v>-4.2999999999999997E-2</v>
      </c>
      <c r="G513" s="1">
        <v>4.4999999999999997E-3</v>
      </c>
      <c r="H513" t="s">
        <v>1952</v>
      </c>
      <c r="I513" t="s">
        <v>5684</v>
      </c>
    </row>
    <row r="514" spans="1:9" x14ac:dyDescent="0.3">
      <c r="A514">
        <v>1774</v>
      </c>
      <c r="B514" t="s">
        <v>24</v>
      </c>
      <c r="C514" t="s">
        <v>5711</v>
      </c>
      <c r="D514" s="4">
        <v>4.51</v>
      </c>
      <c r="E514" t="s">
        <v>5712</v>
      </c>
      <c r="F514" s="1">
        <v>-6.1600000000000002E-2</v>
      </c>
      <c r="G514" s="1">
        <v>3.8999999999999998E-3</v>
      </c>
      <c r="H514" t="s">
        <v>1952</v>
      </c>
      <c r="I514" t="s">
        <v>5713</v>
      </c>
    </row>
    <row r="515" spans="1:9" x14ac:dyDescent="0.3">
      <c r="A515">
        <v>1938</v>
      </c>
      <c r="B515" t="s">
        <v>5707</v>
      </c>
      <c r="C515" t="s">
        <v>6189</v>
      </c>
      <c r="D515" s="4" t="s">
        <v>662</v>
      </c>
      <c r="E515" t="s">
        <v>662</v>
      </c>
      <c r="F515" s="1">
        <v>-2.92E-2</v>
      </c>
      <c r="G515" s="1">
        <v>4.8999999999999998E-3</v>
      </c>
      <c r="H515" t="s">
        <v>726</v>
      </c>
      <c r="I515" t="s">
        <v>6190</v>
      </c>
    </row>
    <row r="516" spans="1:9" x14ac:dyDescent="0.3">
      <c r="A516">
        <v>209</v>
      </c>
      <c r="B516" t="s">
        <v>16</v>
      </c>
      <c r="C516" t="s">
        <v>725</v>
      </c>
      <c r="D516" s="4">
        <f>3.37*1000</f>
        <v>3370</v>
      </c>
      <c r="E516" t="s">
        <v>722</v>
      </c>
      <c r="F516" s="1">
        <v>1.7000000000000001E-2</v>
      </c>
      <c r="G516" s="1">
        <v>2.7000000000000001E-3</v>
      </c>
      <c r="H516" t="s">
        <v>726</v>
      </c>
      <c r="I516" t="s">
        <v>727</v>
      </c>
    </row>
    <row r="517" spans="1:9" x14ac:dyDescent="0.3">
      <c r="A517">
        <v>501</v>
      </c>
      <c r="B517" t="s">
        <v>7</v>
      </c>
      <c r="C517" t="s">
        <v>1629</v>
      </c>
      <c r="D517" s="4">
        <v>634.01</v>
      </c>
      <c r="E517" t="s">
        <v>1630</v>
      </c>
      <c r="F517" s="1">
        <v>4.4000000000000003E-3</v>
      </c>
      <c r="G517" s="1">
        <v>4.4999999999999997E-3</v>
      </c>
      <c r="H517" t="s">
        <v>726</v>
      </c>
      <c r="I517" t="s">
        <v>1631</v>
      </c>
    </row>
    <row r="518" spans="1:9" x14ac:dyDescent="0.3">
      <c r="A518">
        <v>776</v>
      </c>
      <c r="B518" t="s">
        <v>116</v>
      </c>
      <c r="C518" t="s">
        <v>2542</v>
      </c>
      <c r="D518" s="4">
        <v>206.8</v>
      </c>
      <c r="E518" t="s">
        <v>2543</v>
      </c>
      <c r="F518" s="1">
        <v>2.6499999999999999E-2</v>
      </c>
      <c r="G518" s="1">
        <v>1.4E-3</v>
      </c>
      <c r="H518" t="s">
        <v>726</v>
      </c>
      <c r="I518" t="s">
        <v>2544</v>
      </c>
    </row>
    <row r="519" spans="1:9" x14ac:dyDescent="0.3">
      <c r="A519">
        <v>1228</v>
      </c>
      <c r="B519" t="s">
        <v>280</v>
      </c>
      <c r="C519" t="s">
        <v>3993</v>
      </c>
      <c r="D519" s="4">
        <v>46.21</v>
      </c>
      <c r="E519" t="s">
        <v>3994</v>
      </c>
      <c r="F519" s="1">
        <v>7.7999999999999996E-3</v>
      </c>
      <c r="G519" s="1">
        <v>6.0000000000000001E-3</v>
      </c>
      <c r="H519" t="s">
        <v>726</v>
      </c>
      <c r="I519" t="s">
        <v>3995</v>
      </c>
    </row>
    <row r="520" spans="1:9" x14ac:dyDescent="0.3">
      <c r="A520">
        <v>1394</v>
      </c>
      <c r="B520" t="s">
        <v>618</v>
      </c>
      <c r="C520" t="s">
        <v>4528</v>
      </c>
      <c r="D520" s="4">
        <v>25.84</v>
      </c>
      <c r="E520" t="s">
        <v>4529</v>
      </c>
      <c r="F520" s="1">
        <v>3.6700000000000003E-2</v>
      </c>
      <c r="G520" s="1">
        <v>2E-3</v>
      </c>
      <c r="H520" t="s">
        <v>726</v>
      </c>
      <c r="I520" t="s">
        <v>4530</v>
      </c>
    </row>
    <row r="521" spans="1:9" x14ac:dyDescent="0.3">
      <c r="A521">
        <v>955</v>
      </c>
      <c r="B521" t="s">
        <v>2246</v>
      </c>
      <c r="C521" t="s">
        <v>3113</v>
      </c>
      <c r="D521" s="4">
        <v>117.5</v>
      </c>
      <c r="E521" t="s">
        <v>3114</v>
      </c>
      <c r="F521" s="1">
        <v>-0.13539999999999999</v>
      </c>
      <c r="G521" s="1">
        <v>8.0000000000000002E-3</v>
      </c>
      <c r="H521" t="s">
        <v>3115</v>
      </c>
      <c r="I521" t="s">
        <v>3116</v>
      </c>
    </row>
    <row r="522" spans="1:9" x14ac:dyDescent="0.3">
      <c r="A522">
        <v>1452</v>
      </c>
      <c r="B522" t="s">
        <v>2757</v>
      </c>
      <c r="C522" t="s">
        <v>4717</v>
      </c>
      <c r="D522" s="4">
        <v>21.89</v>
      </c>
      <c r="E522" t="s">
        <v>4718</v>
      </c>
      <c r="F522" t="s">
        <v>662</v>
      </c>
      <c r="G522" s="1">
        <v>6.4999999999999997E-3</v>
      </c>
      <c r="H522" t="s">
        <v>3115</v>
      </c>
      <c r="I522" t="s">
        <v>4719</v>
      </c>
    </row>
    <row r="523" spans="1:9" x14ac:dyDescent="0.3">
      <c r="A523">
        <v>1667</v>
      </c>
      <c r="B523" t="s">
        <v>2370</v>
      </c>
      <c r="C523" t="s">
        <v>5387</v>
      </c>
      <c r="D523" s="4">
        <v>8.32</v>
      </c>
      <c r="E523" t="s">
        <v>5388</v>
      </c>
      <c r="F523" s="1">
        <v>-3.5099999999999999E-2</v>
      </c>
      <c r="G523" s="1">
        <v>9.7999999999999997E-3</v>
      </c>
      <c r="H523" t="s">
        <v>3115</v>
      </c>
      <c r="I523" t="s">
        <v>5389</v>
      </c>
    </row>
    <row r="524" spans="1:9" x14ac:dyDescent="0.3">
      <c r="A524">
        <v>95</v>
      </c>
      <c r="B524" t="s">
        <v>16</v>
      </c>
      <c r="C524" t="s">
        <v>339</v>
      </c>
      <c r="D524" s="4">
        <f>9.43*1000</f>
        <v>9430</v>
      </c>
      <c r="E524" t="s">
        <v>340</v>
      </c>
      <c r="F524" s="1">
        <v>-6.3399999999999998E-2</v>
      </c>
      <c r="G524" s="1">
        <v>1.1000000000000001E-3</v>
      </c>
      <c r="H524" t="s">
        <v>341</v>
      </c>
      <c r="I524" t="s">
        <v>342</v>
      </c>
    </row>
    <row r="525" spans="1:9" x14ac:dyDescent="0.3">
      <c r="A525">
        <v>167</v>
      </c>
      <c r="B525" t="s">
        <v>240</v>
      </c>
      <c r="C525" t="s">
        <v>585</v>
      </c>
      <c r="D525" s="4">
        <f>4.88*1000</f>
        <v>4880</v>
      </c>
      <c r="E525" t="s">
        <v>586</v>
      </c>
      <c r="F525" s="1">
        <v>-2.06E-2</v>
      </c>
      <c r="G525" s="1">
        <v>3.0999999999999999E-3</v>
      </c>
      <c r="H525" t="s">
        <v>341</v>
      </c>
      <c r="I525" t="s">
        <v>587</v>
      </c>
    </row>
    <row r="526" spans="1:9" x14ac:dyDescent="0.3">
      <c r="A526">
        <v>18</v>
      </c>
      <c r="B526" t="s">
        <v>16</v>
      </c>
      <c r="C526" t="s">
        <v>74</v>
      </c>
      <c r="D526" s="4">
        <f>53.19*1000</f>
        <v>53190</v>
      </c>
      <c r="E526" t="s">
        <v>75</v>
      </c>
      <c r="F526" s="1">
        <v>-3.4299999999999997E-2</v>
      </c>
      <c r="G526" s="1">
        <v>8.0000000000000004E-4</v>
      </c>
      <c r="H526" t="s">
        <v>76</v>
      </c>
      <c r="I526" t="s">
        <v>77</v>
      </c>
    </row>
    <row r="527" spans="1:9" x14ac:dyDescent="0.3">
      <c r="A527">
        <v>27</v>
      </c>
      <c r="B527" t="s">
        <v>16</v>
      </c>
      <c r="C527" t="s">
        <v>106</v>
      </c>
      <c r="D527" s="4">
        <f>35.45*1000</f>
        <v>35450</v>
      </c>
      <c r="E527" t="s">
        <v>107</v>
      </c>
      <c r="F527" s="1">
        <v>-2.9700000000000001E-2</v>
      </c>
      <c r="G527" s="1">
        <v>8.0000000000000004E-4</v>
      </c>
      <c r="H527" t="s">
        <v>76</v>
      </c>
      <c r="I527" t="s">
        <v>108</v>
      </c>
    </row>
    <row r="528" spans="1:9" x14ac:dyDescent="0.3">
      <c r="A528">
        <v>31</v>
      </c>
      <c r="B528" t="s">
        <v>12</v>
      </c>
      <c r="C528" t="s">
        <v>120</v>
      </c>
      <c r="D528" s="4">
        <f>32.05*1000</f>
        <v>32049.999999999996</v>
      </c>
      <c r="E528" t="s">
        <v>121</v>
      </c>
      <c r="F528" s="1">
        <v>-3.6900000000000002E-2</v>
      </c>
      <c r="G528" s="1">
        <v>8.9999999999999998E-4</v>
      </c>
      <c r="H528" t="s">
        <v>76</v>
      </c>
      <c r="I528" t="s">
        <v>122</v>
      </c>
    </row>
    <row r="529" spans="1:9" x14ac:dyDescent="0.3">
      <c r="A529">
        <v>165</v>
      </c>
      <c r="B529" t="s">
        <v>12</v>
      </c>
      <c r="C529" t="s">
        <v>579</v>
      </c>
      <c r="D529" s="4">
        <f>4.95*1000</f>
        <v>4950</v>
      </c>
      <c r="E529" t="s">
        <v>580</v>
      </c>
      <c r="F529" s="1">
        <v>-3.44E-2</v>
      </c>
      <c r="G529" s="1">
        <v>3.2000000000000002E-3</v>
      </c>
      <c r="H529" t="s">
        <v>76</v>
      </c>
      <c r="I529" t="s">
        <v>581</v>
      </c>
    </row>
    <row r="530" spans="1:9" x14ac:dyDescent="0.3">
      <c r="A530">
        <v>188</v>
      </c>
      <c r="B530" t="s">
        <v>16</v>
      </c>
      <c r="C530" t="s">
        <v>654</v>
      </c>
      <c r="D530" s="4">
        <f>4*1000</f>
        <v>4000</v>
      </c>
      <c r="E530" t="s">
        <v>655</v>
      </c>
      <c r="F530" s="1">
        <v>-4.3700000000000003E-2</v>
      </c>
      <c r="G530" s="1">
        <v>2E-3</v>
      </c>
      <c r="H530" t="s">
        <v>76</v>
      </c>
      <c r="I530" t="s">
        <v>656</v>
      </c>
    </row>
    <row r="531" spans="1:9" x14ac:dyDescent="0.3">
      <c r="A531">
        <v>214</v>
      </c>
      <c r="B531" t="s">
        <v>16</v>
      </c>
      <c r="C531" t="s">
        <v>741</v>
      </c>
      <c r="D531" s="4">
        <f>3.22*1000</f>
        <v>3220</v>
      </c>
      <c r="E531" t="s">
        <v>742</v>
      </c>
      <c r="F531" s="1">
        <v>-4.2500000000000003E-2</v>
      </c>
      <c r="G531" s="1">
        <v>1.1999999999999999E-3</v>
      </c>
      <c r="H531" t="s">
        <v>76</v>
      </c>
      <c r="I531" t="s">
        <v>743</v>
      </c>
    </row>
    <row r="532" spans="1:9" x14ac:dyDescent="0.3">
      <c r="A532">
        <v>275</v>
      </c>
      <c r="B532" t="s">
        <v>7</v>
      </c>
      <c r="C532" t="s">
        <v>938</v>
      </c>
      <c r="D532" s="4">
        <f>1.9*1000</f>
        <v>1900</v>
      </c>
      <c r="E532" t="s">
        <v>939</v>
      </c>
      <c r="F532" s="1">
        <v>-2.5100000000000001E-2</v>
      </c>
      <c r="G532" s="1">
        <v>3.0000000000000001E-3</v>
      </c>
      <c r="H532" t="s">
        <v>76</v>
      </c>
      <c r="I532" t="s">
        <v>940</v>
      </c>
    </row>
    <row r="533" spans="1:9" x14ac:dyDescent="0.3">
      <c r="A533">
        <v>471</v>
      </c>
      <c r="B533" t="s">
        <v>280</v>
      </c>
      <c r="C533" t="s">
        <v>1535</v>
      </c>
      <c r="D533" s="4">
        <v>733.02</v>
      </c>
      <c r="E533" t="s">
        <v>1536</v>
      </c>
      <c r="F533" s="1">
        <v>-0.21590000000000001</v>
      </c>
      <c r="G533" s="1">
        <v>7.0000000000000001E-3</v>
      </c>
      <c r="H533" t="s">
        <v>76</v>
      </c>
      <c r="I533" t="s">
        <v>1537</v>
      </c>
    </row>
    <row r="534" spans="1:9" x14ac:dyDescent="0.3">
      <c r="A534">
        <v>494</v>
      </c>
      <c r="B534" t="s">
        <v>24</v>
      </c>
      <c r="C534" t="s">
        <v>1608</v>
      </c>
      <c r="D534" s="4">
        <v>642.80999999999995</v>
      </c>
      <c r="E534" t="s">
        <v>1609</v>
      </c>
      <c r="F534" s="1">
        <v>1.3899999999999999E-2</v>
      </c>
      <c r="G534" s="1">
        <v>5.5999999999999999E-3</v>
      </c>
      <c r="H534" t="s">
        <v>76</v>
      </c>
      <c r="I534" t="s">
        <v>1610</v>
      </c>
    </row>
    <row r="535" spans="1:9" x14ac:dyDescent="0.3">
      <c r="A535">
        <v>504</v>
      </c>
      <c r="B535" t="s">
        <v>444</v>
      </c>
      <c r="C535" t="s">
        <v>1639</v>
      </c>
      <c r="D535" s="4">
        <v>620.86</v>
      </c>
      <c r="E535" t="s">
        <v>1640</v>
      </c>
      <c r="F535" s="1">
        <v>-1.9599999999999999E-2</v>
      </c>
      <c r="G535" s="1">
        <v>4.7000000000000002E-3</v>
      </c>
      <c r="H535" t="s">
        <v>76</v>
      </c>
      <c r="I535" t="s">
        <v>1641</v>
      </c>
    </row>
    <row r="536" spans="1:9" x14ac:dyDescent="0.3">
      <c r="A536">
        <v>541</v>
      </c>
      <c r="B536" t="s">
        <v>440</v>
      </c>
      <c r="C536" t="s">
        <v>1763</v>
      </c>
      <c r="D536" s="4">
        <v>520.91999999999996</v>
      </c>
      <c r="E536" t="s">
        <v>1764</v>
      </c>
      <c r="F536" s="1">
        <v>-7.4000000000000003E-3</v>
      </c>
      <c r="G536" s="1">
        <v>5.7999999999999996E-3</v>
      </c>
      <c r="H536" t="s">
        <v>76</v>
      </c>
      <c r="I536" t="s">
        <v>1765</v>
      </c>
    </row>
    <row r="537" spans="1:9" x14ac:dyDescent="0.3">
      <c r="A537">
        <v>580</v>
      </c>
      <c r="B537" t="s">
        <v>1891</v>
      </c>
      <c r="C537" t="s">
        <v>1895</v>
      </c>
      <c r="D537" s="4">
        <v>436.42</v>
      </c>
      <c r="E537" t="s">
        <v>1896</v>
      </c>
      <c r="F537" s="1">
        <v>-8.3000000000000001E-3</v>
      </c>
      <c r="G537" s="1">
        <v>5.8999999999999999E-3</v>
      </c>
      <c r="H537" t="s">
        <v>76</v>
      </c>
      <c r="I537" t="s">
        <v>1897</v>
      </c>
    </row>
    <row r="538" spans="1:9" x14ac:dyDescent="0.3">
      <c r="A538">
        <v>664</v>
      </c>
      <c r="B538" t="s">
        <v>12</v>
      </c>
      <c r="C538" t="s">
        <v>2178</v>
      </c>
      <c r="D538" s="4">
        <v>324.16000000000003</v>
      </c>
      <c r="E538" t="s">
        <v>2179</v>
      </c>
      <c r="F538" s="1">
        <v>-3.0000000000000001E-3</v>
      </c>
      <c r="G538" s="1">
        <v>1.5E-3</v>
      </c>
      <c r="H538" t="s">
        <v>76</v>
      </c>
      <c r="I538" t="s">
        <v>2180</v>
      </c>
    </row>
    <row r="539" spans="1:9" x14ac:dyDescent="0.3">
      <c r="A539">
        <v>748</v>
      </c>
      <c r="B539" t="s">
        <v>863</v>
      </c>
      <c r="C539" t="s">
        <v>2452</v>
      </c>
      <c r="D539" s="4">
        <v>223.52</v>
      </c>
      <c r="E539" t="s">
        <v>2453</v>
      </c>
      <c r="F539" s="1">
        <v>-4.24E-2</v>
      </c>
      <c r="G539" s="1">
        <v>3.8999999999999998E-3</v>
      </c>
      <c r="H539" t="s">
        <v>76</v>
      </c>
      <c r="I539" t="s">
        <v>2454</v>
      </c>
    </row>
    <row r="540" spans="1:9" x14ac:dyDescent="0.3">
      <c r="A540">
        <v>754</v>
      </c>
      <c r="B540" t="s">
        <v>280</v>
      </c>
      <c r="C540" t="s">
        <v>2472</v>
      </c>
      <c r="D540" s="4">
        <v>218.41</v>
      </c>
      <c r="E540" t="s">
        <v>2473</v>
      </c>
      <c r="F540" s="1">
        <v>-3.8699999999999998E-2</v>
      </c>
      <c r="G540" s="1">
        <v>1.06E-2</v>
      </c>
      <c r="H540" t="s">
        <v>76</v>
      </c>
      <c r="I540" t="s">
        <v>2474</v>
      </c>
    </row>
    <row r="541" spans="1:9" x14ac:dyDescent="0.3">
      <c r="A541">
        <v>818</v>
      </c>
      <c r="B541" t="s">
        <v>2083</v>
      </c>
      <c r="C541" t="s">
        <v>2674</v>
      </c>
      <c r="D541" s="4">
        <v>177.66</v>
      </c>
      <c r="E541" t="s">
        <v>2675</v>
      </c>
      <c r="F541" s="1">
        <v>-4.8399999999999999E-2</v>
      </c>
      <c r="G541" s="1">
        <v>6.4999999999999997E-3</v>
      </c>
      <c r="H541" t="s">
        <v>76</v>
      </c>
      <c r="I541" t="s">
        <v>2676</v>
      </c>
    </row>
    <row r="542" spans="1:9" x14ac:dyDescent="0.3">
      <c r="A542">
        <v>886</v>
      </c>
      <c r="B542" t="s">
        <v>618</v>
      </c>
      <c r="C542" t="s">
        <v>2890</v>
      </c>
      <c r="D542" s="4">
        <v>140.47</v>
      </c>
      <c r="E542" t="s">
        <v>2891</v>
      </c>
      <c r="F542" s="1">
        <v>-2.0500000000000001E-2</v>
      </c>
      <c r="G542" s="1">
        <v>4.1000000000000003E-3</v>
      </c>
      <c r="H542" t="s">
        <v>76</v>
      </c>
      <c r="I542" t="s">
        <v>2892</v>
      </c>
    </row>
    <row r="543" spans="1:9" x14ac:dyDescent="0.3">
      <c r="A543">
        <v>917</v>
      </c>
      <c r="B543" t="s">
        <v>12</v>
      </c>
      <c r="C543" t="s">
        <v>2991</v>
      </c>
      <c r="D543" s="4">
        <v>129.24</v>
      </c>
      <c r="E543" t="s">
        <v>2992</v>
      </c>
      <c r="F543" s="1">
        <v>-2.1499999999999998E-2</v>
      </c>
      <c r="G543" s="1">
        <v>3.5000000000000001E-3</v>
      </c>
      <c r="H543" t="s">
        <v>76</v>
      </c>
      <c r="I543" t="s">
        <v>2993</v>
      </c>
    </row>
    <row r="544" spans="1:9" x14ac:dyDescent="0.3">
      <c r="A544">
        <v>931</v>
      </c>
      <c r="B544" t="s">
        <v>2103</v>
      </c>
      <c r="C544" t="s">
        <v>3036</v>
      </c>
      <c r="D544" s="4">
        <v>125.4</v>
      </c>
      <c r="E544" t="s">
        <v>3037</v>
      </c>
      <c r="F544" s="1">
        <v>-3.95E-2</v>
      </c>
      <c r="G544" s="1">
        <v>6.4999999999999997E-3</v>
      </c>
      <c r="H544" t="s">
        <v>76</v>
      </c>
      <c r="I544" t="s">
        <v>3038</v>
      </c>
    </row>
    <row r="545" spans="1:9" x14ac:dyDescent="0.3">
      <c r="A545">
        <v>958</v>
      </c>
      <c r="B545" t="s">
        <v>24</v>
      </c>
      <c r="C545" t="s">
        <v>3123</v>
      </c>
      <c r="D545" s="4">
        <v>116.91</v>
      </c>
      <c r="E545" t="s">
        <v>3124</v>
      </c>
      <c r="F545" s="1">
        <v>-5.33E-2</v>
      </c>
      <c r="G545" s="1">
        <v>5.4999999999999997E-3</v>
      </c>
      <c r="H545" t="s">
        <v>76</v>
      </c>
      <c r="I545" t="s">
        <v>3125</v>
      </c>
    </row>
    <row r="546" spans="1:9" x14ac:dyDescent="0.3">
      <c r="A546">
        <v>1066</v>
      </c>
      <c r="B546" t="s">
        <v>444</v>
      </c>
      <c r="C546" t="s">
        <v>3471</v>
      </c>
      <c r="D546" s="4">
        <v>81.73</v>
      </c>
      <c r="E546" t="s">
        <v>3472</v>
      </c>
      <c r="F546" s="1">
        <v>-5.4999999999999997E-3</v>
      </c>
      <c r="G546" s="1">
        <v>4.7000000000000002E-3</v>
      </c>
      <c r="H546" t="s">
        <v>76</v>
      </c>
      <c r="I546" t="s">
        <v>3473</v>
      </c>
    </row>
    <row r="547" spans="1:9" x14ac:dyDescent="0.3">
      <c r="A547">
        <v>1111</v>
      </c>
      <c r="B547" t="s">
        <v>444</v>
      </c>
      <c r="C547" t="s">
        <v>3617</v>
      </c>
      <c r="D547" s="4">
        <v>71.13</v>
      </c>
      <c r="E547" t="s">
        <v>3618</v>
      </c>
      <c r="F547" s="1">
        <v>-9.7000000000000003E-3</v>
      </c>
      <c r="G547" s="1">
        <v>4.7000000000000002E-3</v>
      </c>
      <c r="H547" t="s">
        <v>76</v>
      </c>
      <c r="I547" t="s">
        <v>3619</v>
      </c>
    </row>
    <row r="548" spans="1:9" x14ac:dyDescent="0.3">
      <c r="A548">
        <v>1125</v>
      </c>
      <c r="B548" t="s">
        <v>272</v>
      </c>
      <c r="C548" t="s">
        <v>3665</v>
      </c>
      <c r="D548" s="4">
        <v>67.709999999999994</v>
      </c>
      <c r="E548" t="s">
        <v>3666</v>
      </c>
      <c r="F548" s="1">
        <v>3.8E-3</v>
      </c>
      <c r="G548" s="1">
        <v>5.7999999999999996E-3</v>
      </c>
      <c r="H548" t="s">
        <v>76</v>
      </c>
      <c r="I548" t="s">
        <v>3667</v>
      </c>
    </row>
    <row r="549" spans="1:9" x14ac:dyDescent="0.3">
      <c r="A549">
        <v>1129</v>
      </c>
      <c r="B549" t="s">
        <v>1289</v>
      </c>
      <c r="C549" t="s">
        <v>3677</v>
      </c>
      <c r="D549" s="4">
        <v>66.08</v>
      </c>
      <c r="E549" t="s">
        <v>3678</v>
      </c>
      <c r="F549" s="1">
        <v>-6.7599999999999993E-2</v>
      </c>
      <c r="G549" s="1">
        <v>1.0999999999999999E-2</v>
      </c>
      <c r="H549" t="s">
        <v>76</v>
      </c>
      <c r="I549" t="s">
        <v>3679</v>
      </c>
    </row>
    <row r="550" spans="1:9" x14ac:dyDescent="0.3">
      <c r="A550">
        <v>1363</v>
      </c>
      <c r="B550" t="s">
        <v>332</v>
      </c>
      <c r="C550" t="s">
        <v>4435</v>
      </c>
      <c r="D550" s="4">
        <v>28.45</v>
      </c>
      <c r="E550" t="s">
        <v>4436</v>
      </c>
      <c r="F550" s="1">
        <v>-1.95E-2</v>
      </c>
      <c r="G550" s="1">
        <v>2.5000000000000001E-3</v>
      </c>
      <c r="H550" t="s">
        <v>76</v>
      </c>
      <c r="I550" t="s">
        <v>4437</v>
      </c>
    </row>
    <row r="551" spans="1:9" x14ac:dyDescent="0.3">
      <c r="A551">
        <v>1406</v>
      </c>
      <c r="B551" t="s">
        <v>1664</v>
      </c>
      <c r="C551" t="s">
        <v>4565</v>
      </c>
      <c r="D551" s="4">
        <v>25.23</v>
      </c>
      <c r="E551" t="s">
        <v>4566</v>
      </c>
      <c r="F551" s="1">
        <v>-2.8000000000000001E-2</v>
      </c>
      <c r="G551" s="1">
        <v>5.4999999999999997E-3</v>
      </c>
      <c r="H551" t="s">
        <v>76</v>
      </c>
      <c r="I551" t="s">
        <v>4567</v>
      </c>
    </row>
    <row r="552" spans="1:9" x14ac:dyDescent="0.3">
      <c r="A552">
        <v>1553</v>
      </c>
      <c r="B552" t="s">
        <v>2269</v>
      </c>
      <c r="C552" t="s">
        <v>5025</v>
      </c>
      <c r="D552" s="4">
        <v>15.62</v>
      </c>
      <c r="E552" t="s">
        <v>5026</v>
      </c>
      <c r="F552" s="1">
        <v>-0.2268</v>
      </c>
      <c r="G552" s="1">
        <v>8.0000000000000002E-3</v>
      </c>
      <c r="H552" t="s">
        <v>76</v>
      </c>
      <c r="I552" t="s">
        <v>5027</v>
      </c>
    </row>
    <row r="553" spans="1:9" x14ac:dyDescent="0.3">
      <c r="A553">
        <v>1554</v>
      </c>
      <c r="B553" t="s">
        <v>4603</v>
      </c>
      <c r="C553" t="s">
        <v>5028</v>
      </c>
      <c r="D553" s="4">
        <v>15.57</v>
      </c>
      <c r="E553" t="s">
        <v>5029</v>
      </c>
      <c r="F553" s="1">
        <v>-4.5900000000000003E-2</v>
      </c>
      <c r="G553" s="1">
        <v>1.3599999999999999E-2</v>
      </c>
      <c r="H553" t="s">
        <v>76</v>
      </c>
      <c r="I553" t="s">
        <v>5030</v>
      </c>
    </row>
    <row r="554" spans="1:9" x14ac:dyDescent="0.3">
      <c r="A554">
        <v>1739</v>
      </c>
      <c r="B554" t="s">
        <v>964</v>
      </c>
      <c r="C554" t="s">
        <v>5606</v>
      </c>
      <c r="D554" s="4">
        <v>5.68</v>
      </c>
      <c r="E554" t="s">
        <v>5607</v>
      </c>
      <c r="F554" s="1">
        <v>1.49E-2</v>
      </c>
      <c r="G554" s="1">
        <v>2.8999999999999998E-3</v>
      </c>
      <c r="H554" t="s">
        <v>76</v>
      </c>
      <c r="I554" t="s">
        <v>5608</v>
      </c>
    </row>
    <row r="555" spans="1:9" x14ac:dyDescent="0.3">
      <c r="A555">
        <v>1816</v>
      </c>
      <c r="B555" t="s">
        <v>5840</v>
      </c>
      <c r="C555" t="s">
        <v>5841</v>
      </c>
      <c r="D555" s="4">
        <v>3.2</v>
      </c>
      <c r="E555" t="s">
        <v>5842</v>
      </c>
      <c r="F555" s="1">
        <v>-2.1600000000000001E-2</v>
      </c>
      <c r="G555" s="1">
        <v>5.0000000000000001E-3</v>
      </c>
      <c r="H555" t="s">
        <v>76</v>
      </c>
      <c r="I555" t="s">
        <v>5843</v>
      </c>
    </row>
    <row r="556" spans="1:9" x14ac:dyDescent="0.3">
      <c r="A556">
        <v>1169</v>
      </c>
      <c r="B556" t="s">
        <v>332</v>
      </c>
      <c r="C556" t="s">
        <v>3805</v>
      </c>
      <c r="D556" s="4">
        <v>56.27</v>
      </c>
      <c r="E556" t="s">
        <v>3806</v>
      </c>
      <c r="F556" s="1">
        <v>-0.12770000000000001</v>
      </c>
      <c r="G556" s="1">
        <v>5.4999999999999997E-3</v>
      </c>
      <c r="H556" t="s">
        <v>3807</v>
      </c>
      <c r="I556" t="s">
        <v>3808</v>
      </c>
    </row>
    <row r="557" spans="1:9" x14ac:dyDescent="0.3">
      <c r="A557">
        <v>1294</v>
      </c>
      <c r="B557" t="s">
        <v>2709</v>
      </c>
      <c r="C557" t="s">
        <v>4208</v>
      </c>
      <c r="D557" s="4">
        <v>36.82</v>
      </c>
      <c r="E557" t="s">
        <v>4209</v>
      </c>
      <c r="F557" s="1">
        <v>-0.1077</v>
      </c>
      <c r="G557" s="1">
        <v>6.0000000000000001E-3</v>
      </c>
      <c r="H557" t="s">
        <v>4210</v>
      </c>
      <c r="I557" t="s">
        <v>4211</v>
      </c>
    </row>
    <row r="558" spans="1:9" x14ac:dyDescent="0.3">
      <c r="A558">
        <v>1369</v>
      </c>
      <c r="B558" t="s">
        <v>3738</v>
      </c>
      <c r="C558" t="s">
        <v>4454</v>
      </c>
      <c r="D558" s="4">
        <v>28.25</v>
      </c>
      <c r="E558" t="s">
        <v>4451</v>
      </c>
      <c r="F558" s="1">
        <v>-0.21049999999999999</v>
      </c>
      <c r="G558" s="1">
        <v>7.4999999999999997E-3</v>
      </c>
      <c r="H558" t="s">
        <v>4210</v>
      </c>
      <c r="I558" t="s">
        <v>4455</v>
      </c>
    </row>
    <row r="559" spans="1:9" x14ac:dyDescent="0.3">
      <c r="A559">
        <v>1150</v>
      </c>
      <c r="B559" t="s">
        <v>280</v>
      </c>
      <c r="C559" t="s">
        <v>3742</v>
      </c>
      <c r="D559" s="4">
        <v>60.71</v>
      </c>
      <c r="E559" t="s">
        <v>3743</v>
      </c>
      <c r="F559" s="1">
        <v>-0.25330000000000003</v>
      </c>
      <c r="G559" s="1">
        <v>6.4999999999999997E-3</v>
      </c>
      <c r="H559" t="s">
        <v>3744</v>
      </c>
      <c r="I559" t="s">
        <v>3745</v>
      </c>
    </row>
    <row r="560" spans="1:9" x14ac:dyDescent="0.3">
      <c r="A560">
        <v>1717</v>
      </c>
      <c r="B560" t="s">
        <v>1308</v>
      </c>
      <c r="C560" t="s">
        <v>5537</v>
      </c>
      <c r="D560" s="4">
        <v>6.47</v>
      </c>
      <c r="E560" t="s">
        <v>5534</v>
      </c>
      <c r="F560" s="1">
        <v>-0.31059999999999999</v>
      </c>
      <c r="G560" s="1">
        <v>6.8999999999999999E-3</v>
      </c>
      <c r="H560" t="s">
        <v>5538</v>
      </c>
      <c r="I560" t="s">
        <v>5539</v>
      </c>
    </row>
    <row r="561" spans="1:9" x14ac:dyDescent="0.3">
      <c r="A561">
        <v>170</v>
      </c>
      <c r="B561" t="s">
        <v>16</v>
      </c>
      <c r="C561" t="s">
        <v>597</v>
      </c>
      <c r="D561" s="4">
        <f>4.71*1000</f>
        <v>4710</v>
      </c>
      <c r="E561" t="s">
        <v>598</v>
      </c>
      <c r="F561" s="1">
        <v>-3.9300000000000002E-2</v>
      </c>
      <c r="G561" s="1">
        <v>1.1999999999999999E-3</v>
      </c>
      <c r="H561" t="s">
        <v>599</v>
      </c>
      <c r="I561" t="s">
        <v>600</v>
      </c>
    </row>
    <row r="562" spans="1:9" x14ac:dyDescent="0.3">
      <c r="A562">
        <v>466</v>
      </c>
      <c r="B562" t="s">
        <v>7</v>
      </c>
      <c r="C562" t="s">
        <v>1520</v>
      </c>
      <c r="D562" s="4">
        <v>750.11</v>
      </c>
      <c r="E562" t="s">
        <v>1521</v>
      </c>
      <c r="F562" s="1">
        <v>-5.21E-2</v>
      </c>
      <c r="G562" s="1">
        <v>5.8999999999999999E-3</v>
      </c>
      <c r="H562" t="s">
        <v>599</v>
      </c>
      <c r="I562" t="s">
        <v>1522</v>
      </c>
    </row>
    <row r="563" spans="1:9" x14ac:dyDescent="0.3">
      <c r="A563">
        <v>517</v>
      </c>
      <c r="B563" t="s">
        <v>618</v>
      </c>
      <c r="C563" t="s">
        <v>1681</v>
      </c>
      <c r="D563" s="4">
        <v>572.89</v>
      </c>
      <c r="E563" t="s">
        <v>1682</v>
      </c>
      <c r="F563" s="1">
        <v>-3.9600000000000003E-2</v>
      </c>
      <c r="G563" s="1">
        <v>1E-3</v>
      </c>
      <c r="H563" t="s">
        <v>599</v>
      </c>
      <c r="I563" t="s">
        <v>1683</v>
      </c>
    </row>
    <row r="564" spans="1:9" x14ac:dyDescent="0.3">
      <c r="A564">
        <v>1167</v>
      </c>
      <c r="B564" t="s">
        <v>440</v>
      </c>
      <c r="C564" t="s">
        <v>3799</v>
      </c>
      <c r="D564" s="4">
        <v>56.8</v>
      </c>
      <c r="E564" t="s">
        <v>3800</v>
      </c>
      <c r="F564" s="1">
        <v>-5.96E-2</v>
      </c>
      <c r="G564" s="1">
        <v>5.7999999999999996E-3</v>
      </c>
      <c r="H564" t="s">
        <v>599</v>
      </c>
      <c r="I564" t="s">
        <v>3801</v>
      </c>
    </row>
    <row r="565" spans="1:9" x14ac:dyDescent="0.3">
      <c r="A565">
        <v>228</v>
      </c>
      <c r="B565" t="s">
        <v>12</v>
      </c>
      <c r="C565" t="s">
        <v>787</v>
      </c>
      <c r="D565" s="4">
        <f>2.83*1000</f>
        <v>2830</v>
      </c>
      <c r="E565" t="s">
        <v>788</v>
      </c>
      <c r="F565" s="1">
        <v>-1.5699999999999999E-2</v>
      </c>
      <c r="G565" s="1">
        <v>4.3E-3</v>
      </c>
      <c r="H565" t="s">
        <v>789</v>
      </c>
      <c r="I565" t="s">
        <v>790</v>
      </c>
    </row>
    <row r="566" spans="1:9" x14ac:dyDescent="0.3">
      <c r="A566">
        <v>788</v>
      </c>
      <c r="B566" t="s">
        <v>2083</v>
      </c>
      <c r="C566" t="s">
        <v>2580</v>
      </c>
      <c r="D566" s="4">
        <v>196.47</v>
      </c>
      <c r="E566" t="s">
        <v>2581</v>
      </c>
      <c r="F566" s="1">
        <v>-2.8000000000000001E-2</v>
      </c>
      <c r="G566" s="1">
        <v>6.4000000000000003E-3</v>
      </c>
      <c r="H566" t="s">
        <v>789</v>
      </c>
      <c r="I566" t="s">
        <v>2582</v>
      </c>
    </row>
    <row r="567" spans="1:9" x14ac:dyDescent="0.3">
      <c r="A567">
        <v>308</v>
      </c>
      <c r="B567" t="s">
        <v>295</v>
      </c>
      <c r="C567" t="s">
        <v>1040</v>
      </c>
      <c r="D567" s="4">
        <f>1.54*1000</f>
        <v>1540</v>
      </c>
      <c r="E567" t="s">
        <v>1041</v>
      </c>
      <c r="F567" s="1">
        <v>-0.43</v>
      </c>
      <c r="G567" s="1">
        <v>7.4999999999999997E-3</v>
      </c>
      <c r="H567" t="s">
        <v>1042</v>
      </c>
      <c r="I567" t="s">
        <v>1043</v>
      </c>
    </row>
    <row r="568" spans="1:9" x14ac:dyDescent="0.3">
      <c r="A568">
        <v>1379</v>
      </c>
      <c r="B568" t="s">
        <v>979</v>
      </c>
      <c r="C568" t="s">
        <v>4482</v>
      </c>
      <c r="D568" s="4">
        <v>27.1</v>
      </c>
      <c r="E568" t="s">
        <v>4483</v>
      </c>
      <c r="F568" s="1">
        <v>-4.7500000000000001E-2</v>
      </c>
      <c r="G568" s="1">
        <v>7.4999999999999997E-3</v>
      </c>
      <c r="H568" t="s">
        <v>1042</v>
      </c>
      <c r="I568" t="s">
        <v>4484</v>
      </c>
    </row>
    <row r="569" spans="1:9" x14ac:dyDescent="0.3">
      <c r="A569">
        <v>1865</v>
      </c>
      <c r="B569" t="s">
        <v>1842</v>
      </c>
      <c r="C569" t="s">
        <v>5987</v>
      </c>
      <c r="D569" s="4">
        <v>1.58</v>
      </c>
      <c r="E569" t="s">
        <v>5988</v>
      </c>
      <c r="F569" s="1">
        <v>-0.50390000000000001</v>
      </c>
      <c r="G569" s="1">
        <v>9.4999999999999998E-3</v>
      </c>
      <c r="H569" t="s">
        <v>1042</v>
      </c>
      <c r="I569" t="s">
        <v>5989</v>
      </c>
    </row>
    <row r="570" spans="1:9" x14ac:dyDescent="0.3">
      <c r="A570">
        <v>195</v>
      </c>
      <c r="B570" t="s">
        <v>295</v>
      </c>
      <c r="C570" t="s">
        <v>677</v>
      </c>
      <c r="D570" s="4">
        <f>3.78*1000</f>
        <v>3780</v>
      </c>
      <c r="E570" t="s">
        <v>678</v>
      </c>
      <c r="F570" s="1">
        <v>-0.38080000000000003</v>
      </c>
      <c r="G570" s="1">
        <v>7.4999999999999997E-3</v>
      </c>
      <c r="H570" t="s">
        <v>679</v>
      </c>
      <c r="I570" t="s">
        <v>680</v>
      </c>
    </row>
    <row r="571" spans="1:9" x14ac:dyDescent="0.3">
      <c r="A571">
        <v>715</v>
      </c>
      <c r="B571" t="s">
        <v>12</v>
      </c>
      <c r="C571" t="s">
        <v>2339</v>
      </c>
      <c r="D571" s="4">
        <v>253.96</v>
      </c>
      <c r="E571" t="s">
        <v>2340</v>
      </c>
      <c r="F571" s="1">
        <v>-0.2964</v>
      </c>
      <c r="G571" s="1">
        <v>4.7000000000000002E-3</v>
      </c>
      <c r="H571" t="s">
        <v>679</v>
      </c>
      <c r="I571" t="s">
        <v>2341</v>
      </c>
    </row>
    <row r="572" spans="1:9" x14ac:dyDescent="0.3">
      <c r="A572">
        <v>790</v>
      </c>
      <c r="B572" t="s">
        <v>486</v>
      </c>
      <c r="C572" t="s">
        <v>2586</v>
      </c>
      <c r="D572" s="4">
        <v>195.59</v>
      </c>
      <c r="E572" t="s">
        <v>2587</v>
      </c>
      <c r="F572" s="1">
        <v>-0.27789999999999998</v>
      </c>
      <c r="G572" s="1">
        <v>5.0000000000000001E-3</v>
      </c>
      <c r="H572" t="s">
        <v>679</v>
      </c>
      <c r="I572" t="s">
        <v>2588</v>
      </c>
    </row>
    <row r="573" spans="1:9" x14ac:dyDescent="0.3">
      <c r="A573">
        <v>1526</v>
      </c>
      <c r="B573" t="s">
        <v>1340</v>
      </c>
      <c r="C573" t="s">
        <v>4944</v>
      </c>
      <c r="D573" s="4">
        <v>17.059999999999999</v>
      </c>
      <c r="E573" t="s">
        <v>4945</v>
      </c>
      <c r="F573" s="1">
        <v>-0.26939999999999997</v>
      </c>
      <c r="G573" s="1">
        <v>5.0000000000000001E-3</v>
      </c>
      <c r="H573" t="s">
        <v>679</v>
      </c>
      <c r="I573" t="s">
        <v>4946</v>
      </c>
    </row>
    <row r="574" spans="1:9" x14ac:dyDescent="0.3">
      <c r="A574">
        <v>76</v>
      </c>
      <c r="B574" t="s">
        <v>272</v>
      </c>
      <c r="C574" t="s">
        <v>273</v>
      </c>
      <c r="D574" s="4">
        <f>12.79*1000</f>
        <v>12790</v>
      </c>
      <c r="E574" t="s">
        <v>274</v>
      </c>
      <c r="F574" s="1">
        <v>-1.61E-2</v>
      </c>
      <c r="G574" s="1">
        <v>5.1999999999999998E-3</v>
      </c>
      <c r="H574" t="s">
        <v>275</v>
      </c>
      <c r="I574" t="s">
        <v>276</v>
      </c>
    </row>
    <row r="575" spans="1:9" x14ac:dyDescent="0.3">
      <c r="A575">
        <v>175</v>
      </c>
      <c r="B575" t="s">
        <v>272</v>
      </c>
      <c r="C575" t="s">
        <v>615</v>
      </c>
      <c r="D575" s="4">
        <f>4.38*1000</f>
        <v>4380</v>
      </c>
      <c r="E575" t="s">
        <v>616</v>
      </c>
      <c r="F575" s="1">
        <v>-4.7600000000000003E-2</v>
      </c>
      <c r="G575" s="1">
        <v>5.3E-3</v>
      </c>
      <c r="H575" t="s">
        <v>275</v>
      </c>
      <c r="I575" t="s">
        <v>617</v>
      </c>
    </row>
    <row r="576" spans="1:9" x14ac:dyDescent="0.3">
      <c r="A576">
        <v>546</v>
      </c>
      <c r="B576" t="s">
        <v>12</v>
      </c>
      <c r="C576" t="s">
        <v>1779</v>
      </c>
      <c r="D576" s="4">
        <v>510.72</v>
      </c>
      <c r="E576" t="s">
        <v>1780</v>
      </c>
      <c r="F576" s="1">
        <v>-2.7000000000000001E-3</v>
      </c>
      <c r="G576" s="1">
        <v>3.8999999999999998E-3</v>
      </c>
      <c r="H576" t="s">
        <v>275</v>
      </c>
      <c r="I576" t="s">
        <v>1781</v>
      </c>
    </row>
    <row r="577" spans="1:9" x14ac:dyDescent="0.3">
      <c r="A577">
        <v>739</v>
      </c>
      <c r="B577" t="s">
        <v>2423</v>
      </c>
      <c r="C577" t="s">
        <v>2424</v>
      </c>
      <c r="D577" s="4">
        <v>230.74</v>
      </c>
      <c r="E577" t="s">
        <v>2425</v>
      </c>
      <c r="F577" s="1">
        <v>-1.5599999999999999E-2</v>
      </c>
      <c r="G577" s="1">
        <v>5.0000000000000001E-3</v>
      </c>
      <c r="H577" t="s">
        <v>275</v>
      </c>
      <c r="I577" t="s">
        <v>2426</v>
      </c>
    </row>
    <row r="578" spans="1:9" x14ac:dyDescent="0.3">
      <c r="A578">
        <v>933</v>
      </c>
      <c r="B578" t="s">
        <v>2423</v>
      </c>
      <c r="C578" t="s">
        <v>3043</v>
      </c>
      <c r="D578" s="4">
        <v>124.87</v>
      </c>
      <c r="E578" t="s">
        <v>3044</v>
      </c>
      <c r="F578" s="1">
        <v>-8.5000000000000006E-3</v>
      </c>
      <c r="G578" s="1">
        <v>5.0000000000000001E-3</v>
      </c>
      <c r="H578" t="s">
        <v>275</v>
      </c>
      <c r="I578" t="s">
        <v>3045</v>
      </c>
    </row>
    <row r="579" spans="1:9" x14ac:dyDescent="0.3">
      <c r="A579">
        <v>1018</v>
      </c>
      <c r="B579" t="s">
        <v>717</v>
      </c>
      <c r="C579" t="s">
        <v>3317</v>
      </c>
      <c r="D579" s="4">
        <v>94.08</v>
      </c>
      <c r="E579" t="s">
        <v>3315</v>
      </c>
      <c r="F579" s="1">
        <v>-2.1000000000000001E-2</v>
      </c>
      <c r="G579" s="1">
        <v>6.0000000000000001E-3</v>
      </c>
      <c r="H579" t="s">
        <v>275</v>
      </c>
      <c r="I579" t="s">
        <v>3318</v>
      </c>
    </row>
    <row r="580" spans="1:9" x14ac:dyDescent="0.3">
      <c r="A580">
        <v>1214</v>
      </c>
      <c r="B580" t="s">
        <v>486</v>
      </c>
      <c r="C580" t="s">
        <v>3948</v>
      </c>
      <c r="D580" s="4">
        <v>48.02</v>
      </c>
      <c r="E580" t="s">
        <v>3949</v>
      </c>
      <c r="F580" s="1">
        <v>-3.2899999999999999E-2</v>
      </c>
      <c r="G580" s="1">
        <v>6.4999999999999997E-3</v>
      </c>
      <c r="H580" t="s">
        <v>275</v>
      </c>
      <c r="I580" t="s">
        <v>3950</v>
      </c>
    </row>
    <row r="581" spans="1:9" x14ac:dyDescent="0.3">
      <c r="A581">
        <v>1876</v>
      </c>
      <c r="B581" t="s">
        <v>1308</v>
      </c>
      <c r="C581" t="s">
        <v>6026</v>
      </c>
      <c r="D581" s="4">
        <v>1.1200000000000001</v>
      </c>
      <c r="E581" t="s">
        <v>6027</v>
      </c>
      <c r="F581" s="1">
        <v>-5.6599999999999998E-2</v>
      </c>
      <c r="G581" s="1">
        <v>4.8999999999999998E-3</v>
      </c>
      <c r="H581" t="s">
        <v>275</v>
      </c>
      <c r="I581" t="s">
        <v>6028</v>
      </c>
    </row>
    <row r="582" spans="1:9" x14ac:dyDescent="0.3">
      <c r="A582">
        <v>206</v>
      </c>
      <c r="B582" t="s">
        <v>12</v>
      </c>
      <c r="C582" t="s">
        <v>713</v>
      </c>
      <c r="D582" s="4">
        <f>3.42*1000</f>
        <v>3420</v>
      </c>
      <c r="E582" t="s">
        <v>714</v>
      </c>
      <c r="F582" s="1">
        <v>-2.4799999999999999E-2</v>
      </c>
      <c r="G582" s="1">
        <v>4.3E-3</v>
      </c>
      <c r="H582" t="s">
        <v>715</v>
      </c>
      <c r="I582" t="s">
        <v>716</v>
      </c>
    </row>
    <row r="583" spans="1:9" x14ac:dyDescent="0.3">
      <c r="A583">
        <v>1673</v>
      </c>
      <c r="B583" t="s">
        <v>12</v>
      </c>
      <c r="C583" t="s">
        <v>5407</v>
      </c>
      <c r="D583" s="4">
        <v>7.93</v>
      </c>
      <c r="E583" t="s">
        <v>5404</v>
      </c>
      <c r="F583" s="1">
        <v>-0.16009999999999999</v>
      </c>
      <c r="G583" s="1">
        <v>8.5000000000000006E-3</v>
      </c>
      <c r="H583" t="s">
        <v>715</v>
      </c>
      <c r="I583" t="s">
        <v>5408</v>
      </c>
    </row>
    <row r="584" spans="1:9" x14ac:dyDescent="0.3">
      <c r="A584">
        <v>1835</v>
      </c>
      <c r="B584" t="s">
        <v>3151</v>
      </c>
      <c r="C584" t="s">
        <v>5899</v>
      </c>
      <c r="D584" s="4">
        <v>2.7</v>
      </c>
      <c r="E584" t="s">
        <v>5900</v>
      </c>
      <c r="F584" s="1">
        <v>-5.96E-2</v>
      </c>
      <c r="G584" s="1">
        <v>8.9999999999999993E-3</v>
      </c>
      <c r="H584" t="s">
        <v>715</v>
      </c>
      <c r="I584" t="s">
        <v>5901</v>
      </c>
    </row>
    <row r="585" spans="1:9" x14ac:dyDescent="0.3">
      <c r="A585">
        <v>1912</v>
      </c>
      <c r="B585" t="s">
        <v>280</v>
      </c>
      <c r="C585" t="s">
        <v>6135</v>
      </c>
      <c r="D585" s="4" t="s">
        <v>662</v>
      </c>
      <c r="E585" t="s">
        <v>662</v>
      </c>
      <c r="F585" s="1">
        <v>-0.1394</v>
      </c>
      <c r="G585" s="1">
        <v>7.0000000000000001E-3</v>
      </c>
      <c r="H585" t="s">
        <v>6136</v>
      </c>
      <c r="I585" t="s">
        <v>6137</v>
      </c>
    </row>
    <row r="586" spans="1:9" x14ac:dyDescent="0.3">
      <c r="A586">
        <v>737</v>
      </c>
      <c r="B586" t="s">
        <v>486</v>
      </c>
      <c r="C586" t="s">
        <v>2416</v>
      </c>
      <c r="D586" s="4">
        <v>234.4</v>
      </c>
      <c r="E586" t="s">
        <v>2417</v>
      </c>
      <c r="F586" s="1">
        <v>-0.21279999999999999</v>
      </c>
      <c r="G586" s="1">
        <v>6.7999999999999996E-3</v>
      </c>
      <c r="H586" t="s">
        <v>2418</v>
      </c>
      <c r="I586" t="s">
        <v>2419</v>
      </c>
    </row>
    <row r="587" spans="1:9" x14ac:dyDescent="0.3">
      <c r="A587">
        <v>1633</v>
      </c>
      <c r="B587" t="s">
        <v>460</v>
      </c>
      <c r="C587" t="s">
        <v>5281</v>
      </c>
      <c r="D587" s="4">
        <v>9.99</v>
      </c>
      <c r="E587" t="s">
        <v>5282</v>
      </c>
      <c r="F587" s="1">
        <v>-0.16170000000000001</v>
      </c>
      <c r="G587" s="1">
        <v>3.8999999999999998E-3</v>
      </c>
      <c r="H587" t="s">
        <v>2418</v>
      </c>
      <c r="I587" t="s">
        <v>5283</v>
      </c>
    </row>
    <row r="588" spans="1:9" x14ac:dyDescent="0.3">
      <c r="A588">
        <v>796</v>
      </c>
      <c r="B588" t="s">
        <v>979</v>
      </c>
      <c r="C588" t="s">
        <v>2605</v>
      </c>
      <c r="D588" s="4">
        <v>192.13</v>
      </c>
      <c r="E588" t="s">
        <v>2606</v>
      </c>
      <c r="F588" s="1">
        <v>-0.19869999999999999</v>
      </c>
      <c r="G588" s="1">
        <v>6.7999999999999996E-3</v>
      </c>
      <c r="H588" t="s">
        <v>2607</v>
      </c>
      <c r="I588" t="s">
        <v>2608</v>
      </c>
    </row>
    <row r="589" spans="1:9" x14ac:dyDescent="0.3">
      <c r="A589">
        <v>1465</v>
      </c>
      <c r="B589" t="s">
        <v>248</v>
      </c>
      <c r="C589" t="s">
        <v>4759</v>
      </c>
      <c r="D589" s="4">
        <v>20.83</v>
      </c>
      <c r="E589" t="s">
        <v>4760</v>
      </c>
      <c r="F589" t="s">
        <v>662</v>
      </c>
      <c r="G589" s="1">
        <v>7.4999999999999997E-3</v>
      </c>
      <c r="H589" t="s">
        <v>2607</v>
      </c>
      <c r="I589" t="s">
        <v>4761</v>
      </c>
    </row>
    <row r="590" spans="1:9" x14ac:dyDescent="0.3">
      <c r="A590">
        <v>1384</v>
      </c>
      <c r="B590" t="s">
        <v>1150</v>
      </c>
      <c r="C590" t="s">
        <v>4498</v>
      </c>
      <c r="D590" s="4">
        <v>26.72</v>
      </c>
      <c r="E590" t="s">
        <v>4499</v>
      </c>
      <c r="F590" s="1">
        <v>-4.8800000000000003E-2</v>
      </c>
      <c r="G590" s="1">
        <v>4.4999999999999997E-3</v>
      </c>
      <c r="H590" t="s">
        <v>4500</v>
      </c>
      <c r="I590" t="s">
        <v>4501</v>
      </c>
    </row>
    <row r="591" spans="1:9" x14ac:dyDescent="0.3">
      <c r="A591">
        <v>1620</v>
      </c>
      <c r="B591" t="s">
        <v>2087</v>
      </c>
      <c r="C591" t="s">
        <v>5241</v>
      </c>
      <c r="D591" s="4">
        <v>10.64</v>
      </c>
      <c r="E591" t="s">
        <v>5242</v>
      </c>
      <c r="F591" s="1">
        <v>-7.1999999999999995E-2</v>
      </c>
      <c r="G591" s="1">
        <v>7.4999999999999997E-3</v>
      </c>
      <c r="H591" t="s">
        <v>4500</v>
      </c>
      <c r="I591" t="s">
        <v>5243</v>
      </c>
    </row>
    <row r="592" spans="1:9" x14ac:dyDescent="0.3">
      <c r="A592">
        <v>1702</v>
      </c>
      <c r="B592" t="s">
        <v>517</v>
      </c>
      <c r="C592" t="s">
        <v>5491</v>
      </c>
      <c r="D592" s="4">
        <v>7.09</v>
      </c>
      <c r="E592" t="s">
        <v>5492</v>
      </c>
      <c r="F592" s="1">
        <v>-6.6500000000000004E-2</v>
      </c>
      <c r="G592" s="1">
        <v>6.4999999999999997E-3</v>
      </c>
      <c r="H592" t="s">
        <v>4500</v>
      </c>
      <c r="I592" t="s">
        <v>5493</v>
      </c>
    </row>
    <row r="593" spans="1:9" x14ac:dyDescent="0.3">
      <c r="A593">
        <v>596</v>
      </c>
      <c r="B593" t="s">
        <v>12</v>
      </c>
      <c r="C593" t="s">
        <v>1946</v>
      </c>
      <c r="D593" s="4">
        <v>416.5</v>
      </c>
      <c r="E593" t="s">
        <v>1947</v>
      </c>
      <c r="F593" s="1">
        <v>-3.09E-2</v>
      </c>
      <c r="G593" s="1">
        <v>4.3E-3</v>
      </c>
      <c r="H593" t="s">
        <v>1948</v>
      </c>
      <c r="I593" t="s">
        <v>1949</v>
      </c>
    </row>
    <row r="594" spans="1:9" x14ac:dyDescent="0.3">
      <c r="A594">
        <v>1906</v>
      </c>
      <c r="B594" t="s">
        <v>6113</v>
      </c>
      <c r="C594" t="s">
        <v>6123</v>
      </c>
      <c r="D594" s="4" t="s">
        <v>662</v>
      </c>
      <c r="E594" t="s">
        <v>662</v>
      </c>
      <c r="F594" s="1">
        <v>-0.25819999999999999</v>
      </c>
      <c r="G594" s="1">
        <v>5.7999999999999996E-3</v>
      </c>
      <c r="H594" t="s">
        <v>543</v>
      </c>
      <c r="I594" t="s">
        <v>6124</v>
      </c>
    </row>
    <row r="595" spans="1:9" x14ac:dyDescent="0.3">
      <c r="A595">
        <v>154</v>
      </c>
      <c r="B595" t="s">
        <v>12</v>
      </c>
      <c r="C595" t="s">
        <v>541</v>
      </c>
      <c r="D595" s="4">
        <f>5.34*1000</f>
        <v>5340</v>
      </c>
      <c r="E595" t="s">
        <v>542</v>
      </c>
      <c r="F595" s="1">
        <v>-3.3700000000000001E-2</v>
      </c>
      <c r="G595" s="1">
        <v>4.3E-3</v>
      </c>
      <c r="H595" t="s">
        <v>543</v>
      </c>
      <c r="I595" t="s">
        <v>544</v>
      </c>
    </row>
    <row r="596" spans="1:9" x14ac:dyDescent="0.3">
      <c r="A596">
        <v>194</v>
      </c>
      <c r="B596" t="s">
        <v>12</v>
      </c>
      <c r="C596" t="s">
        <v>674</v>
      </c>
      <c r="D596" s="4">
        <f>3.79*1000</f>
        <v>3790</v>
      </c>
      <c r="E596" t="s">
        <v>675</v>
      </c>
      <c r="F596" s="1">
        <v>-8.6499999999999994E-2</v>
      </c>
      <c r="G596" s="1">
        <v>4.5999999999999999E-3</v>
      </c>
      <c r="H596" t="s">
        <v>543</v>
      </c>
      <c r="I596" t="s">
        <v>676</v>
      </c>
    </row>
    <row r="597" spans="1:9" x14ac:dyDescent="0.3">
      <c r="A597">
        <v>291</v>
      </c>
      <c r="B597" t="s">
        <v>280</v>
      </c>
      <c r="C597" t="s">
        <v>990</v>
      </c>
      <c r="D597" s="4">
        <f>1.74*1000</f>
        <v>1740</v>
      </c>
      <c r="E597" t="s">
        <v>991</v>
      </c>
      <c r="F597" s="1">
        <v>1.09E-2</v>
      </c>
      <c r="G597" s="1">
        <v>5.0000000000000001E-3</v>
      </c>
      <c r="H597" t="s">
        <v>543</v>
      </c>
      <c r="I597" t="s">
        <v>992</v>
      </c>
    </row>
    <row r="598" spans="1:9" x14ac:dyDescent="0.3">
      <c r="A598">
        <v>404</v>
      </c>
      <c r="B598" t="s">
        <v>486</v>
      </c>
      <c r="C598" t="s">
        <v>1316</v>
      </c>
      <c r="D598" s="4">
        <v>944.61</v>
      </c>
      <c r="E598" t="s">
        <v>1317</v>
      </c>
      <c r="F598" s="1">
        <v>-0.28299999999999997</v>
      </c>
      <c r="G598" s="1">
        <v>6.7999999999999996E-3</v>
      </c>
      <c r="H598" t="s">
        <v>543</v>
      </c>
      <c r="I598" t="s">
        <v>1318</v>
      </c>
    </row>
    <row r="599" spans="1:9" x14ac:dyDescent="0.3">
      <c r="A599">
        <v>840</v>
      </c>
      <c r="B599" t="s">
        <v>1150</v>
      </c>
      <c r="C599" t="s">
        <v>2745</v>
      </c>
      <c r="D599" s="4">
        <v>163.66999999999999</v>
      </c>
      <c r="E599" t="s">
        <v>2746</v>
      </c>
      <c r="F599" s="1">
        <v>-4.2999999999999997E-2</v>
      </c>
      <c r="G599" s="1">
        <v>4.0000000000000001E-3</v>
      </c>
      <c r="H599" t="s">
        <v>543</v>
      </c>
      <c r="I599" t="s">
        <v>2747</v>
      </c>
    </row>
    <row r="600" spans="1:9" x14ac:dyDescent="0.3">
      <c r="A600">
        <v>1131</v>
      </c>
      <c r="B600" t="s">
        <v>1799</v>
      </c>
      <c r="C600" t="s">
        <v>3684</v>
      </c>
      <c r="D600" s="4">
        <v>65.39</v>
      </c>
      <c r="E600" t="s">
        <v>3685</v>
      </c>
      <c r="F600" s="1">
        <v>-0.15670000000000001</v>
      </c>
      <c r="G600" s="1">
        <v>7.0000000000000001E-3</v>
      </c>
      <c r="H600" t="s">
        <v>543</v>
      </c>
      <c r="I600" t="s">
        <v>3686</v>
      </c>
    </row>
    <row r="601" spans="1:9" x14ac:dyDescent="0.3">
      <c r="A601">
        <v>1813</v>
      </c>
      <c r="B601" t="s">
        <v>1340</v>
      </c>
      <c r="C601" t="s">
        <v>5830</v>
      </c>
      <c r="D601" s="4">
        <v>3.28</v>
      </c>
      <c r="E601" t="s">
        <v>5831</v>
      </c>
      <c r="F601" s="1">
        <v>-0.26829999999999998</v>
      </c>
      <c r="G601" s="1">
        <v>5.0000000000000001E-3</v>
      </c>
      <c r="H601" t="s">
        <v>543</v>
      </c>
      <c r="I601" t="s">
        <v>5832</v>
      </c>
    </row>
    <row r="602" spans="1:9" x14ac:dyDescent="0.3">
      <c r="A602">
        <v>1953</v>
      </c>
      <c r="B602" t="s">
        <v>6113</v>
      </c>
      <c r="C602" t="s">
        <v>6219</v>
      </c>
      <c r="D602" s="4" t="s">
        <v>662</v>
      </c>
      <c r="E602" t="s">
        <v>662</v>
      </c>
      <c r="F602" s="1">
        <v>-8.5000000000000006E-3</v>
      </c>
      <c r="G602" s="1">
        <v>4.7000000000000002E-3</v>
      </c>
      <c r="H602" t="s">
        <v>733</v>
      </c>
      <c r="I602" t="s">
        <v>6220</v>
      </c>
    </row>
    <row r="603" spans="1:9" x14ac:dyDescent="0.3">
      <c r="A603">
        <v>211</v>
      </c>
      <c r="B603" t="s">
        <v>12</v>
      </c>
      <c r="C603" t="s">
        <v>731</v>
      </c>
      <c r="D603" s="4">
        <f>3.27*1000</f>
        <v>3270</v>
      </c>
      <c r="E603" t="s">
        <v>732</v>
      </c>
      <c r="F603" s="1">
        <v>-6.1000000000000004E-3</v>
      </c>
      <c r="G603" s="1">
        <v>4.3E-3</v>
      </c>
      <c r="H603" t="s">
        <v>733</v>
      </c>
      <c r="I603" t="s">
        <v>734</v>
      </c>
    </row>
    <row r="604" spans="1:9" x14ac:dyDescent="0.3">
      <c r="A604">
        <v>240</v>
      </c>
      <c r="B604" t="s">
        <v>444</v>
      </c>
      <c r="C604" t="s">
        <v>825</v>
      </c>
      <c r="D604" s="4">
        <f>2.56*1000</f>
        <v>2560</v>
      </c>
      <c r="E604" t="s">
        <v>826</v>
      </c>
      <c r="F604" s="1">
        <v>-2.6700000000000002E-2</v>
      </c>
      <c r="G604" s="1">
        <v>4.7000000000000002E-3</v>
      </c>
      <c r="H604" t="s">
        <v>733</v>
      </c>
      <c r="I604" t="s">
        <v>827</v>
      </c>
    </row>
    <row r="605" spans="1:9" x14ac:dyDescent="0.3">
      <c r="A605">
        <v>462</v>
      </c>
      <c r="B605" t="s">
        <v>280</v>
      </c>
      <c r="C605" t="s">
        <v>1508</v>
      </c>
      <c r="D605" s="4">
        <v>760.34</v>
      </c>
      <c r="E605" t="s">
        <v>1509</v>
      </c>
      <c r="F605" s="1">
        <v>-4.4200000000000003E-2</v>
      </c>
      <c r="G605" s="1">
        <v>7.0000000000000001E-3</v>
      </c>
      <c r="H605" t="s">
        <v>733</v>
      </c>
      <c r="I605" t="s">
        <v>1510</v>
      </c>
    </row>
    <row r="606" spans="1:9" x14ac:dyDescent="0.3">
      <c r="A606">
        <v>572</v>
      </c>
      <c r="B606" t="s">
        <v>7</v>
      </c>
      <c r="C606" t="s">
        <v>1868</v>
      </c>
      <c r="D606" s="4">
        <v>462.99</v>
      </c>
      <c r="E606" t="s">
        <v>1869</v>
      </c>
      <c r="F606" s="1">
        <v>-5.1000000000000004E-3</v>
      </c>
      <c r="G606" s="1">
        <v>4.0000000000000001E-3</v>
      </c>
      <c r="H606" t="s">
        <v>733</v>
      </c>
      <c r="I606" t="s">
        <v>1870</v>
      </c>
    </row>
    <row r="607" spans="1:9" x14ac:dyDescent="0.3">
      <c r="A607">
        <v>1586</v>
      </c>
      <c r="B607" t="s">
        <v>1340</v>
      </c>
      <c r="C607" t="s">
        <v>5131</v>
      </c>
      <c r="D607" s="4">
        <v>12.91</v>
      </c>
      <c r="E607" t="s">
        <v>5132</v>
      </c>
      <c r="F607" s="1">
        <v>2.3E-2</v>
      </c>
      <c r="G607" s="1">
        <v>4.0000000000000001E-3</v>
      </c>
      <c r="H607" t="s">
        <v>733</v>
      </c>
      <c r="I607" t="s">
        <v>5133</v>
      </c>
    </row>
    <row r="608" spans="1:9" x14ac:dyDescent="0.3">
      <c r="A608">
        <v>1648</v>
      </c>
      <c r="B608" t="s">
        <v>400</v>
      </c>
      <c r="C608" t="s">
        <v>5328</v>
      </c>
      <c r="D608" s="4">
        <v>9.25</v>
      </c>
      <c r="E608" t="s">
        <v>5326</v>
      </c>
      <c r="F608" s="1">
        <v>-8.2000000000000007E-3</v>
      </c>
      <c r="G608" s="1">
        <v>7.9000000000000008E-3</v>
      </c>
      <c r="H608" t="s">
        <v>733</v>
      </c>
      <c r="I608" t="s">
        <v>5329</v>
      </c>
    </row>
    <row r="609" spans="1:9" x14ac:dyDescent="0.3">
      <c r="A609">
        <v>1785</v>
      </c>
      <c r="B609" t="s">
        <v>5743</v>
      </c>
      <c r="C609" t="s">
        <v>5744</v>
      </c>
      <c r="D609" s="4">
        <v>4.09</v>
      </c>
      <c r="E609" t="s">
        <v>5745</v>
      </c>
      <c r="F609" s="1">
        <v>-2.2200000000000001E-2</v>
      </c>
      <c r="G609" s="1">
        <v>4.4999999999999997E-3</v>
      </c>
      <c r="H609" t="s">
        <v>733</v>
      </c>
      <c r="I609" t="s">
        <v>5746</v>
      </c>
    </row>
    <row r="610" spans="1:9" x14ac:dyDescent="0.3">
      <c r="A610">
        <v>237</v>
      </c>
      <c r="B610" t="s">
        <v>295</v>
      </c>
      <c r="C610" t="s">
        <v>816</v>
      </c>
      <c r="D610" s="4">
        <f>2.63*1000</f>
        <v>2630</v>
      </c>
      <c r="E610" t="s">
        <v>817</v>
      </c>
      <c r="F610" s="1">
        <v>-0.39689999999999998</v>
      </c>
      <c r="G610" s="1">
        <v>8.3000000000000001E-3</v>
      </c>
      <c r="H610" t="s">
        <v>818</v>
      </c>
      <c r="I610" t="s">
        <v>819</v>
      </c>
    </row>
    <row r="611" spans="1:9" x14ac:dyDescent="0.3">
      <c r="A611">
        <v>428</v>
      </c>
      <c r="B611" t="s">
        <v>1398</v>
      </c>
      <c r="C611" t="s">
        <v>1399</v>
      </c>
      <c r="D611" s="4">
        <v>855.89</v>
      </c>
      <c r="E611" t="s">
        <v>1400</v>
      </c>
      <c r="F611" s="1">
        <v>-0.16589999999999999</v>
      </c>
      <c r="G611" s="1">
        <v>7.4999999999999997E-3</v>
      </c>
      <c r="H611" t="s">
        <v>818</v>
      </c>
      <c r="I611" t="s">
        <v>1401</v>
      </c>
    </row>
    <row r="612" spans="1:9" x14ac:dyDescent="0.3">
      <c r="A612">
        <v>632</v>
      </c>
      <c r="B612" t="s">
        <v>1471</v>
      </c>
      <c r="C612" t="s">
        <v>2074</v>
      </c>
      <c r="D612" s="4">
        <v>370.9</v>
      </c>
      <c r="E612" t="s">
        <v>2075</v>
      </c>
      <c r="F612" s="1">
        <v>-0.30070000000000002</v>
      </c>
      <c r="G612" s="1">
        <v>4.7999999999999996E-3</v>
      </c>
      <c r="H612" t="s">
        <v>818</v>
      </c>
      <c r="I612" t="s">
        <v>2076</v>
      </c>
    </row>
    <row r="613" spans="1:9" x14ac:dyDescent="0.3">
      <c r="A613">
        <v>1583</v>
      </c>
      <c r="B613" t="s">
        <v>979</v>
      </c>
      <c r="C613" t="s">
        <v>5120</v>
      </c>
      <c r="D613" s="4">
        <v>13.02</v>
      </c>
      <c r="E613" t="s">
        <v>5121</v>
      </c>
      <c r="F613" t="s">
        <v>662</v>
      </c>
      <c r="G613" s="1">
        <v>7.0000000000000001E-3</v>
      </c>
      <c r="H613" t="s">
        <v>818</v>
      </c>
      <c r="I613" t="s">
        <v>5122</v>
      </c>
    </row>
    <row r="614" spans="1:9" x14ac:dyDescent="0.3">
      <c r="A614">
        <v>1632</v>
      </c>
      <c r="B614" t="s">
        <v>979</v>
      </c>
      <c r="C614" t="s">
        <v>5278</v>
      </c>
      <c r="D614" s="4">
        <v>10.02</v>
      </c>
      <c r="E614" t="s">
        <v>5279</v>
      </c>
      <c r="F614" s="1">
        <v>-0.31219999999999998</v>
      </c>
      <c r="G614" s="1">
        <v>8.6E-3</v>
      </c>
      <c r="H614" t="s">
        <v>818</v>
      </c>
      <c r="I614" t="s">
        <v>5280</v>
      </c>
    </row>
    <row r="615" spans="1:9" x14ac:dyDescent="0.3">
      <c r="A615">
        <v>1935</v>
      </c>
      <c r="B615" t="s">
        <v>6113</v>
      </c>
      <c r="C615" t="s">
        <v>6182</v>
      </c>
      <c r="D615" s="4" t="s">
        <v>662</v>
      </c>
      <c r="E615" t="s">
        <v>662</v>
      </c>
      <c r="F615" s="1">
        <v>-0.30780000000000002</v>
      </c>
      <c r="G615" s="1">
        <v>5.7999999999999996E-3</v>
      </c>
      <c r="H615" t="s">
        <v>1840</v>
      </c>
      <c r="I615" t="s">
        <v>6183</v>
      </c>
    </row>
    <row r="616" spans="1:9" x14ac:dyDescent="0.3">
      <c r="A616">
        <v>1936</v>
      </c>
      <c r="B616" t="s">
        <v>6113</v>
      </c>
      <c r="C616" t="s">
        <v>6184</v>
      </c>
      <c r="D616" s="4" t="s">
        <v>662</v>
      </c>
      <c r="E616" t="s">
        <v>662</v>
      </c>
      <c r="F616" s="1">
        <v>-0.29020000000000001</v>
      </c>
      <c r="G616" s="1">
        <v>6.4999999999999997E-3</v>
      </c>
      <c r="H616" t="s">
        <v>1840</v>
      </c>
      <c r="I616" t="s">
        <v>6185</v>
      </c>
    </row>
    <row r="617" spans="1:9" x14ac:dyDescent="0.3">
      <c r="A617">
        <v>564</v>
      </c>
      <c r="B617" t="s">
        <v>1308</v>
      </c>
      <c r="C617" t="s">
        <v>1838</v>
      </c>
      <c r="D617" s="4">
        <v>477.74</v>
      </c>
      <c r="E617" t="s">
        <v>1839</v>
      </c>
      <c r="F617" s="1">
        <v>-0.36909999999999998</v>
      </c>
      <c r="G617" s="1">
        <v>6.4999999999999997E-3</v>
      </c>
      <c r="H617" t="s">
        <v>1840</v>
      </c>
      <c r="I617" t="s">
        <v>1841</v>
      </c>
    </row>
    <row r="618" spans="1:9" x14ac:dyDescent="0.3">
      <c r="A618">
        <v>723</v>
      </c>
      <c r="B618" t="s">
        <v>921</v>
      </c>
      <c r="C618" t="s">
        <v>2367</v>
      </c>
      <c r="D618" s="4">
        <v>246.71</v>
      </c>
      <c r="E618" t="s">
        <v>2368</v>
      </c>
      <c r="F618" s="1">
        <v>-0.1736</v>
      </c>
      <c r="G618" s="1">
        <v>7.4999999999999997E-3</v>
      </c>
      <c r="H618" t="s">
        <v>1840</v>
      </c>
      <c r="I618" t="s">
        <v>2369</v>
      </c>
    </row>
    <row r="619" spans="1:9" x14ac:dyDescent="0.3">
      <c r="A619">
        <v>1274</v>
      </c>
      <c r="B619" t="s">
        <v>921</v>
      </c>
      <c r="C619" t="s">
        <v>4140</v>
      </c>
      <c r="D619" s="4">
        <v>38.83</v>
      </c>
      <c r="E619" t="s">
        <v>4141</v>
      </c>
      <c r="F619" s="1">
        <v>-0.26479999999999998</v>
      </c>
      <c r="G619" s="1">
        <v>6.7999999999999996E-3</v>
      </c>
      <c r="H619" t="s">
        <v>4142</v>
      </c>
      <c r="I619" t="s">
        <v>4143</v>
      </c>
    </row>
    <row r="620" spans="1:9" x14ac:dyDescent="0.3">
      <c r="A620">
        <v>1661</v>
      </c>
      <c r="B620" t="s">
        <v>12</v>
      </c>
      <c r="C620" t="s">
        <v>5369</v>
      </c>
      <c r="D620" s="4">
        <v>8.59</v>
      </c>
      <c r="E620" t="s">
        <v>5370</v>
      </c>
      <c r="F620" s="1">
        <v>-6.7999999999999996E-3</v>
      </c>
      <c r="G620" s="1">
        <v>4.7000000000000002E-3</v>
      </c>
      <c r="H620" t="s">
        <v>4142</v>
      </c>
      <c r="I620" t="s">
        <v>5371</v>
      </c>
    </row>
    <row r="621" spans="1:9" x14ac:dyDescent="0.3">
      <c r="A621">
        <v>1860</v>
      </c>
      <c r="B621" t="s">
        <v>1398</v>
      </c>
      <c r="C621" t="s">
        <v>5973</v>
      </c>
      <c r="D621" s="4">
        <v>1.7</v>
      </c>
      <c r="E621" t="s">
        <v>5974</v>
      </c>
      <c r="F621" t="s">
        <v>662</v>
      </c>
      <c r="G621" s="1">
        <v>7.4999999999999997E-3</v>
      </c>
      <c r="H621" t="s">
        <v>4142</v>
      </c>
      <c r="I621" t="s">
        <v>5975</v>
      </c>
    </row>
    <row r="622" spans="1:9" x14ac:dyDescent="0.3">
      <c r="A622">
        <v>341</v>
      </c>
      <c r="B622" t="s">
        <v>12</v>
      </c>
      <c r="C622" t="s">
        <v>1133</v>
      </c>
      <c r="D622" s="4">
        <f>1.26*1000</f>
        <v>1260</v>
      </c>
      <c r="E622" t="s">
        <v>1134</v>
      </c>
      <c r="F622" s="1">
        <v>-4.3999999999999997E-2</v>
      </c>
      <c r="G622" s="1">
        <v>2E-3</v>
      </c>
      <c r="H622" t="s">
        <v>1135</v>
      </c>
      <c r="I622" t="s">
        <v>1136</v>
      </c>
    </row>
    <row r="623" spans="1:9" x14ac:dyDescent="0.3">
      <c r="A623">
        <v>705</v>
      </c>
      <c r="B623" t="s">
        <v>272</v>
      </c>
      <c r="C623" t="s">
        <v>2308</v>
      </c>
      <c r="D623" s="4">
        <v>267.83</v>
      </c>
      <c r="E623" t="s">
        <v>2309</v>
      </c>
      <c r="F623" s="1">
        <v>-0.13159999999999999</v>
      </c>
      <c r="G623" s="1">
        <v>6.1999999999999998E-3</v>
      </c>
      <c r="H623" t="s">
        <v>1135</v>
      </c>
      <c r="I623" t="s">
        <v>2310</v>
      </c>
    </row>
    <row r="624" spans="1:9" x14ac:dyDescent="0.3">
      <c r="A624">
        <v>968</v>
      </c>
      <c r="B624" t="s">
        <v>7</v>
      </c>
      <c r="C624" t="s">
        <v>3155</v>
      </c>
      <c r="D624" s="4">
        <v>112.7</v>
      </c>
      <c r="E624" t="s">
        <v>3156</v>
      </c>
      <c r="F624" s="1">
        <v>-4.1000000000000002E-2</v>
      </c>
      <c r="G624" s="1">
        <v>2E-3</v>
      </c>
      <c r="H624" t="s">
        <v>1135</v>
      </c>
      <c r="I624" t="s">
        <v>3157</v>
      </c>
    </row>
    <row r="625" spans="1:9" x14ac:dyDescent="0.3">
      <c r="A625">
        <v>1217</v>
      </c>
      <c r="B625" t="s">
        <v>2709</v>
      </c>
      <c r="C625" t="s">
        <v>3958</v>
      </c>
      <c r="D625" s="4">
        <v>47.63</v>
      </c>
      <c r="E625" t="s">
        <v>3959</v>
      </c>
      <c r="F625" s="1">
        <v>-1.9400000000000001E-2</v>
      </c>
      <c r="G625" s="1">
        <v>6.0000000000000001E-3</v>
      </c>
      <c r="H625" t="s">
        <v>1135</v>
      </c>
      <c r="I625" t="s">
        <v>3960</v>
      </c>
    </row>
    <row r="626" spans="1:9" x14ac:dyDescent="0.3">
      <c r="A626">
        <v>1423</v>
      </c>
      <c r="B626" t="s">
        <v>332</v>
      </c>
      <c r="C626" t="s">
        <v>4624</v>
      </c>
      <c r="D626" s="4">
        <v>23.69</v>
      </c>
      <c r="E626" t="s">
        <v>4625</v>
      </c>
      <c r="F626" t="s">
        <v>662</v>
      </c>
      <c r="G626" s="1">
        <v>4.8999999999999998E-3</v>
      </c>
      <c r="H626" t="s">
        <v>1135</v>
      </c>
      <c r="I626" t="s">
        <v>4626</v>
      </c>
    </row>
    <row r="627" spans="1:9" x14ac:dyDescent="0.3">
      <c r="A627">
        <v>1770</v>
      </c>
      <c r="B627" t="s">
        <v>12</v>
      </c>
      <c r="C627" t="s">
        <v>5699</v>
      </c>
      <c r="D627" s="4">
        <v>4.66</v>
      </c>
      <c r="E627" t="s">
        <v>5697</v>
      </c>
      <c r="F627" s="1">
        <v>-5.9700000000000003E-2</v>
      </c>
      <c r="G627" s="1">
        <v>7.0000000000000001E-3</v>
      </c>
      <c r="H627" t="s">
        <v>1135</v>
      </c>
      <c r="I627" t="s">
        <v>5700</v>
      </c>
    </row>
    <row r="628" spans="1:9" x14ac:dyDescent="0.3">
      <c r="A628">
        <v>1852</v>
      </c>
      <c r="B628" t="s">
        <v>4144</v>
      </c>
      <c r="C628" t="s">
        <v>5949</v>
      </c>
      <c r="D628" s="4">
        <v>1.89</v>
      </c>
      <c r="E628" t="s">
        <v>5950</v>
      </c>
      <c r="F628" t="s">
        <v>662</v>
      </c>
      <c r="G628" s="1">
        <v>3.0000000000000001E-3</v>
      </c>
      <c r="H628" t="s">
        <v>1135</v>
      </c>
      <c r="I628" t="s">
        <v>5951</v>
      </c>
    </row>
    <row r="629" spans="1:9" x14ac:dyDescent="0.3">
      <c r="A629">
        <v>1869</v>
      </c>
      <c r="B629" t="s">
        <v>2087</v>
      </c>
      <c r="C629" t="s">
        <v>6002</v>
      </c>
      <c r="D629" s="4">
        <v>1.33</v>
      </c>
      <c r="E629" t="s">
        <v>6003</v>
      </c>
      <c r="F629" s="1">
        <v>-0.1502</v>
      </c>
      <c r="G629" s="1">
        <v>6.4999999999999997E-3</v>
      </c>
      <c r="H629" t="s">
        <v>1135</v>
      </c>
      <c r="I629" t="s">
        <v>6004</v>
      </c>
    </row>
    <row r="630" spans="1:9" x14ac:dyDescent="0.3">
      <c r="A630">
        <v>1889</v>
      </c>
      <c r="B630" t="s">
        <v>6069</v>
      </c>
      <c r="C630" t="s">
        <v>6070</v>
      </c>
      <c r="D630" s="4">
        <f>569.78*0.001</f>
        <v>0.56977999999999995</v>
      </c>
      <c r="E630" t="s">
        <v>6071</v>
      </c>
      <c r="F630" t="s">
        <v>662</v>
      </c>
      <c r="G630" s="1">
        <v>9.4999999999999998E-3</v>
      </c>
      <c r="H630" t="s">
        <v>1135</v>
      </c>
      <c r="I630" t="s">
        <v>6072</v>
      </c>
    </row>
    <row r="631" spans="1:9" x14ac:dyDescent="0.3">
      <c r="A631">
        <v>1903</v>
      </c>
      <c r="B631" t="s">
        <v>6113</v>
      </c>
      <c r="C631" t="s">
        <v>6116</v>
      </c>
      <c r="D631" s="4" t="s">
        <v>662</v>
      </c>
      <c r="E631" t="s">
        <v>662</v>
      </c>
      <c r="F631" t="s">
        <v>662</v>
      </c>
      <c r="G631" s="1">
        <v>5.7999999999999996E-3</v>
      </c>
      <c r="H631" t="s">
        <v>1634</v>
      </c>
      <c r="I631" t="s">
        <v>6117</v>
      </c>
    </row>
    <row r="632" spans="1:9" x14ac:dyDescent="0.3">
      <c r="A632">
        <v>502</v>
      </c>
      <c r="B632" t="s">
        <v>12</v>
      </c>
      <c r="C632" t="s">
        <v>1632</v>
      </c>
      <c r="D632" s="4">
        <v>632.41</v>
      </c>
      <c r="E632" t="s">
        <v>1633</v>
      </c>
      <c r="F632" s="1">
        <v>1.9099999999999999E-2</v>
      </c>
      <c r="G632" s="1">
        <v>4.3E-3</v>
      </c>
      <c r="H632" t="s">
        <v>1634</v>
      </c>
      <c r="I632" t="s">
        <v>1635</v>
      </c>
    </row>
    <row r="633" spans="1:9" x14ac:dyDescent="0.3">
      <c r="A633">
        <v>1562</v>
      </c>
      <c r="B633" t="s">
        <v>1398</v>
      </c>
      <c r="C633" t="s">
        <v>5053</v>
      </c>
      <c r="D633" s="4">
        <v>14.85</v>
      </c>
      <c r="E633" t="s">
        <v>5054</v>
      </c>
      <c r="F633" s="1">
        <v>-0.27</v>
      </c>
      <c r="G633" s="1">
        <v>7.4999999999999997E-3</v>
      </c>
      <c r="H633" t="s">
        <v>5055</v>
      </c>
      <c r="I633" t="s">
        <v>5056</v>
      </c>
    </row>
    <row r="634" spans="1:9" x14ac:dyDescent="0.3">
      <c r="A634">
        <v>1849</v>
      </c>
      <c r="B634" t="s">
        <v>4636</v>
      </c>
      <c r="C634" t="s">
        <v>5940</v>
      </c>
      <c r="D634" s="4">
        <v>2.19</v>
      </c>
      <c r="E634" t="s">
        <v>5941</v>
      </c>
      <c r="F634" s="1">
        <v>-0.26329999999999998</v>
      </c>
      <c r="G634" s="1">
        <v>6.7999999999999996E-3</v>
      </c>
      <c r="H634" t="s">
        <v>5055</v>
      </c>
      <c r="I634" t="s">
        <v>5942</v>
      </c>
    </row>
    <row r="635" spans="1:9" x14ac:dyDescent="0.3">
      <c r="A635">
        <v>1883</v>
      </c>
      <c r="B635" t="s">
        <v>1842</v>
      </c>
      <c r="C635" t="s">
        <v>6049</v>
      </c>
      <c r="D635" s="4">
        <f>930.13*0.001</f>
        <v>0.93013000000000001</v>
      </c>
      <c r="E635" t="s">
        <v>6050</v>
      </c>
      <c r="F635" s="1">
        <v>-0.26269999999999999</v>
      </c>
      <c r="G635" s="1">
        <v>9.4999999999999998E-3</v>
      </c>
      <c r="H635" t="s">
        <v>5055</v>
      </c>
      <c r="I635" t="s">
        <v>6051</v>
      </c>
    </row>
    <row r="636" spans="1:9" x14ac:dyDescent="0.3">
      <c r="A636">
        <v>370</v>
      </c>
      <c r="B636" t="s">
        <v>12</v>
      </c>
      <c r="C636" t="s">
        <v>1214</v>
      </c>
      <c r="D636" s="4">
        <f>1.12*1000</f>
        <v>1120</v>
      </c>
      <c r="E636" t="s">
        <v>1215</v>
      </c>
      <c r="F636" s="1">
        <v>6.9599999999999995E-2</v>
      </c>
      <c r="G636" s="1">
        <v>3.8999999999999998E-3</v>
      </c>
      <c r="H636" t="s">
        <v>1216</v>
      </c>
      <c r="I636" t="s">
        <v>1217</v>
      </c>
    </row>
    <row r="637" spans="1:9" x14ac:dyDescent="0.3">
      <c r="A637">
        <v>1521</v>
      </c>
      <c r="B637" t="s">
        <v>272</v>
      </c>
      <c r="C637" t="s">
        <v>4929</v>
      </c>
      <c r="D637" s="4">
        <v>17.38</v>
      </c>
      <c r="E637" t="s">
        <v>4930</v>
      </c>
      <c r="F637" t="s">
        <v>662</v>
      </c>
      <c r="G637" s="1">
        <v>5.8999999999999999E-3</v>
      </c>
      <c r="H637" t="s">
        <v>1216</v>
      </c>
      <c r="I637" t="s">
        <v>4931</v>
      </c>
    </row>
    <row r="638" spans="1:9" x14ac:dyDescent="0.3">
      <c r="A638">
        <v>992</v>
      </c>
      <c r="B638" t="s">
        <v>1025</v>
      </c>
      <c r="C638" t="s">
        <v>3234</v>
      </c>
      <c r="D638" s="4">
        <v>102.46</v>
      </c>
      <c r="E638" t="s">
        <v>3235</v>
      </c>
      <c r="F638" s="1">
        <v>-0.1489</v>
      </c>
      <c r="G638" s="1">
        <v>4.4999999999999997E-3</v>
      </c>
      <c r="H638" t="s">
        <v>3236</v>
      </c>
      <c r="I638" t="s">
        <v>3237</v>
      </c>
    </row>
    <row r="639" spans="1:9" x14ac:dyDescent="0.3">
      <c r="A639">
        <v>156</v>
      </c>
      <c r="B639" t="s">
        <v>486</v>
      </c>
      <c r="C639" t="s">
        <v>548</v>
      </c>
      <c r="D639" s="4">
        <f>5.23*1000</f>
        <v>5230</v>
      </c>
      <c r="E639" t="s">
        <v>549</v>
      </c>
      <c r="F639" s="1">
        <v>-0.10390000000000001</v>
      </c>
      <c r="G639" s="1">
        <v>7.4999999999999997E-3</v>
      </c>
      <c r="H639" t="s">
        <v>550</v>
      </c>
      <c r="I639" t="s">
        <v>551</v>
      </c>
    </row>
    <row r="640" spans="1:9" x14ac:dyDescent="0.3">
      <c r="A640">
        <v>328</v>
      </c>
      <c r="B640" t="s">
        <v>486</v>
      </c>
      <c r="C640" t="s">
        <v>1096</v>
      </c>
      <c r="D640" s="4">
        <f>1.39*1000</f>
        <v>1390</v>
      </c>
      <c r="E640" t="s">
        <v>1093</v>
      </c>
      <c r="F640" s="1">
        <v>-3.1099999999999999E-2</v>
      </c>
      <c r="G640" s="1">
        <v>6.7999999999999996E-3</v>
      </c>
      <c r="H640" t="s">
        <v>550</v>
      </c>
      <c r="I640" t="s">
        <v>1097</v>
      </c>
    </row>
    <row r="641" spans="1:9" x14ac:dyDescent="0.3">
      <c r="A641">
        <v>507</v>
      </c>
      <c r="B641" t="s">
        <v>12</v>
      </c>
      <c r="C641" t="s">
        <v>1648</v>
      </c>
      <c r="D641" s="4">
        <v>619.41999999999996</v>
      </c>
      <c r="E641" t="s">
        <v>1649</v>
      </c>
      <c r="F641" s="1">
        <v>-7.7000000000000002E-3</v>
      </c>
      <c r="G641" s="1">
        <v>4.7000000000000002E-3</v>
      </c>
      <c r="H641" t="s">
        <v>550</v>
      </c>
      <c r="I641" t="s">
        <v>1650</v>
      </c>
    </row>
    <row r="642" spans="1:9" x14ac:dyDescent="0.3">
      <c r="A642">
        <v>656</v>
      </c>
      <c r="B642" t="s">
        <v>400</v>
      </c>
      <c r="C642" t="s">
        <v>2152</v>
      </c>
      <c r="D642" s="4">
        <v>336.68</v>
      </c>
      <c r="E642" t="s">
        <v>2153</v>
      </c>
      <c r="F642" s="1">
        <v>-8.1100000000000005E-2</v>
      </c>
      <c r="G642" s="1">
        <v>7.0000000000000001E-3</v>
      </c>
      <c r="H642" t="s">
        <v>550</v>
      </c>
      <c r="I642" t="s">
        <v>2154</v>
      </c>
    </row>
    <row r="643" spans="1:9" x14ac:dyDescent="0.3">
      <c r="A643">
        <v>734</v>
      </c>
      <c r="B643" t="s">
        <v>1308</v>
      </c>
      <c r="C643" t="s">
        <v>2405</v>
      </c>
      <c r="D643" s="4">
        <v>235.95</v>
      </c>
      <c r="E643" t="s">
        <v>2406</v>
      </c>
      <c r="F643" s="1">
        <v>-7.6999999999999999E-2</v>
      </c>
      <c r="G643" s="1">
        <v>5.8999999999999999E-3</v>
      </c>
      <c r="H643" t="s">
        <v>550</v>
      </c>
      <c r="I643" t="s">
        <v>2407</v>
      </c>
    </row>
    <row r="644" spans="1:9" x14ac:dyDescent="0.3">
      <c r="A644">
        <v>1182</v>
      </c>
      <c r="B644" t="s">
        <v>1150</v>
      </c>
      <c r="C644" t="s">
        <v>3850</v>
      </c>
      <c r="D644" s="4">
        <v>52.76</v>
      </c>
      <c r="E644" t="s">
        <v>3851</v>
      </c>
      <c r="F644" s="1">
        <v>-0.32829999999999998</v>
      </c>
      <c r="G644" s="1">
        <v>3.0000000000000001E-3</v>
      </c>
      <c r="H644" t="s">
        <v>550</v>
      </c>
      <c r="I644" t="s">
        <v>3852</v>
      </c>
    </row>
    <row r="645" spans="1:9" x14ac:dyDescent="0.3">
      <c r="A645">
        <v>1241</v>
      </c>
      <c r="B645" t="s">
        <v>460</v>
      </c>
      <c r="C645" t="s">
        <v>4034</v>
      </c>
      <c r="D645" s="4">
        <v>43.41</v>
      </c>
      <c r="E645" t="s">
        <v>4035</v>
      </c>
      <c r="F645" s="1">
        <v>-0.121</v>
      </c>
      <c r="G645" s="1">
        <v>3.8999999999999998E-3</v>
      </c>
      <c r="H645" t="s">
        <v>550</v>
      </c>
      <c r="I645" t="s">
        <v>4036</v>
      </c>
    </row>
    <row r="646" spans="1:9" x14ac:dyDescent="0.3">
      <c r="A646">
        <v>1349</v>
      </c>
      <c r="B646" t="s">
        <v>588</v>
      </c>
      <c r="C646" t="s">
        <v>4391</v>
      </c>
      <c r="D646" s="4">
        <v>30.37</v>
      </c>
      <c r="E646" t="s">
        <v>4392</v>
      </c>
      <c r="F646" s="1">
        <v>-0.22109999999999999</v>
      </c>
      <c r="G646" s="1">
        <v>4.4999999999999997E-3</v>
      </c>
      <c r="H646" t="s">
        <v>550</v>
      </c>
      <c r="I646" t="s">
        <v>4393</v>
      </c>
    </row>
    <row r="647" spans="1:9" x14ac:dyDescent="0.3">
      <c r="A647">
        <v>1405</v>
      </c>
      <c r="B647" t="s">
        <v>486</v>
      </c>
      <c r="C647" t="s">
        <v>4563</v>
      </c>
      <c r="D647" s="4">
        <v>25.26</v>
      </c>
      <c r="E647" t="s">
        <v>4561</v>
      </c>
      <c r="F647" s="1">
        <v>-0.34860000000000002</v>
      </c>
      <c r="G647" s="1">
        <v>5.0000000000000001E-3</v>
      </c>
      <c r="H647" t="s">
        <v>550</v>
      </c>
      <c r="I647" t="s">
        <v>4564</v>
      </c>
    </row>
    <row r="648" spans="1:9" x14ac:dyDescent="0.3">
      <c r="A648">
        <v>1555</v>
      </c>
      <c r="B648" t="s">
        <v>4636</v>
      </c>
      <c r="C648" t="s">
        <v>5031</v>
      </c>
      <c r="D648" s="4">
        <v>15.56</v>
      </c>
      <c r="E648" t="s">
        <v>5032</v>
      </c>
      <c r="F648" s="1">
        <v>-5.2600000000000001E-2</v>
      </c>
      <c r="G648" s="1">
        <v>6.7999999999999996E-3</v>
      </c>
      <c r="H648" t="s">
        <v>550</v>
      </c>
      <c r="I648" t="s">
        <v>5033</v>
      </c>
    </row>
    <row r="649" spans="1:9" x14ac:dyDescent="0.3">
      <c r="A649">
        <v>1612</v>
      </c>
      <c r="B649" t="s">
        <v>979</v>
      </c>
      <c r="C649" t="s">
        <v>5214</v>
      </c>
      <c r="D649" s="4">
        <v>11.07</v>
      </c>
      <c r="E649" t="s">
        <v>5215</v>
      </c>
      <c r="F649" s="1">
        <v>-3.7600000000000001E-2</v>
      </c>
      <c r="G649" s="1">
        <v>6.4999999999999997E-3</v>
      </c>
      <c r="H649" t="s">
        <v>550</v>
      </c>
      <c r="I649" t="s">
        <v>5216</v>
      </c>
    </row>
    <row r="650" spans="1:9" x14ac:dyDescent="0.3">
      <c r="A650">
        <v>1666</v>
      </c>
      <c r="B650" t="s">
        <v>1842</v>
      </c>
      <c r="C650" t="s">
        <v>5385</v>
      </c>
      <c r="D650" s="4">
        <v>8.36</v>
      </c>
      <c r="E650" t="s">
        <v>5383</v>
      </c>
      <c r="F650" s="1">
        <v>5.7799999999999997E-2</v>
      </c>
      <c r="G650" s="1">
        <v>9.4999999999999998E-3</v>
      </c>
      <c r="H650" t="s">
        <v>550</v>
      </c>
      <c r="I650" t="s">
        <v>5386</v>
      </c>
    </row>
    <row r="651" spans="1:9" x14ac:dyDescent="0.3">
      <c r="A651">
        <v>1729</v>
      </c>
      <c r="B651" t="s">
        <v>1864</v>
      </c>
      <c r="C651" t="s">
        <v>5576</v>
      </c>
      <c r="D651" s="4">
        <v>6.07</v>
      </c>
      <c r="E651" t="s">
        <v>5574</v>
      </c>
      <c r="F651" s="1">
        <v>-3.4299999999999997E-2</v>
      </c>
      <c r="G651" s="1">
        <v>4.4999999999999997E-3</v>
      </c>
      <c r="H651" t="s">
        <v>550</v>
      </c>
      <c r="I651" t="s">
        <v>5577</v>
      </c>
    </row>
    <row r="652" spans="1:9" x14ac:dyDescent="0.3">
      <c r="A652">
        <v>126</v>
      </c>
      <c r="B652" t="s">
        <v>444</v>
      </c>
      <c r="C652" t="s">
        <v>445</v>
      </c>
      <c r="D652" s="4">
        <f>6.76*1000</f>
        <v>6760</v>
      </c>
      <c r="E652" t="s">
        <v>446</v>
      </c>
      <c r="F652" s="1">
        <v>5.6399999999999999E-2</v>
      </c>
      <c r="G652" s="1">
        <v>4.5999999999999999E-3</v>
      </c>
      <c r="H652" t="s">
        <v>447</v>
      </c>
      <c r="I652" t="s">
        <v>448</v>
      </c>
    </row>
    <row r="653" spans="1:9" x14ac:dyDescent="0.3">
      <c r="A653">
        <v>243</v>
      </c>
      <c r="B653" t="s">
        <v>7</v>
      </c>
      <c r="C653" t="s">
        <v>834</v>
      </c>
      <c r="D653" s="4">
        <f>2.51*1000</f>
        <v>2510</v>
      </c>
      <c r="E653" t="s">
        <v>832</v>
      </c>
      <c r="F653" s="1">
        <v>5.0900000000000001E-2</v>
      </c>
      <c r="G653" s="1">
        <v>4.0000000000000001E-3</v>
      </c>
      <c r="H653" t="s">
        <v>447</v>
      </c>
      <c r="I653" t="s">
        <v>835</v>
      </c>
    </row>
    <row r="654" spans="1:9" x14ac:dyDescent="0.3">
      <c r="A654">
        <v>1020</v>
      </c>
      <c r="B654" t="s">
        <v>272</v>
      </c>
      <c r="C654" t="s">
        <v>3322</v>
      </c>
      <c r="D654" s="4">
        <v>93.47</v>
      </c>
      <c r="E654" t="s">
        <v>3323</v>
      </c>
      <c r="F654" s="1">
        <v>2.2800000000000001E-2</v>
      </c>
      <c r="G654" s="1">
        <v>4.8999999999999998E-3</v>
      </c>
      <c r="H654" t="s">
        <v>447</v>
      </c>
      <c r="I654" t="s">
        <v>3324</v>
      </c>
    </row>
    <row r="655" spans="1:9" x14ac:dyDescent="0.3">
      <c r="A655">
        <v>1263</v>
      </c>
      <c r="B655" t="s">
        <v>280</v>
      </c>
      <c r="C655" t="s">
        <v>4103</v>
      </c>
      <c r="D655" s="4">
        <v>40.770000000000003</v>
      </c>
      <c r="E655" t="s">
        <v>4104</v>
      </c>
      <c r="F655" s="1">
        <v>0.12709999999999999</v>
      </c>
      <c r="G655" s="1">
        <v>7.0000000000000001E-3</v>
      </c>
      <c r="H655" t="s">
        <v>447</v>
      </c>
      <c r="I655" t="s">
        <v>4105</v>
      </c>
    </row>
    <row r="656" spans="1:9" x14ac:dyDescent="0.3">
      <c r="A656">
        <v>359</v>
      </c>
      <c r="B656" t="s">
        <v>486</v>
      </c>
      <c r="C656" t="s">
        <v>1185</v>
      </c>
      <c r="D656" s="4">
        <f>1.17*1000</f>
        <v>1170</v>
      </c>
      <c r="E656" t="s">
        <v>1178</v>
      </c>
      <c r="F656" s="1">
        <v>-0.23219999999999999</v>
      </c>
      <c r="G656" s="1">
        <v>6.8999999999999999E-3</v>
      </c>
      <c r="H656" t="s">
        <v>1186</v>
      </c>
      <c r="I656" t="s">
        <v>1187</v>
      </c>
    </row>
    <row r="657" spans="1:9" x14ac:dyDescent="0.3">
      <c r="A657">
        <v>487</v>
      </c>
      <c r="B657" t="s">
        <v>979</v>
      </c>
      <c r="C657" t="s">
        <v>1586</v>
      </c>
      <c r="D657" s="4">
        <v>681.71</v>
      </c>
      <c r="E657" t="s">
        <v>1587</v>
      </c>
      <c r="F657" s="1">
        <v>-0.26850000000000002</v>
      </c>
      <c r="G657" s="1">
        <v>8.5000000000000006E-3</v>
      </c>
      <c r="H657" t="s">
        <v>1186</v>
      </c>
      <c r="I657" t="s">
        <v>1588</v>
      </c>
    </row>
    <row r="658" spans="1:9" x14ac:dyDescent="0.3">
      <c r="A658">
        <v>1305</v>
      </c>
      <c r="B658" t="s">
        <v>272</v>
      </c>
      <c r="C658" t="s">
        <v>4244</v>
      </c>
      <c r="D658" s="4">
        <v>35.409999999999997</v>
      </c>
      <c r="E658" t="s">
        <v>4245</v>
      </c>
      <c r="F658" s="1">
        <v>-4.58E-2</v>
      </c>
      <c r="G658" s="1">
        <v>6.1000000000000004E-3</v>
      </c>
      <c r="H658" t="s">
        <v>1186</v>
      </c>
      <c r="I658" t="s">
        <v>4246</v>
      </c>
    </row>
    <row r="659" spans="1:9" x14ac:dyDescent="0.3">
      <c r="A659">
        <v>1509</v>
      </c>
      <c r="B659" t="s">
        <v>272</v>
      </c>
      <c r="C659" t="s">
        <v>4894</v>
      </c>
      <c r="D659" s="4">
        <v>17.87</v>
      </c>
      <c r="E659" t="s">
        <v>4895</v>
      </c>
      <c r="F659" s="1">
        <v>-6.4500000000000002E-2</v>
      </c>
      <c r="G659" s="1">
        <v>6.0000000000000001E-3</v>
      </c>
      <c r="H659" t="s">
        <v>4896</v>
      </c>
      <c r="I659" t="s">
        <v>4897</v>
      </c>
    </row>
    <row r="660" spans="1:9" x14ac:dyDescent="0.3">
      <c r="A660">
        <v>1034</v>
      </c>
      <c r="B660" t="s">
        <v>12</v>
      </c>
      <c r="C660" t="s">
        <v>3367</v>
      </c>
      <c r="D660" s="4">
        <v>91.07</v>
      </c>
      <c r="E660" t="s">
        <v>3368</v>
      </c>
      <c r="F660" s="1">
        <v>5.3800000000000001E-2</v>
      </c>
      <c r="G660" s="1">
        <v>3.8999999999999998E-3</v>
      </c>
      <c r="H660" t="s">
        <v>3369</v>
      </c>
      <c r="I660" t="s">
        <v>3370</v>
      </c>
    </row>
    <row r="661" spans="1:9" x14ac:dyDescent="0.3">
      <c r="A661">
        <v>1716</v>
      </c>
      <c r="B661" t="s">
        <v>1289</v>
      </c>
      <c r="C661" t="s">
        <v>5533</v>
      </c>
      <c r="D661" s="4">
        <v>6.47</v>
      </c>
      <c r="E661" t="s">
        <v>5534</v>
      </c>
      <c r="F661" s="1">
        <v>-0.4723</v>
      </c>
      <c r="G661" s="1">
        <v>6.7999999999999996E-3</v>
      </c>
      <c r="H661" t="s">
        <v>5535</v>
      </c>
      <c r="I661" t="s">
        <v>5536</v>
      </c>
    </row>
    <row r="662" spans="1:9" x14ac:dyDescent="0.3">
      <c r="A662">
        <v>1824</v>
      </c>
      <c r="B662" t="s">
        <v>588</v>
      </c>
      <c r="C662" t="s">
        <v>5864</v>
      </c>
      <c r="D662" s="4">
        <v>3</v>
      </c>
      <c r="E662" t="s">
        <v>5862</v>
      </c>
      <c r="F662" t="s">
        <v>662</v>
      </c>
      <c r="G662" s="1">
        <v>6.4999999999999997E-3</v>
      </c>
      <c r="H662" t="s">
        <v>5535</v>
      </c>
      <c r="I662" t="s">
        <v>5865</v>
      </c>
    </row>
    <row r="663" spans="1:9" x14ac:dyDescent="0.3">
      <c r="A663">
        <v>619</v>
      </c>
      <c r="B663" t="s">
        <v>272</v>
      </c>
      <c r="C663" t="s">
        <v>2028</v>
      </c>
      <c r="D663" s="4">
        <v>384.35</v>
      </c>
      <c r="E663" t="s">
        <v>2029</v>
      </c>
      <c r="F663" s="1">
        <v>1.04E-2</v>
      </c>
      <c r="G663" s="1">
        <v>3.5000000000000001E-3</v>
      </c>
      <c r="H663" t="s">
        <v>2030</v>
      </c>
      <c r="I663" t="s">
        <v>2031</v>
      </c>
    </row>
    <row r="664" spans="1:9" x14ac:dyDescent="0.3">
      <c r="A664">
        <v>292</v>
      </c>
      <c r="B664" t="s">
        <v>7</v>
      </c>
      <c r="C664" t="s">
        <v>993</v>
      </c>
      <c r="D664" s="4">
        <f>1.74*1000</f>
        <v>1740</v>
      </c>
      <c r="E664" t="s">
        <v>991</v>
      </c>
      <c r="F664" s="1">
        <v>-1.2800000000000001E-2</v>
      </c>
      <c r="G664" s="1">
        <v>5.0000000000000001E-3</v>
      </c>
      <c r="H664" t="s">
        <v>994</v>
      </c>
      <c r="I664" t="s">
        <v>995</v>
      </c>
    </row>
    <row r="665" spans="1:9" x14ac:dyDescent="0.3">
      <c r="A665">
        <v>578</v>
      </c>
      <c r="B665" t="s">
        <v>444</v>
      </c>
      <c r="C665" t="s">
        <v>1888</v>
      </c>
      <c r="D665" s="4">
        <v>439.86</v>
      </c>
      <c r="E665" t="s">
        <v>1889</v>
      </c>
      <c r="F665" s="1">
        <v>-5.1999999999999998E-3</v>
      </c>
      <c r="G665" s="1">
        <v>4.4999999999999997E-3</v>
      </c>
      <c r="H665" t="s">
        <v>994</v>
      </c>
      <c r="I665" t="s">
        <v>1890</v>
      </c>
    </row>
    <row r="666" spans="1:9" x14ac:dyDescent="0.3">
      <c r="A666">
        <v>1442</v>
      </c>
      <c r="B666" t="s">
        <v>863</v>
      </c>
      <c r="C666" t="s">
        <v>4686</v>
      </c>
      <c r="D666" s="4">
        <v>22.48</v>
      </c>
      <c r="E666" t="s">
        <v>4687</v>
      </c>
      <c r="F666" s="1">
        <v>-1.61E-2</v>
      </c>
      <c r="G666" s="1">
        <v>1.6999999999999999E-3</v>
      </c>
      <c r="H666" t="s">
        <v>994</v>
      </c>
      <c r="I666" t="s">
        <v>4688</v>
      </c>
    </row>
    <row r="667" spans="1:9" x14ac:dyDescent="0.3">
      <c r="A667">
        <v>1446</v>
      </c>
      <c r="B667" t="s">
        <v>460</v>
      </c>
      <c r="C667" t="s">
        <v>4698</v>
      </c>
      <c r="D667" s="4">
        <v>22.37</v>
      </c>
      <c r="E667" t="s">
        <v>4699</v>
      </c>
      <c r="F667" s="1">
        <v>-5.0000000000000001E-3</v>
      </c>
      <c r="G667" s="1">
        <v>5.8999999999999999E-3</v>
      </c>
      <c r="H667" t="s">
        <v>994</v>
      </c>
      <c r="I667" t="s">
        <v>4700</v>
      </c>
    </row>
    <row r="668" spans="1:9" x14ac:dyDescent="0.3">
      <c r="A668">
        <v>1461</v>
      </c>
      <c r="B668" t="s">
        <v>2070</v>
      </c>
      <c r="C668" t="s">
        <v>4745</v>
      </c>
      <c r="D668" s="4">
        <v>21.26</v>
      </c>
      <c r="E668" t="s">
        <v>4746</v>
      </c>
      <c r="F668" s="1">
        <v>5.9999999999999995E-4</v>
      </c>
      <c r="G668" s="1">
        <v>5.8999999999999999E-3</v>
      </c>
      <c r="H668" t="s">
        <v>994</v>
      </c>
      <c r="I668" t="s">
        <v>4747</v>
      </c>
    </row>
    <row r="669" spans="1:9" x14ac:dyDescent="0.3">
      <c r="A669">
        <v>1520</v>
      </c>
      <c r="B669" t="s">
        <v>248</v>
      </c>
      <c r="C669" t="s">
        <v>4927</v>
      </c>
      <c r="D669" s="4">
        <v>17.399999999999999</v>
      </c>
      <c r="E669" t="s">
        <v>4924</v>
      </c>
      <c r="F669" t="s">
        <v>662</v>
      </c>
      <c r="G669" s="1">
        <v>7.4999999999999997E-3</v>
      </c>
      <c r="H669" t="s">
        <v>994</v>
      </c>
      <c r="I669" t="s">
        <v>4928</v>
      </c>
    </row>
    <row r="670" spans="1:9" x14ac:dyDescent="0.3">
      <c r="A670">
        <v>1854</v>
      </c>
      <c r="B670" t="s">
        <v>921</v>
      </c>
      <c r="C670" t="s">
        <v>5955</v>
      </c>
      <c r="D670" s="4">
        <v>1.88</v>
      </c>
      <c r="E670" t="s">
        <v>5953</v>
      </c>
      <c r="F670" s="1">
        <v>-0.26500000000000001</v>
      </c>
      <c r="G670" s="1">
        <v>7.4999999999999997E-3</v>
      </c>
      <c r="H670" t="s">
        <v>994</v>
      </c>
      <c r="I670" t="s">
        <v>5956</v>
      </c>
    </row>
    <row r="671" spans="1:9" x14ac:dyDescent="0.3">
      <c r="A671">
        <v>203</v>
      </c>
      <c r="B671" t="s">
        <v>12</v>
      </c>
      <c r="C671" t="s">
        <v>703</v>
      </c>
      <c r="D671" s="4">
        <f>3.48*1000</f>
        <v>3480</v>
      </c>
      <c r="E671" t="s">
        <v>704</v>
      </c>
      <c r="F671" s="1">
        <v>-1.04E-2</v>
      </c>
      <c r="G671" s="1">
        <v>1.4E-3</v>
      </c>
      <c r="H671" t="s">
        <v>705</v>
      </c>
      <c r="I671" t="s">
        <v>706</v>
      </c>
    </row>
    <row r="672" spans="1:9" x14ac:dyDescent="0.3">
      <c r="A672">
        <v>607</v>
      </c>
      <c r="B672" t="s">
        <v>486</v>
      </c>
      <c r="C672" t="s">
        <v>1988</v>
      </c>
      <c r="D672" s="4">
        <v>402.19</v>
      </c>
      <c r="E672" t="s">
        <v>1989</v>
      </c>
      <c r="F672" s="1">
        <v>-6.93E-2</v>
      </c>
      <c r="G672" s="1">
        <v>5.7999999999999996E-3</v>
      </c>
      <c r="H672" t="s">
        <v>705</v>
      </c>
      <c r="I672" t="s">
        <v>1990</v>
      </c>
    </row>
    <row r="673" spans="1:9" x14ac:dyDescent="0.3">
      <c r="A673">
        <v>1385</v>
      </c>
      <c r="B673" t="s">
        <v>2087</v>
      </c>
      <c r="C673" t="s">
        <v>4502</v>
      </c>
      <c r="D673" s="4">
        <v>26.68</v>
      </c>
      <c r="E673" t="s">
        <v>4503</v>
      </c>
      <c r="F673" s="1">
        <v>2.5499999999999998E-2</v>
      </c>
      <c r="G673" s="1">
        <v>6.8999999999999999E-3</v>
      </c>
      <c r="H673" t="s">
        <v>705</v>
      </c>
      <c r="I673" t="s">
        <v>4504</v>
      </c>
    </row>
    <row r="674" spans="1:9" x14ac:dyDescent="0.3">
      <c r="A674">
        <v>1734</v>
      </c>
      <c r="B674" t="s">
        <v>12</v>
      </c>
      <c r="C674" t="s">
        <v>5589</v>
      </c>
      <c r="D674" s="4">
        <v>5.94</v>
      </c>
      <c r="E674" t="s">
        <v>5590</v>
      </c>
      <c r="F674" s="1">
        <v>-0.29559999999999997</v>
      </c>
      <c r="G674" s="1">
        <v>4.7000000000000002E-3</v>
      </c>
      <c r="H674" t="s">
        <v>5591</v>
      </c>
      <c r="I674" t="s">
        <v>5592</v>
      </c>
    </row>
    <row r="675" spans="1:9" x14ac:dyDescent="0.3">
      <c r="A675">
        <v>1911</v>
      </c>
      <c r="B675" t="s">
        <v>5707</v>
      </c>
      <c r="C675" t="s">
        <v>6133</v>
      </c>
      <c r="D675" s="4" t="s">
        <v>662</v>
      </c>
      <c r="E675" t="s">
        <v>662</v>
      </c>
      <c r="F675" s="1">
        <v>-0.2094</v>
      </c>
      <c r="G675" s="1">
        <v>5.8999999999999999E-3</v>
      </c>
      <c r="H675" t="s">
        <v>595</v>
      </c>
      <c r="I675" t="s">
        <v>6134</v>
      </c>
    </row>
    <row r="676" spans="1:9" x14ac:dyDescent="0.3">
      <c r="A676">
        <v>1917</v>
      </c>
      <c r="B676" t="s">
        <v>4636</v>
      </c>
      <c r="C676" t="s">
        <v>5649</v>
      </c>
      <c r="D676" s="4" t="s">
        <v>662</v>
      </c>
      <c r="E676" t="s">
        <v>662</v>
      </c>
      <c r="F676" s="1">
        <v>8.9999999999999998E-4</v>
      </c>
      <c r="G676" t="s">
        <v>662</v>
      </c>
      <c r="H676" t="s">
        <v>595</v>
      </c>
      <c r="I676" t="s">
        <v>6147</v>
      </c>
    </row>
    <row r="677" spans="1:9" x14ac:dyDescent="0.3">
      <c r="A677">
        <v>169</v>
      </c>
      <c r="B677" t="s">
        <v>12</v>
      </c>
      <c r="C677" t="s">
        <v>593</v>
      </c>
      <c r="D677" s="4">
        <f>4.74*1000</f>
        <v>4740</v>
      </c>
      <c r="E677" t="s">
        <v>594</v>
      </c>
      <c r="F677" s="1">
        <v>-0.22500000000000001</v>
      </c>
      <c r="G677" s="1">
        <v>4.1999999999999997E-3</v>
      </c>
      <c r="H677" t="s">
        <v>595</v>
      </c>
      <c r="I677" t="s">
        <v>596</v>
      </c>
    </row>
    <row r="678" spans="1:9" x14ac:dyDescent="0.3">
      <c r="A678">
        <v>267</v>
      </c>
      <c r="B678" t="s">
        <v>24</v>
      </c>
      <c r="C678" t="s">
        <v>911</v>
      </c>
      <c r="D678" s="4">
        <f>2.07*1000</f>
        <v>2070</v>
      </c>
      <c r="E678" t="s">
        <v>912</v>
      </c>
      <c r="F678" s="1">
        <v>-0.29299999999999998</v>
      </c>
      <c r="G678" s="1">
        <v>6.8999999999999999E-3</v>
      </c>
      <c r="H678" t="s">
        <v>595</v>
      </c>
      <c r="I678" t="s">
        <v>913</v>
      </c>
    </row>
    <row r="679" spans="1:9" x14ac:dyDescent="0.3">
      <c r="A679">
        <v>368</v>
      </c>
      <c r="B679" t="s">
        <v>24</v>
      </c>
      <c r="C679" t="s">
        <v>1208</v>
      </c>
      <c r="D679" s="4">
        <f>1.14*1000</f>
        <v>1140</v>
      </c>
      <c r="E679" t="s">
        <v>1206</v>
      </c>
      <c r="F679" s="1">
        <v>-0.31580000000000003</v>
      </c>
      <c r="G679" s="1">
        <v>6.1000000000000004E-3</v>
      </c>
      <c r="H679" t="s">
        <v>595</v>
      </c>
      <c r="I679" t="s">
        <v>1209</v>
      </c>
    </row>
    <row r="680" spans="1:9" x14ac:dyDescent="0.3">
      <c r="A680">
        <v>673</v>
      </c>
      <c r="B680" t="s">
        <v>280</v>
      </c>
      <c r="C680" t="s">
        <v>2204</v>
      </c>
      <c r="D680" s="4">
        <v>317.08</v>
      </c>
      <c r="E680" t="s">
        <v>2205</v>
      </c>
      <c r="F680" s="1">
        <v>-0.13769999999999999</v>
      </c>
      <c r="G680" s="1">
        <v>6.1999999999999998E-3</v>
      </c>
      <c r="H680" t="s">
        <v>595</v>
      </c>
      <c r="I680" t="s">
        <v>2206</v>
      </c>
    </row>
    <row r="681" spans="1:9" x14ac:dyDescent="0.3">
      <c r="A681">
        <v>706</v>
      </c>
      <c r="B681" t="s">
        <v>24</v>
      </c>
      <c r="C681" t="s">
        <v>2311</v>
      </c>
      <c r="D681" s="4">
        <v>263.93</v>
      </c>
      <c r="E681" t="s">
        <v>2312</v>
      </c>
      <c r="F681" s="1">
        <v>-0.24540000000000001</v>
      </c>
      <c r="G681" s="1">
        <v>7.4999999999999997E-3</v>
      </c>
      <c r="H681" t="s">
        <v>595</v>
      </c>
      <c r="I681" t="s">
        <v>2313</v>
      </c>
    </row>
    <row r="682" spans="1:9" x14ac:dyDescent="0.3">
      <c r="A682">
        <v>947</v>
      </c>
      <c r="B682" t="s">
        <v>486</v>
      </c>
      <c r="C682" t="s">
        <v>3087</v>
      </c>
      <c r="D682" s="4">
        <v>120.45</v>
      </c>
      <c r="E682" t="s">
        <v>3088</v>
      </c>
      <c r="F682" s="1">
        <v>-0.13289999999999999</v>
      </c>
      <c r="G682" s="1">
        <v>6.4999999999999997E-3</v>
      </c>
      <c r="H682" t="s">
        <v>595</v>
      </c>
      <c r="I682" t="s">
        <v>3089</v>
      </c>
    </row>
    <row r="683" spans="1:9" x14ac:dyDescent="0.3">
      <c r="A683">
        <v>1458</v>
      </c>
      <c r="B683" t="s">
        <v>460</v>
      </c>
      <c r="C683" t="s">
        <v>4736</v>
      </c>
      <c r="D683" s="4">
        <v>21.47</v>
      </c>
      <c r="E683" t="s">
        <v>4737</v>
      </c>
      <c r="F683" s="1">
        <v>-0.2349</v>
      </c>
      <c r="G683" s="1">
        <v>3.8999999999999998E-3</v>
      </c>
      <c r="H683" t="s">
        <v>595</v>
      </c>
      <c r="I683" t="s">
        <v>4738</v>
      </c>
    </row>
    <row r="684" spans="1:9" x14ac:dyDescent="0.3">
      <c r="A684">
        <v>1682</v>
      </c>
      <c r="B684" t="s">
        <v>486</v>
      </c>
      <c r="C684" t="s">
        <v>5433</v>
      </c>
      <c r="D684" s="4">
        <v>7.7</v>
      </c>
      <c r="E684" t="s">
        <v>5431</v>
      </c>
      <c r="F684" s="1">
        <v>-0.2455</v>
      </c>
      <c r="G684" s="1">
        <v>5.0000000000000001E-3</v>
      </c>
      <c r="H684" t="s">
        <v>595</v>
      </c>
      <c r="I684" t="s">
        <v>5434</v>
      </c>
    </row>
    <row r="685" spans="1:9" x14ac:dyDescent="0.3">
      <c r="A685">
        <v>1754</v>
      </c>
      <c r="B685" t="s">
        <v>4636</v>
      </c>
      <c r="C685" t="s">
        <v>5649</v>
      </c>
      <c r="D685" s="4">
        <v>5.3</v>
      </c>
      <c r="E685" t="s">
        <v>5650</v>
      </c>
      <c r="F685" t="s">
        <v>662</v>
      </c>
      <c r="G685" s="1">
        <v>7.9000000000000008E-3</v>
      </c>
      <c r="H685" t="s">
        <v>595</v>
      </c>
      <c r="I685" t="s">
        <v>5651</v>
      </c>
    </row>
    <row r="686" spans="1:9" x14ac:dyDescent="0.3">
      <c r="A686">
        <v>1788</v>
      </c>
      <c r="B686" t="s">
        <v>486</v>
      </c>
      <c r="C686" t="s">
        <v>5753</v>
      </c>
      <c r="D686" s="4">
        <v>3.96</v>
      </c>
      <c r="E686" t="s">
        <v>5754</v>
      </c>
      <c r="F686" s="1">
        <v>-0.17330000000000001</v>
      </c>
      <c r="G686" s="1">
        <v>5.0000000000000001E-3</v>
      </c>
      <c r="H686" t="s">
        <v>595</v>
      </c>
      <c r="I686" t="s">
        <v>5755</v>
      </c>
    </row>
    <row r="687" spans="1:9" x14ac:dyDescent="0.3">
      <c r="A687">
        <v>1861</v>
      </c>
      <c r="B687" t="s">
        <v>2087</v>
      </c>
      <c r="C687" t="s">
        <v>5976</v>
      </c>
      <c r="D687" s="4">
        <v>1.7</v>
      </c>
      <c r="E687" t="s">
        <v>5974</v>
      </c>
      <c r="F687" s="1">
        <v>-0.2223</v>
      </c>
      <c r="G687" s="1">
        <v>6.4999999999999997E-3</v>
      </c>
      <c r="H687" t="s">
        <v>595</v>
      </c>
      <c r="I687" t="s">
        <v>5977</v>
      </c>
    </row>
    <row r="688" spans="1:9" x14ac:dyDescent="0.3">
      <c r="A688">
        <v>288</v>
      </c>
      <c r="B688" t="s">
        <v>979</v>
      </c>
      <c r="C688" t="s">
        <v>980</v>
      </c>
      <c r="D688" s="4">
        <f>1.76*1000</f>
        <v>1760</v>
      </c>
      <c r="E688" t="s">
        <v>981</v>
      </c>
      <c r="F688" s="1">
        <v>-7.22E-2</v>
      </c>
      <c r="G688" s="1">
        <v>9.4999999999999998E-3</v>
      </c>
      <c r="H688" t="s">
        <v>982</v>
      </c>
      <c r="I688" t="s">
        <v>983</v>
      </c>
    </row>
    <row r="689" spans="1:9" x14ac:dyDescent="0.3">
      <c r="A689">
        <v>293</v>
      </c>
      <c r="B689" t="s">
        <v>295</v>
      </c>
      <c r="C689" t="s">
        <v>996</v>
      </c>
      <c r="D689" s="4">
        <f>1.73*1000</f>
        <v>1730</v>
      </c>
      <c r="E689" t="s">
        <v>997</v>
      </c>
      <c r="F689" s="1">
        <v>-0.20599999999999999</v>
      </c>
      <c r="G689" s="1">
        <v>7.4999999999999997E-3</v>
      </c>
      <c r="H689" t="s">
        <v>982</v>
      </c>
      <c r="I689" t="s">
        <v>998</v>
      </c>
    </row>
    <row r="690" spans="1:9" x14ac:dyDescent="0.3">
      <c r="A690">
        <v>630</v>
      </c>
      <c r="B690" t="s">
        <v>12</v>
      </c>
      <c r="C690" t="s">
        <v>2067</v>
      </c>
      <c r="D690" s="4">
        <v>376.8</v>
      </c>
      <c r="E690" t="s">
        <v>2068</v>
      </c>
      <c r="F690" s="1">
        <v>-0.184</v>
      </c>
      <c r="G690" s="1">
        <v>4.7000000000000002E-3</v>
      </c>
      <c r="H690" t="s">
        <v>982</v>
      </c>
      <c r="I690" t="s">
        <v>2069</v>
      </c>
    </row>
    <row r="691" spans="1:9" x14ac:dyDescent="0.3">
      <c r="A691">
        <v>668</v>
      </c>
      <c r="B691" t="s">
        <v>295</v>
      </c>
      <c r="C691" t="s">
        <v>2190</v>
      </c>
      <c r="D691" s="4">
        <v>322.10000000000002</v>
      </c>
      <c r="E691" t="s">
        <v>2191</v>
      </c>
      <c r="F691" s="1">
        <v>-0.20180000000000001</v>
      </c>
      <c r="G691" s="1">
        <v>6.6E-3</v>
      </c>
      <c r="H691" t="s">
        <v>982</v>
      </c>
      <c r="I691" t="s">
        <v>2192</v>
      </c>
    </row>
    <row r="692" spans="1:9" x14ac:dyDescent="0.3">
      <c r="A692">
        <v>702</v>
      </c>
      <c r="B692" t="s">
        <v>280</v>
      </c>
      <c r="C692" t="s">
        <v>2300</v>
      </c>
      <c r="D692" s="4">
        <v>273.98</v>
      </c>
      <c r="E692" t="s">
        <v>2298</v>
      </c>
      <c r="F692" s="1">
        <v>-0.1164</v>
      </c>
      <c r="G692" s="1">
        <v>6.4999999999999997E-3</v>
      </c>
      <c r="H692" t="s">
        <v>982</v>
      </c>
      <c r="I692" t="s">
        <v>2301</v>
      </c>
    </row>
    <row r="693" spans="1:9" x14ac:dyDescent="0.3">
      <c r="A693">
        <v>1303</v>
      </c>
      <c r="B693" t="s">
        <v>979</v>
      </c>
      <c r="C693" t="s">
        <v>4237</v>
      </c>
      <c r="D693" s="4">
        <v>35.69</v>
      </c>
      <c r="E693" t="s">
        <v>4238</v>
      </c>
      <c r="F693" s="1">
        <v>-0.18579999999999999</v>
      </c>
      <c r="G693" s="1">
        <v>6.7999999999999996E-3</v>
      </c>
      <c r="H693" t="s">
        <v>982</v>
      </c>
      <c r="I693" t="s">
        <v>4239</v>
      </c>
    </row>
    <row r="694" spans="1:9" x14ac:dyDescent="0.3">
      <c r="A694">
        <v>1608</v>
      </c>
      <c r="B694" t="s">
        <v>1340</v>
      </c>
      <c r="C694" t="s">
        <v>5202</v>
      </c>
      <c r="D694" s="4">
        <v>11.43</v>
      </c>
      <c r="E694" t="s">
        <v>5200</v>
      </c>
      <c r="F694" s="1">
        <v>-0.1086</v>
      </c>
      <c r="G694" s="1">
        <v>5.0000000000000001E-3</v>
      </c>
      <c r="H694" t="s">
        <v>982</v>
      </c>
      <c r="I694" t="s">
        <v>5203</v>
      </c>
    </row>
    <row r="695" spans="1:9" x14ac:dyDescent="0.3">
      <c r="A695">
        <v>1878</v>
      </c>
      <c r="B695" t="s">
        <v>440</v>
      </c>
      <c r="C695" t="s">
        <v>6033</v>
      </c>
      <c r="D695" s="4">
        <v>1.0900000000000001</v>
      </c>
      <c r="E695" t="s">
        <v>6034</v>
      </c>
      <c r="F695" t="s">
        <v>662</v>
      </c>
      <c r="G695" s="1">
        <v>4.4999999999999997E-3</v>
      </c>
      <c r="H695" t="s">
        <v>982</v>
      </c>
      <c r="I695" t="s">
        <v>6035</v>
      </c>
    </row>
    <row r="696" spans="1:9" x14ac:dyDescent="0.3">
      <c r="A696">
        <v>112</v>
      </c>
      <c r="B696" t="s">
        <v>272</v>
      </c>
      <c r="C696" t="s">
        <v>396</v>
      </c>
      <c r="D696" s="4">
        <f>7.47*1000</f>
        <v>7470</v>
      </c>
      <c r="E696" t="s">
        <v>397</v>
      </c>
      <c r="F696" s="1">
        <v>1.3599999999999999E-2</v>
      </c>
      <c r="G696" s="1">
        <v>3.5000000000000001E-3</v>
      </c>
      <c r="H696" t="s">
        <v>398</v>
      </c>
      <c r="I696" t="s">
        <v>399</v>
      </c>
    </row>
    <row r="697" spans="1:9" x14ac:dyDescent="0.3">
      <c r="A697">
        <v>381</v>
      </c>
      <c r="B697" t="s">
        <v>486</v>
      </c>
      <c r="C697" t="s">
        <v>1247</v>
      </c>
      <c r="D697" s="4">
        <f>1.04*1000</f>
        <v>1040</v>
      </c>
      <c r="E697" t="s">
        <v>1245</v>
      </c>
      <c r="F697" s="1">
        <v>-8.1000000000000003E-2</v>
      </c>
      <c r="G697" s="1">
        <v>6.4999999999999997E-3</v>
      </c>
      <c r="H697" t="s">
        <v>1248</v>
      </c>
      <c r="I697" t="s">
        <v>1249</v>
      </c>
    </row>
    <row r="698" spans="1:9" x14ac:dyDescent="0.3">
      <c r="A698">
        <v>465</v>
      </c>
      <c r="B698" t="s">
        <v>921</v>
      </c>
      <c r="C698" t="s">
        <v>1517</v>
      </c>
      <c r="D698" s="4">
        <v>756.45</v>
      </c>
      <c r="E698" t="s">
        <v>1518</v>
      </c>
      <c r="F698" s="1">
        <v>-7.7200000000000005E-2</v>
      </c>
      <c r="G698" s="1">
        <v>6.8999999999999999E-3</v>
      </c>
      <c r="H698" t="s">
        <v>1248</v>
      </c>
      <c r="I698" t="s">
        <v>1519</v>
      </c>
    </row>
    <row r="699" spans="1:9" x14ac:dyDescent="0.3">
      <c r="A699">
        <v>732</v>
      </c>
      <c r="B699" t="s">
        <v>12</v>
      </c>
      <c r="C699" t="s">
        <v>2399</v>
      </c>
      <c r="D699" s="4">
        <v>238.18</v>
      </c>
      <c r="E699" t="s">
        <v>2400</v>
      </c>
      <c r="F699" s="1">
        <v>-8.0500000000000002E-2</v>
      </c>
      <c r="G699" s="1">
        <v>3.8999999999999998E-3</v>
      </c>
      <c r="H699" t="s">
        <v>1248</v>
      </c>
      <c r="I699" t="s">
        <v>2401</v>
      </c>
    </row>
    <row r="700" spans="1:9" x14ac:dyDescent="0.3">
      <c r="A700">
        <v>1503</v>
      </c>
      <c r="B700" t="s">
        <v>460</v>
      </c>
      <c r="C700" t="s">
        <v>4875</v>
      </c>
      <c r="D700" s="4">
        <v>18.25</v>
      </c>
      <c r="E700" t="s">
        <v>4876</v>
      </c>
      <c r="F700" s="1">
        <v>-0.21110000000000001</v>
      </c>
      <c r="G700" s="1">
        <v>3.8999999999999998E-3</v>
      </c>
      <c r="H700" t="s">
        <v>4877</v>
      </c>
      <c r="I700" t="s">
        <v>4878</v>
      </c>
    </row>
    <row r="701" spans="1:9" x14ac:dyDescent="0.3">
      <c r="A701">
        <v>1829</v>
      </c>
      <c r="B701" t="s">
        <v>1150</v>
      </c>
      <c r="C701" t="s">
        <v>5879</v>
      </c>
      <c r="D701" s="4">
        <v>2.84</v>
      </c>
      <c r="E701" t="s">
        <v>5880</v>
      </c>
      <c r="F701" s="1">
        <v>-0.33600000000000002</v>
      </c>
      <c r="G701" s="1">
        <v>4.4999999999999997E-3</v>
      </c>
      <c r="H701" t="s">
        <v>4877</v>
      </c>
      <c r="I701" t="s">
        <v>5881</v>
      </c>
    </row>
    <row r="702" spans="1:9" x14ac:dyDescent="0.3">
      <c r="A702">
        <v>616</v>
      </c>
      <c r="B702" t="s">
        <v>295</v>
      </c>
      <c r="C702" t="s">
        <v>2018</v>
      </c>
      <c r="D702" s="4">
        <v>390.23</v>
      </c>
      <c r="E702" t="s">
        <v>2019</v>
      </c>
      <c r="F702" s="1">
        <v>-0.19109999999999999</v>
      </c>
      <c r="G702" s="1">
        <v>7.4999999999999997E-3</v>
      </c>
      <c r="H702" t="s">
        <v>2020</v>
      </c>
      <c r="I702" t="s">
        <v>2021</v>
      </c>
    </row>
    <row r="703" spans="1:9" x14ac:dyDescent="0.3">
      <c r="A703">
        <v>1024</v>
      </c>
      <c r="B703" t="s">
        <v>3335</v>
      </c>
      <c r="C703" t="s">
        <v>3336</v>
      </c>
      <c r="D703" s="4">
        <v>92.93</v>
      </c>
      <c r="E703" t="s">
        <v>3337</v>
      </c>
      <c r="F703" s="1">
        <v>-0.20580000000000001</v>
      </c>
      <c r="G703" s="1">
        <v>7.4999999999999997E-3</v>
      </c>
      <c r="H703" t="s">
        <v>2020</v>
      </c>
      <c r="I703" t="s">
        <v>3338</v>
      </c>
    </row>
    <row r="704" spans="1:9" x14ac:dyDescent="0.3">
      <c r="A704">
        <v>1077</v>
      </c>
      <c r="B704" t="s">
        <v>486</v>
      </c>
      <c r="C704" t="s">
        <v>3506</v>
      </c>
      <c r="D704" s="4">
        <v>78.06</v>
      </c>
      <c r="E704" t="s">
        <v>3507</v>
      </c>
      <c r="F704" s="1">
        <v>-6.0100000000000001E-2</v>
      </c>
      <c r="G704" s="1">
        <v>5.0000000000000001E-3</v>
      </c>
      <c r="H704" t="s">
        <v>3508</v>
      </c>
      <c r="I704" t="s">
        <v>3509</v>
      </c>
    </row>
    <row r="705" spans="1:9" x14ac:dyDescent="0.3">
      <c r="A705">
        <v>987</v>
      </c>
      <c r="B705" t="s">
        <v>272</v>
      </c>
      <c r="C705" t="s">
        <v>3215</v>
      </c>
      <c r="D705" s="4">
        <v>104.94</v>
      </c>
      <c r="E705" t="s">
        <v>3216</v>
      </c>
      <c r="F705" s="1">
        <v>7.4000000000000003E-3</v>
      </c>
      <c r="G705" s="1">
        <v>5.5999999999999999E-3</v>
      </c>
      <c r="H705" t="s">
        <v>3217</v>
      </c>
      <c r="I705" t="s">
        <v>3218</v>
      </c>
    </row>
    <row r="706" spans="1:9" x14ac:dyDescent="0.3">
      <c r="A706">
        <v>682</v>
      </c>
      <c r="B706" t="s">
        <v>12</v>
      </c>
      <c r="C706" t="s">
        <v>2231</v>
      </c>
      <c r="D706" s="4">
        <v>305</v>
      </c>
      <c r="E706" t="s">
        <v>2232</v>
      </c>
      <c r="F706" s="1">
        <v>3.44E-2</v>
      </c>
      <c r="G706" s="1">
        <v>4.3E-3</v>
      </c>
      <c r="H706" t="s">
        <v>2233</v>
      </c>
      <c r="I706" t="s">
        <v>2234</v>
      </c>
    </row>
    <row r="707" spans="1:9" x14ac:dyDescent="0.3">
      <c r="A707">
        <v>1038</v>
      </c>
      <c r="B707" t="s">
        <v>24</v>
      </c>
      <c r="C707" t="s">
        <v>3380</v>
      </c>
      <c r="D707" s="4">
        <v>89.66</v>
      </c>
      <c r="E707" t="s">
        <v>3381</v>
      </c>
      <c r="F707" s="1">
        <v>3.8E-3</v>
      </c>
      <c r="G707" s="1">
        <v>6.1000000000000004E-3</v>
      </c>
      <c r="H707" t="s">
        <v>2233</v>
      </c>
      <c r="I707" t="s">
        <v>3382</v>
      </c>
    </row>
    <row r="708" spans="1:9" x14ac:dyDescent="0.3">
      <c r="A708">
        <v>1585</v>
      </c>
      <c r="B708" t="s">
        <v>2087</v>
      </c>
      <c r="C708" t="s">
        <v>5127</v>
      </c>
      <c r="D708" s="4">
        <v>12.98</v>
      </c>
      <c r="E708" t="s">
        <v>5128</v>
      </c>
      <c r="F708" s="1">
        <v>6.5000000000000002E-2</v>
      </c>
      <c r="G708" s="1">
        <v>6.8999999999999999E-3</v>
      </c>
      <c r="H708" t="s">
        <v>5129</v>
      </c>
      <c r="I708" t="s">
        <v>5130</v>
      </c>
    </row>
    <row r="709" spans="1:9" x14ac:dyDescent="0.3">
      <c r="A709">
        <v>836</v>
      </c>
      <c r="B709" t="s">
        <v>12</v>
      </c>
      <c r="C709" t="s">
        <v>2732</v>
      </c>
      <c r="D709" s="4">
        <v>166.08</v>
      </c>
      <c r="E709" t="s">
        <v>2733</v>
      </c>
      <c r="F709" s="1">
        <v>3.4000000000000002E-2</v>
      </c>
      <c r="G709" s="1">
        <v>4.3E-3</v>
      </c>
      <c r="H709" t="s">
        <v>2734</v>
      </c>
      <c r="I709" t="s">
        <v>2735</v>
      </c>
    </row>
    <row r="710" spans="1:9" x14ac:dyDescent="0.3">
      <c r="A710">
        <v>536</v>
      </c>
      <c r="B710" t="s">
        <v>272</v>
      </c>
      <c r="C710" t="s">
        <v>1746</v>
      </c>
      <c r="D710" s="4">
        <v>534.34</v>
      </c>
      <c r="E710" t="s">
        <v>1747</v>
      </c>
      <c r="F710" s="1">
        <v>-7.8899999999999998E-2</v>
      </c>
      <c r="G710" s="1">
        <v>5.4999999999999997E-3</v>
      </c>
      <c r="H710" t="s">
        <v>1748</v>
      </c>
      <c r="I710" t="s">
        <v>1749</v>
      </c>
    </row>
    <row r="711" spans="1:9" x14ac:dyDescent="0.3">
      <c r="A711">
        <v>637</v>
      </c>
      <c r="B711" t="s">
        <v>486</v>
      </c>
      <c r="C711" t="s">
        <v>2091</v>
      </c>
      <c r="D711" s="4">
        <v>368.29</v>
      </c>
      <c r="E711" t="s">
        <v>2092</v>
      </c>
      <c r="F711" s="1">
        <v>-9.2899999999999996E-2</v>
      </c>
      <c r="G711" s="1">
        <v>5.0000000000000001E-3</v>
      </c>
      <c r="H711" t="s">
        <v>1748</v>
      </c>
      <c r="I711" t="s">
        <v>2093</v>
      </c>
    </row>
    <row r="712" spans="1:9" x14ac:dyDescent="0.3">
      <c r="A712">
        <v>1016</v>
      </c>
      <c r="B712" t="s">
        <v>921</v>
      </c>
      <c r="C712" t="s">
        <v>3311</v>
      </c>
      <c r="D712" s="4">
        <v>94.17</v>
      </c>
      <c r="E712" t="s">
        <v>3312</v>
      </c>
      <c r="F712" s="1">
        <v>-7.0300000000000001E-2</v>
      </c>
      <c r="G712" s="1">
        <v>7.4999999999999997E-3</v>
      </c>
      <c r="H712" t="s">
        <v>1748</v>
      </c>
      <c r="I712" t="s">
        <v>3313</v>
      </c>
    </row>
    <row r="713" spans="1:9" x14ac:dyDescent="0.3">
      <c r="A713">
        <v>1166</v>
      </c>
      <c r="B713" t="s">
        <v>1398</v>
      </c>
      <c r="C713" t="s">
        <v>3796</v>
      </c>
      <c r="D713" s="4">
        <v>56.89</v>
      </c>
      <c r="E713" t="s">
        <v>3797</v>
      </c>
      <c r="F713" s="1">
        <v>-0.15210000000000001</v>
      </c>
      <c r="G713" s="1">
        <v>2.5000000000000001E-3</v>
      </c>
      <c r="H713" t="s">
        <v>1748</v>
      </c>
      <c r="I713" t="s">
        <v>3798</v>
      </c>
    </row>
    <row r="714" spans="1:9" x14ac:dyDescent="0.3">
      <c r="A714">
        <v>365</v>
      </c>
      <c r="B714" t="s">
        <v>24</v>
      </c>
      <c r="C714" t="s">
        <v>1200</v>
      </c>
      <c r="D714" s="4">
        <f>1.15*1000</f>
        <v>1150</v>
      </c>
      <c r="E714" t="s">
        <v>1198</v>
      </c>
      <c r="F714" s="1">
        <v>-5.1900000000000002E-2</v>
      </c>
      <c r="G714" s="1">
        <v>5.7000000000000002E-3</v>
      </c>
      <c r="H714" t="s">
        <v>1201</v>
      </c>
      <c r="I714" t="s">
        <v>1202</v>
      </c>
    </row>
    <row r="715" spans="1:9" x14ac:dyDescent="0.3">
      <c r="A715">
        <v>666</v>
      </c>
      <c r="B715" t="s">
        <v>24</v>
      </c>
      <c r="C715" t="s">
        <v>2184</v>
      </c>
      <c r="D715" s="4">
        <v>322.67</v>
      </c>
      <c r="E715" t="s">
        <v>2185</v>
      </c>
      <c r="F715" s="1">
        <v>-6.3799999999999996E-2</v>
      </c>
      <c r="G715" s="1">
        <v>7.4999999999999997E-3</v>
      </c>
      <c r="H715" t="s">
        <v>1201</v>
      </c>
      <c r="I715" t="s">
        <v>2186</v>
      </c>
    </row>
    <row r="716" spans="1:9" x14ac:dyDescent="0.3">
      <c r="A716">
        <v>1670</v>
      </c>
      <c r="B716" t="s">
        <v>486</v>
      </c>
      <c r="C716" t="s">
        <v>5397</v>
      </c>
      <c r="D716" s="4">
        <v>8.2100000000000009</v>
      </c>
      <c r="E716" t="s">
        <v>5398</v>
      </c>
      <c r="F716" s="1">
        <v>-3.6499999999999998E-2</v>
      </c>
      <c r="G716" s="1">
        <v>5.0000000000000001E-3</v>
      </c>
      <c r="H716" t="s">
        <v>1201</v>
      </c>
      <c r="I716" t="s">
        <v>5399</v>
      </c>
    </row>
    <row r="717" spans="1:9" x14ac:dyDescent="0.3">
      <c r="A717">
        <v>911</v>
      </c>
      <c r="B717" t="s">
        <v>486</v>
      </c>
      <c r="C717" t="s">
        <v>2972</v>
      </c>
      <c r="D717" s="4">
        <v>130.75</v>
      </c>
      <c r="E717" t="s">
        <v>2973</v>
      </c>
      <c r="F717" s="1">
        <v>3.7000000000000002E-3</v>
      </c>
      <c r="G717" s="1">
        <v>5.7999999999999996E-3</v>
      </c>
      <c r="H717" t="s">
        <v>2974</v>
      </c>
      <c r="I717" t="s">
        <v>2975</v>
      </c>
    </row>
    <row r="718" spans="1:9" x14ac:dyDescent="0.3">
      <c r="A718">
        <v>399</v>
      </c>
      <c r="B718" t="s">
        <v>12</v>
      </c>
      <c r="C718" t="s">
        <v>1297</v>
      </c>
      <c r="D718" s="4">
        <v>967.61</v>
      </c>
      <c r="E718" t="s">
        <v>1298</v>
      </c>
      <c r="F718" s="1">
        <v>3.0000000000000001E-3</v>
      </c>
      <c r="G718" s="1">
        <v>5.1000000000000004E-3</v>
      </c>
      <c r="H718" t="s">
        <v>1299</v>
      </c>
      <c r="I718" t="s">
        <v>1300</v>
      </c>
    </row>
    <row r="719" spans="1:9" x14ac:dyDescent="0.3">
      <c r="A719">
        <v>1487</v>
      </c>
      <c r="B719" t="s">
        <v>1340</v>
      </c>
      <c r="C719" t="s">
        <v>4827</v>
      </c>
      <c r="D719" s="4">
        <v>19.34</v>
      </c>
      <c r="E719" t="s">
        <v>4828</v>
      </c>
      <c r="F719" s="1">
        <v>-5.4000000000000003E-3</v>
      </c>
      <c r="G719" s="1">
        <v>8.9999999999999998E-4</v>
      </c>
      <c r="H719" t="s">
        <v>1299</v>
      </c>
      <c r="I719" t="s">
        <v>4829</v>
      </c>
    </row>
    <row r="720" spans="1:9" x14ac:dyDescent="0.3">
      <c r="A720">
        <v>486</v>
      </c>
      <c r="B720" t="s">
        <v>12</v>
      </c>
      <c r="C720" t="s">
        <v>1582</v>
      </c>
      <c r="D720" s="4">
        <v>687.05</v>
      </c>
      <c r="E720" t="s">
        <v>1583</v>
      </c>
      <c r="F720" s="1">
        <v>-3.8399999999999997E-2</v>
      </c>
      <c r="G720" s="1">
        <v>8.9999999999999993E-3</v>
      </c>
      <c r="H720" t="s">
        <v>1584</v>
      </c>
      <c r="I720" t="s">
        <v>1585</v>
      </c>
    </row>
    <row r="721" spans="1:9" x14ac:dyDescent="0.3">
      <c r="A721">
        <v>935</v>
      </c>
      <c r="B721" t="s">
        <v>24</v>
      </c>
      <c r="C721" t="s">
        <v>3049</v>
      </c>
      <c r="D721" s="4">
        <v>124.65</v>
      </c>
      <c r="E721" t="s">
        <v>3050</v>
      </c>
      <c r="F721" s="1">
        <v>-2.2100000000000002E-2</v>
      </c>
      <c r="G721" s="1">
        <v>7.7999999999999996E-3</v>
      </c>
      <c r="H721" t="s">
        <v>1584</v>
      </c>
      <c r="I721" t="s">
        <v>3051</v>
      </c>
    </row>
    <row r="722" spans="1:9" x14ac:dyDescent="0.3">
      <c r="A722">
        <v>1156</v>
      </c>
      <c r="B722" t="s">
        <v>280</v>
      </c>
      <c r="C722" t="s">
        <v>3762</v>
      </c>
      <c r="D722" s="4">
        <v>60.09</v>
      </c>
      <c r="E722" t="s">
        <v>3763</v>
      </c>
      <c r="F722" s="1">
        <v>-3.2599999999999997E-2</v>
      </c>
      <c r="G722" s="1">
        <v>8.0000000000000002E-3</v>
      </c>
      <c r="H722" t="s">
        <v>1584</v>
      </c>
      <c r="I722" t="s">
        <v>3764</v>
      </c>
    </row>
    <row r="723" spans="1:9" x14ac:dyDescent="0.3">
      <c r="A723">
        <v>603</v>
      </c>
      <c r="B723" t="s">
        <v>12</v>
      </c>
      <c r="C723" t="s">
        <v>1973</v>
      </c>
      <c r="D723" s="4">
        <v>408.7</v>
      </c>
      <c r="E723" t="s">
        <v>1974</v>
      </c>
      <c r="F723" s="1">
        <v>-1.4500000000000001E-2</v>
      </c>
      <c r="G723" s="1">
        <v>8.0999999999999996E-3</v>
      </c>
      <c r="H723" t="s">
        <v>1975</v>
      </c>
      <c r="I723" t="s">
        <v>1976</v>
      </c>
    </row>
    <row r="724" spans="1:9" x14ac:dyDescent="0.3">
      <c r="A724">
        <v>141</v>
      </c>
      <c r="B724" t="s">
        <v>12</v>
      </c>
      <c r="C724" t="s">
        <v>496</v>
      </c>
      <c r="D724" s="4">
        <f>5.94*1000</f>
        <v>5940</v>
      </c>
      <c r="E724" t="s">
        <v>497</v>
      </c>
      <c r="F724" s="1">
        <v>-1.8100000000000002E-2</v>
      </c>
      <c r="G724" s="1">
        <v>6.8999999999999999E-3</v>
      </c>
      <c r="H724" t="s">
        <v>498</v>
      </c>
      <c r="I724" t="s">
        <v>499</v>
      </c>
    </row>
    <row r="725" spans="1:9" x14ac:dyDescent="0.3">
      <c r="A725">
        <v>393</v>
      </c>
      <c r="B725" t="s">
        <v>440</v>
      </c>
      <c r="C725" t="s">
        <v>1277</v>
      </c>
      <c r="D725" s="4">
        <v>993.47</v>
      </c>
      <c r="E725" t="s">
        <v>1278</v>
      </c>
      <c r="F725" s="1">
        <v>-3.3099999999999997E-2</v>
      </c>
      <c r="G725" s="1">
        <v>8.3999999999999995E-3</v>
      </c>
      <c r="H725" t="s">
        <v>498</v>
      </c>
      <c r="I725" t="s">
        <v>1279</v>
      </c>
    </row>
    <row r="726" spans="1:9" x14ac:dyDescent="0.3">
      <c r="A726">
        <v>1213</v>
      </c>
      <c r="B726" t="s">
        <v>1340</v>
      </c>
      <c r="C726" t="s">
        <v>3945</v>
      </c>
      <c r="D726" s="4">
        <v>48.05</v>
      </c>
      <c r="E726" t="s">
        <v>3946</v>
      </c>
      <c r="F726" s="1">
        <v>-2.58E-2</v>
      </c>
      <c r="G726" s="1">
        <v>1.9E-3</v>
      </c>
      <c r="H726" t="s">
        <v>498</v>
      </c>
      <c r="I726" t="s">
        <v>3947</v>
      </c>
    </row>
    <row r="727" spans="1:9" x14ac:dyDescent="0.3">
      <c r="A727">
        <v>1698</v>
      </c>
      <c r="B727" t="s">
        <v>440</v>
      </c>
      <c r="C727" t="s">
        <v>5480</v>
      </c>
      <c r="D727" s="4">
        <v>7.14</v>
      </c>
      <c r="E727" t="s">
        <v>5481</v>
      </c>
      <c r="F727" s="1">
        <v>-3.56E-2</v>
      </c>
      <c r="G727" s="1">
        <v>5.7999999999999996E-3</v>
      </c>
      <c r="H727" t="s">
        <v>498</v>
      </c>
      <c r="I727" t="s">
        <v>5482</v>
      </c>
    </row>
    <row r="728" spans="1:9" x14ac:dyDescent="0.3">
      <c r="A728">
        <v>1096</v>
      </c>
      <c r="B728" t="s">
        <v>272</v>
      </c>
      <c r="C728" t="s">
        <v>3569</v>
      </c>
      <c r="D728" s="4">
        <v>74.12</v>
      </c>
      <c r="E728" t="s">
        <v>3570</v>
      </c>
      <c r="F728" s="1">
        <v>-4.53E-2</v>
      </c>
      <c r="G728" s="1">
        <v>8.2000000000000007E-3</v>
      </c>
      <c r="H728" t="s">
        <v>3571</v>
      </c>
      <c r="I728" t="s">
        <v>3572</v>
      </c>
    </row>
    <row r="729" spans="1:9" x14ac:dyDescent="0.3">
      <c r="A729">
        <v>1005</v>
      </c>
      <c r="B729" t="s">
        <v>2951</v>
      </c>
      <c r="C729" t="s">
        <v>3274</v>
      </c>
      <c r="D729" s="4">
        <v>97.11</v>
      </c>
      <c r="E729" t="s">
        <v>3275</v>
      </c>
      <c r="F729" s="1">
        <v>-2.76E-2</v>
      </c>
      <c r="G729" s="1">
        <v>7.4999999999999997E-3</v>
      </c>
      <c r="H729" t="s">
        <v>3276</v>
      </c>
      <c r="I729" t="s">
        <v>3277</v>
      </c>
    </row>
    <row r="730" spans="1:9" x14ac:dyDescent="0.3">
      <c r="A730">
        <v>1654</v>
      </c>
      <c r="B730" t="s">
        <v>979</v>
      </c>
      <c r="C730" t="s">
        <v>5346</v>
      </c>
      <c r="D730" s="4">
        <v>8.8699999999999992</v>
      </c>
      <c r="E730" t="s">
        <v>5347</v>
      </c>
      <c r="F730" s="1">
        <v>-6.88E-2</v>
      </c>
      <c r="G730" s="1">
        <v>7.4999999999999997E-3</v>
      </c>
      <c r="H730" t="s">
        <v>5348</v>
      </c>
      <c r="I730" t="s">
        <v>5349</v>
      </c>
    </row>
    <row r="731" spans="1:9" x14ac:dyDescent="0.3">
      <c r="A731">
        <v>627</v>
      </c>
      <c r="B731" t="s">
        <v>12</v>
      </c>
      <c r="C731" t="s">
        <v>2055</v>
      </c>
      <c r="D731" s="4">
        <v>378.46</v>
      </c>
      <c r="E731" t="s">
        <v>2056</v>
      </c>
      <c r="F731" s="1">
        <v>-3.2500000000000001E-2</v>
      </c>
      <c r="G731" s="1">
        <v>5.8999999999999999E-3</v>
      </c>
      <c r="H731" t="s">
        <v>2057</v>
      </c>
      <c r="I731" t="s">
        <v>2058</v>
      </c>
    </row>
    <row r="732" spans="1:9" x14ac:dyDescent="0.3">
      <c r="A732">
        <v>1098</v>
      </c>
      <c r="B732" t="s">
        <v>272</v>
      </c>
      <c r="C732" t="s">
        <v>3576</v>
      </c>
      <c r="D732" s="4">
        <v>73.66</v>
      </c>
      <c r="E732" t="s">
        <v>3577</v>
      </c>
      <c r="F732" s="1">
        <v>-2.01E-2</v>
      </c>
      <c r="G732" s="1">
        <v>5.7000000000000002E-3</v>
      </c>
      <c r="H732" t="s">
        <v>2057</v>
      </c>
      <c r="I732" t="s">
        <v>3578</v>
      </c>
    </row>
    <row r="733" spans="1:9" x14ac:dyDescent="0.3">
      <c r="A733">
        <v>1059</v>
      </c>
      <c r="B733" t="s">
        <v>12</v>
      </c>
      <c r="C733" t="s">
        <v>3448</v>
      </c>
      <c r="D733" s="4">
        <v>83.1</v>
      </c>
      <c r="E733" t="s">
        <v>3449</v>
      </c>
      <c r="F733" s="1">
        <v>-6.2199999999999998E-2</v>
      </c>
      <c r="G733" s="1">
        <v>5.1000000000000004E-3</v>
      </c>
      <c r="H733" t="s">
        <v>3450</v>
      </c>
      <c r="I733" t="s">
        <v>3451</v>
      </c>
    </row>
    <row r="734" spans="1:9" x14ac:dyDescent="0.3">
      <c r="A734">
        <v>781</v>
      </c>
      <c r="B734" t="s">
        <v>12</v>
      </c>
      <c r="C734" t="s">
        <v>2557</v>
      </c>
      <c r="D734" s="4">
        <v>201.17</v>
      </c>
      <c r="E734" t="s">
        <v>2558</v>
      </c>
      <c r="F734" s="1">
        <v>-6.6E-3</v>
      </c>
      <c r="G734" s="1">
        <v>5.8999999999999999E-3</v>
      </c>
      <c r="H734" t="s">
        <v>2559</v>
      </c>
      <c r="I734" t="s">
        <v>2560</v>
      </c>
    </row>
    <row r="735" spans="1:9" x14ac:dyDescent="0.3">
      <c r="A735">
        <v>1097</v>
      </c>
      <c r="B735" t="s">
        <v>272</v>
      </c>
      <c r="C735" t="s">
        <v>3573</v>
      </c>
      <c r="D735" s="4">
        <v>73.92</v>
      </c>
      <c r="E735" t="s">
        <v>3574</v>
      </c>
      <c r="F735" s="1">
        <v>-9.4200000000000006E-2</v>
      </c>
      <c r="G735" s="1">
        <v>6.1999999999999998E-3</v>
      </c>
      <c r="H735" t="s">
        <v>2559</v>
      </c>
      <c r="I735" t="s">
        <v>3575</v>
      </c>
    </row>
    <row r="736" spans="1:9" x14ac:dyDescent="0.3">
      <c r="A736">
        <v>823</v>
      </c>
      <c r="B736" t="s">
        <v>295</v>
      </c>
      <c r="C736" t="s">
        <v>2689</v>
      </c>
      <c r="D736" s="4">
        <v>174.07</v>
      </c>
      <c r="E736" t="s">
        <v>2690</v>
      </c>
      <c r="F736" s="1">
        <v>-0.18079999999999999</v>
      </c>
      <c r="G736" s="1">
        <v>4.8999999999999998E-3</v>
      </c>
      <c r="H736" t="s">
        <v>2691</v>
      </c>
      <c r="I736" t="s">
        <v>2692</v>
      </c>
    </row>
    <row r="737" spans="1:9" x14ac:dyDescent="0.3">
      <c r="A737">
        <v>867</v>
      </c>
      <c r="B737" t="s">
        <v>921</v>
      </c>
      <c r="C737" t="s">
        <v>2832</v>
      </c>
      <c r="D737" s="4">
        <v>147.9</v>
      </c>
      <c r="E737" t="s">
        <v>2833</v>
      </c>
      <c r="F737" s="1">
        <v>-0.22950000000000001</v>
      </c>
      <c r="G737" s="1">
        <v>7.4999999999999997E-3</v>
      </c>
      <c r="H737" t="s">
        <v>2691</v>
      </c>
      <c r="I737" t="s">
        <v>2834</v>
      </c>
    </row>
    <row r="738" spans="1:9" x14ac:dyDescent="0.3">
      <c r="A738">
        <v>489</v>
      </c>
      <c r="B738" t="s">
        <v>12</v>
      </c>
      <c r="C738" t="s">
        <v>1592</v>
      </c>
      <c r="D738" s="4">
        <v>675.62</v>
      </c>
      <c r="E738" t="s">
        <v>1593</v>
      </c>
      <c r="F738" s="1">
        <v>-1.35E-2</v>
      </c>
      <c r="G738" s="1">
        <v>5.1000000000000004E-3</v>
      </c>
      <c r="H738" t="s">
        <v>1594</v>
      </c>
      <c r="I738" t="s">
        <v>1595</v>
      </c>
    </row>
    <row r="739" spans="1:9" x14ac:dyDescent="0.3">
      <c r="A739">
        <v>1786</v>
      </c>
      <c r="B739" t="s">
        <v>1340</v>
      </c>
      <c r="C739" t="s">
        <v>5747</v>
      </c>
      <c r="D739" s="4">
        <v>4.07</v>
      </c>
      <c r="E739" t="s">
        <v>5748</v>
      </c>
      <c r="F739" s="1">
        <v>-1.6199999999999999E-2</v>
      </c>
      <c r="G739" s="1">
        <v>8.9999999999999998E-4</v>
      </c>
      <c r="H739" t="s">
        <v>1594</v>
      </c>
      <c r="I739" t="s">
        <v>5749</v>
      </c>
    </row>
    <row r="740" spans="1:9" x14ac:dyDescent="0.3">
      <c r="A740">
        <v>756</v>
      </c>
      <c r="B740" t="s">
        <v>440</v>
      </c>
      <c r="C740" t="s">
        <v>2479</v>
      </c>
      <c r="D740" s="4">
        <v>217.46</v>
      </c>
      <c r="E740" t="s">
        <v>2480</v>
      </c>
      <c r="F740" s="1">
        <v>-4.9000000000000002E-2</v>
      </c>
      <c r="G740" s="1">
        <v>5.7999999999999996E-3</v>
      </c>
      <c r="H740" t="s">
        <v>2481</v>
      </c>
      <c r="I740" t="s">
        <v>2482</v>
      </c>
    </row>
    <row r="741" spans="1:9" x14ac:dyDescent="0.3">
      <c r="A741">
        <v>1106</v>
      </c>
      <c r="B741" t="s">
        <v>12</v>
      </c>
      <c r="C741" t="s">
        <v>3602</v>
      </c>
      <c r="D741" s="4">
        <v>72.08</v>
      </c>
      <c r="E741" t="s">
        <v>3603</v>
      </c>
      <c r="F741" s="1">
        <v>-7.8399999999999997E-2</v>
      </c>
      <c r="G741" s="1">
        <v>5.1000000000000004E-3</v>
      </c>
      <c r="H741" t="s">
        <v>2481</v>
      </c>
      <c r="I741" t="s">
        <v>3604</v>
      </c>
    </row>
    <row r="742" spans="1:9" x14ac:dyDescent="0.3">
      <c r="A742">
        <v>1322</v>
      </c>
      <c r="B742" t="s">
        <v>440</v>
      </c>
      <c r="C742" t="s">
        <v>4301</v>
      </c>
      <c r="D742" s="4">
        <v>33.659999999999997</v>
      </c>
      <c r="E742" t="s">
        <v>4302</v>
      </c>
      <c r="F742" s="1">
        <v>-5.3800000000000001E-2</v>
      </c>
      <c r="G742" s="1">
        <v>5.7999999999999996E-3</v>
      </c>
      <c r="H742" t="s">
        <v>2481</v>
      </c>
      <c r="I742" t="s">
        <v>4303</v>
      </c>
    </row>
    <row r="743" spans="1:9" x14ac:dyDescent="0.3">
      <c r="A743">
        <v>87</v>
      </c>
      <c r="B743" t="s">
        <v>12</v>
      </c>
      <c r="C743" t="s">
        <v>313</v>
      </c>
      <c r="D743" s="4">
        <f>11.38*1000</f>
        <v>11380</v>
      </c>
      <c r="E743" t="s">
        <v>314</v>
      </c>
      <c r="F743" s="1">
        <v>-3.2300000000000002E-2</v>
      </c>
      <c r="G743" s="1">
        <v>5.1000000000000004E-3</v>
      </c>
      <c r="H743" t="s">
        <v>315</v>
      </c>
      <c r="I743" t="s">
        <v>316</v>
      </c>
    </row>
    <row r="744" spans="1:9" x14ac:dyDescent="0.3">
      <c r="A744">
        <v>110</v>
      </c>
      <c r="B744" t="s">
        <v>332</v>
      </c>
      <c r="C744" t="s">
        <v>390</v>
      </c>
      <c r="D744" s="4">
        <f>7.59*1000</f>
        <v>7590</v>
      </c>
      <c r="E744" t="s">
        <v>391</v>
      </c>
      <c r="F744" s="1">
        <v>-5.9400000000000001E-2</v>
      </c>
      <c r="G744" s="1">
        <v>1.9E-3</v>
      </c>
      <c r="H744" t="s">
        <v>315</v>
      </c>
      <c r="I744" t="s">
        <v>392</v>
      </c>
    </row>
    <row r="745" spans="1:9" x14ac:dyDescent="0.3">
      <c r="A745">
        <v>263</v>
      </c>
      <c r="B745" t="s">
        <v>440</v>
      </c>
      <c r="C745" t="s">
        <v>899</v>
      </c>
      <c r="D745" s="4">
        <f>2.14*1000</f>
        <v>2140</v>
      </c>
      <c r="E745" t="s">
        <v>900</v>
      </c>
      <c r="F745" s="1">
        <v>5.3E-3</v>
      </c>
      <c r="G745" s="1">
        <v>4.7999999999999996E-3</v>
      </c>
      <c r="H745" t="s">
        <v>315</v>
      </c>
      <c r="I745" t="s">
        <v>901</v>
      </c>
    </row>
    <row r="746" spans="1:9" x14ac:dyDescent="0.3">
      <c r="A746">
        <v>447</v>
      </c>
      <c r="B746" t="s">
        <v>1340</v>
      </c>
      <c r="C746" t="s">
        <v>1459</v>
      </c>
      <c r="D746" s="4">
        <v>810.47</v>
      </c>
      <c r="E746" t="s">
        <v>1460</v>
      </c>
      <c r="F746" s="1">
        <v>-3.4799999999999998E-2</v>
      </c>
      <c r="G746" s="1">
        <v>8.9999999999999998E-4</v>
      </c>
      <c r="H746" t="s">
        <v>315</v>
      </c>
      <c r="I746" t="s">
        <v>1461</v>
      </c>
    </row>
    <row r="747" spans="1:9" x14ac:dyDescent="0.3">
      <c r="A747">
        <v>468</v>
      </c>
      <c r="B747" t="s">
        <v>12</v>
      </c>
      <c r="C747" t="s">
        <v>1526</v>
      </c>
      <c r="D747" s="4">
        <v>742.21</v>
      </c>
      <c r="E747" t="s">
        <v>1527</v>
      </c>
      <c r="F747" s="1">
        <v>-3.5400000000000001E-2</v>
      </c>
      <c r="G747" s="1">
        <v>5.0000000000000001E-3</v>
      </c>
      <c r="H747" t="s">
        <v>315</v>
      </c>
      <c r="I747" t="s">
        <v>1528</v>
      </c>
    </row>
    <row r="748" spans="1:9" x14ac:dyDescent="0.3">
      <c r="A748">
        <v>794</v>
      </c>
      <c r="B748" t="s">
        <v>618</v>
      </c>
      <c r="C748" t="s">
        <v>2599</v>
      </c>
      <c r="D748" s="4">
        <v>192.59</v>
      </c>
      <c r="E748" t="s">
        <v>2600</v>
      </c>
      <c r="F748" s="1">
        <v>-3.5000000000000003E-2</v>
      </c>
      <c r="G748" s="1">
        <v>4.5999999999999999E-3</v>
      </c>
      <c r="H748" t="s">
        <v>315</v>
      </c>
      <c r="I748" t="s">
        <v>2601</v>
      </c>
    </row>
    <row r="749" spans="1:9" x14ac:dyDescent="0.3">
      <c r="A749">
        <v>1064</v>
      </c>
      <c r="B749" t="s">
        <v>12</v>
      </c>
      <c r="C749" t="s">
        <v>3465</v>
      </c>
      <c r="D749" s="4">
        <v>82</v>
      </c>
      <c r="E749" t="s">
        <v>3466</v>
      </c>
      <c r="F749" s="1">
        <v>-3.8100000000000002E-2</v>
      </c>
      <c r="G749" s="1">
        <v>4.7999999999999996E-3</v>
      </c>
      <c r="H749" t="s">
        <v>315</v>
      </c>
      <c r="I749" t="s">
        <v>3467</v>
      </c>
    </row>
    <row r="750" spans="1:9" x14ac:dyDescent="0.3">
      <c r="A750">
        <v>1315</v>
      </c>
      <c r="B750" t="s">
        <v>280</v>
      </c>
      <c r="C750" t="s">
        <v>4276</v>
      </c>
      <c r="D750" s="4">
        <v>34.229999999999997</v>
      </c>
      <c r="E750" t="s">
        <v>4277</v>
      </c>
      <c r="F750" s="1">
        <v>-2.7699999999999999E-2</v>
      </c>
      <c r="G750" s="1">
        <v>8.0000000000000002E-3</v>
      </c>
      <c r="H750" t="s">
        <v>315</v>
      </c>
      <c r="I750" t="s">
        <v>4278</v>
      </c>
    </row>
    <row r="751" spans="1:9" x14ac:dyDescent="0.3">
      <c r="A751">
        <v>1493</v>
      </c>
      <c r="B751" t="s">
        <v>618</v>
      </c>
      <c r="C751" t="s">
        <v>4845</v>
      </c>
      <c r="D751" s="4">
        <v>18.87</v>
      </c>
      <c r="E751" t="s">
        <v>4846</v>
      </c>
      <c r="F751" s="1">
        <v>-3.8699999999999998E-2</v>
      </c>
      <c r="G751" s="1">
        <v>8.9999999999999998E-4</v>
      </c>
      <c r="H751" t="s">
        <v>315</v>
      </c>
      <c r="I751" t="s">
        <v>4847</v>
      </c>
    </row>
    <row r="752" spans="1:9" x14ac:dyDescent="0.3">
      <c r="A752">
        <v>1565</v>
      </c>
      <c r="B752" t="s">
        <v>248</v>
      </c>
      <c r="C752" t="s">
        <v>5063</v>
      </c>
      <c r="D752" s="4">
        <v>14.42</v>
      </c>
      <c r="E752" t="s">
        <v>5064</v>
      </c>
      <c r="F752" s="1">
        <v>-4.3700000000000003E-2</v>
      </c>
      <c r="G752" s="1">
        <v>2.5000000000000001E-3</v>
      </c>
      <c r="H752" t="s">
        <v>315</v>
      </c>
      <c r="I752" t="s">
        <v>5065</v>
      </c>
    </row>
    <row r="753" spans="1:9" x14ac:dyDescent="0.3">
      <c r="A753">
        <v>1596</v>
      </c>
      <c r="B753" t="s">
        <v>1340</v>
      </c>
      <c r="C753" t="s">
        <v>5164</v>
      </c>
      <c r="D753" s="4">
        <v>12.14</v>
      </c>
      <c r="E753" t="s">
        <v>5165</v>
      </c>
      <c r="F753" s="1">
        <v>-3.7699999999999997E-2</v>
      </c>
      <c r="G753" s="1">
        <v>8.9999999999999998E-4</v>
      </c>
      <c r="H753" t="s">
        <v>315</v>
      </c>
      <c r="I753" t="s">
        <v>5166</v>
      </c>
    </row>
    <row r="754" spans="1:9" x14ac:dyDescent="0.3">
      <c r="A754">
        <v>1696</v>
      </c>
      <c r="B754" t="s">
        <v>12</v>
      </c>
      <c r="C754" t="s">
        <v>5474</v>
      </c>
      <c r="D754" s="4">
        <v>7.21</v>
      </c>
      <c r="E754" t="s">
        <v>5475</v>
      </c>
      <c r="F754" s="1">
        <v>-5.4300000000000001E-2</v>
      </c>
      <c r="G754" s="1">
        <v>1.5E-3</v>
      </c>
      <c r="H754" t="s">
        <v>315</v>
      </c>
      <c r="I754" t="s">
        <v>5476</v>
      </c>
    </row>
    <row r="755" spans="1:9" x14ac:dyDescent="0.3">
      <c r="A755">
        <v>1811</v>
      </c>
      <c r="B755" t="s">
        <v>12</v>
      </c>
      <c r="C755" t="s">
        <v>5824</v>
      </c>
      <c r="D755" s="4">
        <v>3.38</v>
      </c>
      <c r="E755" t="s">
        <v>5825</v>
      </c>
      <c r="F755" s="1">
        <v>-4.1599999999999998E-2</v>
      </c>
      <c r="G755" s="1">
        <v>4.7999999999999996E-3</v>
      </c>
      <c r="H755" t="s">
        <v>315</v>
      </c>
      <c r="I755" t="s">
        <v>5826</v>
      </c>
    </row>
    <row r="756" spans="1:9" x14ac:dyDescent="0.3">
      <c r="A756">
        <v>1063</v>
      </c>
      <c r="B756" t="s">
        <v>12</v>
      </c>
      <c r="C756" t="s">
        <v>3461</v>
      </c>
      <c r="D756" s="4">
        <v>82.49</v>
      </c>
      <c r="E756" t="s">
        <v>3462</v>
      </c>
      <c r="F756" s="1">
        <v>-2.0000000000000001E-4</v>
      </c>
      <c r="G756" s="1">
        <v>1.5E-3</v>
      </c>
      <c r="H756" t="s">
        <v>3463</v>
      </c>
      <c r="I756" t="s">
        <v>3464</v>
      </c>
    </row>
    <row r="757" spans="1:9" x14ac:dyDescent="0.3">
      <c r="A757">
        <v>1464</v>
      </c>
      <c r="B757" t="s">
        <v>12</v>
      </c>
      <c r="C757" t="s">
        <v>4755</v>
      </c>
      <c r="D757" s="4">
        <v>20.94</v>
      </c>
      <c r="E757" t="s">
        <v>4756</v>
      </c>
      <c r="F757" s="1">
        <v>5.8000000000000003E-2</v>
      </c>
      <c r="G757" s="1">
        <v>7.4000000000000003E-3</v>
      </c>
      <c r="H757" t="s">
        <v>4757</v>
      </c>
      <c r="I757" t="s">
        <v>4758</v>
      </c>
    </row>
    <row r="758" spans="1:9" x14ac:dyDescent="0.3">
      <c r="A758">
        <v>412</v>
      </c>
      <c r="B758" t="s">
        <v>12</v>
      </c>
      <c r="C758" t="s">
        <v>1344</v>
      </c>
      <c r="D758" s="4">
        <v>913.94</v>
      </c>
      <c r="E758" t="s">
        <v>1345</v>
      </c>
      <c r="F758" s="1">
        <v>2.8299999999999999E-2</v>
      </c>
      <c r="G758" s="1">
        <v>4.7999999999999996E-3</v>
      </c>
      <c r="H758" t="s">
        <v>1346</v>
      </c>
      <c r="I758" t="s">
        <v>1347</v>
      </c>
    </row>
    <row r="759" spans="1:9" x14ac:dyDescent="0.3">
      <c r="A759">
        <v>1672</v>
      </c>
      <c r="B759" t="s">
        <v>280</v>
      </c>
      <c r="C759" t="s">
        <v>5403</v>
      </c>
      <c r="D759" s="4">
        <v>7.93</v>
      </c>
      <c r="E759" t="s">
        <v>5404</v>
      </c>
      <c r="F759" s="1">
        <v>3.6600000000000001E-2</v>
      </c>
      <c r="G759" s="1">
        <v>8.0000000000000002E-3</v>
      </c>
      <c r="H759" t="s">
        <v>5405</v>
      </c>
      <c r="I759" t="s">
        <v>5406</v>
      </c>
    </row>
    <row r="760" spans="1:9" x14ac:dyDescent="0.3">
      <c r="A760">
        <v>1782</v>
      </c>
      <c r="B760" t="s">
        <v>1340</v>
      </c>
      <c r="C760" t="s">
        <v>5735</v>
      </c>
      <c r="D760" s="4">
        <v>4.18</v>
      </c>
      <c r="E760" t="s">
        <v>5733</v>
      </c>
      <c r="F760" s="1">
        <v>4.7500000000000001E-2</v>
      </c>
      <c r="G760" s="1">
        <v>1.9E-3</v>
      </c>
      <c r="H760" t="s">
        <v>5405</v>
      </c>
      <c r="I760" t="s">
        <v>5736</v>
      </c>
    </row>
    <row r="761" spans="1:9" x14ac:dyDescent="0.3">
      <c r="A761">
        <v>725</v>
      </c>
      <c r="B761" t="s">
        <v>12</v>
      </c>
      <c r="C761" t="s">
        <v>2374</v>
      </c>
      <c r="D761" s="4">
        <v>244.25</v>
      </c>
      <c r="E761" t="s">
        <v>2375</v>
      </c>
      <c r="F761" s="1">
        <v>-5.6099999999999997E-2</v>
      </c>
      <c r="G761" s="1">
        <v>5.1000000000000004E-3</v>
      </c>
      <c r="H761" t="s">
        <v>2376</v>
      </c>
      <c r="I761" t="s">
        <v>2377</v>
      </c>
    </row>
    <row r="762" spans="1:9" x14ac:dyDescent="0.3">
      <c r="A762">
        <v>453</v>
      </c>
      <c r="B762" t="s">
        <v>12</v>
      </c>
      <c r="C762" t="s">
        <v>1478</v>
      </c>
      <c r="D762" s="4">
        <v>791.56</v>
      </c>
      <c r="E762" t="s">
        <v>1479</v>
      </c>
      <c r="F762" s="1">
        <v>7.4000000000000003E-3</v>
      </c>
      <c r="G762" s="1">
        <v>5.1000000000000004E-3</v>
      </c>
      <c r="H762" t="s">
        <v>1480</v>
      </c>
      <c r="I762" t="s">
        <v>1481</v>
      </c>
    </row>
    <row r="763" spans="1:9" x14ac:dyDescent="0.3">
      <c r="A763">
        <v>1614</v>
      </c>
      <c r="B763" t="s">
        <v>1340</v>
      </c>
      <c r="C763" t="s">
        <v>5221</v>
      </c>
      <c r="D763" s="4">
        <v>10.92</v>
      </c>
      <c r="E763" t="s">
        <v>5222</v>
      </c>
      <c r="F763" s="1">
        <v>2.0000000000000001E-4</v>
      </c>
      <c r="G763" s="1">
        <v>1.9E-3</v>
      </c>
      <c r="H763" t="s">
        <v>1480</v>
      </c>
      <c r="I763" t="s">
        <v>5223</v>
      </c>
    </row>
    <row r="764" spans="1:9" x14ac:dyDescent="0.3">
      <c r="A764">
        <v>602</v>
      </c>
      <c r="B764" t="s">
        <v>12</v>
      </c>
      <c r="C764" t="s">
        <v>1969</v>
      </c>
      <c r="D764" s="4">
        <v>409.4</v>
      </c>
      <c r="E764" t="s">
        <v>1970</v>
      </c>
      <c r="F764" s="1">
        <v>-9.4700000000000006E-2</v>
      </c>
      <c r="G764" s="1">
        <v>5.1000000000000004E-3</v>
      </c>
      <c r="H764" t="s">
        <v>1971</v>
      </c>
      <c r="I764" t="s">
        <v>1972</v>
      </c>
    </row>
    <row r="765" spans="1:9" x14ac:dyDescent="0.3">
      <c r="A765">
        <v>920</v>
      </c>
      <c r="B765" t="s">
        <v>12</v>
      </c>
      <c r="C765" t="s">
        <v>3001</v>
      </c>
      <c r="D765" s="4">
        <v>128.97999999999999</v>
      </c>
      <c r="E765" t="s">
        <v>3002</v>
      </c>
      <c r="F765" s="1">
        <v>-0.12809999999999999</v>
      </c>
      <c r="G765" s="1">
        <v>5.1000000000000004E-3</v>
      </c>
      <c r="H765" t="s">
        <v>3003</v>
      </c>
      <c r="I765" t="s">
        <v>3004</v>
      </c>
    </row>
    <row r="766" spans="1:9" x14ac:dyDescent="0.3">
      <c r="A766">
        <v>1240</v>
      </c>
      <c r="B766" t="s">
        <v>486</v>
      </c>
      <c r="C766" t="s">
        <v>4030</v>
      </c>
      <c r="D766" s="4">
        <v>43.45</v>
      </c>
      <c r="E766" t="s">
        <v>4031</v>
      </c>
      <c r="F766" s="1">
        <v>-5.3900000000000003E-2</v>
      </c>
      <c r="G766" s="1">
        <v>8.8999999999999999E-3</v>
      </c>
      <c r="H766" t="s">
        <v>4032</v>
      </c>
      <c r="I766" t="s">
        <v>4033</v>
      </c>
    </row>
    <row r="767" spans="1:9" x14ac:dyDescent="0.3">
      <c r="A767">
        <v>1833</v>
      </c>
      <c r="B767" t="s">
        <v>24</v>
      </c>
      <c r="C767" t="s">
        <v>5892</v>
      </c>
      <c r="D767" s="4">
        <v>2.74</v>
      </c>
      <c r="E767" t="s">
        <v>5893</v>
      </c>
      <c r="F767" s="1">
        <v>-5.7999999999999996E-3</v>
      </c>
      <c r="G767" s="1">
        <v>5.8999999999999999E-3</v>
      </c>
      <c r="H767" t="s">
        <v>5894</v>
      </c>
      <c r="I767" t="s">
        <v>5895</v>
      </c>
    </row>
    <row r="768" spans="1:9" x14ac:dyDescent="0.3">
      <c r="A768">
        <v>208</v>
      </c>
      <c r="B768" t="s">
        <v>12</v>
      </c>
      <c r="C768" t="s">
        <v>721</v>
      </c>
      <c r="D768" s="4">
        <f>3.37*1000</f>
        <v>3370</v>
      </c>
      <c r="E768" t="s">
        <v>722</v>
      </c>
      <c r="F768" s="1">
        <v>-0.11</v>
      </c>
      <c r="G768" s="1">
        <v>4.3E-3</v>
      </c>
      <c r="H768" t="s">
        <v>723</v>
      </c>
      <c r="I768" t="s">
        <v>724</v>
      </c>
    </row>
    <row r="769" spans="1:9" x14ac:dyDescent="0.3">
      <c r="A769">
        <v>1932</v>
      </c>
      <c r="B769" t="s">
        <v>5007</v>
      </c>
      <c r="C769" t="s">
        <v>6175</v>
      </c>
      <c r="D769" s="4" t="s">
        <v>662</v>
      </c>
      <c r="E769" t="s">
        <v>662</v>
      </c>
      <c r="F769" s="1">
        <v>-0.42559999999999998</v>
      </c>
      <c r="G769" s="1">
        <v>7.4999999999999997E-3</v>
      </c>
      <c r="H769" t="s">
        <v>6176</v>
      </c>
      <c r="I769" t="s">
        <v>6177</v>
      </c>
    </row>
    <row r="770" spans="1:9" x14ac:dyDescent="0.3">
      <c r="A770">
        <v>904</v>
      </c>
      <c r="B770" t="s">
        <v>12</v>
      </c>
      <c r="C770" t="s">
        <v>2947</v>
      </c>
      <c r="D770" s="4">
        <v>133.51</v>
      </c>
      <c r="E770" t="s">
        <v>2948</v>
      </c>
      <c r="F770" s="1">
        <v>5.4000000000000003E-3</v>
      </c>
      <c r="G770" s="1">
        <v>4.3E-3</v>
      </c>
      <c r="H770" t="s">
        <v>2949</v>
      </c>
      <c r="I770" t="s">
        <v>2950</v>
      </c>
    </row>
    <row r="771" spans="1:9" x14ac:dyDescent="0.3">
      <c r="A771">
        <v>1412</v>
      </c>
      <c r="B771" t="s">
        <v>272</v>
      </c>
      <c r="C771" t="s">
        <v>4586</v>
      </c>
      <c r="D771" s="4">
        <v>24.68</v>
      </c>
      <c r="E771" t="s">
        <v>4587</v>
      </c>
      <c r="F771" s="1">
        <v>-3.1199999999999999E-2</v>
      </c>
      <c r="G771" s="1">
        <v>4.4999999999999997E-3</v>
      </c>
      <c r="H771" t="s">
        <v>4588</v>
      </c>
      <c r="I771" t="s">
        <v>4589</v>
      </c>
    </row>
    <row r="772" spans="1:9" x14ac:dyDescent="0.3">
      <c r="A772">
        <v>254</v>
      </c>
      <c r="B772" t="s">
        <v>332</v>
      </c>
      <c r="C772" t="s">
        <v>870</v>
      </c>
      <c r="D772" s="4">
        <f>2.27*1000</f>
        <v>2270</v>
      </c>
      <c r="E772" t="s">
        <v>871</v>
      </c>
      <c r="F772" s="1">
        <v>-2.3800000000000002E-2</v>
      </c>
      <c r="G772" s="1">
        <v>8.5000000000000006E-3</v>
      </c>
      <c r="H772" t="s">
        <v>872</v>
      </c>
      <c r="I772" t="s">
        <v>873</v>
      </c>
    </row>
    <row r="773" spans="1:9" x14ac:dyDescent="0.3">
      <c r="A773">
        <v>261</v>
      </c>
      <c r="B773" t="s">
        <v>280</v>
      </c>
      <c r="C773" t="s">
        <v>893</v>
      </c>
      <c r="D773" s="4">
        <f>2.16*1000</f>
        <v>2160</v>
      </c>
      <c r="E773" t="s">
        <v>894</v>
      </c>
      <c r="F773" s="1">
        <v>-0.01</v>
      </c>
      <c r="G773" s="1">
        <v>9.5999999999999992E-3</v>
      </c>
      <c r="H773" t="s">
        <v>872</v>
      </c>
      <c r="I773" t="s">
        <v>895</v>
      </c>
    </row>
    <row r="774" spans="1:9" x14ac:dyDescent="0.3">
      <c r="A774">
        <v>937</v>
      </c>
      <c r="B774" t="s">
        <v>3055</v>
      </c>
      <c r="C774" t="s">
        <v>3056</v>
      </c>
      <c r="D774" s="4">
        <v>124.46</v>
      </c>
      <c r="E774" t="s">
        <v>3057</v>
      </c>
      <c r="F774" s="1">
        <v>-3.1199999999999999E-2</v>
      </c>
      <c r="G774" s="1">
        <v>8.5000000000000006E-3</v>
      </c>
      <c r="H774" t="s">
        <v>872</v>
      </c>
      <c r="I774" t="s">
        <v>3058</v>
      </c>
    </row>
    <row r="775" spans="1:9" x14ac:dyDescent="0.3">
      <c r="A775">
        <v>537</v>
      </c>
      <c r="B775" t="s">
        <v>7</v>
      </c>
      <c r="C775" t="s">
        <v>1750</v>
      </c>
      <c r="D775" s="4">
        <v>533.22</v>
      </c>
      <c r="E775" t="s">
        <v>1751</v>
      </c>
      <c r="F775" s="1">
        <v>7.6200000000000004E-2</v>
      </c>
      <c r="G775" s="1">
        <v>3.5000000000000001E-3</v>
      </c>
      <c r="H775" t="s">
        <v>1752</v>
      </c>
      <c r="I775" t="s">
        <v>1753</v>
      </c>
    </row>
    <row r="776" spans="1:9" x14ac:dyDescent="0.3">
      <c r="A776">
        <v>547</v>
      </c>
      <c r="B776" t="s">
        <v>12</v>
      </c>
      <c r="C776" t="s">
        <v>1782</v>
      </c>
      <c r="D776" s="4">
        <v>506.44</v>
      </c>
      <c r="E776" t="s">
        <v>1783</v>
      </c>
      <c r="F776" s="1">
        <v>5.1700000000000003E-2</v>
      </c>
      <c r="G776" s="1">
        <v>4.3E-3</v>
      </c>
      <c r="H776" t="s">
        <v>1752</v>
      </c>
      <c r="I776" t="s">
        <v>1784</v>
      </c>
    </row>
    <row r="777" spans="1:9" x14ac:dyDescent="0.3">
      <c r="A777">
        <v>1660</v>
      </c>
      <c r="B777" t="s">
        <v>1150</v>
      </c>
      <c r="C777" t="s">
        <v>5366</v>
      </c>
      <c r="D777" s="4">
        <v>8.6300000000000008</v>
      </c>
      <c r="E777" t="s">
        <v>5364</v>
      </c>
      <c r="F777" s="1">
        <v>-0.46860000000000002</v>
      </c>
      <c r="G777" s="1">
        <v>7.4999999999999997E-3</v>
      </c>
      <c r="H777" t="s">
        <v>5367</v>
      </c>
      <c r="I777" t="s">
        <v>5368</v>
      </c>
    </row>
    <row r="778" spans="1:9" x14ac:dyDescent="0.3">
      <c r="A778">
        <v>162</v>
      </c>
      <c r="B778" t="s">
        <v>12</v>
      </c>
      <c r="C778" t="s">
        <v>571</v>
      </c>
      <c r="D778" s="4">
        <f>5.05*1000</f>
        <v>5050</v>
      </c>
      <c r="E778" t="s">
        <v>568</v>
      </c>
      <c r="F778" s="1">
        <v>-0.22309999999999999</v>
      </c>
      <c r="G778" s="1">
        <v>4.3E-3</v>
      </c>
      <c r="H778" t="s">
        <v>572</v>
      </c>
      <c r="I778" t="s">
        <v>573</v>
      </c>
    </row>
    <row r="779" spans="1:9" x14ac:dyDescent="0.3">
      <c r="A779">
        <v>1104</v>
      </c>
      <c r="B779" t="s">
        <v>486</v>
      </c>
      <c r="C779" t="s">
        <v>3595</v>
      </c>
      <c r="D779" s="4">
        <v>72.569999999999993</v>
      </c>
      <c r="E779" t="s">
        <v>3596</v>
      </c>
      <c r="F779" s="1">
        <v>-8.9200000000000002E-2</v>
      </c>
      <c r="G779" s="1">
        <v>5.1000000000000004E-3</v>
      </c>
      <c r="H779" t="s">
        <v>3597</v>
      </c>
      <c r="I779" t="s">
        <v>3598</v>
      </c>
    </row>
    <row r="780" spans="1:9" x14ac:dyDescent="0.3">
      <c r="A780">
        <v>1191</v>
      </c>
      <c r="B780" t="s">
        <v>12</v>
      </c>
      <c r="C780" t="s">
        <v>3877</v>
      </c>
      <c r="D780" s="4">
        <v>51.32</v>
      </c>
      <c r="E780" t="s">
        <v>3878</v>
      </c>
      <c r="F780" s="1">
        <v>-8.9700000000000002E-2</v>
      </c>
      <c r="G780" s="1">
        <v>5.3E-3</v>
      </c>
      <c r="H780" t="s">
        <v>3597</v>
      </c>
      <c r="I780" t="s">
        <v>3879</v>
      </c>
    </row>
    <row r="781" spans="1:9" x14ac:dyDescent="0.3">
      <c r="A781">
        <v>1472</v>
      </c>
      <c r="B781" t="s">
        <v>486</v>
      </c>
      <c r="C781" t="s">
        <v>4780</v>
      </c>
      <c r="D781" s="4">
        <v>20.54</v>
      </c>
      <c r="E781" t="s">
        <v>4781</v>
      </c>
      <c r="F781" s="1">
        <v>-3.8800000000000001E-2</v>
      </c>
      <c r="G781" s="1">
        <v>8.9999999999999993E-3</v>
      </c>
      <c r="H781" t="s">
        <v>4782</v>
      </c>
      <c r="I781" t="s">
        <v>4783</v>
      </c>
    </row>
    <row r="782" spans="1:9" x14ac:dyDescent="0.3">
      <c r="A782">
        <v>757</v>
      </c>
      <c r="B782" t="s">
        <v>12</v>
      </c>
      <c r="C782" t="s">
        <v>2483</v>
      </c>
      <c r="D782" s="4">
        <v>216.54</v>
      </c>
      <c r="E782" t="s">
        <v>2484</v>
      </c>
      <c r="F782" s="1">
        <v>0.12429999999999999</v>
      </c>
      <c r="G782" s="1">
        <v>5.8999999999999999E-3</v>
      </c>
      <c r="H782" t="s">
        <v>2485</v>
      </c>
      <c r="I782" t="s">
        <v>2486</v>
      </c>
    </row>
    <row r="783" spans="1:9" x14ac:dyDescent="0.3">
      <c r="A783">
        <v>906</v>
      </c>
      <c r="B783" t="s">
        <v>12</v>
      </c>
      <c r="C783" t="s">
        <v>2955</v>
      </c>
      <c r="D783" s="4">
        <v>133.43</v>
      </c>
      <c r="E783" t="s">
        <v>2956</v>
      </c>
      <c r="F783" s="1">
        <v>-3.3599999999999998E-2</v>
      </c>
      <c r="G783" s="1">
        <v>5.8999999999999999E-3</v>
      </c>
      <c r="H783" t="s">
        <v>2957</v>
      </c>
      <c r="I783" t="s">
        <v>2958</v>
      </c>
    </row>
    <row r="784" spans="1:9" x14ac:dyDescent="0.3">
      <c r="A784">
        <v>694</v>
      </c>
      <c r="B784" t="s">
        <v>12</v>
      </c>
      <c r="C784" t="s">
        <v>2273</v>
      </c>
      <c r="D784" s="4">
        <v>284.20999999999998</v>
      </c>
      <c r="E784" t="s">
        <v>2274</v>
      </c>
      <c r="F784" s="1">
        <v>-8.5099999999999995E-2</v>
      </c>
      <c r="G784" s="1">
        <v>5.8999999999999999E-3</v>
      </c>
      <c r="H784" t="s">
        <v>2275</v>
      </c>
      <c r="I784" t="s">
        <v>2276</v>
      </c>
    </row>
    <row r="785" spans="1:9" x14ac:dyDescent="0.3">
      <c r="A785">
        <v>1644</v>
      </c>
      <c r="B785" t="s">
        <v>486</v>
      </c>
      <c r="C785" t="s">
        <v>5315</v>
      </c>
      <c r="D785" s="4">
        <v>9.4600000000000009</v>
      </c>
      <c r="E785" t="s">
        <v>5316</v>
      </c>
      <c r="F785" s="1">
        <v>-9.6500000000000002E-2</v>
      </c>
      <c r="G785" s="1">
        <v>5.7999999999999996E-3</v>
      </c>
      <c r="H785" t="s">
        <v>5317</v>
      </c>
      <c r="I785" t="s">
        <v>5318</v>
      </c>
    </row>
    <row r="786" spans="1:9" x14ac:dyDescent="0.3">
      <c r="A786">
        <v>1022</v>
      </c>
      <c r="B786" t="s">
        <v>12</v>
      </c>
      <c r="C786" t="s">
        <v>3328</v>
      </c>
      <c r="D786" s="4">
        <v>93.31</v>
      </c>
      <c r="E786" t="s">
        <v>3329</v>
      </c>
      <c r="F786" s="1">
        <v>4.5699999999999998E-2</v>
      </c>
      <c r="G786" s="1">
        <v>5.8999999999999999E-3</v>
      </c>
      <c r="H786" t="s">
        <v>3330</v>
      </c>
      <c r="I786" t="s">
        <v>3331</v>
      </c>
    </row>
    <row r="787" spans="1:9" x14ac:dyDescent="0.3">
      <c r="A787">
        <v>1454</v>
      </c>
      <c r="B787" t="s">
        <v>272</v>
      </c>
      <c r="C787" t="s">
        <v>4723</v>
      </c>
      <c r="D787" s="4">
        <v>21.69</v>
      </c>
      <c r="E787" t="s">
        <v>4724</v>
      </c>
      <c r="F787" s="1">
        <v>-0.24349999999999999</v>
      </c>
      <c r="G787" s="1">
        <v>7.7000000000000002E-3</v>
      </c>
      <c r="H787" t="s">
        <v>4725</v>
      </c>
      <c r="I787" t="s">
        <v>4726</v>
      </c>
    </row>
    <row r="788" spans="1:9" x14ac:dyDescent="0.3">
      <c r="A788">
        <v>346</v>
      </c>
      <c r="B788" t="s">
        <v>272</v>
      </c>
      <c r="C788" t="s">
        <v>1147</v>
      </c>
      <c r="D788" s="4">
        <f>1.23*1000</f>
        <v>1230</v>
      </c>
      <c r="E788" t="s">
        <v>1143</v>
      </c>
      <c r="F788" s="1">
        <v>-0.24970000000000001</v>
      </c>
      <c r="G788" s="1">
        <v>6.7000000000000002E-3</v>
      </c>
      <c r="H788" t="s">
        <v>1148</v>
      </c>
      <c r="I788" t="s">
        <v>1149</v>
      </c>
    </row>
    <row r="789" spans="1:9" x14ac:dyDescent="0.3">
      <c r="A789">
        <v>554</v>
      </c>
      <c r="B789" t="s">
        <v>12</v>
      </c>
      <c r="C789" t="s">
        <v>1806</v>
      </c>
      <c r="D789" s="4">
        <v>492.79</v>
      </c>
      <c r="E789" t="s">
        <v>1807</v>
      </c>
      <c r="F789" s="1">
        <v>-0.2424</v>
      </c>
      <c r="G789" s="1">
        <v>5.8999999999999999E-3</v>
      </c>
      <c r="H789" t="s">
        <v>1148</v>
      </c>
      <c r="I789" t="s">
        <v>1808</v>
      </c>
    </row>
    <row r="790" spans="1:9" x14ac:dyDescent="0.3">
      <c r="A790">
        <v>1459</v>
      </c>
      <c r="B790" t="s">
        <v>1340</v>
      </c>
      <c r="C790" t="s">
        <v>4739</v>
      </c>
      <c r="D790" s="4">
        <v>21.45</v>
      </c>
      <c r="E790" t="s">
        <v>4740</v>
      </c>
      <c r="F790" s="1">
        <v>-0.2258</v>
      </c>
      <c r="G790" s="1">
        <v>1.9E-3</v>
      </c>
      <c r="H790" t="s">
        <v>1148</v>
      </c>
      <c r="I790" t="s">
        <v>4741</v>
      </c>
    </row>
    <row r="791" spans="1:9" x14ac:dyDescent="0.3">
      <c r="A791">
        <v>371</v>
      </c>
      <c r="B791" t="s">
        <v>12</v>
      </c>
      <c r="C791" t="s">
        <v>1218</v>
      </c>
      <c r="D791" s="4">
        <f>1.12*1000</f>
        <v>1120</v>
      </c>
      <c r="E791" t="s">
        <v>1215</v>
      </c>
      <c r="F791" s="1">
        <v>2.24E-2</v>
      </c>
      <c r="G791" s="1">
        <v>7.4000000000000003E-3</v>
      </c>
      <c r="H791" t="s">
        <v>1219</v>
      </c>
      <c r="I791" t="s">
        <v>1220</v>
      </c>
    </row>
    <row r="792" spans="1:9" x14ac:dyDescent="0.3">
      <c r="A792">
        <v>1792</v>
      </c>
      <c r="B792" t="s">
        <v>1340</v>
      </c>
      <c r="C792" t="s">
        <v>5764</v>
      </c>
      <c r="D792" s="4">
        <v>3.84</v>
      </c>
      <c r="E792" t="s">
        <v>5765</v>
      </c>
      <c r="F792" s="1">
        <v>3.1199999999999999E-2</v>
      </c>
      <c r="G792" s="1">
        <v>3.8999999999999998E-3</v>
      </c>
      <c r="H792" t="s">
        <v>1219</v>
      </c>
      <c r="I792" t="s">
        <v>5766</v>
      </c>
    </row>
    <row r="793" spans="1:9" x14ac:dyDescent="0.3">
      <c r="A793">
        <v>525</v>
      </c>
      <c r="B793" t="s">
        <v>12</v>
      </c>
      <c r="C793" t="s">
        <v>1709</v>
      </c>
      <c r="D793" s="4">
        <v>554.54</v>
      </c>
      <c r="E793" t="s">
        <v>1710</v>
      </c>
      <c r="F793" s="1">
        <v>-6.9400000000000003E-2</v>
      </c>
      <c r="G793" s="1">
        <v>5.1000000000000004E-3</v>
      </c>
      <c r="H793" t="s">
        <v>1711</v>
      </c>
      <c r="I793" t="s">
        <v>1712</v>
      </c>
    </row>
    <row r="794" spans="1:9" x14ac:dyDescent="0.3">
      <c r="A794">
        <v>660</v>
      </c>
      <c r="B794" t="s">
        <v>12</v>
      </c>
      <c r="C794" t="s">
        <v>2164</v>
      </c>
      <c r="D794" s="4">
        <v>330.37</v>
      </c>
      <c r="E794" t="s">
        <v>2165</v>
      </c>
      <c r="F794" s="1">
        <v>3.2599999999999997E-2</v>
      </c>
      <c r="G794" s="1">
        <v>5.8999999999999999E-3</v>
      </c>
      <c r="H794" t="s">
        <v>2166</v>
      </c>
      <c r="I794" t="s">
        <v>2167</v>
      </c>
    </row>
    <row r="795" spans="1:9" x14ac:dyDescent="0.3">
      <c r="A795">
        <v>1750</v>
      </c>
      <c r="B795" t="s">
        <v>1340</v>
      </c>
      <c r="C795" t="s">
        <v>5637</v>
      </c>
      <c r="D795" s="4">
        <v>5.39</v>
      </c>
      <c r="E795" t="s">
        <v>5638</v>
      </c>
      <c r="F795" s="1">
        <v>3.0599999999999999E-2</v>
      </c>
      <c r="G795" s="1">
        <v>1.9E-3</v>
      </c>
      <c r="H795" t="s">
        <v>2166</v>
      </c>
      <c r="I795" t="s">
        <v>5639</v>
      </c>
    </row>
    <row r="796" spans="1:9" x14ac:dyDescent="0.3">
      <c r="A796">
        <v>177</v>
      </c>
      <c r="B796" t="s">
        <v>12</v>
      </c>
      <c r="C796" t="s">
        <v>622</v>
      </c>
      <c r="D796" s="4">
        <f>4.34*1000</f>
        <v>4340</v>
      </c>
      <c r="E796" t="s">
        <v>620</v>
      </c>
      <c r="F796" s="1">
        <v>-5.11E-2</v>
      </c>
      <c r="G796" s="1">
        <v>5.8999999999999999E-3</v>
      </c>
      <c r="H796" t="s">
        <v>623</v>
      </c>
      <c r="I796" t="s">
        <v>624</v>
      </c>
    </row>
    <row r="797" spans="1:9" x14ac:dyDescent="0.3">
      <c r="A797">
        <v>1148</v>
      </c>
      <c r="B797" t="s">
        <v>1340</v>
      </c>
      <c r="C797" t="s">
        <v>3735</v>
      </c>
      <c r="D797" s="4">
        <v>61.04</v>
      </c>
      <c r="E797" t="s">
        <v>3736</v>
      </c>
      <c r="F797" s="1">
        <v>-6.2100000000000002E-2</v>
      </c>
      <c r="G797" s="1">
        <v>8.9999999999999998E-4</v>
      </c>
      <c r="H797" t="s">
        <v>623</v>
      </c>
      <c r="I797" t="s">
        <v>3737</v>
      </c>
    </row>
    <row r="798" spans="1:9" x14ac:dyDescent="0.3">
      <c r="A798">
        <v>1311</v>
      </c>
      <c r="B798" t="s">
        <v>486</v>
      </c>
      <c r="C798" t="s">
        <v>4263</v>
      </c>
      <c r="D798" s="4">
        <v>35.020000000000003</v>
      </c>
      <c r="E798" t="s">
        <v>4264</v>
      </c>
      <c r="F798" s="1">
        <v>6.4999999999999997E-3</v>
      </c>
      <c r="G798" s="1">
        <v>6.4999999999999997E-3</v>
      </c>
      <c r="H798" t="s">
        <v>4265</v>
      </c>
      <c r="I798" t="s">
        <v>4266</v>
      </c>
    </row>
    <row r="799" spans="1:9" x14ac:dyDescent="0.3">
      <c r="A799">
        <v>523</v>
      </c>
      <c r="B799" t="s">
        <v>12</v>
      </c>
      <c r="C799" t="s">
        <v>1702</v>
      </c>
      <c r="D799" s="4">
        <v>557.25</v>
      </c>
      <c r="E799" t="s">
        <v>1703</v>
      </c>
      <c r="F799" s="1">
        <v>-4.4600000000000001E-2</v>
      </c>
      <c r="G799" s="1">
        <v>5.1000000000000004E-3</v>
      </c>
      <c r="H799" t="s">
        <v>1704</v>
      </c>
      <c r="I799" t="s">
        <v>1705</v>
      </c>
    </row>
    <row r="800" spans="1:9" x14ac:dyDescent="0.3">
      <c r="A800">
        <v>508</v>
      </c>
      <c r="B800" t="s">
        <v>12</v>
      </c>
      <c r="C800" t="s">
        <v>1651</v>
      </c>
      <c r="D800" s="4">
        <v>615.07000000000005</v>
      </c>
      <c r="E800" t="s">
        <v>1652</v>
      </c>
      <c r="F800" s="1">
        <v>-9.0300000000000005E-2</v>
      </c>
      <c r="G800" s="1">
        <v>5.1000000000000004E-3</v>
      </c>
      <c r="H800" t="s">
        <v>1653</v>
      </c>
      <c r="I800" t="s">
        <v>1654</v>
      </c>
    </row>
    <row r="801" spans="1:9" x14ac:dyDescent="0.3">
      <c r="A801">
        <v>290</v>
      </c>
      <c r="B801" t="s">
        <v>12</v>
      </c>
      <c r="C801" t="s">
        <v>987</v>
      </c>
      <c r="D801" s="4">
        <f>1.75*1000</f>
        <v>1750</v>
      </c>
      <c r="E801" t="s">
        <v>985</v>
      </c>
      <c r="F801" s="1">
        <v>1.18E-2</v>
      </c>
      <c r="G801" s="1">
        <v>5.1000000000000004E-3</v>
      </c>
      <c r="H801" t="s">
        <v>988</v>
      </c>
      <c r="I801" t="s">
        <v>989</v>
      </c>
    </row>
    <row r="802" spans="1:9" x14ac:dyDescent="0.3">
      <c r="A802">
        <v>1017</v>
      </c>
      <c r="B802" t="s">
        <v>280</v>
      </c>
      <c r="C802" t="s">
        <v>3314</v>
      </c>
      <c r="D802" s="4">
        <v>94.08</v>
      </c>
      <c r="E802" t="s">
        <v>3315</v>
      </c>
      <c r="F802" s="1">
        <v>-2.0400000000000001E-2</v>
      </c>
      <c r="G802" s="1">
        <v>8.0000000000000002E-3</v>
      </c>
      <c r="H802" t="s">
        <v>988</v>
      </c>
      <c r="I802" t="s">
        <v>3316</v>
      </c>
    </row>
    <row r="803" spans="1:9" x14ac:dyDescent="0.3">
      <c r="A803">
        <v>1209</v>
      </c>
      <c r="B803" t="s">
        <v>1340</v>
      </c>
      <c r="C803" t="s">
        <v>3933</v>
      </c>
      <c r="D803" s="4">
        <v>48.48</v>
      </c>
      <c r="E803" t="s">
        <v>3934</v>
      </c>
      <c r="F803" s="1">
        <v>1.3299999999999999E-2</v>
      </c>
      <c r="G803" s="1">
        <v>8.9999999999999998E-4</v>
      </c>
      <c r="H803" t="s">
        <v>988</v>
      </c>
      <c r="I803" t="s">
        <v>3935</v>
      </c>
    </row>
    <row r="804" spans="1:9" x14ac:dyDescent="0.3">
      <c r="A804">
        <v>119</v>
      </c>
      <c r="B804" t="s">
        <v>12</v>
      </c>
      <c r="C804" t="s">
        <v>421</v>
      </c>
      <c r="D804" s="4">
        <f>7.06*1000</f>
        <v>7060</v>
      </c>
      <c r="E804" t="s">
        <v>422</v>
      </c>
      <c r="F804" s="1">
        <v>6.6100000000000006E-2</v>
      </c>
      <c r="G804" s="1">
        <v>5.8999999999999999E-3</v>
      </c>
      <c r="H804" t="s">
        <v>423</v>
      </c>
      <c r="I804" t="s">
        <v>424</v>
      </c>
    </row>
    <row r="805" spans="1:9" x14ac:dyDescent="0.3">
      <c r="A805">
        <v>1196</v>
      </c>
      <c r="B805" t="s">
        <v>1340</v>
      </c>
      <c r="C805" t="s">
        <v>3893</v>
      </c>
      <c r="D805" s="4">
        <v>50.29</v>
      </c>
      <c r="E805" t="s">
        <v>3894</v>
      </c>
      <c r="F805" s="1">
        <v>6.2700000000000006E-2</v>
      </c>
      <c r="G805" s="1">
        <v>1.9E-3</v>
      </c>
      <c r="H805" t="s">
        <v>423</v>
      </c>
      <c r="I805" t="s">
        <v>3895</v>
      </c>
    </row>
    <row r="806" spans="1:9" x14ac:dyDescent="0.3">
      <c r="A806">
        <v>608</v>
      </c>
      <c r="B806" t="s">
        <v>12</v>
      </c>
      <c r="C806" t="s">
        <v>1991</v>
      </c>
      <c r="D806" s="4">
        <v>402.15</v>
      </c>
      <c r="E806" t="s">
        <v>1992</v>
      </c>
      <c r="F806" s="1">
        <v>-2.5999999999999999E-3</v>
      </c>
      <c r="G806" s="1">
        <v>5.8999999999999999E-3</v>
      </c>
      <c r="H806" t="s">
        <v>1993</v>
      </c>
      <c r="I806" t="s">
        <v>1994</v>
      </c>
    </row>
    <row r="807" spans="1:9" x14ac:dyDescent="0.3">
      <c r="A807">
        <v>683</v>
      </c>
      <c r="B807" t="s">
        <v>12</v>
      </c>
      <c r="C807" t="s">
        <v>2235</v>
      </c>
      <c r="D807" s="4">
        <v>304.08</v>
      </c>
      <c r="E807" t="s">
        <v>2236</v>
      </c>
      <c r="F807" s="1">
        <v>-2.29E-2</v>
      </c>
      <c r="G807" s="1">
        <v>5.8999999999999999E-3</v>
      </c>
      <c r="H807" t="s">
        <v>2237</v>
      </c>
      <c r="I807" t="s">
        <v>2238</v>
      </c>
    </row>
    <row r="808" spans="1:9" x14ac:dyDescent="0.3">
      <c r="A808">
        <v>1008</v>
      </c>
      <c r="B808" t="s">
        <v>12</v>
      </c>
      <c r="C808" t="s">
        <v>3285</v>
      </c>
      <c r="D808" s="4">
        <v>96.54</v>
      </c>
      <c r="E808" t="s">
        <v>3286</v>
      </c>
      <c r="F808" s="1">
        <v>-7.51E-2</v>
      </c>
      <c r="G808" s="1">
        <v>5.8999999999999999E-3</v>
      </c>
      <c r="H808" t="s">
        <v>3287</v>
      </c>
      <c r="I808" t="s">
        <v>3288</v>
      </c>
    </row>
    <row r="809" spans="1:9" x14ac:dyDescent="0.3">
      <c r="A809">
        <v>217</v>
      </c>
      <c r="B809" t="s">
        <v>12</v>
      </c>
      <c r="C809" t="s">
        <v>749</v>
      </c>
      <c r="D809" s="4">
        <f>3.16*1000</f>
        <v>3160</v>
      </c>
      <c r="E809" t="s">
        <v>750</v>
      </c>
      <c r="F809" s="1">
        <v>2.69E-2</v>
      </c>
      <c r="G809" s="1">
        <v>5.1000000000000004E-3</v>
      </c>
      <c r="H809" t="s">
        <v>751</v>
      </c>
      <c r="I809" t="s">
        <v>752</v>
      </c>
    </row>
    <row r="810" spans="1:9" x14ac:dyDescent="0.3">
      <c r="A810">
        <v>505</v>
      </c>
      <c r="B810" t="s">
        <v>1340</v>
      </c>
      <c r="C810" t="s">
        <v>1642</v>
      </c>
      <c r="D810" s="4">
        <v>620.54</v>
      </c>
      <c r="E810" t="s">
        <v>1643</v>
      </c>
      <c r="F810" s="1">
        <v>1.9099999999999999E-2</v>
      </c>
      <c r="G810" s="1">
        <v>8.9999999999999998E-4</v>
      </c>
      <c r="H810" t="s">
        <v>751</v>
      </c>
      <c r="I810" t="s">
        <v>1644</v>
      </c>
    </row>
    <row r="811" spans="1:9" x14ac:dyDescent="0.3">
      <c r="A811">
        <v>1040</v>
      </c>
      <c r="B811" t="s">
        <v>280</v>
      </c>
      <c r="C811" t="s">
        <v>3386</v>
      </c>
      <c r="D811" s="4">
        <v>88.71</v>
      </c>
      <c r="E811" t="s">
        <v>3387</v>
      </c>
      <c r="F811" s="1">
        <v>-1.89E-2</v>
      </c>
      <c r="G811" s="1">
        <v>8.0000000000000002E-3</v>
      </c>
      <c r="H811" t="s">
        <v>751</v>
      </c>
      <c r="I811" t="s">
        <v>3388</v>
      </c>
    </row>
    <row r="812" spans="1:9" x14ac:dyDescent="0.3">
      <c r="A812">
        <v>1572</v>
      </c>
      <c r="B812" t="s">
        <v>12</v>
      </c>
      <c r="C812" t="s">
        <v>5085</v>
      </c>
      <c r="D812" s="4">
        <v>13.59</v>
      </c>
      <c r="E812" t="s">
        <v>5086</v>
      </c>
      <c r="F812" s="1">
        <v>4.6800000000000001E-2</v>
      </c>
      <c r="G812" s="1">
        <v>5.0000000000000001E-3</v>
      </c>
      <c r="H812" t="s">
        <v>751</v>
      </c>
      <c r="I812" t="s">
        <v>5087</v>
      </c>
    </row>
    <row r="813" spans="1:9" x14ac:dyDescent="0.3">
      <c r="A813">
        <v>62</v>
      </c>
      <c r="B813" t="s">
        <v>16</v>
      </c>
      <c r="C813" t="s">
        <v>222</v>
      </c>
      <c r="D813" s="4">
        <f>15.32*1000</f>
        <v>15320</v>
      </c>
      <c r="E813" t="s">
        <v>223</v>
      </c>
      <c r="F813" s="1">
        <v>-0.16950000000000001</v>
      </c>
      <c r="G813" s="1">
        <v>5.9999999999999995E-4</v>
      </c>
      <c r="H813" t="s">
        <v>224</v>
      </c>
      <c r="I813" t="s">
        <v>225</v>
      </c>
    </row>
    <row r="814" spans="1:9" x14ac:dyDescent="0.3">
      <c r="A814">
        <v>287</v>
      </c>
      <c r="B814" t="s">
        <v>24</v>
      </c>
      <c r="C814" t="s">
        <v>976</v>
      </c>
      <c r="D814" s="4">
        <f>1.77*1000</f>
        <v>1770</v>
      </c>
      <c r="E814" t="s">
        <v>977</v>
      </c>
      <c r="F814" s="1">
        <v>-7.3300000000000004E-2</v>
      </c>
      <c r="G814" s="1">
        <v>3.8999999999999998E-3</v>
      </c>
      <c r="H814" t="s">
        <v>224</v>
      </c>
      <c r="I814" t="s">
        <v>978</v>
      </c>
    </row>
    <row r="815" spans="1:9" x14ac:dyDescent="0.3">
      <c r="A815">
        <v>524</v>
      </c>
      <c r="B815" t="s">
        <v>280</v>
      </c>
      <c r="C815" t="s">
        <v>1706</v>
      </c>
      <c r="D815" s="4">
        <v>555.64</v>
      </c>
      <c r="E815" t="s">
        <v>1707</v>
      </c>
      <c r="F815" s="1">
        <v>-4.5699999999999998E-2</v>
      </c>
      <c r="G815" s="1">
        <v>6.0000000000000001E-3</v>
      </c>
      <c r="H815" t="s">
        <v>224</v>
      </c>
      <c r="I815" t="s">
        <v>1708</v>
      </c>
    </row>
    <row r="816" spans="1:9" x14ac:dyDescent="0.3">
      <c r="A816">
        <v>638</v>
      </c>
      <c r="B816" t="s">
        <v>12</v>
      </c>
      <c r="C816" t="s">
        <v>2094</v>
      </c>
      <c r="D816" s="4">
        <v>365.37</v>
      </c>
      <c r="E816" t="s">
        <v>2095</v>
      </c>
      <c r="F816" s="1">
        <v>-0.1144</v>
      </c>
      <c r="G816" s="1">
        <v>1.5E-3</v>
      </c>
      <c r="H816" t="s">
        <v>224</v>
      </c>
      <c r="I816" t="s">
        <v>2096</v>
      </c>
    </row>
    <row r="817" spans="1:9" x14ac:dyDescent="0.3">
      <c r="A817">
        <v>957</v>
      </c>
      <c r="B817" t="s">
        <v>2246</v>
      </c>
      <c r="C817" t="s">
        <v>3120</v>
      </c>
      <c r="D817" s="4">
        <v>117</v>
      </c>
      <c r="E817" t="s">
        <v>3121</v>
      </c>
      <c r="F817" s="1">
        <v>-0.1164</v>
      </c>
      <c r="G817" s="1">
        <v>5.7000000000000002E-3</v>
      </c>
      <c r="H817" t="s">
        <v>224</v>
      </c>
      <c r="I817" t="s">
        <v>3122</v>
      </c>
    </row>
    <row r="818" spans="1:9" x14ac:dyDescent="0.3">
      <c r="A818">
        <v>1116</v>
      </c>
      <c r="B818" t="s">
        <v>460</v>
      </c>
      <c r="C818" t="s">
        <v>3635</v>
      </c>
      <c r="D818" s="4">
        <v>69.650000000000006</v>
      </c>
      <c r="E818" t="s">
        <v>3636</v>
      </c>
      <c r="F818" s="1">
        <v>-5.4300000000000001E-2</v>
      </c>
      <c r="G818" s="1">
        <v>2.8999999999999998E-3</v>
      </c>
      <c r="H818" t="s">
        <v>224</v>
      </c>
      <c r="I818" t="s">
        <v>3637</v>
      </c>
    </row>
    <row r="819" spans="1:9" x14ac:dyDescent="0.3">
      <c r="A819">
        <v>1216</v>
      </c>
      <c r="B819" t="s">
        <v>3954</v>
      </c>
      <c r="C819" t="s">
        <v>3955</v>
      </c>
      <c r="D819" s="4">
        <v>47.84</v>
      </c>
      <c r="E819" t="s">
        <v>3956</v>
      </c>
      <c r="F819" s="1">
        <v>-5.3999999999999999E-2</v>
      </c>
      <c r="G819" s="1">
        <v>1.0999999999999999E-2</v>
      </c>
      <c r="H819" t="s">
        <v>224</v>
      </c>
      <c r="I819" t="s">
        <v>3957</v>
      </c>
    </row>
    <row r="820" spans="1:9" x14ac:dyDescent="0.3">
      <c r="A820">
        <v>1321</v>
      </c>
      <c r="B820" t="s">
        <v>3867</v>
      </c>
      <c r="C820" t="s">
        <v>4298</v>
      </c>
      <c r="D820" s="4">
        <v>33.68</v>
      </c>
      <c r="E820" t="s">
        <v>4299</v>
      </c>
      <c r="F820" s="1">
        <v>-3.9199999999999999E-2</v>
      </c>
      <c r="G820" s="1">
        <v>6.0000000000000001E-3</v>
      </c>
      <c r="H820" t="s">
        <v>224</v>
      </c>
      <c r="I820" t="s">
        <v>4300</v>
      </c>
    </row>
    <row r="821" spans="1:9" x14ac:dyDescent="0.3">
      <c r="A821">
        <v>1501</v>
      </c>
      <c r="B821" t="s">
        <v>1687</v>
      </c>
      <c r="C821" t="s">
        <v>4869</v>
      </c>
      <c r="D821" s="4">
        <v>18.29</v>
      </c>
      <c r="E821" t="s">
        <v>4870</v>
      </c>
      <c r="F821" t="s">
        <v>662</v>
      </c>
      <c r="G821" s="1">
        <v>5.0000000000000001E-3</v>
      </c>
      <c r="H821" t="s">
        <v>224</v>
      </c>
      <c r="I821" t="s">
        <v>4871</v>
      </c>
    </row>
    <row r="822" spans="1:9" x14ac:dyDescent="0.3">
      <c r="A822">
        <v>1564</v>
      </c>
      <c r="B822" t="s">
        <v>280</v>
      </c>
      <c r="C822" t="s">
        <v>5060</v>
      </c>
      <c r="D822" s="4">
        <v>14.55</v>
      </c>
      <c r="E822" t="s">
        <v>5061</v>
      </c>
      <c r="F822" s="1">
        <v>-3.4599999999999999E-2</v>
      </c>
      <c r="G822" s="1">
        <v>8.0000000000000002E-3</v>
      </c>
      <c r="H822" t="s">
        <v>224</v>
      </c>
      <c r="I822" t="s">
        <v>5062</v>
      </c>
    </row>
    <row r="823" spans="1:9" x14ac:dyDescent="0.3">
      <c r="A823">
        <v>1668</v>
      </c>
      <c r="B823" t="s">
        <v>116</v>
      </c>
      <c r="C823" t="s">
        <v>5390</v>
      </c>
      <c r="D823" s="4">
        <v>8.27</v>
      </c>
      <c r="E823" t="s">
        <v>5391</v>
      </c>
      <c r="F823" t="s">
        <v>662</v>
      </c>
      <c r="G823" s="1">
        <v>5.8999999999999999E-3</v>
      </c>
      <c r="H823" t="s">
        <v>224</v>
      </c>
      <c r="I823" t="s">
        <v>5392</v>
      </c>
    </row>
    <row r="824" spans="1:9" x14ac:dyDescent="0.3">
      <c r="A824">
        <v>829</v>
      </c>
      <c r="B824" t="s">
        <v>2709</v>
      </c>
      <c r="C824" t="s">
        <v>2710</v>
      </c>
      <c r="D824" s="4">
        <v>170.7</v>
      </c>
      <c r="E824" t="s">
        <v>2711</v>
      </c>
      <c r="F824" s="1">
        <v>-0.12089999999999999</v>
      </c>
      <c r="G824" s="1">
        <v>3.0000000000000001E-3</v>
      </c>
      <c r="H824" t="s">
        <v>2712</v>
      </c>
      <c r="I824" t="s">
        <v>2713</v>
      </c>
    </row>
    <row r="825" spans="1:9" x14ac:dyDescent="0.3">
      <c r="A825">
        <v>1592</v>
      </c>
      <c r="B825" t="s">
        <v>12</v>
      </c>
      <c r="C825" t="s">
        <v>5151</v>
      </c>
      <c r="D825" s="4">
        <v>12.74</v>
      </c>
      <c r="E825" t="s">
        <v>5152</v>
      </c>
      <c r="F825" s="1">
        <v>-0.35849999999999999</v>
      </c>
      <c r="G825" s="1">
        <v>8.0000000000000002E-3</v>
      </c>
      <c r="H825" t="s">
        <v>2712</v>
      </c>
      <c r="I825" t="s">
        <v>5153</v>
      </c>
    </row>
    <row r="826" spans="1:9" x14ac:dyDescent="0.3">
      <c r="A826">
        <v>129</v>
      </c>
      <c r="B826" t="s">
        <v>240</v>
      </c>
      <c r="C826" t="s">
        <v>456</v>
      </c>
      <c r="D826" s="4">
        <f>6.45*1000</f>
        <v>6450</v>
      </c>
      <c r="E826" t="s">
        <v>457</v>
      </c>
      <c r="F826" s="1">
        <v>-3.3700000000000001E-2</v>
      </c>
      <c r="G826" s="1">
        <v>3.3999999999999998E-3</v>
      </c>
      <c r="H826" t="s">
        <v>458</v>
      </c>
      <c r="I826" t="s">
        <v>459</v>
      </c>
    </row>
    <row r="827" spans="1:9" x14ac:dyDescent="0.3">
      <c r="A827">
        <v>1186</v>
      </c>
      <c r="B827" t="s">
        <v>979</v>
      </c>
      <c r="C827" t="s">
        <v>3862</v>
      </c>
      <c r="D827" s="4">
        <v>52.4</v>
      </c>
      <c r="E827" t="s">
        <v>3863</v>
      </c>
      <c r="F827" s="1">
        <v>-6.8199999999999997E-2</v>
      </c>
      <c r="G827" s="1">
        <v>8.0000000000000002E-3</v>
      </c>
      <c r="H827" t="s">
        <v>458</v>
      </c>
      <c r="I827" t="s">
        <v>3864</v>
      </c>
    </row>
    <row r="828" spans="1:9" x14ac:dyDescent="0.3">
      <c r="A828">
        <v>26</v>
      </c>
      <c r="B828" t="s">
        <v>16</v>
      </c>
      <c r="C828" t="s">
        <v>102</v>
      </c>
      <c r="D828" s="4">
        <f>42.08*1000</f>
        <v>42080</v>
      </c>
      <c r="E828" t="s">
        <v>103</v>
      </c>
      <c r="F828" s="1">
        <v>2.23E-2</v>
      </c>
      <c r="G828" s="1">
        <v>5.9999999999999995E-4</v>
      </c>
      <c r="H828" t="s">
        <v>104</v>
      </c>
      <c r="I828" t="s">
        <v>105</v>
      </c>
    </row>
    <row r="829" spans="1:9" x14ac:dyDescent="0.3">
      <c r="A829">
        <v>33</v>
      </c>
      <c r="B829" t="s">
        <v>116</v>
      </c>
      <c r="C829" t="s">
        <v>126</v>
      </c>
      <c r="D829" s="4">
        <f>31.43*1000</f>
        <v>31430</v>
      </c>
      <c r="E829" t="s">
        <v>127</v>
      </c>
      <c r="F829" s="1">
        <v>6.3E-3</v>
      </c>
      <c r="G829" s="1">
        <v>5.9999999999999995E-4</v>
      </c>
      <c r="H829" t="s">
        <v>104</v>
      </c>
      <c r="I829" t="s">
        <v>128</v>
      </c>
    </row>
    <row r="830" spans="1:9" x14ac:dyDescent="0.3">
      <c r="A830">
        <v>51</v>
      </c>
      <c r="B830" t="s">
        <v>7</v>
      </c>
      <c r="C830" t="s">
        <v>185</v>
      </c>
      <c r="D830" s="4">
        <f>20.43*1000</f>
        <v>20430</v>
      </c>
      <c r="E830" t="s">
        <v>186</v>
      </c>
      <c r="F830" s="1">
        <v>2.4400000000000002E-2</v>
      </c>
      <c r="G830" s="1">
        <v>3.5000000000000001E-3</v>
      </c>
      <c r="H830" t="s">
        <v>104</v>
      </c>
      <c r="I830" t="s">
        <v>187</v>
      </c>
    </row>
    <row r="831" spans="1:9" x14ac:dyDescent="0.3">
      <c r="A831">
        <v>52</v>
      </c>
      <c r="B831" t="s">
        <v>12</v>
      </c>
      <c r="C831" t="s">
        <v>188</v>
      </c>
      <c r="D831" s="4">
        <f>19.99*1000</f>
        <v>19990</v>
      </c>
      <c r="E831" t="s">
        <v>189</v>
      </c>
      <c r="F831" s="1">
        <v>2.6200000000000001E-2</v>
      </c>
      <c r="G831" s="1">
        <v>3.8999999999999998E-3</v>
      </c>
      <c r="H831" t="s">
        <v>104</v>
      </c>
      <c r="I831" t="s">
        <v>190</v>
      </c>
    </row>
    <row r="832" spans="1:9" x14ac:dyDescent="0.3">
      <c r="A832">
        <v>78</v>
      </c>
      <c r="B832" t="s">
        <v>280</v>
      </c>
      <c r="C832" t="s">
        <v>281</v>
      </c>
      <c r="D832" s="4">
        <f>12.68*1000</f>
        <v>12680</v>
      </c>
      <c r="E832" t="s">
        <v>282</v>
      </c>
      <c r="F832" s="1">
        <v>1.3100000000000001E-2</v>
      </c>
      <c r="G832" s="1">
        <v>7.0000000000000001E-3</v>
      </c>
      <c r="H832" t="s">
        <v>104</v>
      </c>
      <c r="I832" t="s">
        <v>283</v>
      </c>
    </row>
    <row r="833" spans="1:9" x14ac:dyDescent="0.3">
      <c r="A833">
        <v>109</v>
      </c>
      <c r="B833" t="s">
        <v>12</v>
      </c>
      <c r="C833" t="s">
        <v>387</v>
      </c>
      <c r="D833" s="4">
        <f>7.63*1000</f>
        <v>7630</v>
      </c>
      <c r="E833" t="s">
        <v>388</v>
      </c>
      <c r="F833" s="1">
        <v>4.65E-2</v>
      </c>
      <c r="G833" s="1">
        <v>8.0000000000000004E-4</v>
      </c>
      <c r="H833" t="s">
        <v>104</v>
      </c>
      <c r="I833" t="s">
        <v>389</v>
      </c>
    </row>
    <row r="834" spans="1:9" x14ac:dyDescent="0.3">
      <c r="A834">
        <v>151</v>
      </c>
      <c r="B834" t="s">
        <v>7</v>
      </c>
      <c r="C834" t="s">
        <v>532</v>
      </c>
      <c r="D834" s="4">
        <f>5.42*1000</f>
        <v>5420</v>
      </c>
      <c r="E834" t="s">
        <v>533</v>
      </c>
      <c r="F834" s="1">
        <v>3.3099999999999997E-2</v>
      </c>
      <c r="G834" s="1">
        <v>6.9999999999999999E-4</v>
      </c>
      <c r="H834" t="s">
        <v>104</v>
      </c>
      <c r="I834" t="s">
        <v>534</v>
      </c>
    </row>
    <row r="835" spans="1:9" x14ac:dyDescent="0.3">
      <c r="A835">
        <v>282</v>
      </c>
      <c r="B835" t="s">
        <v>280</v>
      </c>
      <c r="C835" t="s">
        <v>961</v>
      </c>
      <c r="D835" s="4">
        <f>1.81*1000</f>
        <v>1810</v>
      </c>
      <c r="E835" t="s">
        <v>962</v>
      </c>
      <c r="F835" s="1">
        <v>7.3599999999999999E-2</v>
      </c>
      <c r="G835" s="1">
        <v>4.4999999999999997E-3</v>
      </c>
      <c r="H835" t="s">
        <v>104</v>
      </c>
      <c r="I835" t="s">
        <v>963</v>
      </c>
    </row>
    <row r="836" spans="1:9" x14ac:dyDescent="0.3">
      <c r="A836">
        <v>386</v>
      </c>
      <c r="B836" t="s">
        <v>24</v>
      </c>
      <c r="C836" t="s">
        <v>1259</v>
      </c>
      <c r="D836" s="4">
        <f>1.03*1000</f>
        <v>1030</v>
      </c>
      <c r="E836" t="s">
        <v>1251</v>
      </c>
      <c r="F836" s="1">
        <v>3.5400000000000001E-2</v>
      </c>
      <c r="G836" s="1">
        <v>5.3E-3</v>
      </c>
      <c r="H836" t="s">
        <v>104</v>
      </c>
      <c r="I836" t="s">
        <v>1260</v>
      </c>
    </row>
    <row r="837" spans="1:9" x14ac:dyDescent="0.3">
      <c r="A837">
        <v>423</v>
      </c>
      <c r="B837" t="s">
        <v>440</v>
      </c>
      <c r="C837" t="s">
        <v>1382</v>
      </c>
      <c r="D837" s="4">
        <v>883.31</v>
      </c>
      <c r="E837" t="s">
        <v>1383</v>
      </c>
      <c r="F837" s="1">
        <v>6.3100000000000003E-2</v>
      </c>
      <c r="G837" s="1">
        <v>3.8E-3</v>
      </c>
      <c r="H837" t="s">
        <v>104</v>
      </c>
      <c r="I837" t="s">
        <v>1384</v>
      </c>
    </row>
    <row r="838" spans="1:9" x14ac:dyDescent="0.3">
      <c r="A838">
        <v>472</v>
      </c>
      <c r="B838" t="s">
        <v>24</v>
      </c>
      <c r="C838" t="s">
        <v>1538</v>
      </c>
      <c r="D838" s="4">
        <v>729.75</v>
      </c>
      <c r="E838" t="s">
        <v>1539</v>
      </c>
      <c r="F838" s="1">
        <v>3.8600000000000002E-2</v>
      </c>
      <c r="G838" s="1">
        <v>3.8999999999999998E-3</v>
      </c>
      <c r="H838" t="s">
        <v>104</v>
      </c>
      <c r="I838" t="s">
        <v>1540</v>
      </c>
    </row>
    <row r="839" spans="1:9" x14ac:dyDescent="0.3">
      <c r="A839">
        <v>482</v>
      </c>
      <c r="B839" t="s">
        <v>486</v>
      </c>
      <c r="C839" t="s">
        <v>1569</v>
      </c>
      <c r="D839" s="4">
        <v>703.54</v>
      </c>
      <c r="E839" t="s">
        <v>1570</v>
      </c>
      <c r="F839" s="1">
        <v>3.2899999999999999E-2</v>
      </c>
      <c r="G839" s="1">
        <v>4.4999999999999997E-3</v>
      </c>
      <c r="H839" t="s">
        <v>104</v>
      </c>
      <c r="I839" t="s">
        <v>1571</v>
      </c>
    </row>
    <row r="840" spans="1:9" x14ac:dyDescent="0.3">
      <c r="A840">
        <v>908</v>
      </c>
      <c r="B840" t="s">
        <v>2792</v>
      </c>
      <c r="C840" t="s">
        <v>2962</v>
      </c>
      <c r="D840" s="4">
        <v>132.97999999999999</v>
      </c>
      <c r="E840" t="s">
        <v>2963</v>
      </c>
      <c r="F840" s="1">
        <v>1.54E-2</v>
      </c>
      <c r="G840" s="1">
        <v>5.1999999999999998E-3</v>
      </c>
      <c r="H840" t="s">
        <v>104</v>
      </c>
      <c r="I840" t="s">
        <v>2964</v>
      </c>
    </row>
    <row r="841" spans="1:9" x14ac:dyDescent="0.3">
      <c r="A841">
        <v>1130</v>
      </c>
      <c r="B841" t="s">
        <v>3680</v>
      </c>
      <c r="C841" t="s">
        <v>3681</v>
      </c>
      <c r="D841" s="4">
        <v>65.64</v>
      </c>
      <c r="E841" t="s">
        <v>3682</v>
      </c>
      <c r="F841" s="1">
        <v>2.5899999999999999E-2</v>
      </c>
      <c r="G841" s="1">
        <v>7.0000000000000001E-3</v>
      </c>
      <c r="H841" t="s">
        <v>104</v>
      </c>
      <c r="I841" t="s">
        <v>3683</v>
      </c>
    </row>
    <row r="842" spans="1:9" x14ac:dyDescent="0.3">
      <c r="A842">
        <v>1215</v>
      </c>
      <c r="B842" t="s">
        <v>2792</v>
      </c>
      <c r="C842" t="s">
        <v>3951</v>
      </c>
      <c r="D842" s="4">
        <v>47.94</v>
      </c>
      <c r="E842" t="s">
        <v>3952</v>
      </c>
      <c r="F842" s="1">
        <v>1.52E-2</v>
      </c>
      <c r="G842" s="1">
        <v>5.1999999999999998E-3</v>
      </c>
      <c r="H842" t="s">
        <v>104</v>
      </c>
      <c r="I842" t="s">
        <v>3953</v>
      </c>
    </row>
    <row r="843" spans="1:9" x14ac:dyDescent="0.3">
      <c r="A843">
        <v>1563</v>
      </c>
      <c r="B843" t="s">
        <v>2087</v>
      </c>
      <c r="C843" t="s">
        <v>5057</v>
      </c>
      <c r="D843" s="4">
        <v>14.68</v>
      </c>
      <c r="E843" t="s">
        <v>5058</v>
      </c>
      <c r="F843" s="1">
        <v>2.64E-2</v>
      </c>
      <c r="G843" s="1">
        <v>4.4999999999999997E-3</v>
      </c>
      <c r="H843" t="s">
        <v>104</v>
      </c>
      <c r="I843" t="s">
        <v>5059</v>
      </c>
    </row>
    <row r="844" spans="1:9" x14ac:dyDescent="0.3">
      <c r="A844">
        <v>1748</v>
      </c>
      <c r="B844" t="s">
        <v>979</v>
      </c>
      <c r="C844" t="s">
        <v>5632</v>
      </c>
      <c r="D844" s="4">
        <v>5.42</v>
      </c>
      <c r="E844" t="s">
        <v>5633</v>
      </c>
      <c r="F844" s="1">
        <v>-7.1000000000000004E-3</v>
      </c>
      <c r="G844" s="1">
        <v>7.4999999999999997E-3</v>
      </c>
      <c r="H844" t="s">
        <v>104</v>
      </c>
      <c r="I844" t="s">
        <v>5634</v>
      </c>
    </row>
    <row r="845" spans="1:9" x14ac:dyDescent="0.3">
      <c r="A845">
        <v>1759</v>
      </c>
      <c r="B845" t="s">
        <v>780</v>
      </c>
      <c r="C845" t="s">
        <v>5665</v>
      </c>
      <c r="D845" s="4">
        <v>5.12</v>
      </c>
      <c r="E845" t="s">
        <v>5666</v>
      </c>
      <c r="F845" s="1">
        <v>3.8999999999999998E-3</v>
      </c>
      <c r="G845" s="1">
        <v>2.5000000000000001E-3</v>
      </c>
      <c r="H845" t="s">
        <v>104</v>
      </c>
      <c r="I845" t="s">
        <v>5667</v>
      </c>
    </row>
    <row r="846" spans="1:9" x14ac:dyDescent="0.3">
      <c r="A846">
        <v>1831</v>
      </c>
      <c r="B846" t="s">
        <v>5885</v>
      </c>
      <c r="C846" t="s">
        <v>5886</v>
      </c>
      <c r="D846" s="4">
        <v>2.8</v>
      </c>
      <c r="E846" t="s">
        <v>5887</v>
      </c>
      <c r="F846" s="1">
        <v>6.9400000000000003E-2</v>
      </c>
      <c r="G846" s="1">
        <v>2.8999999999999998E-3</v>
      </c>
      <c r="H846" t="s">
        <v>104</v>
      </c>
      <c r="I846" t="s">
        <v>5888</v>
      </c>
    </row>
    <row r="847" spans="1:9" x14ac:dyDescent="0.3">
      <c r="A847">
        <v>1910</v>
      </c>
      <c r="B847" t="s">
        <v>2564</v>
      </c>
      <c r="C847" t="s">
        <v>6131</v>
      </c>
      <c r="D847" s="4" t="s">
        <v>662</v>
      </c>
      <c r="E847" t="s">
        <v>662</v>
      </c>
      <c r="F847" s="1">
        <v>1.04E-2</v>
      </c>
      <c r="G847" s="1">
        <v>4.4999999999999997E-3</v>
      </c>
      <c r="H847" t="s">
        <v>10</v>
      </c>
      <c r="I847" t="s">
        <v>6132</v>
      </c>
    </row>
    <row r="848" spans="1:9" x14ac:dyDescent="0.3">
      <c r="A848">
        <v>1913</v>
      </c>
      <c r="B848" t="s">
        <v>6113</v>
      </c>
      <c r="C848" t="s">
        <v>6138</v>
      </c>
      <c r="D848" s="4" t="s">
        <v>662</v>
      </c>
      <c r="E848" t="s">
        <v>662</v>
      </c>
      <c r="F848" s="1">
        <v>-0.14729999999999999</v>
      </c>
      <c r="G848" s="1">
        <v>5.7999999999999996E-3</v>
      </c>
      <c r="H848" t="s">
        <v>10</v>
      </c>
      <c r="I848" t="s">
        <v>6139</v>
      </c>
    </row>
    <row r="849" spans="1:9" x14ac:dyDescent="0.3">
      <c r="A849">
        <v>1916</v>
      </c>
      <c r="B849" t="s">
        <v>5707</v>
      </c>
      <c r="C849" t="s">
        <v>6145</v>
      </c>
      <c r="D849" s="4" t="s">
        <v>662</v>
      </c>
      <c r="E849" t="s">
        <v>662</v>
      </c>
      <c r="F849" s="1">
        <v>-7.9299999999999995E-2</v>
      </c>
      <c r="G849" s="1">
        <v>2.8999999999999998E-3</v>
      </c>
      <c r="H849" t="s">
        <v>10</v>
      </c>
      <c r="I849" t="s">
        <v>6146</v>
      </c>
    </row>
    <row r="850" spans="1:9" x14ac:dyDescent="0.3">
      <c r="A850">
        <v>1920</v>
      </c>
      <c r="B850" t="s">
        <v>3982</v>
      </c>
      <c r="C850" t="s">
        <v>5100</v>
      </c>
      <c r="D850" s="4" t="s">
        <v>662</v>
      </c>
      <c r="E850" t="s">
        <v>662</v>
      </c>
      <c r="F850" s="1">
        <v>4.58E-2</v>
      </c>
      <c r="G850" s="1">
        <v>7.9000000000000008E-3</v>
      </c>
      <c r="H850" t="s">
        <v>10</v>
      </c>
      <c r="I850" t="s">
        <v>6152</v>
      </c>
    </row>
    <row r="851" spans="1:9" x14ac:dyDescent="0.3">
      <c r="A851">
        <v>1927</v>
      </c>
      <c r="B851" t="s">
        <v>12</v>
      </c>
      <c r="C851" t="s">
        <v>6165</v>
      </c>
      <c r="D851" s="4" t="s">
        <v>662</v>
      </c>
      <c r="E851" t="s">
        <v>662</v>
      </c>
      <c r="F851" s="2">
        <v>0</v>
      </c>
      <c r="G851" s="1">
        <v>2.5000000000000001E-3</v>
      </c>
      <c r="H851" t="s">
        <v>10</v>
      </c>
      <c r="I851" t="s">
        <v>6166</v>
      </c>
    </row>
    <row r="852" spans="1:9" x14ac:dyDescent="0.3">
      <c r="A852">
        <v>1939</v>
      </c>
      <c r="B852" t="s">
        <v>6113</v>
      </c>
      <c r="C852" t="s">
        <v>6191</v>
      </c>
      <c r="D852" s="4" t="s">
        <v>662</v>
      </c>
      <c r="E852" t="s">
        <v>662</v>
      </c>
      <c r="F852" s="1">
        <v>-2.46E-2</v>
      </c>
      <c r="G852" s="1">
        <v>3.5000000000000001E-3</v>
      </c>
      <c r="H852" t="s">
        <v>10</v>
      </c>
      <c r="I852" t="s">
        <v>6192</v>
      </c>
    </row>
    <row r="853" spans="1:9" x14ac:dyDescent="0.3">
      <c r="A853">
        <v>1942</v>
      </c>
      <c r="B853" t="s">
        <v>6113</v>
      </c>
      <c r="C853" t="s">
        <v>6197</v>
      </c>
      <c r="D853" s="4" t="s">
        <v>662</v>
      </c>
      <c r="E853" t="s">
        <v>662</v>
      </c>
      <c r="F853" s="1">
        <v>-3.2399999999999998E-2</v>
      </c>
      <c r="G853" s="1">
        <v>2.7000000000000001E-3</v>
      </c>
      <c r="H853" t="s">
        <v>10</v>
      </c>
      <c r="I853" t="s">
        <v>6198</v>
      </c>
    </row>
    <row r="854" spans="1:9" x14ac:dyDescent="0.3">
      <c r="A854">
        <v>1943</v>
      </c>
      <c r="B854" t="s">
        <v>6113</v>
      </c>
      <c r="C854" t="s">
        <v>6199</v>
      </c>
      <c r="D854" s="4" t="s">
        <v>662</v>
      </c>
      <c r="E854" t="s">
        <v>662</v>
      </c>
      <c r="F854" s="1">
        <v>-2.7900000000000001E-2</v>
      </c>
      <c r="G854" s="1">
        <v>2.7000000000000001E-3</v>
      </c>
      <c r="H854" t="s">
        <v>10</v>
      </c>
      <c r="I854" t="s">
        <v>6200</v>
      </c>
    </row>
    <row r="855" spans="1:9" x14ac:dyDescent="0.3">
      <c r="A855">
        <v>1944</v>
      </c>
      <c r="B855" t="s">
        <v>6113</v>
      </c>
      <c r="C855" t="s">
        <v>6201</v>
      </c>
      <c r="D855" s="4" t="s">
        <v>662</v>
      </c>
      <c r="E855" t="s">
        <v>662</v>
      </c>
      <c r="F855" s="1">
        <v>-2.9399999999999999E-2</v>
      </c>
      <c r="G855" s="1">
        <v>2.7000000000000001E-3</v>
      </c>
      <c r="H855" t="s">
        <v>10</v>
      </c>
      <c r="I855" t="s">
        <v>6202</v>
      </c>
    </row>
    <row r="856" spans="1:9" x14ac:dyDescent="0.3">
      <c r="A856">
        <v>1945</v>
      </c>
      <c r="B856" t="s">
        <v>6113</v>
      </c>
      <c r="C856" t="s">
        <v>6203</v>
      </c>
      <c r="D856" s="4" t="s">
        <v>662</v>
      </c>
      <c r="E856" t="s">
        <v>662</v>
      </c>
      <c r="F856" s="1">
        <v>-3.2599999999999997E-2</v>
      </c>
      <c r="G856" s="1">
        <v>2.7000000000000001E-3</v>
      </c>
      <c r="H856" t="s">
        <v>10</v>
      </c>
      <c r="I856" t="s">
        <v>6204</v>
      </c>
    </row>
    <row r="857" spans="1:9" x14ac:dyDescent="0.3">
      <c r="A857">
        <v>1954</v>
      </c>
      <c r="B857" t="s">
        <v>6113</v>
      </c>
      <c r="C857" t="s">
        <v>6221</v>
      </c>
      <c r="D857" s="4" t="s">
        <v>662</v>
      </c>
      <c r="E857" t="s">
        <v>662</v>
      </c>
      <c r="F857" s="1">
        <v>1.44E-2</v>
      </c>
      <c r="G857" s="1">
        <v>3.5000000000000001E-3</v>
      </c>
      <c r="H857" t="s">
        <v>10</v>
      </c>
      <c r="I857" t="s">
        <v>6222</v>
      </c>
    </row>
    <row r="858" spans="1:9" x14ac:dyDescent="0.3">
      <c r="A858">
        <v>1971</v>
      </c>
      <c r="B858" t="s">
        <v>6113</v>
      </c>
      <c r="C858" t="s">
        <v>6259</v>
      </c>
      <c r="D858" s="4" t="s">
        <v>662</v>
      </c>
      <c r="E858" t="s">
        <v>662</v>
      </c>
      <c r="F858" s="1">
        <v>-1.9300000000000001E-2</v>
      </c>
      <c r="G858" s="1">
        <v>4.5999999999999999E-3</v>
      </c>
      <c r="H858" t="s">
        <v>10</v>
      </c>
      <c r="I858" t="s">
        <v>6260</v>
      </c>
    </row>
    <row r="859" spans="1:9" s="5" customFormat="1" x14ac:dyDescent="0.3">
      <c r="A859" s="5">
        <v>0</v>
      </c>
      <c r="B859" s="5" t="s">
        <v>7</v>
      </c>
      <c r="C859" s="5" t="s">
        <v>8</v>
      </c>
      <c r="D859" s="6">
        <f>410.41*1000</f>
        <v>410410</v>
      </c>
      <c r="E859" s="5" t="s">
        <v>9</v>
      </c>
      <c r="F859" s="7">
        <v>-3.1E-2</v>
      </c>
      <c r="G859" s="7">
        <v>8.9999999999999998E-4</v>
      </c>
      <c r="H859" s="5" t="s">
        <v>10</v>
      </c>
      <c r="I859" s="5" t="s">
        <v>11</v>
      </c>
    </row>
    <row r="860" spans="1:9" x14ac:dyDescent="0.3">
      <c r="A860">
        <v>1</v>
      </c>
      <c r="B860" t="s">
        <v>12</v>
      </c>
      <c r="C860" t="s">
        <v>13</v>
      </c>
      <c r="D860" s="4">
        <f>306.72*1000</f>
        <v>306720</v>
      </c>
      <c r="E860" t="s">
        <v>14</v>
      </c>
      <c r="F860" s="1">
        <v>-3.0800000000000001E-2</v>
      </c>
      <c r="G860" s="1">
        <v>2.9999999999999997E-4</v>
      </c>
      <c r="H860" t="s">
        <v>10</v>
      </c>
      <c r="I860" t="s">
        <v>15</v>
      </c>
    </row>
    <row r="861" spans="1:9" x14ac:dyDescent="0.3">
      <c r="A861">
        <v>3</v>
      </c>
      <c r="B861" t="s">
        <v>16</v>
      </c>
      <c r="C861" t="s">
        <v>21</v>
      </c>
      <c r="D861" s="4">
        <f>259.09*1000</f>
        <v>259089.99999999997</v>
      </c>
      <c r="E861" t="s">
        <v>22</v>
      </c>
      <c r="F861" s="1">
        <v>-3.09E-2</v>
      </c>
      <c r="G861" s="1">
        <v>2.9999999999999997E-4</v>
      </c>
      <c r="H861" t="s">
        <v>10</v>
      </c>
      <c r="I861" t="s">
        <v>23</v>
      </c>
    </row>
    <row r="862" spans="1:9" x14ac:dyDescent="0.3">
      <c r="A862">
        <v>4</v>
      </c>
      <c r="B862" t="s">
        <v>24</v>
      </c>
      <c r="C862" t="s">
        <v>25</v>
      </c>
      <c r="D862" s="4">
        <f>187.26*1000</f>
        <v>187260</v>
      </c>
      <c r="E862" t="s">
        <v>26</v>
      </c>
      <c r="F862" s="1">
        <v>-6.6600000000000006E-2</v>
      </c>
      <c r="G862" s="1">
        <v>2E-3</v>
      </c>
      <c r="H862" t="s">
        <v>10</v>
      </c>
      <c r="I862" t="s">
        <v>27</v>
      </c>
    </row>
    <row r="863" spans="1:9" x14ac:dyDescent="0.3">
      <c r="A863">
        <v>30</v>
      </c>
      <c r="B863" t="s">
        <v>116</v>
      </c>
      <c r="C863" t="s">
        <v>117</v>
      </c>
      <c r="D863" s="4">
        <f>32.51*1000</f>
        <v>32509.999999999996</v>
      </c>
      <c r="E863" t="s">
        <v>118</v>
      </c>
      <c r="F863" s="1">
        <v>-4.8399999999999999E-2</v>
      </c>
      <c r="G863" s="1">
        <v>2.9999999999999997E-4</v>
      </c>
      <c r="H863" t="s">
        <v>10</v>
      </c>
      <c r="I863" t="s">
        <v>119</v>
      </c>
    </row>
    <row r="864" spans="1:9" x14ac:dyDescent="0.3">
      <c r="A864">
        <v>32</v>
      </c>
      <c r="B864" t="s">
        <v>24</v>
      </c>
      <c r="C864" t="s">
        <v>123</v>
      </c>
      <c r="D864" s="4">
        <f>31.48*1000</f>
        <v>31480</v>
      </c>
      <c r="E864" t="s">
        <v>124</v>
      </c>
      <c r="F864" s="1">
        <v>-2.86E-2</v>
      </c>
      <c r="G864" s="1">
        <v>2E-3</v>
      </c>
      <c r="H864" t="s">
        <v>10</v>
      </c>
      <c r="I864" t="s">
        <v>125</v>
      </c>
    </row>
    <row r="865" spans="1:9" x14ac:dyDescent="0.3">
      <c r="A865">
        <v>35</v>
      </c>
      <c r="B865" t="s">
        <v>12</v>
      </c>
      <c r="C865" t="s">
        <v>133</v>
      </c>
      <c r="D865" s="4">
        <f>29.55*1000</f>
        <v>29550</v>
      </c>
      <c r="E865" t="s">
        <v>134</v>
      </c>
      <c r="F865" s="1">
        <v>-4.9099999999999998E-2</v>
      </c>
      <c r="G865" s="1">
        <v>1.5E-3</v>
      </c>
      <c r="H865" t="s">
        <v>10</v>
      </c>
      <c r="I865" t="s">
        <v>135</v>
      </c>
    </row>
    <row r="866" spans="1:9" x14ac:dyDescent="0.3">
      <c r="A866">
        <v>36</v>
      </c>
      <c r="B866" t="s">
        <v>7</v>
      </c>
      <c r="C866" t="s">
        <v>136</v>
      </c>
      <c r="D866" s="4">
        <f>29.44*1000</f>
        <v>29440</v>
      </c>
      <c r="E866" t="s">
        <v>137</v>
      </c>
      <c r="F866" s="1">
        <v>-3.3799999999999997E-2</v>
      </c>
      <c r="G866" s="1">
        <v>1.6000000000000001E-3</v>
      </c>
      <c r="H866" t="s">
        <v>10</v>
      </c>
      <c r="I866" t="s">
        <v>138</v>
      </c>
    </row>
    <row r="867" spans="1:9" x14ac:dyDescent="0.3">
      <c r="A867">
        <v>41</v>
      </c>
      <c r="B867" t="s">
        <v>16</v>
      </c>
      <c r="C867" t="s">
        <v>151</v>
      </c>
      <c r="D867" s="4">
        <f>26.08*1000</f>
        <v>26080</v>
      </c>
      <c r="E867" t="s">
        <v>152</v>
      </c>
      <c r="F867" s="1">
        <v>-4.7100000000000003E-2</v>
      </c>
      <c r="G867" s="1">
        <v>4.0000000000000002E-4</v>
      </c>
      <c r="H867" t="s">
        <v>10</v>
      </c>
      <c r="I867" t="s">
        <v>153</v>
      </c>
    </row>
    <row r="868" spans="1:9" x14ac:dyDescent="0.3">
      <c r="A868">
        <v>69</v>
      </c>
      <c r="B868" t="s">
        <v>248</v>
      </c>
      <c r="C868" t="s">
        <v>249</v>
      </c>
      <c r="D868" s="4">
        <f>13.66*1000</f>
        <v>13660</v>
      </c>
      <c r="E868" t="s">
        <v>250</v>
      </c>
      <c r="F868" s="1">
        <v>-4.3299999999999998E-2</v>
      </c>
      <c r="G868" s="1">
        <v>8.9999999999999998E-4</v>
      </c>
      <c r="H868" t="s">
        <v>10</v>
      </c>
      <c r="I868" t="s">
        <v>251</v>
      </c>
    </row>
    <row r="869" spans="1:9" x14ac:dyDescent="0.3">
      <c r="A869">
        <v>75</v>
      </c>
      <c r="B869" t="s">
        <v>7</v>
      </c>
      <c r="C869" t="s">
        <v>269</v>
      </c>
      <c r="D869" s="4">
        <f>12.82*1000</f>
        <v>12820</v>
      </c>
      <c r="E869" t="s">
        <v>270</v>
      </c>
      <c r="F869" s="1">
        <v>-3.1E-2</v>
      </c>
      <c r="G869" s="1">
        <v>2.9999999999999997E-4</v>
      </c>
      <c r="H869" t="s">
        <v>10</v>
      </c>
      <c r="I869" t="s">
        <v>271</v>
      </c>
    </row>
    <row r="870" spans="1:9" x14ac:dyDescent="0.3">
      <c r="A870">
        <v>91</v>
      </c>
      <c r="B870" t="s">
        <v>116</v>
      </c>
      <c r="C870" t="s">
        <v>326</v>
      </c>
      <c r="D870" s="4">
        <f>9.67*1000</f>
        <v>9670</v>
      </c>
      <c r="E870" t="s">
        <v>327</v>
      </c>
      <c r="F870" s="1">
        <v>2.0000000000000001E-4</v>
      </c>
      <c r="G870" s="1">
        <v>2.5000000000000001E-3</v>
      </c>
      <c r="H870" t="s">
        <v>10</v>
      </c>
      <c r="I870" t="s">
        <v>328</v>
      </c>
    </row>
    <row r="871" spans="1:9" x14ac:dyDescent="0.3">
      <c r="A871">
        <v>96</v>
      </c>
      <c r="B871" t="s">
        <v>24</v>
      </c>
      <c r="C871" t="s">
        <v>343</v>
      </c>
      <c r="D871" s="4">
        <f>9.39*1000</f>
        <v>9390</v>
      </c>
      <c r="E871" t="s">
        <v>344</v>
      </c>
      <c r="F871" s="1">
        <v>2.7199999999999998E-2</v>
      </c>
      <c r="G871" s="1">
        <v>2.5000000000000001E-3</v>
      </c>
      <c r="H871" t="s">
        <v>10</v>
      </c>
      <c r="I871" t="s">
        <v>345</v>
      </c>
    </row>
    <row r="872" spans="1:9" x14ac:dyDescent="0.3">
      <c r="A872">
        <v>97</v>
      </c>
      <c r="B872" t="s">
        <v>12</v>
      </c>
      <c r="C872" t="s">
        <v>346</v>
      </c>
      <c r="D872" s="4">
        <f>8.9*1000</f>
        <v>8900</v>
      </c>
      <c r="E872" t="s">
        <v>347</v>
      </c>
      <c r="F872" s="1">
        <v>-2.8000000000000001E-2</v>
      </c>
      <c r="G872" s="1">
        <v>2E-3</v>
      </c>
      <c r="H872" t="s">
        <v>10</v>
      </c>
      <c r="I872" t="s">
        <v>348</v>
      </c>
    </row>
    <row r="873" spans="1:9" x14ac:dyDescent="0.3">
      <c r="A873">
        <v>98</v>
      </c>
      <c r="B873" t="s">
        <v>280</v>
      </c>
      <c r="C873" t="s">
        <v>349</v>
      </c>
      <c r="D873" s="4">
        <f>8.88*1000</f>
        <v>8880</v>
      </c>
      <c r="E873" t="s">
        <v>350</v>
      </c>
      <c r="F873" s="1">
        <v>-1.41E-2</v>
      </c>
      <c r="G873" s="1">
        <v>5.5999999999999999E-3</v>
      </c>
      <c r="H873" t="s">
        <v>10</v>
      </c>
      <c r="I873" t="s">
        <v>351</v>
      </c>
    </row>
    <row r="874" spans="1:9" x14ac:dyDescent="0.3">
      <c r="A874">
        <v>104</v>
      </c>
      <c r="B874" t="s">
        <v>280</v>
      </c>
      <c r="C874" t="s">
        <v>369</v>
      </c>
      <c r="D874" s="4">
        <f>8.22*1000</f>
        <v>8220</v>
      </c>
      <c r="E874" t="s">
        <v>370</v>
      </c>
      <c r="F874" s="1">
        <v>-2.9899999999999999E-2</v>
      </c>
      <c r="G874" s="1">
        <v>5.0000000000000001E-3</v>
      </c>
      <c r="H874" t="s">
        <v>10</v>
      </c>
      <c r="I874" t="s">
        <v>371</v>
      </c>
    </row>
    <row r="875" spans="1:9" x14ac:dyDescent="0.3">
      <c r="A875">
        <v>135</v>
      </c>
      <c r="B875" t="s">
        <v>332</v>
      </c>
      <c r="C875" t="s">
        <v>476</v>
      </c>
      <c r="D875" s="4">
        <f>6.18*1000</f>
        <v>6180</v>
      </c>
      <c r="E875" t="s">
        <v>477</v>
      </c>
      <c r="F875" s="1">
        <v>-8.8000000000000005E-3</v>
      </c>
      <c r="G875" s="1">
        <v>3.5000000000000001E-3</v>
      </c>
      <c r="H875" t="s">
        <v>10</v>
      </c>
      <c r="I875" t="s">
        <v>478</v>
      </c>
    </row>
    <row r="876" spans="1:9" x14ac:dyDescent="0.3">
      <c r="A876">
        <v>138</v>
      </c>
      <c r="B876" t="s">
        <v>486</v>
      </c>
      <c r="C876" t="s">
        <v>487</v>
      </c>
      <c r="D876" s="4">
        <f>6.01*1000</f>
        <v>6010</v>
      </c>
      <c r="E876" t="s">
        <v>488</v>
      </c>
      <c r="F876" s="1">
        <v>-6.9900000000000004E-2</v>
      </c>
      <c r="G876" s="1">
        <v>6.0000000000000001E-3</v>
      </c>
      <c r="H876" t="s">
        <v>10</v>
      </c>
      <c r="I876" t="s">
        <v>489</v>
      </c>
    </row>
    <row r="877" spans="1:9" x14ac:dyDescent="0.3">
      <c r="A877">
        <v>146</v>
      </c>
      <c r="B877" t="s">
        <v>24</v>
      </c>
      <c r="C877" t="s">
        <v>514</v>
      </c>
      <c r="D877" s="4">
        <f>5.67*1000</f>
        <v>5670</v>
      </c>
      <c r="E877" t="s">
        <v>515</v>
      </c>
      <c r="F877" s="1">
        <v>-2.5999999999999999E-3</v>
      </c>
      <c r="G877" s="1">
        <v>3.8999999999999998E-3</v>
      </c>
      <c r="H877" t="s">
        <v>10</v>
      </c>
      <c r="I877" t="s">
        <v>516</v>
      </c>
    </row>
    <row r="878" spans="1:9" x14ac:dyDescent="0.3">
      <c r="A878">
        <v>181</v>
      </c>
      <c r="B878" t="s">
        <v>16</v>
      </c>
      <c r="C878" t="s">
        <v>634</v>
      </c>
      <c r="D878" s="4">
        <f>4.19*1000</f>
        <v>4190</v>
      </c>
      <c r="E878" t="s">
        <v>632</v>
      </c>
      <c r="F878" s="1">
        <v>-3.8100000000000002E-2</v>
      </c>
      <c r="G878" s="1">
        <v>6.9999999999999999E-4</v>
      </c>
      <c r="H878" t="s">
        <v>10</v>
      </c>
      <c r="I878" t="s">
        <v>635</v>
      </c>
    </row>
    <row r="879" spans="1:9" x14ac:dyDescent="0.3">
      <c r="A879">
        <v>198</v>
      </c>
      <c r="B879" t="s">
        <v>24</v>
      </c>
      <c r="C879" t="s">
        <v>687</v>
      </c>
      <c r="D879" s="4">
        <f>3.7*1000</f>
        <v>3700</v>
      </c>
      <c r="E879" t="s">
        <v>688</v>
      </c>
      <c r="F879" s="1">
        <v>-6.6400000000000001E-2</v>
      </c>
      <c r="G879" s="1">
        <v>1.5E-3</v>
      </c>
      <c r="H879" t="s">
        <v>10</v>
      </c>
      <c r="I879" t="s">
        <v>689</v>
      </c>
    </row>
    <row r="880" spans="1:9" x14ac:dyDescent="0.3">
      <c r="A880">
        <v>202</v>
      </c>
      <c r="B880" t="s">
        <v>24</v>
      </c>
      <c r="C880" t="s">
        <v>700</v>
      </c>
      <c r="D880" s="4">
        <f>3.55*1000</f>
        <v>3550</v>
      </c>
      <c r="E880" t="s">
        <v>701</v>
      </c>
      <c r="F880" s="1">
        <v>-3.3399999999999999E-2</v>
      </c>
      <c r="G880" s="1">
        <v>1.5E-3</v>
      </c>
      <c r="H880" t="s">
        <v>10</v>
      </c>
      <c r="I880" t="s">
        <v>702</v>
      </c>
    </row>
    <row r="881" spans="1:9" x14ac:dyDescent="0.3">
      <c r="A881">
        <v>213</v>
      </c>
      <c r="B881" t="s">
        <v>440</v>
      </c>
      <c r="C881" t="s">
        <v>738</v>
      </c>
      <c r="D881" s="4">
        <f>3.24*1000</f>
        <v>3240</v>
      </c>
      <c r="E881" t="s">
        <v>739</v>
      </c>
      <c r="F881" s="1">
        <v>2.2599999999999999E-2</v>
      </c>
      <c r="G881" s="1">
        <v>2.8E-3</v>
      </c>
      <c r="H881" t="s">
        <v>10</v>
      </c>
      <c r="I881" t="s">
        <v>740</v>
      </c>
    </row>
    <row r="882" spans="1:9" x14ac:dyDescent="0.3">
      <c r="A882">
        <v>218</v>
      </c>
      <c r="B882" t="s">
        <v>24</v>
      </c>
      <c r="C882" t="s">
        <v>753</v>
      </c>
      <c r="D882" s="4">
        <f>3.14*1000</f>
        <v>3140</v>
      </c>
      <c r="E882" t="s">
        <v>754</v>
      </c>
      <c r="F882" s="1">
        <v>4.3700000000000003E-2</v>
      </c>
      <c r="G882" s="1">
        <v>3.0000000000000001E-3</v>
      </c>
      <c r="H882" t="s">
        <v>10</v>
      </c>
      <c r="I882" t="s">
        <v>755</v>
      </c>
    </row>
    <row r="883" spans="1:9" x14ac:dyDescent="0.3">
      <c r="A883">
        <v>226</v>
      </c>
      <c r="B883" t="s">
        <v>780</v>
      </c>
      <c r="C883" t="s">
        <v>781</v>
      </c>
      <c r="D883" s="4">
        <f>2.87*1000</f>
        <v>2870</v>
      </c>
      <c r="E883" t="s">
        <v>782</v>
      </c>
      <c r="F883" s="1">
        <v>-0.1106</v>
      </c>
      <c r="G883" s="1">
        <v>5.4999999999999997E-3</v>
      </c>
      <c r="H883" t="s">
        <v>10</v>
      </c>
      <c r="I883" t="s">
        <v>783</v>
      </c>
    </row>
    <row r="884" spans="1:9" x14ac:dyDescent="0.3">
      <c r="A884">
        <v>230</v>
      </c>
      <c r="B884" t="s">
        <v>16</v>
      </c>
      <c r="C884" t="s">
        <v>794</v>
      </c>
      <c r="D884" s="4">
        <f>2.77*1000</f>
        <v>2770</v>
      </c>
      <c r="E884" t="s">
        <v>792</v>
      </c>
      <c r="F884" s="1">
        <v>-4.82E-2</v>
      </c>
      <c r="G884" s="1">
        <v>8.0000000000000004E-4</v>
      </c>
      <c r="H884" t="s">
        <v>10</v>
      </c>
      <c r="I884" t="s">
        <v>795</v>
      </c>
    </row>
    <row r="885" spans="1:9" x14ac:dyDescent="0.3">
      <c r="A885">
        <v>250</v>
      </c>
      <c r="B885" t="s">
        <v>24</v>
      </c>
      <c r="C885" t="s">
        <v>857</v>
      </c>
      <c r="D885" s="4">
        <f>2.35*1000</f>
        <v>2350</v>
      </c>
      <c r="E885" t="s">
        <v>858</v>
      </c>
      <c r="F885" s="1">
        <v>-2.9600000000000001E-2</v>
      </c>
      <c r="G885" s="1">
        <v>2E-3</v>
      </c>
      <c r="H885" t="s">
        <v>10</v>
      </c>
      <c r="I885" t="s">
        <v>859</v>
      </c>
    </row>
    <row r="886" spans="1:9" x14ac:dyDescent="0.3">
      <c r="A886">
        <v>259</v>
      </c>
      <c r="B886" t="s">
        <v>116</v>
      </c>
      <c r="C886" t="s">
        <v>888</v>
      </c>
      <c r="D886" s="4">
        <f>2.18*1000</f>
        <v>2180</v>
      </c>
      <c r="E886" t="s">
        <v>889</v>
      </c>
      <c r="F886" s="1">
        <v>-5.1299999999999998E-2</v>
      </c>
      <c r="G886" s="1">
        <v>5.0000000000000001E-4</v>
      </c>
      <c r="H886" t="s">
        <v>10</v>
      </c>
      <c r="I886" t="s">
        <v>890</v>
      </c>
    </row>
    <row r="887" spans="1:9" x14ac:dyDescent="0.3">
      <c r="A887">
        <v>274</v>
      </c>
      <c r="B887" t="s">
        <v>24</v>
      </c>
      <c r="C887" t="s">
        <v>935</v>
      </c>
      <c r="D887" s="4">
        <f>1.91*1000</f>
        <v>1910</v>
      </c>
      <c r="E887" t="s">
        <v>936</v>
      </c>
      <c r="F887" s="1">
        <v>-5.5599999999999997E-2</v>
      </c>
      <c r="G887" s="1">
        <v>2.8999999999999998E-3</v>
      </c>
      <c r="H887" t="s">
        <v>10</v>
      </c>
      <c r="I887" t="s">
        <v>937</v>
      </c>
    </row>
    <row r="888" spans="1:9" x14ac:dyDescent="0.3">
      <c r="A888">
        <v>276</v>
      </c>
      <c r="B888" t="s">
        <v>941</v>
      </c>
      <c r="C888" t="s">
        <v>942</v>
      </c>
      <c r="D888" s="4">
        <f>1.9*1000</f>
        <v>1900</v>
      </c>
      <c r="E888" t="s">
        <v>939</v>
      </c>
      <c r="F888" s="1">
        <v>-3.0200000000000001E-2</v>
      </c>
      <c r="G888" s="1">
        <v>6.0000000000000001E-3</v>
      </c>
      <c r="H888" t="s">
        <v>10</v>
      </c>
      <c r="I888" t="s">
        <v>943</v>
      </c>
    </row>
    <row r="889" spans="1:9" x14ac:dyDescent="0.3">
      <c r="A889">
        <v>302</v>
      </c>
      <c r="B889" t="s">
        <v>941</v>
      </c>
      <c r="C889" t="s">
        <v>1022</v>
      </c>
      <c r="D889" s="4">
        <f>1.6*1000</f>
        <v>1600</v>
      </c>
      <c r="E889" t="s">
        <v>1023</v>
      </c>
      <c r="F889" s="1">
        <v>5.7999999999999996E-3</v>
      </c>
      <c r="G889" s="1">
        <v>4.8999999999999998E-3</v>
      </c>
      <c r="H889" t="s">
        <v>10</v>
      </c>
      <c r="I889" t="s">
        <v>1024</v>
      </c>
    </row>
    <row r="890" spans="1:9" x14ac:dyDescent="0.3">
      <c r="A890">
        <v>303</v>
      </c>
      <c r="B890" t="s">
        <v>1025</v>
      </c>
      <c r="C890" t="s">
        <v>1026</v>
      </c>
      <c r="D890" s="4">
        <f>1.59*1000</f>
        <v>1590</v>
      </c>
      <c r="E890" t="s">
        <v>1027</v>
      </c>
      <c r="F890" s="1">
        <v>-1.44E-2</v>
      </c>
      <c r="G890" s="1">
        <v>1.1999999999999999E-3</v>
      </c>
      <c r="H890" t="s">
        <v>10</v>
      </c>
      <c r="I890" t="s">
        <v>1028</v>
      </c>
    </row>
    <row r="891" spans="1:9" x14ac:dyDescent="0.3">
      <c r="A891">
        <v>337</v>
      </c>
      <c r="B891" t="s">
        <v>7</v>
      </c>
      <c r="C891" t="s">
        <v>1123</v>
      </c>
      <c r="D891" s="4">
        <f>1.28*1000</f>
        <v>1280</v>
      </c>
      <c r="E891" t="s">
        <v>1124</v>
      </c>
      <c r="F891" s="1">
        <v>-3.27E-2</v>
      </c>
      <c r="G891" s="1">
        <v>2E-3</v>
      </c>
      <c r="H891" t="s">
        <v>10</v>
      </c>
      <c r="I891" t="s">
        <v>1125</v>
      </c>
    </row>
    <row r="892" spans="1:9" x14ac:dyDescent="0.3">
      <c r="A892">
        <v>344</v>
      </c>
      <c r="B892" t="s">
        <v>24</v>
      </c>
      <c r="C892" t="s">
        <v>1142</v>
      </c>
      <c r="D892" s="4">
        <f>1.23*1000</f>
        <v>1230</v>
      </c>
      <c r="E892" t="s">
        <v>1143</v>
      </c>
      <c r="F892" s="1">
        <v>-6.7799999999999999E-2</v>
      </c>
      <c r="G892" s="1">
        <v>2.5000000000000001E-3</v>
      </c>
      <c r="H892" t="s">
        <v>10</v>
      </c>
      <c r="I892" t="s">
        <v>1144</v>
      </c>
    </row>
    <row r="893" spans="1:9" x14ac:dyDescent="0.3">
      <c r="A893">
        <v>345</v>
      </c>
      <c r="B893" t="s">
        <v>280</v>
      </c>
      <c r="C893" t="s">
        <v>1145</v>
      </c>
      <c r="D893" s="4">
        <f>1.23*1000</f>
        <v>1230</v>
      </c>
      <c r="E893" t="s">
        <v>1143</v>
      </c>
      <c r="F893" s="1">
        <v>-9.4700000000000006E-2</v>
      </c>
      <c r="G893" s="1">
        <v>5.7999999999999996E-3</v>
      </c>
      <c r="H893" t="s">
        <v>10</v>
      </c>
      <c r="I893" t="s">
        <v>1146</v>
      </c>
    </row>
    <row r="894" spans="1:9" x14ac:dyDescent="0.3">
      <c r="A894">
        <v>349</v>
      </c>
      <c r="B894" t="s">
        <v>517</v>
      </c>
      <c r="C894" t="s">
        <v>1158</v>
      </c>
      <c r="D894" s="4">
        <f>1.21*1000</f>
        <v>1210</v>
      </c>
      <c r="E894" t="s">
        <v>1152</v>
      </c>
      <c r="F894" s="1">
        <v>2.5600000000000001E-2</v>
      </c>
      <c r="G894" s="1">
        <v>4.0000000000000001E-3</v>
      </c>
      <c r="H894" t="s">
        <v>10</v>
      </c>
      <c r="I894" t="s">
        <v>1159</v>
      </c>
    </row>
    <row r="895" spans="1:9" x14ac:dyDescent="0.3">
      <c r="A895">
        <v>358</v>
      </c>
      <c r="B895" t="s">
        <v>1182</v>
      </c>
      <c r="C895" t="s">
        <v>1183</v>
      </c>
      <c r="D895" s="4">
        <f>1.17*1000</f>
        <v>1170</v>
      </c>
      <c r="E895" t="s">
        <v>1178</v>
      </c>
      <c r="F895" s="1">
        <v>3.1600000000000003E-2</v>
      </c>
      <c r="G895" s="1">
        <v>3.5000000000000001E-3</v>
      </c>
      <c r="H895" t="s">
        <v>10</v>
      </c>
      <c r="I895" t="s">
        <v>1184</v>
      </c>
    </row>
    <row r="896" spans="1:9" x14ac:dyDescent="0.3">
      <c r="A896">
        <v>362</v>
      </c>
      <c r="B896" t="s">
        <v>280</v>
      </c>
      <c r="C896" t="s">
        <v>1193</v>
      </c>
      <c r="D896" s="4">
        <f>1.16*1000</f>
        <v>1160</v>
      </c>
      <c r="E896" t="s">
        <v>1191</v>
      </c>
      <c r="F896" s="1">
        <v>-5.2699999999999997E-2</v>
      </c>
      <c r="G896" s="1">
        <v>5.8999999999999999E-3</v>
      </c>
      <c r="H896" t="s">
        <v>10</v>
      </c>
      <c r="I896" t="s">
        <v>1194</v>
      </c>
    </row>
    <row r="897" spans="1:9" x14ac:dyDescent="0.3">
      <c r="A897">
        <v>367</v>
      </c>
      <c r="B897" t="s">
        <v>24</v>
      </c>
      <c r="C897" t="s">
        <v>1205</v>
      </c>
      <c r="D897" s="4">
        <f>1.14*1000</f>
        <v>1140</v>
      </c>
      <c r="E897" t="s">
        <v>1206</v>
      </c>
      <c r="F897" s="1">
        <v>5.0000000000000001E-3</v>
      </c>
      <c r="G897" s="1">
        <v>3.8999999999999998E-3</v>
      </c>
      <c r="H897" t="s">
        <v>10</v>
      </c>
      <c r="I897" t="s">
        <v>1207</v>
      </c>
    </row>
    <row r="898" spans="1:9" x14ac:dyDescent="0.3">
      <c r="A898">
        <v>388</v>
      </c>
      <c r="B898" t="s">
        <v>24</v>
      </c>
      <c r="C898" t="s">
        <v>1264</v>
      </c>
      <c r="D898" s="4">
        <f>1.02*1000</f>
        <v>1020</v>
      </c>
      <c r="E898" t="s">
        <v>1262</v>
      </c>
      <c r="F898" s="1">
        <v>-0.1719</v>
      </c>
      <c r="G898" s="1">
        <v>1.5E-3</v>
      </c>
      <c r="H898" t="s">
        <v>10</v>
      </c>
      <c r="I898" t="s">
        <v>1265</v>
      </c>
    </row>
    <row r="899" spans="1:9" x14ac:dyDescent="0.3">
      <c r="A899">
        <v>390</v>
      </c>
      <c r="B899" t="s">
        <v>1268</v>
      </c>
      <c r="C899" t="s">
        <v>1269</v>
      </c>
      <c r="D899" s="4">
        <f>1.02*1000</f>
        <v>1020</v>
      </c>
      <c r="E899" t="s">
        <v>1262</v>
      </c>
      <c r="F899" s="1">
        <v>-3.3300000000000003E-2</v>
      </c>
      <c r="G899" s="1">
        <v>7.7999999999999996E-3</v>
      </c>
      <c r="H899" t="s">
        <v>10</v>
      </c>
      <c r="I899" t="s">
        <v>1270</v>
      </c>
    </row>
    <row r="900" spans="1:9" x14ac:dyDescent="0.3">
      <c r="A900">
        <v>392</v>
      </c>
      <c r="B900" t="s">
        <v>1182</v>
      </c>
      <c r="C900" t="s">
        <v>1274</v>
      </c>
      <c r="D900" s="4">
        <f>1*1000</f>
        <v>1000</v>
      </c>
      <c r="E900" t="s">
        <v>1275</v>
      </c>
      <c r="F900" s="1">
        <v>-3.2000000000000001E-2</v>
      </c>
      <c r="G900" s="1">
        <v>3.5000000000000001E-3</v>
      </c>
      <c r="H900" t="s">
        <v>10</v>
      </c>
      <c r="I900" t="s">
        <v>1276</v>
      </c>
    </row>
    <row r="901" spans="1:9" x14ac:dyDescent="0.3">
      <c r="A901">
        <v>398</v>
      </c>
      <c r="B901" t="s">
        <v>486</v>
      </c>
      <c r="C901" t="s">
        <v>1294</v>
      </c>
      <c r="D901" s="4">
        <v>971.57</v>
      </c>
      <c r="E901" t="s">
        <v>1295</v>
      </c>
      <c r="F901" s="1">
        <v>-2.29E-2</v>
      </c>
      <c r="G901" s="1">
        <v>6.0000000000000001E-3</v>
      </c>
      <c r="H901" t="s">
        <v>10</v>
      </c>
      <c r="I901" t="s">
        <v>1296</v>
      </c>
    </row>
    <row r="902" spans="1:9" x14ac:dyDescent="0.3">
      <c r="A902">
        <v>400</v>
      </c>
      <c r="B902" t="s">
        <v>12</v>
      </c>
      <c r="C902" t="s">
        <v>1301</v>
      </c>
      <c r="D902" s="4">
        <v>966.94</v>
      </c>
      <c r="E902" t="s">
        <v>1302</v>
      </c>
      <c r="F902" s="1">
        <v>-3.1899999999999998E-2</v>
      </c>
      <c r="G902" s="1">
        <v>1.5E-3</v>
      </c>
      <c r="H902" t="s">
        <v>10</v>
      </c>
      <c r="I902" t="s">
        <v>1303</v>
      </c>
    </row>
    <row r="903" spans="1:9" x14ac:dyDescent="0.3">
      <c r="A903">
        <v>402</v>
      </c>
      <c r="B903" t="s">
        <v>1308</v>
      </c>
      <c r="C903" t="s">
        <v>1309</v>
      </c>
      <c r="D903" s="4">
        <v>953.42</v>
      </c>
      <c r="E903" t="s">
        <v>1310</v>
      </c>
      <c r="F903" s="1">
        <v>2.5999999999999999E-3</v>
      </c>
      <c r="G903" s="1">
        <v>5.4999999999999997E-3</v>
      </c>
      <c r="H903" t="s">
        <v>10</v>
      </c>
      <c r="I903" t="s">
        <v>1311</v>
      </c>
    </row>
    <row r="904" spans="1:9" x14ac:dyDescent="0.3">
      <c r="A904">
        <v>411</v>
      </c>
      <c r="B904" t="s">
        <v>1340</v>
      </c>
      <c r="C904" t="s">
        <v>1341</v>
      </c>
      <c r="D904" s="4">
        <v>917.72</v>
      </c>
      <c r="E904" t="s">
        <v>1342</v>
      </c>
      <c r="F904" s="1">
        <v>-3.0000000000000001E-3</v>
      </c>
      <c r="G904" s="1">
        <v>1.5E-3</v>
      </c>
      <c r="H904" t="s">
        <v>10</v>
      </c>
      <c r="I904" t="s">
        <v>1343</v>
      </c>
    </row>
    <row r="905" spans="1:9" x14ac:dyDescent="0.3">
      <c r="A905">
        <v>413</v>
      </c>
      <c r="B905" t="s">
        <v>1348</v>
      </c>
      <c r="C905" t="s">
        <v>1349</v>
      </c>
      <c r="D905" s="4">
        <v>908.57</v>
      </c>
      <c r="E905" t="s">
        <v>1350</v>
      </c>
      <c r="F905" s="1">
        <v>-6.8199999999999997E-2</v>
      </c>
      <c r="G905" s="1">
        <v>6.7999999999999996E-3</v>
      </c>
      <c r="H905" t="s">
        <v>10</v>
      </c>
      <c r="I905" t="s">
        <v>1351</v>
      </c>
    </row>
    <row r="906" spans="1:9" x14ac:dyDescent="0.3">
      <c r="A906">
        <v>429</v>
      </c>
      <c r="B906" t="s">
        <v>248</v>
      </c>
      <c r="C906" t="s">
        <v>1402</v>
      </c>
      <c r="D906" s="4">
        <v>848.87</v>
      </c>
      <c r="E906" t="s">
        <v>1403</v>
      </c>
      <c r="F906" s="1">
        <v>-7.5700000000000003E-2</v>
      </c>
      <c r="G906" s="1">
        <v>8.9999999999999998E-4</v>
      </c>
      <c r="H906" t="s">
        <v>10</v>
      </c>
      <c r="I906" t="s">
        <v>1404</v>
      </c>
    </row>
    <row r="907" spans="1:9" x14ac:dyDescent="0.3">
      <c r="A907">
        <v>439</v>
      </c>
      <c r="B907" t="s">
        <v>618</v>
      </c>
      <c r="C907" t="s">
        <v>1433</v>
      </c>
      <c r="D907" s="4">
        <v>825.7</v>
      </c>
      <c r="E907" t="s">
        <v>1434</v>
      </c>
      <c r="F907" s="1">
        <v>-1.67E-2</v>
      </c>
      <c r="G907" s="1">
        <v>1E-3</v>
      </c>
      <c r="H907" t="s">
        <v>10</v>
      </c>
      <c r="I907" t="s">
        <v>1435</v>
      </c>
    </row>
    <row r="908" spans="1:9" x14ac:dyDescent="0.3">
      <c r="A908">
        <v>451</v>
      </c>
      <c r="B908" t="s">
        <v>1471</v>
      </c>
      <c r="C908" t="s">
        <v>1472</v>
      </c>
      <c r="D908" s="4">
        <v>797.67</v>
      </c>
      <c r="E908" t="s">
        <v>1473</v>
      </c>
      <c r="F908" s="1">
        <v>5.1999999999999998E-3</v>
      </c>
      <c r="G908" s="1">
        <v>4.7999999999999996E-3</v>
      </c>
      <c r="H908" t="s">
        <v>10</v>
      </c>
      <c r="I908" t="s">
        <v>1474</v>
      </c>
    </row>
    <row r="909" spans="1:9" x14ac:dyDescent="0.3">
      <c r="A909">
        <v>455</v>
      </c>
      <c r="B909" t="s">
        <v>24</v>
      </c>
      <c r="C909" t="s">
        <v>1485</v>
      </c>
      <c r="D909" s="4">
        <v>788.28</v>
      </c>
      <c r="E909" t="s">
        <v>1486</v>
      </c>
      <c r="F909" s="1">
        <v>-1.8599999999999998E-2</v>
      </c>
      <c r="G909" s="1">
        <v>1.1000000000000001E-3</v>
      </c>
      <c r="H909" t="s">
        <v>10</v>
      </c>
      <c r="I909" t="s">
        <v>1487</v>
      </c>
    </row>
    <row r="910" spans="1:9" x14ac:dyDescent="0.3">
      <c r="A910">
        <v>463</v>
      </c>
      <c r="B910" t="s">
        <v>839</v>
      </c>
      <c r="C910" t="s">
        <v>1511</v>
      </c>
      <c r="D910" s="4">
        <v>759.41</v>
      </c>
      <c r="E910" t="s">
        <v>1512</v>
      </c>
      <c r="F910" s="1">
        <v>-4.0800000000000003E-2</v>
      </c>
      <c r="G910" s="1">
        <v>2.8999999999999998E-3</v>
      </c>
      <c r="H910" t="s">
        <v>10</v>
      </c>
      <c r="I910" t="s">
        <v>1513</v>
      </c>
    </row>
    <row r="911" spans="1:9" x14ac:dyDescent="0.3">
      <c r="A911">
        <v>467</v>
      </c>
      <c r="B911" t="s">
        <v>941</v>
      </c>
      <c r="C911" t="s">
        <v>1523</v>
      </c>
      <c r="D911" s="4">
        <v>744.39</v>
      </c>
      <c r="E911" t="s">
        <v>1524</v>
      </c>
      <c r="F911" s="1">
        <v>-3.7199999999999997E-2</v>
      </c>
      <c r="G911" s="1">
        <v>6.4999999999999997E-3</v>
      </c>
      <c r="H911" t="s">
        <v>10</v>
      </c>
      <c r="I911" t="s">
        <v>1525</v>
      </c>
    </row>
    <row r="912" spans="1:9" x14ac:dyDescent="0.3">
      <c r="A912">
        <v>473</v>
      </c>
      <c r="B912" t="s">
        <v>7</v>
      </c>
      <c r="C912" t="s">
        <v>1541</v>
      </c>
      <c r="D912" s="4">
        <v>728.47</v>
      </c>
      <c r="E912" t="s">
        <v>1542</v>
      </c>
      <c r="F912" s="1">
        <v>4.7000000000000002E-3</v>
      </c>
      <c r="G912" s="1">
        <v>2E-3</v>
      </c>
      <c r="H912" t="s">
        <v>10</v>
      </c>
      <c r="I912" t="s">
        <v>1543</v>
      </c>
    </row>
    <row r="913" spans="1:9" x14ac:dyDescent="0.3">
      <c r="A913">
        <v>481</v>
      </c>
      <c r="B913" t="s">
        <v>440</v>
      </c>
      <c r="C913" t="s">
        <v>1566</v>
      </c>
      <c r="D913" s="4">
        <v>703.58</v>
      </c>
      <c r="E913" t="s">
        <v>1567</v>
      </c>
      <c r="F913" s="1">
        <v>-0.02</v>
      </c>
      <c r="G913" s="1">
        <v>8.0000000000000004E-4</v>
      </c>
      <c r="H913" t="s">
        <v>10</v>
      </c>
      <c r="I913" t="s">
        <v>1568</v>
      </c>
    </row>
    <row r="914" spans="1:9" x14ac:dyDescent="0.3">
      <c r="A914">
        <v>490</v>
      </c>
      <c r="B914" t="s">
        <v>332</v>
      </c>
      <c r="C914" t="s">
        <v>1596</v>
      </c>
      <c r="D914" s="4">
        <v>660.53</v>
      </c>
      <c r="E914" t="s">
        <v>1597</v>
      </c>
      <c r="F914" s="1">
        <v>-3.8999999999999998E-3</v>
      </c>
      <c r="G914" s="1">
        <v>1.8E-3</v>
      </c>
      <c r="H914" t="s">
        <v>10</v>
      </c>
      <c r="I914" t="s">
        <v>1598</v>
      </c>
    </row>
    <row r="915" spans="1:9" x14ac:dyDescent="0.3">
      <c r="A915">
        <v>492</v>
      </c>
      <c r="B915" t="s">
        <v>24</v>
      </c>
      <c r="C915" t="s">
        <v>1602</v>
      </c>
      <c r="D915" s="4">
        <v>655.42</v>
      </c>
      <c r="E915" t="s">
        <v>1603</v>
      </c>
      <c r="F915" s="1">
        <v>-6.0400000000000002E-2</v>
      </c>
      <c r="G915" s="1">
        <v>2E-3</v>
      </c>
      <c r="H915" t="s">
        <v>10</v>
      </c>
      <c r="I915" t="s">
        <v>1604</v>
      </c>
    </row>
    <row r="916" spans="1:9" x14ac:dyDescent="0.3">
      <c r="A916">
        <v>496</v>
      </c>
      <c r="B916" t="s">
        <v>1182</v>
      </c>
      <c r="C916" t="s">
        <v>1614</v>
      </c>
      <c r="D916" s="4">
        <v>639.87</v>
      </c>
      <c r="E916" t="s">
        <v>1615</v>
      </c>
      <c r="F916" s="1">
        <v>-3.1800000000000002E-2</v>
      </c>
      <c r="G916" s="1">
        <v>3.5000000000000001E-3</v>
      </c>
      <c r="H916" t="s">
        <v>10</v>
      </c>
      <c r="I916" t="s">
        <v>1616</v>
      </c>
    </row>
    <row r="917" spans="1:9" x14ac:dyDescent="0.3">
      <c r="A917">
        <v>500</v>
      </c>
      <c r="B917" t="s">
        <v>7</v>
      </c>
      <c r="C917" t="s">
        <v>1626</v>
      </c>
      <c r="D917" s="4">
        <v>634.92999999999995</v>
      </c>
      <c r="E917" t="s">
        <v>1627</v>
      </c>
      <c r="F917" s="1">
        <v>-1.47E-2</v>
      </c>
      <c r="G917" s="1">
        <v>1.1999999999999999E-3</v>
      </c>
      <c r="H917" t="s">
        <v>10</v>
      </c>
      <c r="I917" t="s">
        <v>1628</v>
      </c>
    </row>
    <row r="918" spans="1:9" x14ac:dyDescent="0.3">
      <c r="A918">
        <v>509</v>
      </c>
      <c r="B918" t="s">
        <v>280</v>
      </c>
      <c r="C918" t="s">
        <v>1655</v>
      </c>
      <c r="D918" s="4">
        <v>610.98</v>
      </c>
      <c r="E918" t="s">
        <v>1656</v>
      </c>
      <c r="F918" s="1">
        <v>-1.4800000000000001E-2</v>
      </c>
      <c r="G918" s="1">
        <v>1.0500000000000001E-2</v>
      </c>
      <c r="H918" t="s">
        <v>10</v>
      </c>
      <c r="I918" t="s">
        <v>1657</v>
      </c>
    </row>
    <row r="919" spans="1:9" x14ac:dyDescent="0.3">
      <c r="A919">
        <v>511</v>
      </c>
      <c r="B919" t="s">
        <v>486</v>
      </c>
      <c r="C919" t="s">
        <v>1661</v>
      </c>
      <c r="D919" s="4">
        <v>607.41999999999996</v>
      </c>
      <c r="E919" t="s">
        <v>1662</v>
      </c>
      <c r="F919" s="1">
        <v>-3.7900000000000003E-2</v>
      </c>
      <c r="G919" s="1">
        <v>2.8999999999999998E-3</v>
      </c>
      <c r="H919" t="s">
        <v>10</v>
      </c>
      <c r="I919" t="s">
        <v>1663</v>
      </c>
    </row>
    <row r="920" spans="1:9" x14ac:dyDescent="0.3">
      <c r="A920">
        <v>512</v>
      </c>
      <c r="B920" t="s">
        <v>1664</v>
      </c>
      <c r="C920" t="s">
        <v>1665</v>
      </c>
      <c r="D920" s="4">
        <v>599.11</v>
      </c>
      <c r="E920" t="s">
        <v>1666</v>
      </c>
      <c r="F920" s="1">
        <v>1.2800000000000001E-2</v>
      </c>
      <c r="G920" s="1">
        <v>3.8999999999999998E-3</v>
      </c>
      <c r="H920" t="s">
        <v>10</v>
      </c>
      <c r="I920" t="s">
        <v>1667</v>
      </c>
    </row>
    <row r="921" spans="1:9" x14ac:dyDescent="0.3">
      <c r="A921">
        <v>513</v>
      </c>
      <c r="B921" t="s">
        <v>7</v>
      </c>
      <c r="C921" t="s">
        <v>1668</v>
      </c>
      <c r="D921" s="4">
        <v>597.67999999999995</v>
      </c>
      <c r="E921" t="s">
        <v>1669</v>
      </c>
      <c r="F921" s="1">
        <v>-1.52E-2</v>
      </c>
      <c r="G921" s="1">
        <v>2E-3</v>
      </c>
      <c r="H921" t="s">
        <v>10</v>
      </c>
      <c r="I921" t="s">
        <v>1670</v>
      </c>
    </row>
    <row r="922" spans="1:9" x14ac:dyDescent="0.3">
      <c r="A922">
        <v>521</v>
      </c>
      <c r="B922" t="s">
        <v>280</v>
      </c>
      <c r="C922" t="s">
        <v>1696</v>
      </c>
      <c r="D922" s="4">
        <v>562.29</v>
      </c>
      <c r="E922" t="s">
        <v>1697</v>
      </c>
      <c r="F922" s="1">
        <v>-0.12959999999999999</v>
      </c>
      <c r="G922" s="1">
        <v>6.4999999999999997E-3</v>
      </c>
      <c r="H922" t="s">
        <v>10</v>
      </c>
      <c r="I922" t="s">
        <v>1698</v>
      </c>
    </row>
    <row r="923" spans="1:9" x14ac:dyDescent="0.3">
      <c r="A923">
        <v>552</v>
      </c>
      <c r="B923" t="s">
        <v>1799</v>
      </c>
      <c r="C923" t="s">
        <v>1800</v>
      </c>
      <c r="D923" s="4">
        <v>497.15</v>
      </c>
      <c r="E923" t="s">
        <v>1801</v>
      </c>
      <c r="F923" s="1">
        <v>-3.2099999999999997E-2</v>
      </c>
      <c r="G923" s="1">
        <v>7.9000000000000008E-3</v>
      </c>
      <c r="H923" t="s">
        <v>10</v>
      </c>
      <c r="I923" t="s">
        <v>1802</v>
      </c>
    </row>
    <row r="924" spans="1:9" x14ac:dyDescent="0.3">
      <c r="A924">
        <v>565</v>
      </c>
      <c r="B924" t="s">
        <v>1842</v>
      </c>
      <c r="C924" t="s">
        <v>1843</v>
      </c>
      <c r="D924" s="4">
        <v>476.79</v>
      </c>
      <c r="E924" t="s">
        <v>1844</v>
      </c>
      <c r="F924" s="1">
        <v>-2.76E-2</v>
      </c>
      <c r="G924" s="1">
        <v>2.8999999999999998E-3</v>
      </c>
      <c r="H924" t="s">
        <v>10</v>
      </c>
      <c r="I924" t="s">
        <v>1845</v>
      </c>
    </row>
    <row r="925" spans="1:9" x14ac:dyDescent="0.3">
      <c r="A925">
        <v>569</v>
      </c>
      <c r="B925" t="s">
        <v>1856</v>
      </c>
      <c r="C925" t="s">
        <v>1857</v>
      </c>
      <c r="D925" s="4">
        <v>471.04</v>
      </c>
      <c r="E925" t="s">
        <v>1858</v>
      </c>
      <c r="F925" s="1">
        <v>-2.9700000000000001E-2</v>
      </c>
      <c r="G925" s="1">
        <v>4.4999999999999997E-3</v>
      </c>
      <c r="H925" t="s">
        <v>10</v>
      </c>
      <c r="I925" t="s">
        <v>1859</v>
      </c>
    </row>
    <row r="926" spans="1:9" x14ac:dyDescent="0.3">
      <c r="A926">
        <v>574</v>
      </c>
      <c r="B926" t="s">
        <v>460</v>
      </c>
      <c r="C926" t="s">
        <v>1875</v>
      </c>
      <c r="D926" s="4">
        <v>462.19</v>
      </c>
      <c r="E926" t="s">
        <v>1876</v>
      </c>
      <c r="F926" s="1">
        <v>-3.3300000000000003E-2</v>
      </c>
      <c r="G926" s="1">
        <v>2.8999999999999998E-3</v>
      </c>
      <c r="H926" t="s">
        <v>10</v>
      </c>
      <c r="I926" t="s">
        <v>1877</v>
      </c>
    </row>
    <row r="927" spans="1:9" x14ac:dyDescent="0.3">
      <c r="A927">
        <v>583</v>
      </c>
      <c r="B927" t="s">
        <v>1904</v>
      </c>
      <c r="C927" t="s">
        <v>1905</v>
      </c>
      <c r="D927" s="4">
        <v>435.4</v>
      </c>
      <c r="E927" t="s">
        <v>1906</v>
      </c>
      <c r="F927" s="1">
        <v>-4.2799999999999998E-2</v>
      </c>
      <c r="G927" s="1">
        <v>0</v>
      </c>
      <c r="H927" t="s">
        <v>10</v>
      </c>
      <c r="I927" t="s">
        <v>1907</v>
      </c>
    </row>
    <row r="928" spans="1:9" x14ac:dyDescent="0.3">
      <c r="A928">
        <v>593</v>
      </c>
      <c r="B928" t="s">
        <v>7</v>
      </c>
      <c r="C928" t="s">
        <v>1937</v>
      </c>
      <c r="D928" s="4">
        <v>420.28</v>
      </c>
      <c r="E928" t="s">
        <v>1938</v>
      </c>
      <c r="F928" s="1">
        <v>-1.7100000000000001E-2</v>
      </c>
      <c r="G928" s="1">
        <v>1E-3</v>
      </c>
      <c r="H928" t="s">
        <v>10</v>
      </c>
      <c r="I928" t="s">
        <v>1939</v>
      </c>
    </row>
    <row r="929" spans="1:9" x14ac:dyDescent="0.3">
      <c r="A929">
        <v>594</v>
      </c>
      <c r="B929" t="s">
        <v>941</v>
      </c>
      <c r="C929" t="s">
        <v>1940</v>
      </c>
      <c r="D929" s="4">
        <v>416.85</v>
      </c>
      <c r="E929" t="s">
        <v>1941</v>
      </c>
      <c r="F929" s="1">
        <v>3.7900000000000003E-2</v>
      </c>
      <c r="G929" s="1">
        <v>6.0000000000000001E-3</v>
      </c>
      <c r="H929" t="s">
        <v>10</v>
      </c>
      <c r="I929" t="s">
        <v>1942</v>
      </c>
    </row>
    <row r="930" spans="1:9" x14ac:dyDescent="0.3">
      <c r="A930">
        <v>601</v>
      </c>
      <c r="B930" t="s">
        <v>280</v>
      </c>
      <c r="C930" t="s">
        <v>1966</v>
      </c>
      <c r="D930" s="4">
        <v>409.97</v>
      </c>
      <c r="E930" t="s">
        <v>1967</v>
      </c>
      <c r="F930" s="1">
        <v>1.2699999999999999E-2</v>
      </c>
      <c r="G930" s="1">
        <v>7.4999999999999997E-3</v>
      </c>
      <c r="H930" t="s">
        <v>10</v>
      </c>
      <c r="I930" t="s">
        <v>1968</v>
      </c>
    </row>
    <row r="931" spans="1:9" x14ac:dyDescent="0.3">
      <c r="A931">
        <v>612</v>
      </c>
      <c r="B931" t="s">
        <v>332</v>
      </c>
      <c r="C931" t="s">
        <v>2005</v>
      </c>
      <c r="D931" s="4">
        <v>395.48</v>
      </c>
      <c r="E931" t="s">
        <v>2006</v>
      </c>
      <c r="F931" s="1">
        <v>-3.0599999999999999E-2</v>
      </c>
      <c r="G931" s="1">
        <v>1.1999999999999999E-3</v>
      </c>
      <c r="H931" t="s">
        <v>10</v>
      </c>
      <c r="I931" t="s">
        <v>2007</v>
      </c>
    </row>
    <row r="932" spans="1:9" x14ac:dyDescent="0.3">
      <c r="A932">
        <v>617</v>
      </c>
      <c r="B932" t="s">
        <v>12</v>
      </c>
      <c r="C932" t="s">
        <v>2022</v>
      </c>
      <c r="D932" s="4">
        <v>387.73</v>
      </c>
      <c r="E932" t="s">
        <v>2023</v>
      </c>
      <c r="F932" s="1">
        <v>-3.3099999999999997E-2</v>
      </c>
      <c r="G932" s="1">
        <v>8.0000000000000004E-4</v>
      </c>
      <c r="H932" t="s">
        <v>10</v>
      </c>
      <c r="I932" t="s">
        <v>2024</v>
      </c>
    </row>
    <row r="933" spans="1:9" x14ac:dyDescent="0.3">
      <c r="A933">
        <v>623</v>
      </c>
      <c r="B933" t="s">
        <v>588</v>
      </c>
      <c r="C933" t="s">
        <v>2042</v>
      </c>
      <c r="D933" s="4">
        <v>380.34</v>
      </c>
      <c r="E933" t="s">
        <v>2043</v>
      </c>
      <c r="F933" s="1">
        <v>-9.4399999999999998E-2</v>
      </c>
      <c r="G933" s="1">
        <v>3.5000000000000001E-3</v>
      </c>
      <c r="H933" t="s">
        <v>10</v>
      </c>
      <c r="I933" t="s">
        <v>2044</v>
      </c>
    </row>
    <row r="934" spans="1:9" x14ac:dyDescent="0.3">
      <c r="A934">
        <v>626</v>
      </c>
      <c r="B934" t="s">
        <v>2051</v>
      </c>
      <c r="C934" t="s">
        <v>2052</v>
      </c>
      <c r="D934" s="4">
        <v>378.88</v>
      </c>
      <c r="E934" t="s">
        <v>2053</v>
      </c>
      <c r="F934" s="1">
        <v>-1.4E-2</v>
      </c>
      <c r="G934" s="1">
        <v>8.0999999999999996E-3</v>
      </c>
      <c r="H934" t="s">
        <v>10</v>
      </c>
      <c r="I934" t="s">
        <v>2054</v>
      </c>
    </row>
    <row r="935" spans="1:9" x14ac:dyDescent="0.3">
      <c r="A935">
        <v>635</v>
      </c>
      <c r="B935" t="s">
        <v>2083</v>
      </c>
      <c r="C935" t="s">
        <v>2084</v>
      </c>
      <c r="D935" s="4">
        <v>369.04</v>
      </c>
      <c r="E935" t="s">
        <v>2085</v>
      </c>
      <c r="F935" s="1">
        <v>-4.65E-2</v>
      </c>
      <c r="G935" s="1">
        <v>6.1999999999999998E-3</v>
      </c>
      <c r="H935" t="s">
        <v>10</v>
      </c>
      <c r="I935" t="s">
        <v>2086</v>
      </c>
    </row>
    <row r="936" spans="1:9" x14ac:dyDescent="0.3">
      <c r="A936">
        <v>641</v>
      </c>
      <c r="B936" t="s">
        <v>2103</v>
      </c>
      <c r="C936" t="s">
        <v>2104</v>
      </c>
      <c r="D936" s="4">
        <v>361.43</v>
      </c>
      <c r="E936" t="s">
        <v>2105</v>
      </c>
      <c r="F936" s="1">
        <v>-1.1599999999999999E-2</v>
      </c>
      <c r="G936" s="1">
        <v>7.9000000000000008E-3</v>
      </c>
      <c r="H936" t="s">
        <v>10</v>
      </c>
      <c r="I936" t="s">
        <v>2106</v>
      </c>
    </row>
    <row r="937" spans="1:9" x14ac:dyDescent="0.3">
      <c r="A937">
        <v>642</v>
      </c>
      <c r="B937" t="s">
        <v>964</v>
      </c>
      <c r="C937" t="s">
        <v>2107</v>
      </c>
      <c r="D937" s="4">
        <v>358.51</v>
      </c>
      <c r="E937" t="s">
        <v>2108</v>
      </c>
      <c r="F937" s="1">
        <v>-1.6E-2</v>
      </c>
      <c r="G937" s="1">
        <v>1.9E-3</v>
      </c>
      <c r="H937" t="s">
        <v>10</v>
      </c>
      <c r="I937" t="s">
        <v>2109</v>
      </c>
    </row>
    <row r="938" spans="1:9" x14ac:dyDescent="0.3">
      <c r="A938">
        <v>648</v>
      </c>
      <c r="B938" t="s">
        <v>2126</v>
      </c>
      <c r="C938" t="s">
        <v>2127</v>
      </c>
      <c r="D938" s="4">
        <v>345.76</v>
      </c>
      <c r="E938" t="s">
        <v>2128</v>
      </c>
      <c r="F938" s="1">
        <v>-3.1399999999999997E-2</v>
      </c>
      <c r="G938" s="1">
        <v>1.15E-2</v>
      </c>
      <c r="H938" t="s">
        <v>10</v>
      </c>
      <c r="I938" t="s">
        <v>2129</v>
      </c>
    </row>
    <row r="939" spans="1:9" x14ac:dyDescent="0.3">
      <c r="A939">
        <v>652</v>
      </c>
      <c r="B939" t="s">
        <v>2110</v>
      </c>
      <c r="C939" t="s">
        <v>2140</v>
      </c>
      <c r="D939" s="4">
        <v>342.29</v>
      </c>
      <c r="E939" t="s">
        <v>2141</v>
      </c>
      <c r="F939" s="1">
        <v>-4.4400000000000002E-2</v>
      </c>
      <c r="G939" s="1">
        <v>1.15E-2</v>
      </c>
      <c r="H939" t="s">
        <v>10</v>
      </c>
      <c r="I939" t="s">
        <v>2142</v>
      </c>
    </row>
    <row r="940" spans="1:9" x14ac:dyDescent="0.3">
      <c r="A940">
        <v>653</v>
      </c>
      <c r="B940" t="s">
        <v>280</v>
      </c>
      <c r="C940" t="s">
        <v>2143</v>
      </c>
      <c r="D940" s="4">
        <v>338.39</v>
      </c>
      <c r="E940" t="s">
        <v>2144</v>
      </c>
      <c r="F940" s="1">
        <v>-1.04E-2</v>
      </c>
      <c r="G940" s="1">
        <v>1.0500000000000001E-2</v>
      </c>
      <c r="H940" t="s">
        <v>10</v>
      </c>
      <c r="I940" t="s">
        <v>2145</v>
      </c>
    </row>
    <row r="941" spans="1:9" x14ac:dyDescent="0.3">
      <c r="A941">
        <v>657</v>
      </c>
      <c r="B941" t="s">
        <v>2103</v>
      </c>
      <c r="C941" t="s">
        <v>2155</v>
      </c>
      <c r="D941" s="4">
        <v>336.04</v>
      </c>
      <c r="E941" t="s">
        <v>2156</v>
      </c>
      <c r="F941" s="1">
        <v>-2.3E-2</v>
      </c>
      <c r="G941" s="1">
        <v>7.9000000000000008E-3</v>
      </c>
      <c r="H941" t="s">
        <v>10</v>
      </c>
      <c r="I941" t="s">
        <v>2157</v>
      </c>
    </row>
    <row r="942" spans="1:9" x14ac:dyDescent="0.3">
      <c r="A942">
        <v>658</v>
      </c>
      <c r="B942" t="s">
        <v>1182</v>
      </c>
      <c r="C942" t="s">
        <v>2158</v>
      </c>
      <c r="D942" s="4">
        <v>334.77</v>
      </c>
      <c r="E942" t="s">
        <v>2159</v>
      </c>
      <c r="F942" s="1">
        <v>-6.3E-3</v>
      </c>
      <c r="G942" s="1">
        <v>3.5000000000000001E-3</v>
      </c>
      <c r="H942" t="s">
        <v>10</v>
      </c>
      <c r="I942" t="s">
        <v>2160</v>
      </c>
    </row>
    <row r="943" spans="1:9" x14ac:dyDescent="0.3">
      <c r="A943">
        <v>659</v>
      </c>
      <c r="B943" t="s">
        <v>24</v>
      </c>
      <c r="C943" t="s">
        <v>2161</v>
      </c>
      <c r="D943" s="4">
        <v>330.46</v>
      </c>
      <c r="E943" t="s">
        <v>2162</v>
      </c>
      <c r="F943" s="1">
        <v>7.1999999999999998E-3</v>
      </c>
      <c r="G943" s="1">
        <v>4.0000000000000001E-3</v>
      </c>
      <c r="H943" t="s">
        <v>10</v>
      </c>
      <c r="I943" t="s">
        <v>2163</v>
      </c>
    </row>
    <row r="944" spans="1:9" x14ac:dyDescent="0.3">
      <c r="A944">
        <v>669</v>
      </c>
      <c r="B944" t="s">
        <v>1864</v>
      </c>
      <c r="C944" t="s">
        <v>2193</v>
      </c>
      <c r="D944" s="4">
        <v>321.52999999999997</v>
      </c>
      <c r="E944" t="s">
        <v>2194</v>
      </c>
      <c r="F944" s="1">
        <v>-4.4400000000000002E-2</v>
      </c>
      <c r="G944" s="1">
        <v>2.5000000000000001E-3</v>
      </c>
      <c r="H944" t="s">
        <v>10</v>
      </c>
      <c r="I944" t="s">
        <v>2195</v>
      </c>
    </row>
    <row r="945" spans="1:9" x14ac:dyDescent="0.3">
      <c r="A945">
        <v>680</v>
      </c>
      <c r="B945" t="s">
        <v>7</v>
      </c>
      <c r="C945" t="s">
        <v>2225</v>
      </c>
      <c r="D945" s="4">
        <v>308.08</v>
      </c>
      <c r="E945" t="s">
        <v>2226</v>
      </c>
      <c r="F945" s="1">
        <v>-5.5800000000000002E-2</v>
      </c>
      <c r="G945" s="1">
        <v>2E-3</v>
      </c>
      <c r="H945" t="s">
        <v>10</v>
      </c>
      <c r="I945" t="s">
        <v>2227</v>
      </c>
    </row>
    <row r="946" spans="1:9" x14ac:dyDescent="0.3">
      <c r="A946">
        <v>686</v>
      </c>
      <c r="B946" t="s">
        <v>2246</v>
      </c>
      <c r="C946" t="s">
        <v>2247</v>
      </c>
      <c r="D946" s="4">
        <v>299.08</v>
      </c>
      <c r="E946" t="s">
        <v>2248</v>
      </c>
      <c r="F946" s="1">
        <v>-8.7999999999999995E-2</v>
      </c>
      <c r="G946" s="1">
        <v>3.5000000000000001E-3</v>
      </c>
      <c r="H946" t="s">
        <v>10</v>
      </c>
      <c r="I946" t="s">
        <v>2249</v>
      </c>
    </row>
    <row r="947" spans="1:9" x14ac:dyDescent="0.3">
      <c r="A947">
        <v>687</v>
      </c>
      <c r="B947" t="s">
        <v>24</v>
      </c>
      <c r="C947" t="s">
        <v>2250</v>
      </c>
      <c r="D947" s="4">
        <v>298.3</v>
      </c>
      <c r="E947" t="s">
        <v>2251</v>
      </c>
      <c r="F947" s="1">
        <v>-1.8E-3</v>
      </c>
      <c r="G947" s="1">
        <v>5.3E-3</v>
      </c>
      <c r="H947" t="s">
        <v>10</v>
      </c>
      <c r="I947" t="s">
        <v>2252</v>
      </c>
    </row>
    <row r="948" spans="1:9" x14ac:dyDescent="0.3">
      <c r="A948">
        <v>696</v>
      </c>
      <c r="B948" t="s">
        <v>280</v>
      </c>
      <c r="C948" t="s">
        <v>2281</v>
      </c>
      <c r="D948" s="4">
        <v>280.52999999999997</v>
      </c>
      <c r="E948" t="s">
        <v>2282</v>
      </c>
      <c r="F948" s="1">
        <v>-3.6799999999999999E-2</v>
      </c>
      <c r="G948" s="1">
        <v>8.5000000000000006E-3</v>
      </c>
      <c r="H948" t="s">
        <v>10</v>
      </c>
      <c r="I948" t="s">
        <v>2283</v>
      </c>
    </row>
    <row r="949" spans="1:9" x14ac:dyDescent="0.3">
      <c r="A949">
        <v>699</v>
      </c>
      <c r="B949" t="s">
        <v>2290</v>
      </c>
      <c r="C949" t="s">
        <v>2291</v>
      </c>
      <c r="D949" s="4">
        <v>276.97000000000003</v>
      </c>
      <c r="E949" t="s">
        <v>2292</v>
      </c>
      <c r="F949" s="1">
        <v>-4.48E-2</v>
      </c>
      <c r="G949" s="1">
        <v>5.0000000000000001E-4</v>
      </c>
      <c r="H949" t="s">
        <v>10</v>
      </c>
      <c r="I949" t="s">
        <v>2293</v>
      </c>
    </row>
    <row r="950" spans="1:9" x14ac:dyDescent="0.3">
      <c r="A950">
        <v>700</v>
      </c>
      <c r="B950" t="s">
        <v>248</v>
      </c>
      <c r="C950" t="s">
        <v>2294</v>
      </c>
      <c r="D950" s="4">
        <v>274.70999999999998</v>
      </c>
      <c r="E950" t="s">
        <v>2295</v>
      </c>
      <c r="F950" s="1">
        <v>-4.3700000000000003E-2</v>
      </c>
      <c r="G950" s="1">
        <v>2E-3</v>
      </c>
      <c r="H950" t="s">
        <v>10</v>
      </c>
      <c r="I950" t="s">
        <v>2296</v>
      </c>
    </row>
    <row r="951" spans="1:9" x14ac:dyDescent="0.3">
      <c r="A951">
        <v>709</v>
      </c>
      <c r="B951" t="s">
        <v>1799</v>
      </c>
      <c r="C951" t="s">
        <v>2321</v>
      </c>
      <c r="D951" s="4">
        <v>260.33</v>
      </c>
      <c r="E951" t="s">
        <v>2322</v>
      </c>
      <c r="F951" s="1">
        <v>-1.37E-2</v>
      </c>
      <c r="G951" s="1">
        <v>7.9000000000000008E-3</v>
      </c>
      <c r="H951" t="s">
        <v>10</v>
      </c>
      <c r="I951" t="s">
        <v>2323</v>
      </c>
    </row>
    <row r="952" spans="1:9" x14ac:dyDescent="0.3">
      <c r="A952">
        <v>710</v>
      </c>
      <c r="B952" t="s">
        <v>2087</v>
      </c>
      <c r="C952" t="s">
        <v>2324</v>
      </c>
      <c r="D952" s="4">
        <v>259.10000000000002</v>
      </c>
      <c r="E952" t="s">
        <v>2325</v>
      </c>
      <c r="F952" s="1">
        <v>-2.2499999999999999E-2</v>
      </c>
      <c r="G952" s="1">
        <v>5.0000000000000001E-3</v>
      </c>
      <c r="H952" t="s">
        <v>10</v>
      </c>
      <c r="I952" t="s">
        <v>2326</v>
      </c>
    </row>
    <row r="953" spans="1:9" x14ac:dyDescent="0.3">
      <c r="A953">
        <v>711</v>
      </c>
      <c r="B953" t="s">
        <v>460</v>
      </c>
      <c r="C953" t="s">
        <v>2327</v>
      </c>
      <c r="D953" s="4">
        <v>258.52999999999997</v>
      </c>
      <c r="E953" t="s">
        <v>2328</v>
      </c>
      <c r="F953" s="1">
        <v>-2.41E-2</v>
      </c>
      <c r="G953" s="1">
        <v>2.8999999999999998E-3</v>
      </c>
      <c r="H953" t="s">
        <v>10</v>
      </c>
      <c r="I953" t="s">
        <v>2329</v>
      </c>
    </row>
    <row r="954" spans="1:9" x14ac:dyDescent="0.3">
      <c r="A954">
        <v>713</v>
      </c>
      <c r="B954" t="s">
        <v>7</v>
      </c>
      <c r="C954" t="s">
        <v>2333</v>
      </c>
      <c r="D954" s="4">
        <v>257.12</v>
      </c>
      <c r="E954" t="s">
        <v>2334</v>
      </c>
      <c r="F954" s="1">
        <v>-0.14680000000000001</v>
      </c>
      <c r="G954" s="1">
        <v>2E-3</v>
      </c>
      <c r="H954" t="s">
        <v>10</v>
      </c>
      <c r="I954" t="s">
        <v>2335</v>
      </c>
    </row>
    <row r="955" spans="1:9" x14ac:dyDescent="0.3">
      <c r="A955">
        <v>714</v>
      </c>
      <c r="B955" t="s">
        <v>979</v>
      </c>
      <c r="C955" t="s">
        <v>2336</v>
      </c>
      <c r="D955" s="4">
        <v>255.07</v>
      </c>
      <c r="E955" t="s">
        <v>2337</v>
      </c>
      <c r="F955" s="1">
        <v>8.0000000000000004E-4</v>
      </c>
      <c r="G955" s="1">
        <v>8.6999999999999994E-3</v>
      </c>
      <c r="H955" t="s">
        <v>10</v>
      </c>
      <c r="I955" t="s">
        <v>2338</v>
      </c>
    </row>
    <row r="956" spans="1:9" x14ac:dyDescent="0.3">
      <c r="A956">
        <v>717</v>
      </c>
      <c r="B956" t="s">
        <v>280</v>
      </c>
      <c r="C956" t="s">
        <v>2346</v>
      </c>
      <c r="D956" s="4">
        <v>253.08</v>
      </c>
      <c r="E956" t="s">
        <v>2347</v>
      </c>
      <c r="F956" s="1">
        <v>-1.4E-3</v>
      </c>
      <c r="G956" s="1">
        <v>8.5000000000000006E-3</v>
      </c>
      <c r="H956" t="s">
        <v>10</v>
      </c>
      <c r="I956" t="s">
        <v>2348</v>
      </c>
    </row>
    <row r="957" spans="1:9" x14ac:dyDescent="0.3">
      <c r="A957">
        <v>720</v>
      </c>
      <c r="B957" t="s">
        <v>1182</v>
      </c>
      <c r="C957" t="s">
        <v>2357</v>
      </c>
      <c r="D957" s="4">
        <v>250.46</v>
      </c>
      <c r="E957" t="s">
        <v>2358</v>
      </c>
      <c r="F957" s="1">
        <v>3.3099999999999997E-2</v>
      </c>
      <c r="G957" s="1">
        <v>3.5000000000000001E-3</v>
      </c>
      <c r="H957" t="s">
        <v>10</v>
      </c>
      <c r="I957" t="s">
        <v>2359</v>
      </c>
    </row>
    <row r="958" spans="1:9" x14ac:dyDescent="0.3">
      <c r="A958">
        <v>724</v>
      </c>
      <c r="B958" t="s">
        <v>2370</v>
      </c>
      <c r="C958" t="s">
        <v>2371</v>
      </c>
      <c r="D958" s="4">
        <v>245.52</v>
      </c>
      <c r="E958" t="s">
        <v>2372</v>
      </c>
      <c r="F958" s="1">
        <v>-4.4499999999999998E-2</v>
      </c>
      <c r="G958" s="1">
        <v>8.0000000000000002E-3</v>
      </c>
      <c r="H958" t="s">
        <v>10</v>
      </c>
      <c r="I958" t="s">
        <v>2373</v>
      </c>
    </row>
    <row r="959" spans="1:9" x14ac:dyDescent="0.3">
      <c r="A959">
        <v>730</v>
      </c>
      <c r="B959" t="s">
        <v>280</v>
      </c>
      <c r="C959" t="s">
        <v>2393</v>
      </c>
      <c r="D959" s="4">
        <v>239.37</v>
      </c>
      <c r="E959" t="s">
        <v>2394</v>
      </c>
      <c r="F959" s="1">
        <v>-7.9000000000000008E-3</v>
      </c>
      <c r="G959" s="1">
        <v>8.5000000000000006E-3</v>
      </c>
      <c r="H959" t="s">
        <v>10</v>
      </c>
      <c r="I959" t="s">
        <v>2395</v>
      </c>
    </row>
    <row r="960" spans="1:9" x14ac:dyDescent="0.3">
      <c r="A960">
        <v>731</v>
      </c>
      <c r="B960" t="s">
        <v>332</v>
      </c>
      <c r="C960" t="s">
        <v>2396</v>
      </c>
      <c r="D960" s="4">
        <v>238.77</v>
      </c>
      <c r="E960" t="s">
        <v>2397</v>
      </c>
      <c r="F960" s="1">
        <v>-9.4600000000000004E-2</v>
      </c>
      <c r="G960" s="1">
        <v>1.1999999999999999E-3</v>
      </c>
      <c r="H960" t="s">
        <v>10</v>
      </c>
      <c r="I960" t="s">
        <v>2398</v>
      </c>
    </row>
    <row r="961" spans="1:9" x14ac:dyDescent="0.3">
      <c r="A961">
        <v>758</v>
      </c>
      <c r="B961" t="s">
        <v>1799</v>
      </c>
      <c r="C961" t="s">
        <v>2487</v>
      </c>
      <c r="D961" s="4">
        <v>214.44</v>
      </c>
      <c r="E961" t="s">
        <v>2488</v>
      </c>
      <c r="F961" s="1">
        <v>-9.4000000000000004E-3</v>
      </c>
      <c r="G961" s="1">
        <v>7.9000000000000008E-3</v>
      </c>
      <c r="H961" t="s">
        <v>10</v>
      </c>
      <c r="I961" t="s">
        <v>2489</v>
      </c>
    </row>
    <row r="962" spans="1:9" x14ac:dyDescent="0.3">
      <c r="A962">
        <v>762</v>
      </c>
      <c r="B962" t="s">
        <v>1799</v>
      </c>
      <c r="C962" t="s">
        <v>2499</v>
      </c>
      <c r="D962" s="4">
        <v>212.38</v>
      </c>
      <c r="E962" t="s">
        <v>2500</v>
      </c>
      <c r="F962" s="1">
        <v>-6.7000000000000002E-3</v>
      </c>
      <c r="G962" s="1">
        <v>7.9000000000000008E-3</v>
      </c>
      <c r="H962" t="s">
        <v>10</v>
      </c>
      <c r="I962" t="s">
        <v>2501</v>
      </c>
    </row>
    <row r="963" spans="1:9" x14ac:dyDescent="0.3">
      <c r="A963">
        <v>765</v>
      </c>
      <c r="B963" t="s">
        <v>517</v>
      </c>
      <c r="C963" t="s">
        <v>2508</v>
      </c>
      <c r="D963" s="4">
        <v>210.52</v>
      </c>
      <c r="E963" t="s">
        <v>2509</v>
      </c>
      <c r="F963" s="1">
        <v>-5.8999999999999999E-3</v>
      </c>
      <c r="G963" s="1">
        <v>2.8E-3</v>
      </c>
      <c r="H963" t="s">
        <v>10</v>
      </c>
      <c r="I963" t="s">
        <v>2510</v>
      </c>
    </row>
    <row r="964" spans="1:9" x14ac:dyDescent="0.3">
      <c r="A964">
        <v>775</v>
      </c>
      <c r="B964" t="s">
        <v>941</v>
      </c>
      <c r="C964" t="s">
        <v>2539</v>
      </c>
      <c r="D964" s="4">
        <v>206.89</v>
      </c>
      <c r="E964" t="s">
        <v>2540</v>
      </c>
      <c r="F964" s="1">
        <v>-4.2200000000000001E-2</v>
      </c>
      <c r="G964" s="1">
        <v>6.0000000000000001E-3</v>
      </c>
      <c r="H964" t="s">
        <v>10</v>
      </c>
      <c r="I964" t="s">
        <v>2541</v>
      </c>
    </row>
    <row r="965" spans="1:9" x14ac:dyDescent="0.3">
      <c r="A965">
        <v>780</v>
      </c>
      <c r="B965" t="s">
        <v>1799</v>
      </c>
      <c r="C965" t="s">
        <v>2554</v>
      </c>
      <c r="D965" s="4">
        <v>201.99</v>
      </c>
      <c r="E965" t="s">
        <v>2555</v>
      </c>
      <c r="F965" s="1">
        <v>-2.06E-2</v>
      </c>
      <c r="G965" s="1">
        <v>7.9000000000000008E-3</v>
      </c>
      <c r="H965" t="s">
        <v>10</v>
      </c>
      <c r="I965" t="s">
        <v>2556</v>
      </c>
    </row>
    <row r="966" spans="1:9" x14ac:dyDescent="0.3">
      <c r="A966">
        <v>786</v>
      </c>
      <c r="B966" t="s">
        <v>280</v>
      </c>
      <c r="C966" t="s">
        <v>2574</v>
      </c>
      <c r="D966" s="4">
        <v>198.51</v>
      </c>
      <c r="E966" t="s">
        <v>2575</v>
      </c>
      <c r="F966" s="1">
        <v>-1.67E-2</v>
      </c>
      <c r="G966" s="1">
        <v>8.5000000000000006E-3</v>
      </c>
      <c r="H966" t="s">
        <v>10</v>
      </c>
      <c r="I966" t="s">
        <v>2576</v>
      </c>
    </row>
    <row r="967" spans="1:9" x14ac:dyDescent="0.3">
      <c r="A967">
        <v>787</v>
      </c>
      <c r="B967" t="s">
        <v>1799</v>
      </c>
      <c r="C967" t="s">
        <v>2577</v>
      </c>
      <c r="D967" s="4">
        <v>196.76</v>
      </c>
      <c r="E967" t="s">
        <v>2578</v>
      </c>
      <c r="F967" s="1">
        <v>-2.8E-3</v>
      </c>
      <c r="G967" s="1">
        <v>7.9000000000000008E-3</v>
      </c>
      <c r="H967" t="s">
        <v>10</v>
      </c>
      <c r="I967" t="s">
        <v>2579</v>
      </c>
    </row>
    <row r="968" spans="1:9" x14ac:dyDescent="0.3">
      <c r="A968">
        <v>791</v>
      </c>
      <c r="B968" t="s">
        <v>24</v>
      </c>
      <c r="C968" t="s">
        <v>2589</v>
      </c>
      <c r="D968" s="4">
        <v>193.48</v>
      </c>
      <c r="E968" t="s">
        <v>2590</v>
      </c>
      <c r="F968" s="1">
        <v>3.7000000000000002E-3</v>
      </c>
      <c r="G968" s="1">
        <v>1.9E-3</v>
      </c>
      <c r="H968" t="s">
        <v>10</v>
      </c>
      <c r="I968" t="s">
        <v>2591</v>
      </c>
    </row>
    <row r="969" spans="1:9" x14ac:dyDescent="0.3">
      <c r="A969">
        <v>792</v>
      </c>
      <c r="B969" t="s">
        <v>1799</v>
      </c>
      <c r="C969" t="s">
        <v>2592</v>
      </c>
      <c r="D969" s="4">
        <v>192.77</v>
      </c>
      <c r="E969" t="s">
        <v>2593</v>
      </c>
      <c r="F969" s="1">
        <v>-4.1500000000000002E-2</v>
      </c>
      <c r="G969" s="1">
        <v>7.9000000000000008E-3</v>
      </c>
      <c r="H969" t="s">
        <v>10</v>
      </c>
      <c r="I969" t="s">
        <v>2594</v>
      </c>
    </row>
    <row r="970" spans="1:9" x14ac:dyDescent="0.3">
      <c r="A970">
        <v>795</v>
      </c>
      <c r="B970" t="s">
        <v>1799</v>
      </c>
      <c r="C970" t="s">
        <v>2602</v>
      </c>
      <c r="D970" s="4">
        <v>192.26</v>
      </c>
      <c r="E970" t="s">
        <v>2603</v>
      </c>
      <c r="F970" s="1">
        <v>-7.4000000000000003E-3</v>
      </c>
      <c r="G970" s="1">
        <v>7.9000000000000008E-3</v>
      </c>
      <c r="H970" t="s">
        <v>10</v>
      </c>
      <c r="I970" t="s">
        <v>2604</v>
      </c>
    </row>
    <row r="971" spans="1:9" x14ac:dyDescent="0.3">
      <c r="A971">
        <v>805</v>
      </c>
      <c r="B971" t="s">
        <v>1799</v>
      </c>
      <c r="C971" t="s">
        <v>2633</v>
      </c>
      <c r="D971" s="4">
        <v>185.68</v>
      </c>
      <c r="E971" t="s">
        <v>2634</v>
      </c>
      <c r="F971" s="1">
        <v>-1.2E-2</v>
      </c>
      <c r="G971" s="1">
        <v>7.9000000000000008E-3</v>
      </c>
      <c r="H971" t="s">
        <v>10</v>
      </c>
      <c r="I971" t="s">
        <v>2635</v>
      </c>
    </row>
    <row r="972" spans="1:9" x14ac:dyDescent="0.3">
      <c r="A972">
        <v>820</v>
      </c>
      <c r="B972" t="s">
        <v>24</v>
      </c>
      <c r="C972" t="s">
        <v>2680</v>
      </c>
      <c r="D972" s="4">
        <v>176.68</v>
      </c>
      <c r="E972" t="s">
        <v>2681</v>
      </c>
      <c r="F972" s="1">
        <v>2.3099999999999999E-2</v>
      </c>
      <c r="G972" s="1">
        <v>6.9999999999999999E-4</v>
      </c>
      <c r="H972" t="s">
        <v>10</v>
      </c>
      <c r="I972" t="s">
        <v>2682</v>
      </c>
    </row>
    <row r="973" spans="1:9" x14ac:dyDescent="0.3">
      <c r="A973">
        <v>827</v>
      </c>
      <c r="B973" t="s">
        <v>1799</v>
      </c>
      <c r="C973" t="s">
        <v>2702</v>
      </c>
      <c r="D973" s="4">
        <v>172.9</v>
      </c>
      <c r="E973" t="s">
        <v>2703</v>
      </c>
      <c r="F973" s="1">
        <v>-1.0200000000000001E-2</v>
      </c>
      <c r="G973" s="1">
        <v>7.9000000000000008E-3</v>
      </c>
      <c r="H973" t="s">
        <v>10</v>
      </c>
      <c r="I973" t="s">
        <v>2704</v>
      </c>
    </row>
    <row r="974" spans="1:9" x14ac:dyDescent="0.3">
      <c r="A974">
        <v>830</v>
      </c>
      <c r="B974" t="s">
        <v>280</v>
      </c>
      <c r="C974" t="s">
        <v>2714</v>
      </c>
      <c r="D974" s="4">
        <v>170.27</v>
      </c>
      <c r="E974" t="s">
        <v>2715</v>
      </c>
      <c r="F974" s="1">
        <v>-2.18E-2</v>
      </c>
      <c r="G974" s="1">
        <v>8.5000000000000006E-3</v>
      </c>
      <c r="H974" t="s">
        <v>10</v>
      </c>
      <c r="I974" t="s">
        <v>2716</v>
      </c>
    </row>
    <row r="975" spans="1:9" x14ac:dyDescent="0.3">
      <c r="A975">
        <v>835</v>
      </c>
      <c r="B975" t="s">
        <v>24</v>
      </c>
      <c r="C975" t="s">
        <v>2729</v>
      </c>
      <c r="D975" s="4">
        <v>167.79</v>
      </c>
      <c r="E975" t="s">
        <v>2730</v>
      </c>
      <c r="F975" s="1">
        <v>-2.4299999999999999E-2</v>
      </c>
      <c r="G975" s="1">
        <v>4.8999999999999998E-3</v>
      </c>
      <c r="H975" t="s">
        <v>10</v>
      </c>
      <c r="I975" t="s">
        <v>2731</v>
      </c>
    </row>
    <row r="976" spans="1:9" x14ac:dyDescent="0.3">
      <c r="A976">
        <v>838</v>
      </c>
      <c r="B976" t="s">
        <v>618</v>
      </c>
      <c r="C976" t="s">
        <v>2739</v>
      </c>
      <c r="D976" s="4">
        <v>165.16</v>
      </c>
      <c r="E976" t="s">
        <v>2740</v>
      </c>
      <c r="F976" s="1">
        <v>-3.9E-2</v>
      </c>
      <c r="G976" s="1">
        <v>1.6999999999999999E-3</v>
      </c>
      <c r="H976" t="s">
        <v>10</v>
      </c>
      <c r="I976" t="s">
        <v>2741</v>
      </c>
    </row>
    <row r="977" spans="1:9" x14ac:dyDescent="0.3">
      <c r="A977">
        <v>841</v>
      </c>
      <c r="B977" t="s">
        <v>979</v>
      </c>
      <c r="C977" t="s">
        <v>2748</v>
      </c>
      <c r="D977" s="4">
        <v>163.16</v>
      </c>
      <c r="E977" t="s">
        <v>2749</v>
      </c>
      <c r="F977" s="1">
        <v>2.3999999999999998E-3</v>
      </c>
      <c r="G977" s="1">
        <v>8.6E-3</v>
      </c>
      <c r="H977" t="s">
        <v>10</v>
      </c>
      <c r="I977" t="s">
        <v>2750</v>
      </c>
    </row>
    <row r="978" spans="1:9" x14ac:dyDescent="0.3">
      <c r="A978">
        <v>845</v>
      </c>
      <c r="B978" t="s">
        <v>2761</v>
      </c>
      <c r="C978" t="s">
        <v>2762</v>
      </c>
      <c r="D978" s="4">
        <v>161.84</v>
      </c>
      <c r="E978" t="s">
        <v>2763</v>
      </c>
      <c r="F978" s="1">
        <v>-1.55E-2</v>
      </c>
      <c r="G978" s="1">
        <v>8.6999999999999994E-3</v>
      </c>
      <c r="H978" t="s">
        <v>10</v>
      </c>
      <c r="I978" t="s">
        <v>2764</v>
      </c>
    </row>
    <row r="979" spans="1:9" x14ac:dyDescent="0.3">
      <c r="A979">
        <v>851</v>
      </c>
      <c r="B979" t="s">
        <v>280</v>
      </c>
      <c r="C979" t="s">
        <v>2783</v>
      </c>
      <c r="D979" s="4">
        <v>157.38999999999999</v>
      </c>
      <c r="E979" t="s">
        <v>2784</v>
      </c>
      <c r="F979" s="1">
        <v>-1.95E-2</v>
      </c>
      <c r="G979" s="1">
        <v>8.5000000000000006E-3</v>
      </c>
      <c r="H979" t="s">
        <v>10</v>
      </c>
      <c r="I979" t="s">
        <v>2785</v>
      </c>
    </row>
    <row r="980" spans="1:9" x14ac:dyDescent="0.3">
      <c r="A980">
        <v>854</v>
      </c>
      <c r="B980" t="s">
        <v>2792</v>
      </c>
      <c r="C980" t="s">
        <v>2793</v>
      </c>
      <c r="D980" s="4">
        <v>155.36000000000001</v>
      </c>
      <c r="E980" t="s">
        <v>2794</v>
      </c>
      <c r="F980" s="1">
        <v>-3.7900000000000003E-2</v>
      </c>
      <c r="G980" s="1">
        <v>5.1999999999999998E-3</v>
      </c>
      <c r="H980" t="s">
        <v>10</v>
      </c>
      <c r="I980" t="s">
        <v>2795</v>
      </c>
    </row>
    <row r="981" spans="1:9" x14ac:dyDescent="0.3">
      <c r="A981">
        <v>858</v>
      </c>
      <c r="B981" t="s">
        <v>863</v>
      </c>
      <c r="C981" t="s">
        <v>2805</v>
      </c>
      <c r="D981" s="4">
        <v>153.61000000000001</v>
      </c>
      <c r="E981" t="s">
        <v>2806</v>
      </c>
      <c r="F981" s="1">
        <v>-4.0800000000000003E-2</v>
      </c>
      <c r="G981" s="1">
        <v>3.8999999999999998E-3</v>
      </c>
      <c r="H981" t="s">
        <v>10</v>
      </c>
      <c r="I981" t="s">
        <v>2807</v>
      </c>
    </row>
    <row r="982" spans="1:9" x14ac:dyDescent="0.3">
      <c r="A982">
        <v>866</v>
      </c>
      <c r="B982" t="s">
        <v>1799</v>
      </c>
      <c r="C982" t="s">
        <v>2829</v>
      </c>
      <c r="D982" s="4">
        <v>148.38</v>
      </c>
      <c r="E982" t="s">
        <v>2830</v>
      </c>
      <c r="F982" s="1">
        <v>-2.1999999999999999E-2</v>
      </c>
      <c r="G982" s="1">
        <v>7.9000000000000008E-3</v>
      </c>
      <c r="H982" t="s">
        <v>10</v>
      </c>
      <c r="I982" t="s">
        <v>2831</v>
      </c>
    </row>
    <row r="983" spans="1:9" x14ac:dyDescent="0.3">
      <c r="A983">
        <v>871</v>
      </c>
      <c r="B983" t="s">
        <v>280</v>
      </c>
      <c r="C983" t="s">
        <v>2845</v>
      </c>
      <c r="D983" s="4">
        <v>146.91</v>
      </c>
      <c r="E983" t="s">
        <v>2846</v>
      </c>
      <c r="F983" s="1">
        <v>1.52E-2</v>
      </c>
      <c r="G983" s="1">
        <v>8.5000000000000006E-3</v>
      </c>
      <c r="H983" t="s">
        <v>10</v>
      </c>
      <c r="I983" t="s">
        <v>2847</v>
      </c>
    </row>
    <row r="984" spans="1:9" x14ac:dyDescent="0.3">
      <c r="A984">
        <v>872</v>
      </c>
      <c r="B984" t="s">
        <v>280</v>
      </c>
      <c r="C984" t="s">
        <v>2848</v>
      </c>
      <c r="D984" s="4">
        <v>145.38</v>
      </c>
      <c r="E984" t="s">
        <v>2849</v>
      </c>
      <c r="F984" s="1">
        <v>-1.5699999999999999E-2</v>
      </c>
      <c r="G984" s="1">
        <v>5.0000000000000001E-3</v>
      </c>
      <c r="H984" t="s">
        <v>10</v>
      </c>
      <c r="I984" t="s">
        <v>2850</v>
      </c>
    </row>
    <row r="985" spans="1:9" x14ac:dyDescent="0.3">
      <c r="A985">
        <v>875</v>
      </c>
      <c r="B985" t="s">
        <v>280</v>
      </c>
      <c r="C985" t="s">
        <v>2857</v>
      </c>
      <c r="D985" s="4">
        <v>143.05000000000001</v>
      </c>
      <c r="E985" t="s">
        <v>2858</v>
      </c>
      <c r="F985" s="1">
        <v>-1.17E-2</v>
      </c>
      <c r="G985" s="1">
        <v>8.5000000000000006E-3</v>
      </c>
      <c r="H985" t="s">
        <v>10</v>
      </c>
      <c r="I985" t="s">
        <v>2859</v>
      </c>
    </row>
    <row r="986" spans="1:9" x14ac:dyDescent="0.3">
      <c r="A986">
        <v>880</v>
      </c>
      <c r="B986" t="s">
        <v>1799</v>
      </c>
      <c r="C986" t="s">
        <v>2872</v>
      </c>
      <c r="D986" s="4">
        <v>142.57</v>
      </c>
      <c r="E986" t="s">
        <v>2873</v>
      </c>
      <c r="F986" s="1">
        <v>-6.1999999999999998E-3</v>
      </c>
      <c r="G986" s="1">
        <v>7.9000000000000008E-3</v>
      </c>
      <c r="H986" t="s">
        <v>10</v>
      </c>
      <c r="I986" t="s">
        <v>2874</v>
      </c>
    </row>
    <row r="987" spans="1:9" x14ac:dyDescent="0.3">
      <c r="A987">
        <v>881</v>
      </c>
      <c r="B987" t="s">
        <v>280</v>
      </c>
      <c r="C987" t="s">
        <v>2875</v>
      </c>
      <c r="D987" s="4">
        <v>142.52000000000001</v>
      </c>
      <c r="E987" t="s">
        <v>2876</v>
      </c>
      <c r="F987" s="1">
        <v>-1.66E-2</v>
      </c>
      <c r="G987" s="1">
        <v>8.5000000000000006E-3</v>
      </c>
      <c r="H987" t="s">
        <v>10</v>
      </c>
      <c r="I987" t="s">
        <v>2877</v>
      </c>
    </row>
    <row r="988" spans="1:9" x14ac:dyDescent="0.3">
      <c r="A988">
        <v>885</v>
      </c>
      <c r="B988" t="s">
        <v>280</v>
      </c>
      <c r="C988" t="s">
        <v>2887</v>
      </c>
      <c r="D988" s="4">
        <v>140.81</v>
      </c>
      <c r="E988" t="s">
        <v>2888</v>
      </c>
      <c r="F988" s="1">
        <v>-1.29E-2</v>
      </c>
      <c r="G988" s="1">
        <v>8.5000000000000006E-3</v>
      </c>
      <c r="H988" t="s">
        <v>10</v>
      </c>
      <c r="I988" t="s">
        <v>2889</v>
      </c>
    </row>
    <row r="989" spans="1:9" x14ac:dyDescent="0.3">
      <c r="A989">
        <v>888</v>
      </c>
      <c r="B989" t="s">
        <v>280</v>
      </c>
      <c r="C989" t="s">
        <v>2897</v>
      </c>
      <c r="D989" s="4">
        <v>140.08000000000001</v>
      </c>
      <c r="E989" t="s">
        <v>2898</v>
      </c>
      <c r="F989" s="1">
        <v>-2.4199999999999999E-2</v>
      </c>
      <c r="G989" s="1">
        <v>8.5000000000000006E-3</v>
      </c>
      <c r="H989" t="s">
        <v>10</v>
      </c>
      <c r="I989" t="s">
        <v>2899</v>
      </c>
    </row>
    <row r="990" spans="1:9" x14ac:dyDescent="0.3">
      <c r="A990">
        <v>892</v>
      </c>
      <c r="B990" t="s">
        <v>444</v>
      </c>
      <c r="C990" t="s">
        <v>2909</v>
      </c>
      <c r="D990" s="4">
        <v>138.76</v>
      </c>
      <c r="E990" t="s">
        <v>2910</v>
      </c>
      <c r="F990" s="1">
        <v>-2.07E-2</v>
      </c>
      <c r="G990" s="1">
        <v>3.2000000000000002E-3</v>
      </c>
      <c r="H990" t="s">
        <v>10</v>
      </c>
      <c r="I990" t="s">
        <v>2911</v>
      </c>
    </row>
    <row r="991" spans="1:9" x14ac:dyDescent="0.3">
      <c r="A991">
        <v>900</v>
      </c>
      <c r="B991" t="s">
        <v>280</v>
      </c>
      <c r="C991" t="s">
        <v>2935</v>
      </c>
      <c r="D991" s="4">
        <v>136.12</v>
      </c>
      <c r="E991" t="s">
        <v>2936</v>
      </c>
      <c r="F991" s="1">
        <v>-1.9199999999999998E-2</v>
      </c>
      <c r="G991" s="1">
        <v>8.5000000000000006E-3</v>
      </c>
      <c r="H991" t="s">
        <v>10</v>
      </c>
      <c r="I991" t="s">
        <v>2937</v>
      </c>
    </row>
    <row r="992" spans="1:9" x14ac:dyDescent="0.3">
      <c r="A992">
        <v>901</v>
      </c>
      <c r="B992" t="s">
        <v>1025</v>
      </c>
      <c r="C992" t="s">
        <v>2938</v>
      </c>
      <c r="D992" s="4">
        <v>135.63</v>
      </c>
      <c r="E992" t="s">
        <v>2939</v>
      </c>
      <c r="F992" s="1">
        <v>-4.2900000000000001E-2</v>
      </c>
      <c r="G992" s="1">
        <v>1.5E-3</v>
      </c>
      <c r="H992" t="s">
        <v>10</v>
      </c>
      <c r="I992" t="s">
        <v>2940</v>
      </c>
    </row>
    <row r="993" spans="1:9" x14ac:dyDescent="0.3">
      <c r="A993">
        <v>914</v>
      </c>
      <c r="B993" t="s">
        <v>1182</v>
      </c>
      <c r="C993" t="s">
        <v>2982</v>
      </c>
      <c r="D993" s="4">
        <v>129.77000000000001</v>
      </c>
      <c r="E993" t="s">
        <v>2983</v>
      </c>
      <c r="F993" s="1">
        <v>-0.17380000000000001</v>
      </c>
      <c r="G993" s="1">
        <v>1.8E-3</v>
      </c>
      <c r="H993" t="s">
        <v>10</v>
      </c>
      <c r="I993" t="s">
        <v>2984</v>
      </c>
    </row>
    <row r="994" spans="1:9" x14ac:dyDescent="0.3">
      <c r="A994">
        <v>916</v>
      </c>
      <c r="B994" t="s">
        <v>2087</v>
      </c>
      <c r="C994" t="s">
        <v>2988</v>
      </c>
      <c r="D994" s="4">
        <v>129.34</v>
      </c>
      <c r="E994" t="s">
        <v>2989</v>
      </c>
      <c r="F994" s="1">
        <v>-1.5800000000000002E-2</v>
      </c>
      <c r="G994" s="1">
        <v>4.8999999999999998E-3</v>
      </c>
      <c r="H994" t="s">
        <v>10</v>
      </c>
      <c r="I994" t="s">
        <v>2990</v>
      </c>
    </row>
    <row r="995" spans="1:9" x14ac:dyDescent="0.3">
      <c r="A995">
        <v>921</v>
      </c>
      <c r="B995" t="s">
        <v>280</v>
      </c>
      <c r="C995" t="s">
        <v>3005</v>
      </c>
      <c r="D995" s="4">
        <v>128.88999999999999</v>
      </c>
      <c r="E995" t="s">
        <v>3006</v>
      </c>
      <c r="F995" s="1">
        <v>1.6899999999999998E-2</v>
      </c>
      <c r="G995" s="1">
        <v>7.0000000000000001E-3</v>
      </c>
      <c r="H995" t="s">
        <v>10</v>
      </c>
      <c r="I995" t="s">
        <v>3007</v>
      </c>
    </row>
    <row r="996" spans="1:9" x14ac:dyDescent="0.3">
      <c r="A996">
        <v>922</v>
      </c>
      <c r="B996" t="s">
        <v>3008</v>
      </c>
      <c r="C996" t="s">
        <v>3009</v>
      </c>
      <c r="D996" s="4">
        <v>128.69999999999999</v>
      </c>
      <c r="E996" t="s">
        <v>3010</v>
      </c>
      <c r="F996" s="1">
        <v>-7.0499999999999993E-2</v>
      </c>
      <c r="G996" s="1">
        <v>6.0000000000000001E-3</v>
      </c>
      <c r="H996" t="s">
        <v>10</v>
      </c>
      <c r="I996" t="s">
        <v>3011</v>
      </c>
    </row>
    <row r="997" spans="1:9" x14ac:dyDescent="0.3">
      <c r="A997">
        <v>927</v>
      </c>
      <c r="B997" t="s">
        <v>2931</v>
      </c>
      <c r="C997" t="s">
        <v>3024</v>
      </c>
      <c r="D997" s="4">
        <v>126.93</v>
      </c>
      <c r="E997" t="s">
        <v>3025</v>
      </c>
      <c r="F997" s="1">
        <v>-4.5699999999999998E-2</v>
      </c>
      <c r="G997" s="1">
        <v>7.4999999999999997E-3</v>
      </c>
      <c r="H997" t="s">
        <v>10</v>
      </c>
      <c r="I997" t="s">
        <v>3026</v>
      </c>
    </row>
    <row r="998" spans="1:9" x14ac:dyDescent="0.3">
      <c r="A998">
        <v>928</v>
      </c>
      <c r="B998" t="s">
        <v>1799</v>
      </c>
      <c r="C998" t="s">
        <v>3027</v>
      </c>
      <c r="D998" s="4">
        <v>126.19</v>
      </c>
      <c r="E998" t="s">
        <v>3028</v>
      </c>
      <c r="F998" s="1">
        <v>7.1999999999999998E-3</v>
      </c>
      <c r="G998" s="1">
        <v>7.9000000000000008E-3</v>
      </c>
      <c r="H998" t="s">
        <v>10</v>
      </c>
      <c r="I998" t="s">
        <v>3029</v>
      </c>
    </row>
    <row r="999" spans="1:9" x14ac:dyDescent="0.3">
      <c r="A999">
        <v>930</v>
      </c>
      <c r="B999" t="s">
        <v>280</v>
      </c>
      <c r="C999" t="s">
        <v>3033</v>
      </c>
      <c r="D999" s="4">
        <v>125.51</v>
      </c>
      <c r="E999" t="s">
        <v>3034</v>
      </c>
      <c r="F999" s="1">
        <v>-8.2699999999999996E-2</v>
      </c>
      <c r="G999" s="1">
        <v>6.0000000000000001E-3</v>
      </c>
      <c r="H999" t="s">
        <v>10</v>
      </c>
      <c r="I999" t="s">
        <v>3035</v>
      </c>
    </row>
    <row r="1000" spans="1:9" x14ac:dyDescent="0.3">
      <c r="A1000">
        <v>943</v>
      </c>
      <c r="B1000" t="s">
        <v>1799</v>
      </c>
      <c r="C1000" t="s">
        <v>3075</v>
      </c>
      <c r="D1000" s="4">
        <v>122.64</v>
      </c>
      <c r="E1000" t="s">
        <v>3076</v>
      </c>
      <c r="F1000" s="1">
        <v>-4.8500000000000001E-2</v>
      </c>
      <c r="G1000" s="1">
        <v>7.9000000000000008E-3</v>
      </c>
      <c r="H1000" t="s">
        <v>10</v>
      </c>
      <c r="I1000" t="s">
        <v>3077</v>
      </c>
    </row>
    <row r="1001" spans="1:9" x14ac:dyDescent="0.3">
      <c r="A1001">
        <v>946</v>
      </c>
      <c r="B1001" t="s">
        <v>1348</v>
      </c>
      <c r="C1001" t="s">
        <v>3084</v>
      </c>
      <c r="D1001" s="4">
        <v>120.83</v>
      </c>
      <c r="E1001" t="s">
        <v>3085</v>
      </c>
      <c r="F1001" s="1">
        <v>-2.87E-2</v>
      </c>
      <c r="G1001" s="1">
        <v>3.0000000000000001E-3</v>
      </c>
      <c r="H1001" t="s">
        <v>10</v>
      </c>
      <c r="I1001" t="s">
        <v>3086</v>
      </c>
    </row>
    <row r="1002" spans="1:9" x14ac:dyDescent="0.3">
      <c r="A1002">
        <v>952</v>
      </c>
      <c r="B1002" t="s">
        <v>280</v>
      </c>
      <c r="C1002" t="s">
        <v>3103</v>
      </c>
      <c r="D1002" s="4">
        <v>118.32</v>
      </c>
      <c r="E1002" t="s">
        <v>3104</v>
      </c>
      <c r="F1002" s="1">
        <v>-1.11E-2</v>
      </c>
      <c r="G1002" s="1">
        <v>8.5000000000000006E-3</v>
      </c>
      <c r="H1002" t="s">
        <v>10</v>
      </c>
      <c r="I1002" t="s">
        <v>3105</v>
      </c>
    </row>
    <row r="1003" spans="1:9" x14ac:dyDescent="0.3">
      <c r="A1003">
        <v>953</v>
      </c>
      <c r="B1003" t="s">
        <v>3106</v>
      </c>
      <c r="C1003" t="s">
        <v>3107</v>
      </c>
      <c r="D1003" s="4">
        <v>118.31</v>
      </c>
      <c r="E1003" t="s">
        <v>3108</v>
      </c>
      <c r="F1003" s="1">
        <v>-7.7100000000000002E-2</v>
      </c>
      <c r="G1003" s="1">
        <v>4.8999999999999998E-3</v>
      </c>
      <c r="H1003" t="s">
        <v>10</v>
      </c>
      <c r="I1003" t="s">
        <v>3109</v>
      </c>
    </row>
    <row r="1004" spans="1:9" x14ac:dyDescent="0.3">
      <c r="A1004">
        <v>954</v>
      </c>
      <c r="B1004" t="s">
        <v>24</v>
      </c>
      <c r="C1004" t="s">
        <v>3110</v>
      </c>
      <c r="D1004" s="4">
        <v>117.93</v>
      </c>
      <c r="E1004" t="s">
        <v>3111</v>
      </c>
      <c r="F1004" s="1">
        <v>-1.0800000000000001E-2</v>
      </c>
      <c r="G1004" s="1">
        <v>2.5000000000000001E-3</v>
      </c>
      <c r="H1004" t="s">
        <v>10</v>
      </c>
      <c r="I1004" t="s">
        <v>3112</v>
      </c>
    </row>
    <row r="1005" spans="1:9" x14ac:dyDescent="0.3">
      <c r="A1005">
        <v>960</v>
      </c>
      <c r="B1005" t="s">
        <v>460</v>
      </c>
      <c r="C1005" t="s">
        <v>3129</v>
      </c>
      <c r="D1005" s="4">
        <v>116.14</v>
      </c>
      <c r="E1005" t="s">
        <v>3130</v>
      </c>
      <c r="F1005" s="1">
        <v>-6.4199999999999993E-2</v>
      </c>
      <c r="G1005" s="1">
        <v>2.8999999999999998E-3</v>
      </c>
      <c r="H1005" t="s">
        <v>10</v>
      </c>
      <c r="I1005" t="s">
        <v>3131</v>
      </c>
    </row>
    <row r="1006" spans="1:9" x14ac:dyDescent="0.3">
      <c r="A1006">
        <v>965</v>
      </c>
      <c r="B1006" t="s">
        <v>1799</v>
      </c>
      <c r="C1006" t="s">
        <v>3145</v>
      </c>
      <c r="D1006" s="4">
        <v>114.19</v>
      </c>
      <c r="E1006" t="s">
        <v>3146</v>
      </c>
      <c r="F1006" s="1">
        <v>-9.7000000000000003E-3</v>
      </c>
      <c r="G1006" s="1">
        <v>7.9000000000000008E-3</v>
      </c>
      <c r="H1006" t="s">
        <v>10</v>
      </c>
      <c r="I1006" t="s">
        <v>3147</v>
      </c>
    </row>
    <row r="1007" spans="1:9" x14ac:dyDescent="0.3">
      <c r="A1007">
        <v>967</v>
      </c>
      <c r="B1007" t="s">
        <v>3151</v>
      </c>
      <c r="C1007" t="s">
        <v>3152</v>
      </c>
      <c r="D1007" s="4">
        <v>113.02</v>
      </c>
      <c r="E1007" t="s">
        <v>3153</v>
      </c>
      <c r="F1007" s="1">
        <v>-0.1066</v>
      </c>
      <c r="G1007" s="1">
        <v>1.46E-2</v>
      </c>
      <c r="H1007" t="s">
        <v>10</v>
      </c>
      <c r="I1007" t="s">
        <v>3154</v>
      </c>
    </row>
    <row r="1008" spans="1:9" x14ac:dyDescent="0.3">
      <c r="A1008">
        <v>971</v>
      </c>
      <c r="B1008" t="s">
        <v>280</v>
      </c>
      <c r="C1008" t="s">
        <v>3164</v>
      </c>
      <c r="D1008" s="4">
        <v>112.09</v>
      </c>
      <c r="E1008" t="s">
        <v>3165</v>
      </c>
      <c r="F1008" s="1">
        <v>-1.1299999999999999E-2</v>
      </c>
      <c r="G1008" s="1">
        <v>8.5000000000000006E-3</v>
      </c>
      <c r="H1008" t="s">
        <v>10</v>
      </c>
      <c r="I1008" t="s">
        <v>3166</v>
      </c>
    </row>
    <row r="1009" spans="1:9" x14ac:dyDescent="0.3">
      <c r="A1009">
        <v>973</v>
      </c>
      <c r="B1009" t="s">
        <v>1799</v>
      </c>
      <c r="C1009" t="s">
        <v>3170</v>
      </c>
      <c r="D1009" s="4">
        <v>110.92</v>
      </c>
      <c r="E1009" t="s">
        <v>3171</v>
      </c>
      <c r="F1009" s="1">
        <v>-1.8100000000000002E-2</v>
      </c>
      <c r="G1009" s="1">
        <v>7.9000000000000008E-3</v>
      </c>
      <c r="H1009" t="s">
        <v>10</v>
      </c>
      <c r="I1009" t="s">
        <v>3172</v>
      </c>
    </row>
    <row r="1010" spans="1:9" x14ac:dyDescent="0.3">
      <c r="A1010">
        <v>974</v>
      </c>
      <c r="B1010" t="s">
        <v>3173</v>
      </c>
      <c r="C1010" t="s">
        <v>3174</v>
      </c>
      <c r="D1010" s="4">
        <v>110.5</v>
      </c>
      <c r="E1010" t="s">
        <v>3175</v>
      </c>
      <c r="F1010" s="1">
        <v>-8.6999999999999994E-3</v>
      </c>
      <c r="G1010" s="1">
        <v>5.0000000000000001E-3</v>
      </c>
      <c r="H1010" t="s">
        <v>10</v>
      </c>
      <c r="I1010" t="s">
        <v>3176</v>
      </c>
    </row>
    <row r="1011" spans="1:9" x14ac:dyDescent="0.3">
      <c r="A1011">
        <v>981</v>
      </c>
      <c r="B1011" t="s">
        <v>1842</v>
      </c>
      <c r="C1011" t="s">
        <v>3195</v>
      </c>
      <c r="D1011" s="4">
        <v>107.67</v>
      </c>
      <c r="E1011" t="s">
        <v>3196</v>
      </c>
      <c r="F1011" s="1">
        <v>-3.7600000000000001E-2</v>
      </c>
      <c r="G1011" s="1">
        <v>2.8999999999999998E-3</v>
      </c>
      <c r="H1011" t="s">
        <v>10</v>
      </c>
      <c r="I1011" t="s">
        <v>3197</v>
      </c>
    </row>
    <row r="1012" spans="1:9" x14ac:dyDescent="0.3">
      <c r="A1012">
        <v>983</v>
      </c>
      <c r="B1012" t="s">
        <v>280</v>
      </c>
      <c r="C1012" t="s">
        <v>3202</v>
      </c>
      <c r="D1012" s="4">
        <v>106.64</v>
      </c>
      <c r="E1012" t="s">
        <v>3203</v>
      </c>
      <c r="F1012" s="1">
        <v>-8.0000000000000002E-3</v>
      </c>
      <c r="G1012" s="1">
        <v>8.5000000000000006E-3</v>
      </c>
      <c r="H1012" t="s">
        <v>10</v>
      </c>
      <c r="I1012" t="s">
        <v>3204</v>
      </c>
    </row>
    <row r="1013" spans="1:9" x14ac:dyDescent="0.3">
      <c r="A1013">
        <v>984</v>
      </c>
      <c r="B1013" t="s">
        <v>1799</v>
      </c>
      <c r="C1013" t="s">
        <v>3205</v>
      </c>
      <c r="D1013" s="4">
        <v>106.06</v>
      </c>
      <c r="E1013" t="s">
        <v>3206</v>
      </c>
      <c r="F1013" s="1">
        <v>-1E-3</v>
      </c>
      <c r="G1013" s="1">
        <v>7.9000000000000008E-3</v>
      </c>
      <c r="H1013" t="s">
        <v>10</v>
      </c>
      <c r="I1013" t="s">
        <v>3207</v>
      </c>
    </row>
    <row r="1014" spans="1:9" x14ac:dyDescent="0.3">
      <c r="A1014">
        <v>991</v>
      </c>
      <c r="B1014" t="s">
        <v>3230</v>
      </c>
      <c r="C1014" t="s">
        <v>3231</v>
      </c>
      <c r="D1014" s="4">
        <v>102.74</v>
      </c>
      <c r="E1014" t="s">
        <v>3232</v>
      </c>
      <c r="F1014" s="1">
        <v>-1.5800000000000002E-2</v>
      </c>
      <c r="G1014" s="1">
        <v>3.0000000000000001E-3</v>
      </c>
      <c r="H1014" t="s">
        <v>10</v>
      </c>
      <c r="I1014" t="s">
        <v>3233</v>
      </c>
    </row>
    <row r="1015" spans="1:9" x14ac:dyDescent="0.3">
      <c r="A1015">
        <v>993</v>
      </c>
      <c r="B1015" t="s">
        <v>1799</v>
      </c>
      <c r="C1015" t="s">
        <v>3238</v>
      </c>
      <c r="D1015" s="4">
        <v>102.44</v>
      </c>
      <c r="E1015" t="s">
        <v>3239</v>
      </c>
      <c r="F1015" s="1">
        <v>-2.53E-2</v>
      </c>
      <c r="G1015" s="1">
        <v>7.9000000000000008E-3</v>
      </c>
      <c r="H1015" t="s">
        <v>10</v>
      </c>
      <c r="I1015" t="s">
        <v>3240</v>
      </c>
    </row>
    <row r="1016" spans="1:9" x14ac:dyDescent="0.3">
      <c r="A1016">
        <v>997</v>
      </c>
      <c r="B1016" t="s">
        <v>1025</v>
      </c>
      <c r="C1016" t="s">
        <v>3250</v>
      </c>
      <c r="D1016" s="4">
        <v>100.69</v>
      </c>
      <c r="E1016" t="s">
        <v>3251</v>
      </c>
      <c r="F1016" s="1">
        <v>-3.5200000000000002E-2</v>
      </c>
      <c r="G1016" s="1">
        <v>1.5E-3</v>
      </c>
      <c r="H1016" t="s">
        <v>10</v>
      </c>
      <c r="I1016" t="s">
        <v>3252</v>
      </c>
    </row>
    <row r="1017" spans="1:9" x14ac:dyDescent="0.3">
      <c r="A1017">
        <v>1002</v>
      </c>
      <c r="B1017" t="s">
        <v>280</v>
      </c>
      <c r="C1017" t="s">
        <v>3265</v>
      </c>
      <c r="D1017" s="4">
        <v>98.72</v>
      </c>
      <c r="E1017" t="s">
        <v>3266</v>
      </c>
      <c r="F1017" s="1">
        <v>-1.4999999999999999E-2</v>
      </c>
      <c r="G1017" s="1">
        <v>8.5000000000000006E-3</v>
      </c>
      <c r="H1017" t="s">
        <v>10</v>
      </c>
      <c r="I1017" t="s">
        <v>3267</v>
      </c>
    </row>
    <row r="1018" spans="1:9" x14ac:dyDescent="0.3">
      <c r="A1018">
        <v>1013</v>
      </c>
      <c r="B1018" t="s">
        <v>3223</v>
      </c>
      <c r="C1018" t="s">
        <v>3302</v>
      </c>
      <c r="D1018" s="4">
        <v>94.54</v>
      </c>
      <c r="E1018" t="s">
        <v>3303</v>
      </c>
      <c r="F1018" s="1">
        <v>-2.5399999999999999E-2</v>
      </c>
      <c r="G1018" s="1">
        <v>7.4000000000000003E-3</v>
      </c>
      <c r="H1018" t="s">
        <v>10</v>
      </c>
      <c r="I1018" t="s">
        <v>3304</v>
      </c>
    </row>
    <row r="1019" spans="1:9" x14ac:dyDescent="0.3">
      <c r="A1019">
        <v>1014</v>
      </c>
      <c r="B1019" t="s">
        <v>1799</v>
      </c>
      <c r="C1019" t="s">
        <v>3305</v>
      </c>
      <c r="D1019" s="4">
        <v>94.49</v>
      </c>
      <c r="E1019" t="s">
        <v>3306</v>
      </c>
      <c r="F1019" s="1">
        <v>-1.43E-2</v>
      </c>
      <c r="G1019" s="1">
        <v>7.9000000000000008E-3</v>
      </c>
      <c r="H1019" t="s">
        <v>10</v>
      </c>
      <c r="I1019" t="s">
        <v>3307</v>
      </c>
    </row>
    <row r="1020" spans="1:9" x14ac:dyDescent="0.3">
      <c r="A1020">
        <v>1015</v>
      </c>
      <c r="B1020" t="s">
        <v>280</v>
      </c>
      <c r="C1020" t="s">
        <v>3308</v>
      </c>
      <c r="D1020" s="4">
        <v>94.38</v>
      </c>
      <c r="E1020" t="s">
        <v>3309</v>
      </c>
      <c r="F1020" s="1">
        <v>-4.3E-3</v>
      </c>
      <c r="G1020" s="1">
        <v>8.5000000000000006E-3</v>
      </c>
      <c r="H1020" t="s">
        <v>10</v>
      </c>
      <c r="I1020" t="s">
        <v>3310</v>
      </c>
    </row>
    <row r="1021" spans="1:9" x14ac:dyDescent="0.3">
      <c r="A1021">
        <v>1019</v>
      </c>
      <c r="B1021" t="s">
        <v>1289</v>
      </c>
      <c r="C1021" t="s">
        <v>3319</v>
      </c>
      <c r="D1021" s="4">
        <v>93.94</v>
      </c>
      <c r="E1021" t="s">
        <v>3320</v>
      </c>
      <c r="F1021" s="1">
        <v>-4.6699999999999998E-2</v>
      </c>
      <c r="G1021" s="1">
        <v>1.0999999999999999E-2</v>
      </c>
      <c r="H1021" t="s">
        <v>10</v>
      </c>
      <c r="I1021" t="s">
        <v>3321</v>
      </c>
    </row>
    <row r="1022" spans="1:9" x14ac:dyDescent="0.3">
      <c r="A1022">
        <v>1021</v>
      </c>
      <c r="B1022" t="s">
        <v>280</v>
      </c>
      <c r="C1022" t="s">
        <v>3325</v>
      </c>
      <c r="D1022" s="4">
        <v>93.38</v>
      </c>
      <c r="E1022" t="s">
        <v>3326</v>
      </c>
      <c r="F1022" t="s">
        <v>662</v>
      </c>
      <c r="G1022" s="1">
        <v>1.0500000000000001E-2</v>
      </c>
      <c r="H1022" t="s">
        <v>10</v>
      </c>
      <c r="I1022" t="s">
        <v>3327</v>
      </c>
    </row>
    <row r="1023" spans="1:9" x14ac:dyDescent="0.3">
      <c r="A1023">
        <v>1028</v>
      </c>
      <c r="B1023" t="s">
        <v>2087</v>
      </c>
      <c r="C1023" t="s">
        <v>3348</v>
      </c>
      <c r="D1023" s="4">
        <v>92.43</v>
      </c>
      <c r="E1023" t="s">
        <v>3349</v>
      </c>
      <c r="F1023" s="1">
        <v>-3.4599999999999999E-2</v>
      </c>
      <c r="G1023" s="1">
        <v>8.3000000000000001E-3</v>
      </c>
      <c r="H1023" t="s">
        <v>10</v>
      </c>
      <c r="I1023" t="s">
        <v>3350</v>
      </c>
    </row>
    <row r="1024" spans="1:9" x14ac:dyDescent="0.3">
      <c r="A1024">
        <v>1032</v>
      </c>
      <c r="B1024" t="s">
        <v>280</v>
      </c>
      <c r="C1024" t="s">
        <v>3360</v>
      </c>
      <c r="D1024" s="4">
        <v>91.65</v>
      </c>
      <c r="E1024" t="s">
        <v>3361</v>
      </c>
      <c r="F1024" s="1">
        <v>-1.2999999999999999E-2</v>
      </c>
      <c r="G1024" s="1">
        <v>8.5000000000000006E-3</v>
      </c>
      <c r="H1024" t="s">
        <v>10</v>
      </c>
      <c r="I1024" t="s">
        <v>3362</v>
      </c>
    </row>
    <row r="1025" spans="1:9" x14ac:dyDescent="0.3">
      <c r="A1025">
        <v>1039</v>
      </c>
      <c r="B1025" t="s">
        <v>24</v>
      </c>
      <c r="C1025" t="s">
        <v>3383</v>
      </c>
      <c r="D1025" s="4">
        <v>88.87</v>
      </c>
      <c r="E1025" t="s">
        <v>3384</v>
      </c>
      <c r="F1025" s="1">
        <v>-7.0699999999999999E-2</v>
      </c>
      <c r="G1025" s="1">
        <v>1.2999999999999999E-3</v>
      </c>
      <c r="H1025" t="s">
        <v>10</v>
      </c>
      <c r="I1025" t="s">
        <v>3385</v>
      </c>
    </row>
    <row r="1026" spans="1:9" x14ac:dyDescent="0.3">
      <c r="A1026">
        <v>1041</v>
      </c>
      <c r="B1026" t="s">
        <v>280</v>
      </c>
      <c r="C1026" t="s">
        <v>3389</v>
      </c>
      <c r="D1026" s="4">
        <v>88.71</v>
      </c>
      <c r="E1026" t="s">
        <v>3387</v>
      </c>
      <c r="F1026" s="1">
        <v>-3.8800000000000001E-2</v>
      </c>
      <c r="G1026" s="1">
        <v>8.9999999999999993E-3</v>
      </c>
      <c r="H1026" t="s">
        <v>10</v>
      </c>
      <c r="I1026" t="s">
        <v>3390</v>
      </c>
    </row>
    <row r="1027" spans="1:9" x14ac:dyDescent="0.3">
      <c r="A1027">
        <v>1044</v>
      </c>
      <c r="B1027" t="s">
        <v>941</v>
      </c>
      <c r="C1027" t="s">
        <v>3398</v>
      </c>
      <c r="D1027" s="4">
        <v>87.72</v>
      </c>
      <c r="E1027" t="s">
        <v>3399</v>
      </c>
      <c r="F1027" s="1">
        <v>-3.9199999999999999E-2</v>
      </c>
      <c r="G1027" s="1">
        <v>6.0000000000000001E-3</v>
      </c>
      <c r="H1027" t="s">
        <v>10</v>
      </c>
      <c r="I1027" t="s">
        <v>3400</v>
      </c>
    </row>
    <row r="1028" spans="1:9" x14ac:dyDescent="0.3">
      <c r="A1028">
        <v>1050</v>
      </c>
      <c r="B1028" t="s">
        <v>1799</v>
      </c>
      <c r="C1028" t="s">
        <v>3419</v>
      </c>
      <c r="D1028" s="4">
        <v>86.02</v>
      </c>
      <c r="E1028" t="s">
        <v>3420</v>
      </c>
      <c r="F1028" s="1">
        <v>8.9999999999999998E-4</v>
      </c>
      <c r="G1028" s="1">
        <v>9.9000000000000008E-3</v>
      </c>
      <c r="H1028" t="s">
        <v>10</v>
      </c>
      <c r="I1028" t="s">
        <v>3421</v>
      </c>
    </row>
    <row r="1029" spans="1:9" x14ac:dyDescent="0.3">
      <c r="A1029">
        <v>1053</v>
      </c>
      <c r="B1029" t="s">
        <v>280</v>
      </c>
      <c r="C1029" t="s">
        <v>3428</v>
      </c>
      <c r="D1029" s="4">
        <v>84.15</v>
      </c>
      <c r="E1029" t="s">
        <v>3429</v>
      </c>
      <c r="F1029" s="1">
        <v>-6.1000000000000004E-3</v>
      </c>
      <c r="G1029" s="1">
        <v>8.5000000000000006E-3</v>
      </c>
      <c r="H1029" t="s">
        <v>10</v>
      </c>
      <c r="I1029" t="s">
        <v>3430</v>
      </c>
    </row>
    <row r="1030" spans="1:9" x14ac:dyDescent="0.3">
      <c r="A1030">
        <v>1061</v>
      </c>
      <c r="B1030" t="s">
        <v>1799</v>
      </c>
      <c r="C1030" t="s">
        <v>3455</v>
      </c>
      <c r="D1030" s="4">
        <v>82.73</v>
      </c>
      <c r="E1030" t="s">
        <v>3456</v>
      </c>
      <c r="F1030" s="1">
        <v>-2.87E-2</v>
      </c>
      <c r="G1030" s="1">
        <v>7.9000000000000008E-3</v>
      </c>
      <c r="H1030" t="s">
        <v>10</v>
      </c>
      <c r="I1030" t="s">
        <v>3457</v>
      </c>
    </row>
    <row r="1031" spans="1:9" x14ac:dyDescent="0.3">
      <c r="A1031">
        <v>1065</v>
      </c>
      <c r="B1031" t="s">
        <v>280</v>
      </c>
      <c r="C1031" t="s">
        <v>3468</v>
      </c>
      <c r="D1031" s="4">
        <v>81.75</v>
      </c>
      <c r="E1031" t="s">
        <v>3469</v>
      </c>
      <c r="F1031" s="1">
        <v>-1.01E-2</v>
      </c>
      <c r="G1031" s="1">
        <v>8.5000000000000006E-3</v>
      </c>
      <c r="H1031" t="s">
        <v>10</v>
      </c>
      <c r="I1031" t="s">
        <v>3470</v>
      </c>
    </row>
    <row r="1032" spans="1:9" x14ac:dyDescent="0.3">
      <c r="A1032">
        <v>1075</v>
      </c>
      <c r="B1032" t="s">
        <v>440</v>
      </c>
      <c r="C1032" t="s">
        <v>3499</v>
      </c>
      <c r="D1032" s="4">
        <v>78.569999999999993</v>
      </c>
      <c r="E1032" t="s">
        <v>3500</v>
      </c>
      <c r="F1032" s="1">
        <v>-1.9400000000000001E-2</v>
      </c>
      <c r="G1032" s="1">
        <v>4.4000000000000003E-3</v>
      </c>
      <c r="H1032" t="s">
        <v>10</v>
      </c>
      <c r="I1032" t="s">
        <v>3501</v>
      </c>
    </row>
    <row r="1033" spans="1:9" x14ac:dyDescent="0.3">
      <c r="A1033">
        <v>1079</v>
      </c>
      <c r="B1033" t="s">
        <v>1799</v>
      </c>
      <c r="C1033" t="s">
        <v>3514</v>
      </c>
      <c r="D1033" s="4">
        <v>77.98</v>
      </c>
      <c r="E1033" t="s">
        <v>3515</v>
      </c>
      <c r="F1033" s="1">
        <v>-1.9099999999999999E-2</v>
      </c>
      <c r="G1033" s="1">
        <v>7.9000000000000008E-3</v>
      </c>
      <c r="H1033" t="s">
        <v>10</v>
      </c>
      <c r="I1033" t="s">
        <v>3516</v>
      </c>
    </row>
    <row r="1034" spans="1:9" x14ac:dyDescent="0.3">
      <c r="A1034">
        <v>1081</v>
      </c>
      <c r="B1034" t="s">
        <v>1799</v>
      </c>
      <c r="C1034" t="s">
        <v>3519</v>
      </c>
      <c r="D1034" s="4">
        <v>77.42</v>
      </c>
      <c r="E1034" t="s">
        <v>3520</v>
      </c>
      <c r="F1034" s="1">
        <v>-1.7100000000000001E-2</v>
      </c>
      <c r="G1034" s="1">
        <v>7.9000000000000008E-3</v>
      </c>
      <c r="H1034" t="s">
        <v>10</v>
      </c>
      <c r="I1034" t="s">
        <v>3521</v>
      </c>
    </row>
    <row r="1035" spans="1:9" x14ac:dyDescent="0.3">
      <c r="A1035">
        <v>1085</v>
      </c>
      <c r="B1035" t="s">
        <v>3533</v>
      </c>
      <c r="C1035" t="s">
        <v>3534</v>
      </c>
      <c r="D1035" s="4">
        <v>76.95</v>
      </c>
      <c r="E1035" t="s">
        <v>3535</v>
      </c>
      <c r="F1035" s="1">
        <v>-5.7500000000000002E-2</v>
      </c>
      <c r="G1035" s="1">
        <v>6.6E-3</v>
      </c>
      <c r="H1035" t="s">
        <v>10</v>
      </c>
      <c r="I1035" t="s">
        <v>3536</v>
      </c>
    </row>
    <row r="1036" spans="1:9" x14ac:dyDescent="0.3">
      <c r="A1036">
        <v>1087</v>
      </c>
      <c r="B1036" t="s">
        <v>979</v>
      </c>
      <c r="C1036" t="s">
        <v>3541</v>
      </c>
      <c r="D1036" s="4">
        <v>76.63</v>
      </c>
      <c r="E1036" t="s">
        <v>3542</v>
      </c>
      <c r="F1036" s="1">
        <v>-3.56E-2</v>
      </c>
      <c r="G1036" s="1">
        <v>7.4999999999999997E-3</v>
      </c>
      <c r="H1036" t="s">
        <v>10</v>
      </c>
      <c r="I1036" t="s">
        <v>3543</v>
      </c>
    </row>
    <row r="1037" spans="1:9" x14ac:dyDescent="0.3">
      <c r="A1037">
        <v>1093</v>
      </c>
      <c r="B1037" t="s">
        <v>1799</v>
      </c>
      <c r="C1037" t="s">
        <v>3560</v>
      </c>
      <c r="D1037" s="4">
        <v>75.64</v>
      </c>
      <c r="E1037" t="s">
        <v>3561</v>
      </c>
      <c r="F1037" s="1">
        <v>-7.4999999999999997E-3</v>
      </c>
      <c r="G1037" s="1">
        <v>6.8999999999999999E-3</v>
      </c>
      <c r="H1037" t="s">
        <v>10</v>
      </c>
      <c r="I1037" t="s">
        <v>3562</v>
      </c>
    </row>
    <row r="1038" spans="1:9" x14ac:dyDescent="0.3">
      <c r="A1038">
        <v>1100</v>
      </c>
      <c r="B1038" t="s">
        <v>941</v>
      </c>
      <c r="C1038" t="s">
        <v>3583</v>
      </c>
      <c r="D1038" s="4">
        <v>72.88</v>
      </c>
      <c r="E1038" t="s">
        <v>3584</v>
      </c>
      <c r="F1038" s="1">
        <v>-1.7600000000000001E-2</v>
      </c>
      <c r="G1038" s="1">
        <v>9.2999999999999992E-3</v>
      </c>
      <c r="H1038" t="s">
        <v>10</v>
      </c>
      <c r="I1038" t="s">
        <v>3585</v>
      </c>
    </row>
    <row r="1039" spans="1:9" x14ac:dyDescent="0.3">
      <c r="A1039">
        <v>1113</v>
      </c>
      <c r="B1039" t="s">
        <v>280</v>
      </c>
      <c r="C1039" t="s">
        <v>3624</v>
      </c>
      <c r="D1039" s="4">
        <v>70.66</v>
      </c>
      <c r="E1039" t="s">
        <v>3625</v>
      </c>
      <c r="F1039" s="1">
        <v>-9.5999999999999992E-3</v>
      </c>
      <c r="G1039" s="1">
        <v>8.5000000000000006E-3</v>
      </c>
      <c r="H1039" t="s">
        <v>10</v>
      </c>
      <c r="I1039" t="s">
        <v>3626</v>
      </c>
    </row>
    <row r="1040" spans="1:9" x14ac:dyDescent="0.3">
      <c r="A1040">
        <v>1119</v>
      </c>
      <c r="B1040" t="s">
        <v>1799</v>
      </c>
      <c r="C1040" t="s">
        <v>3645</v>
      </c>
      <c r="D1040" s="4">
        <v>69.03</v>
      </c>
      <c r="E1040" t="s">
        <v>3646</v>
      </c>
      <c r="F1040" s="1">
        <v>-1.0200000000000001E-2</v>
      </c>
      <c r="G1040" s="1">
        <v>7.9000000000000008E-3</v>
      </c>
      <c r="H1040" t="s">
        <v>10</v>
      </c>
      <c r="I1040" t="s">
        <v>3647</v>
      </c>
    </row>
    <row r="1041" spans="1:9" x14ac:dyDescent="0.3">
      <c r="A1041">
        <v>1126</v>
      </c>
      <c r="B1041" t="s">
        <v>280</v>
      </c>
      <c r="C1041" t="s">
        <v>3668</v>
      </c>
      <c r="D1041" s="4">
        <v>67.650000000000006</v>
      </c>
      <c r="E1041" t="s">
        <v>3669</v>
      </c>
      <c r="F1041" s="1">
        <v>-9.1999999999999998E-3</v>
      </c>
      <c r="G1041" s="1">
        <v>8.5000000000000006E-3</v>
      </c>
      <c r="H1041" t="s">
        <v>10</v>
      </c>
      <c r="I1041" t="s">
        <v>3670</v>
      </c>
    </row>
    <row r="1042" spans="1:9" x14ac:dyDescent="0.3">
      <c r="A1042">
        <v>1128</v>
      </c>
      <c r="B1042" t="s">
        <v>1799</v>
      </c>
      <c r="C1042" t="s">
        <v>3674</v>
      </c>
      <c r="D1042" s="4">
        <v>66.88</v>
      </c>
      <c r="E1042" t="s">
        <v>3675</v>
      </c>
      <c r="F1042" s="1">
        <v>-1.52E-2</v>
      </c>
      <c r="G1042" s="1">
        <v>7.9000000000000008E-3</v>
      </c>
      <c r="H1042" t="s">
        <v>10</v>
      </c>
      <c r="I1042" t="s">
        <v>3676</v>
      </c>
    </row>
    <row r="1043" spans="1:9" x14ac:dyDescent="0.3">
      <c r="A1043">
        <v>1134</v>
      </c>
      <c r="B1043" t="s">
        <v>2792</v>
      </c>
      <c r="C1043" t="s">
        <v>3693</v>
      </c>
      <c r="D1043" s="4">
        <v>64.55</v>
      </c>
      <c r="E1043" t="s">
        <v>3694</v>
      </c>
      <c r="F1043" s="1">
        <v>-3.5099999999999999E-2</v>
      </c>
      <c r="G1043" s="1">
        <v>5.1999999999999998E-3</v>
      </c>
      <c r="H1043" t="s">
        <v>10</v>
      </c>
      <c r="I1043" t="s">
        <v>3695</v>
      </c>
    </row>
    <row r="1044" spans="1:9" x14ac:dyDescent="0.3">
      <c r="A1044">
        <v>1135</v>
      </c>
      <c r="B1044" t="s">
        <v>280</v>
      </c>
      <c r="C1044" t="s">
        <v>3696</v>
      </c>
      <c r="D1044" s="4">
        <v>64.55</v>
      </c>
      <c r="E1044" t="s">
        <v>3694</v>
      </c>
      <c r="F1044" s="1">
        <v>7.1999999999999998E-3</v>
      </c>
      <c r="G1044" s="1">
        <v>8.5000000000000006E-3</v>
      </c>
      <c r="H1044" t="s">
        <v>10</v>
      </c>
      <c r="I1044" t="s">
        <v>3697</v>
      </c>
    </row>
    <row r="1045" spans="1:9" x14ac:dyDescent="0.3">
      <c r="A1045">
        <v>1140</v>
      </c>
      <c r="B1045" t="s">
        <v>280</v>
      </c>
      <c r="C1045" t="s">
        <v>3710</v>
      </c>
      <c r="D1045" s="4">
        <v>62.78</v>
      </c>
      <c r="E1045" t="s">
        <v>3711</v>
      </c>
      <c r="F1045" s="1">
        <v>-1.23E-2</v>
      </c>
      <c r="G1045" s="1">
        <v>8.5000000000000006E-3</v>
      </c>
      <c r="H1045" t="s">
        <v>10</v>
      </c>
      <c r="I1045" t="s">
        <v>3712</v>
      </c>
    </row>
    <row r="1046" spans="1:9" x14ac:dyDescent="0.3">
      <c r="A1046">
        <v>1141</v>
      </c>
      <c r="B1046" t="s">
        <v>1799</v>
      </c>
      <c r="C1046" t="s">
        <v>3713</v>
      </c>
      <c r="D1046" s="4">
        <v>62.56</v>
      </c>
      <c r="E1046" t="s">
        <v>3714</v>
      </c>
      <c r="F1046" s="1">
        <v>4.5999999999999999E-3</v>
      </c>
      <c r="G1046" s="1">
        <v>7.9000000000000008E-3</v>
      </c>
      <c r="H1046" t="s">
        <v>10</v>
      </c>
      <c r="I1046" t="s">
        <v>3715</v>
      </c>
    </row>
    <row r="1047" spans="1:9" x14ac:dyDescent="0.3">
      <c r="A1047">
        <v>1144</v>
      </c>
      <c r="B1047" t="s">
        <v>1799</v>
      </c>
      <c r="C1047" t="s">
        <v>3722</v>
      </c>
      <c r="D1047" s="4">
        <v>61.66</v>
      </c>
      <c r="E1047" t="s">
        <v>3723</v>
      </c>
      <c r="F1047" s="1">
        <v>-1.4E-2</v>
      </c>
      <c r="G1047" s="1">
        <v>7.9000000000000008E-3</v>
      </c>
      <c r="H1047" t="s">
        <v>10</v>
      </c>
      <c r="I1047" t="s">
        <v>3724</v>
      </c>
    </row>
    <row r="1048" spans="1:9" x14ac:dyDescent="0.3">
      <c r="A1048">
        <v>1145</v>
      </c>
      <c r="B1048" t="s">
        <v>1799</v>
      </c>
      <c r="C1048" t="s">
        <v>3725</v>
      </c>
      <c r="D1048" s="4">
        <v>61.52</v>
      </c>
      <c r="E1048" t="s">
        <v>3726</v>
      </c>
      <c r="F1048" s="1">
        <v>-1.1900000000000001E-2</v>
      </c>
      <c r="G1048" s="1">
        <v>7.9000000000000008E-3</v>
      </c>
      <c r="H1048" t="s">
        <v>10</v>
      </c>
      <c r="I1048" t="s">
        <v>3727</v>
      </c>
    </row>
    <row r="1049" spans="1:9" x14ac:dyDescent="0.3">
      <c r="A1049">
        <v>1153</v>
      </c>
      <c r="B1049" t="s">
        <v>1799</v>
      </c>
      <c r="C1049" t="s">
        <v>3753</v>
      </c>
      <c r="D1049" s="4">
        <v>60.4</v>
      </c>
      <c r="E1049" t="s">
        <v>3754</v>
      </c>
      <c r="F1049" s="1">
        <v>-2.8299999999999999E-2</v>
      </c>
      <c r="G1049" s="1">
        <v>8.0999999999999996E-3</v>
      </c>
      <c r="H1049" t="s">
        <v>10</v>
      </c>
      <c r="I1049" t="s">
        <v>3755</v>
      </c>
    </row>
    <row r="1050" spans="1:9" x14ac:dyDescent="0.3">
      <c r="A1050">
        <v>1155</v>
      </c>
      <c r="B1050" t="s">
        <v>280</v>
      </c>
      <c r="C1050" t="s">
        <v>3759</v>
      </c>
      <c r="D1050" s="4">
        <v>60.3</v>
      </c>
      <c r="E1050" t="s">
        <v>3760</v>
      </c>
      <c r="F1050" t="s">
        <v>662</v>
      </c>
      <c r="G1050" s="1">
        <v>1.0500000000000001E-2</v>
      </c>
      <c r="H1050" t="s">
        <v>10</v>
      </c>
      <c r="I1050" t="s">
        <v>3761</v>
      </c>
    </row>
    <row r="1051" spans="1:9" x14ac:dyDescent="0.3">
      <c r="A1051">
        <v>1164</v>
      </c>
      <c r="B1051" t="s">
        <v>1799</v>
      </c>
      <c r="C1051" t="s">
        <v>3790</v>
      </c>
      <c r="D1051" s="4">
        <v>57.33</v>
      </c>
      <c r="E1051" t="s">
        <v>3791</v>
      </c>
      <c r="F1051" s="1">
        <v>-7.0000000000000001E-3</v>
      </c>
      <c r="G1051" s="1">
        <v>7.9000000000000008E-3</v>
      </c>
      <c r="H1051" t="s">
        <v>10</v>
      </c>
      <c r="I1051" t="s">
        <v>3792</v>
      </c>
    </row>
    <row r="1052" spans="1:9" x14ac:dyDescent="0.3">
      <c r="A1052">
        <v>1168</v>
      </c>
      <c r="B1052" t="s">
        <v>24</v>
      </c>
      <c r="C1052" t="s">
        <v>3802</v>
      </c>
      <c r="D1052" s="4">
        <v>56.5</v>
      </c>
      <c r="E1052" t="s">
        <v>3803</v>
      </c>
      <c r="F1052" s="1">
        <v>3.8E-3</v>
      </c>
      <c r="G1052" s="1">
        <v>2.5000000000000001E-3</v>
      </c>
      <c r="H1052" t="s">
        <v>10</v>
      </c>
      <c r="I1052" t="s">
        <v>3804</v>
      </c>
    </row>
    <row r="1053" spans="1:9" x14ac:dyDescent="0.3">
      <c r="A1053">
        <v>1170</v>
      </c>
      <c r="B1053" t="s">
        <v>2462</v>
      </c>
      <c r="C1053" t="s">
        <v>3809</v>
      </c>
      <c r="D1053" s="4">
        <v>56.21</v>
      </c>
      <c r="E1053" t="s">
        <v>3810</v>
      </c>
      <c r="F1053" s="1">
        <v>-1.6799999999999999E-2</v>
      </c>
      <c r="G1053" s="1">
        <v>4.3E-3</v>
      </c>
      <c r="H1053" t="s">
        <v>10</v>
      </c>
      <c r="I1053" t="s">
        <v>3811</v>
      </c>
    </row>
    <row r="1054" spans="1:9" x14ac:dyDescent="0.3">
      <c r="A1054">
        <v>1174</v>
      </c>
      <c r="B1054" t="s">
        <v>1289</v>
      </c>
      <c r="C1054" t="s">
        <v>3823</v>
      </c>
      <c r="D1054" s="4">
        <v>55.67</v>
      </c>
      <c r="E1054" t="s">
        <v>3824</v>
      </c>
      <c r="F1054" s="1">
        <v>-0.19289999999999999</v>
      </c>
      <c r="G1054" s="1">
        <v>9.5999999999999992E-3</v>
      </c>
      <c r="H1054" t="s">
        <v>10</v>
      </c>
      <c r="I1054" t="s">
        <v>3825</v>
      </c>
    </row>
    <row r="1055" spans="1:9" x14ac:dyDescent="0.3">
      <c r="A1055">
        <v>1177</v>
      </c>
      <c r="B1055" t="s">
        <v>3833</v>
      </c>
      <c r="C1055" t="s">
        <v>3834</v>
      </c>
      <c r="D1055" s="4">
        <v>54.9</v>
      </c>
      <c r="E1055" t="s">
        <v>3835</v>
      </c>
      <c r="F1055" t="s">
        <v>662</v>
      </c>
      <c r="G1055" s="1">
        <v>7.6E-3</v>
      </c>
      <c r="H1055" t="s">
        <v>10</v>
      </c>
      <c r="I1055" t="s">
        <v>3836</v>
      </c>
    </row>
    <row r="1056" spans="1:9" x14ac:dyDescent="0.3">
      <c r="A1056">
        <v>1181</v>
      </c>
      <c r="B1056" t="s">
        <v>332</v>
      </c>
      <c r="C1056" t="s">
        <v>3847</v>
      </c>
      <c r="D1056" s="4">
        <v>53.17</v>
      </c>
      <c r="E1056" t="s">
        <v>3848</v>
      </c>
      <c r="F1056" s="1">
        <v>2.06E-2</v>
      </c>
      <c r="G1056" s="1">
        <v>1.1999999999999999E-3</v>
      </c>
      <c r="H1056" t="s">
        <v>10</v>
      </c>
      <c r="I1056" t="s">
        <v>3849</v>
      </c>
    </row>
    <row r="1057" spans="1:9" x14ac:dyDescent="0.3">
      <c r="A1057">
        <v>1192</v>
      </c>
      <c r="B1057" t="s">
        <v>486</v>
      </c>
      <c r="C1057" t="s">
        <v>3880</v>
      </c>
      <c r="D1057" s="4">
        <v>51.27</v>
      </c>
      <c r="E1057" t="s">
        <v>3881</v>
      </c>
      <c r="F1057" s="1">
        <v>-6.7100000000000007E-2</v>
      </c>
      <c r="G1057" s="1">
        <v>6.0000000000000001E-3</v>
      </c>
      <c r="H1057" t="s">
        <v>10</v>
      </c>
      <c r="I1057" t="s">
        <v>3882</v>
      </c>
    </row>
    <row r="1058" spans="1:9" x14ac:dyDescent="0.3">
      <c r="A1058">
        <v>1198</v>
      </c>
      <c r="B1058" t="s">
        <v>3223</v>
      </c>
      <c r="C1058" t="s">
        <v>3900</v>
      </c>
      <c r="D1058" s="4">
        <v>50.09</v>
      </c>
      <c r="E1058" t="s">
        <v>3901</v>
      </c>
      <c r="F1058" s="1">
        <v>-4.0899999999999999E-2</v>
      </c>
      <c r="G1058" s="1">
        <v>7.4000000000000003E-3</v>
      </c>
      <c r="H1058" t="s">
        <v>10</v>
      </c>
      <c r="I1058" t="s">
        <v>3902</v>
      </c>
    </row>
    <row r="1059" spans="1:9" x14ac:dyDescent="0.3">
      <c r="A1059">
        <v>1227</v>
      </c>
      <c r="B1059" t="s">
        <v>1799</v>
      </c>
      <c r="C1059" t="s">
        <v>3990</v>
      </c>
      <c r="D1059" s="4">
        <v>46.26</v>
      </c>
      <c r="E1059" t="s">
        <v>3991</v>
      </c>
      <c r="F1059" s="1">
        <v>-2.4500000000000001E-2</v>
      </c>
      <c r="G1059" s="1">
        <v>7.9000000000000008E-3</v>
      </c>
      <c r="H1059" t="s">
        <v>10</v>
      </c>
      <c r="I1059" t="s">
        <v>3992</v>
      </c>
    </row>
    <row r="1060" spans="1:9" x14ac:dyDescent="0.3">
      <c r="A1060">
        <v>1230</v>
      </c>
      <c r="B1060" t="s">
        <v>1799</v>
      </c>
      <c r="C1060" t="s">
        <v>3999</v>
      </c>
      <c r="D1060" s="4">
        <v>45.34</v>
      </c>
      <c r="E1060" t="s">
        <v>4000</v>
      </c>
      <c r="F1060" s="1">
        <v>-7.7000000000000002E-3</v>
      </c>
      <c r="G1060" s="1">
        <v>7.9000000000000008E-3</v>
      </c>
      <c r="H1060" t="s">
        <v>10</v>
      </c>
      <c r="I1060" t="s">
        <v>4001</v>
      </c>
    </row>
    <row r="1061" spans="1:9" x14ac:dyDescent="0.3">
      <c r="A1061">
        <v>1232</v>
      </c>
      <c r="B1061" t="s">
        <v>400</v>
      </c>
      <c r="C1061" t="s">
        <v>4005</v>
      </c>
      <c r="D1061" s="4">
        <v>44.83</v>
      </c>
      <c r="E1061" t="s">
        <v>4006</v>
      </c>
      <c r="F1061" s="1">
        <v>-2.3099999999999999E-2</v>
      </c>
      <c r="G1061" s="1">
        <v>4.1999999999999997E-3</v>
      </c>
      <c r="H1061" t="s">
        <v>10</v>
      </c>
      <c r="I1061" t="s">
        <v>4007</v>
      </c>
    </row>
    <row r="1062" spans="1:9" x14ac:dyDescent="0.3">
      <c r="A1062">
        <v>1249</v>
      </c>
      <c r="B1062" t="s">
        <v>3223</v>
      </c>
      <c r="C1062" t="s">
        <v>4059</v>
      </c>
      <c r="D1062" s="4">
        <v>42.39</v>
      </c>
      <c r="E1062" t="s">
        <v>4060</v>
      </c>
      <c r="F1062" s="1">
        <v>-1.5800000000000002E-2</v>
      </c>
      <c r="G1062" s="1">
        <v>7.4000000000000003E-3</v>
      </c>
      <c r="H1062" t="s">
        <v>10</v>
      </c>
      <c r="I1062" t="s">
        <v>4061</v>
      </c>
    </row>
    <row r="1063" spans="1:9" x14ac:dyDescent="0.3">
      <c r="A1063">
        <v>1250</v>
      </c>
      <c r="B1063" t="s">
        <v>1799</v>
      </c>
      <c r="C1063" t="s">
        <v>4062</v>
      </c>
      <c r="D1063" s="4">
        <v>42.15</v>
      </c>
      <c r="E1063" t="s">
        <v>4063</v>
      </c>
      <c r="F1063" s="1">
        <v>-3.8999999999999998E-3</v>
      </c>
      <c r="G1063" s="1">
        <v>7.9000000000000008E-3</v>
      </c>
      <c r="H1063" t="s">
        <v>10</v>
      </c>
      <c r="I1063" t="s">
        <v>4064</v>
      </c>
    </row>
    <row r="1064" spans="1:9" x14ac:dyDescent="0.3">
      <c r="A1064">
        <v>1252</v>
      </c>
      <c r="B1064" t="s">
        <v>272</v>
      </c>
      <c r="C1064" t="s">
        <v>4068</v>
      </c>
      <c r="D1064" s="4">
        <v>41.74</v>
      </c>
      <c r="E1064" t="s">
        <v>4069</v>
      </c>
      <c r="F1064" s="1">
        <v>-3.0200000000000001E-2</v>
      </c>
      <c r="G1064" s="1">
        <v>5.7999999999999996E-3</v>
      </c>
      <c r="H1064" t="s">
        <v>10</v>
      </c>
      <c r="I1064" t="s">
        <v>4070</v>
      </c>
    </row>
    <row r="1065" spans="1:9" x14ac:dyDescent="0.3">
      <c r="A1065">
        <v>1254</v>
      </c>
      <c r="B1065" t="s">
        <v>1799</v>
      </c>
      <c r="C1065" t="s">
        <v>4075</v>
      </c>
      <c r="D1065" s="4">
        <v>41.62</v>
      </c>
      <c r="E1065" t="s">
        <v>4076</v>
      </c>
      <c r="F1065" s="1">
        <v>-8.6999999999999994E-3</v>
      </c>
      <c r="G1065" s="1">
        <v>7.9000000000000008E-3</v>
      </c>
      <c r="H1065" t="s">
        <v>10</v>
      </c>
      <c r="I1065" t="s">
        <v>4077</v>
      </c>
    </row>
    <row r="1066" spans="1:9" x14ac:dyDescent="0.3">
      <c r="A1066">
        <v>1257</v>
      </c>
      <c r="B1066" t="s">
        <v>1799</v>
      </c>
      <c r="C1066" t="s">
        <v>4084</v>
      </c>
      <c r="D1066" s="4">
        <v>41.3</v>
      </c>
      <c r="E1066" t="s">
        <v>4085</v>
      </c>
      <c r="F1066" s="1">
        <v>-8.0999999999999996E-3</v>
      </c>
      <c r="G1066" s="1">
        <v>7.9000000000000008E-3</v>
      </c>
      <c r="H1066" t="s">
        <v>10</v>
      </c>
      <c r="I1066" t="s">
        <v>4086</v>
      </c>
    </row>
    <row r="1067" spans="1:9" x14ac:dyDescent="0.3">
      <c r="A1067">
        <v>1283</v>
      </c>
      <c r="B1067" t="s">
        <v>4172</v>
      </c>
      <c r="C1067" t="s">
        <v>4173</v>
      </c>
      <c r="D1067" s="4">
        <v>37.99</v>
      </c>
      <c r="E1067" t="s">
        <v>4174</v>
      </c>
      <c r="F1067" s="1">
        <v>-9.9000000000000008E-3</v>
      </c>
      <c r="G1067" s="1">
        <v>8.5000000000000006E-3</v>
      </c>
      <c r="H1067" t="s">
        <v>10</v>
      </c>
      <c r="I1067" t="s">
        <v>4175</v>
      </c>
    </row>
    <row r="1068" spans="1:9" x14ac:dyDescent="0.3">
      <c r="A1068">
        <v>1284</v>
      </c>
      <c r="B1068" t="s">
        <v>486</v>
      </c>
      <c r="C1068" t="s">
        <v>4176</v>
      </c>
      <c r="D1068" s="4">
        <v>37.94</v>
      </c>
      <c r="E1068" t="s">
        <v>4177</v>
      </c>
      <c r="F1068" s="1">
        <v>-2.5499999999999998E-2</v>
      </c>
      <c r="G1068" s="1">
        <v>6.0000000000000001E-3</v>
      </c>
      <c r="H1068" t="s">
        <v>10</v>
      </c>
      <c r="I1068" t="s">
        <v>4178</v>
      </c>
    </row>
    <row r="1069" spans="1:9" x14ac:dyDescent="0.3">
      <c r="A1069">
        <v>1290</v>
      </c>
      <c r="B1069" t="s">
        <v>1799</v>
      </c>
      <c r="C1069" t="s">
        <v>4197</v>
      </c>
      <c r="D1069" s="4">
        <v>37.26</v>
      </c>
      <c r="E1069" t="s">
        <v>4198</v>
      </c>
      <c r="F1069" s="1">
        <v>-1.6500000000000001E-2</v>
      </c>
      <c r="G1069" s="1">
        <v>7.9000000000000008E-3</v>
      </c>
      <c r="H1069" t="s">
        <v>10</v>
      </c>
      <c r="I1069" t="s">
        <v>4199</v>
      </c>
    </row>
    <row r="1070" spans="1:9" x14ac:dyDescent="0.3">
      <c r="A1070">
        <v>1291</v>
      </c>
      <c r="B1070" t="s">
        <v>3223</v>
      </c>
      <c r="C1070" t="s">
        <v>4200</v>
      </c>
      <c r="D1070" s="4">
        <v>37.26</v>
      </c>
      <c r="E1070" t="s">
        <v>4198</v>
      </c>
      <c r="F1070" s="1">
        <v>-8.9999999999999993E-3</v>
      </c>
      <c r="G1070" s="1">
        <v>7.4000000000000003E-3</v>
      </c>
      <c r="H1070" t="s">
        <v>10</v>
      </c>
      <c r="I1070" t="s">
        <v>4201</v>
      </c>
    </row>
    <row r="1071" spans="1:9" x14ac:dyDescent="0.3">
      <c r="A1071">
        <v>1293</v>
      </c>
      <c r="B1071" t="s">
        <v>1799</v>
      </c>
      <c r="C1071" t="s">
        <v>4205</v>
      </c>
      <c r="D1071" s="4">
        <v>36.880000000000003</v>
      </c>
      <c r="E1071" t="s">
        <v>4206</v>
      </c>
      <c r="F1071" s="1">
        <v>-1.12E-2</v>
      </c>
      <c r="G1071" s="1">
        <v>7.9000000000000008E-3</v>
      </c>
      <c r="H1071" t="s">
        <v>10</v>
      </c>
      <c r="I1071" t="s">
        <v>4207</v>
      </c>
    </row>
    <row r="1072" spans="1:9" x14ac:dyDescent="0.3">
      <c r="A1072">
        <v>1297</v>
      </c>
      <c r="B1072" t="s">
        <v>2462</v>
      </c>
      <c r="C1072" t="s">
        <v>4218</v>
      </c>
      <c r="D1072" s="4">
        <v>36.409999999999997</v>
      </c>
      <c r="E1072" t="s">
        <v>4219</v>
      </c>
      <c r="F1072" s="1">
        <v>-2.81E-2</v>
      </c>
      <c r="G1072" s="1">
        <v>1.4999999999999999E-2</v>
      </c>
      <c r="H1072" t="s">
        <v>10</v>
      </c>
      <c r="I1072" t="s">
        <v>4220</v>
      </c>
    </row>
    <row r="1073" spans="1:9" x14ac:dyDescent="0.3">
      <c r="A1073">
        <v>1299</v>
      </c>
      <c r="B1073" t="s">
        <v>3223</v>
      </c>
      <c r="C1073" t="s">
        <v>4224</v>
      </c>
      <c r="D1073" s="4">
        <v>36.22</v>
      </c>
      <c r="E1073" t="s">
        <v>4225</v>
      </c>
      <c r="F1073" s="1">
        <v>-6.6E-3</v>
      </c>
      <c r="G1073" s="1">
        <v>7.4000000000000003E-3</v>
      </c>
      <c r="H1073" t="s">
        <v>10</v>
      </c>
      <c r="I1073" t="s">
        <v>4226</v>
      </c>
    </row>
    <row r="1074" spans="1:9" x14ac:dyDescent="0.3">
      <c r="A1074">
        <v>1313</v>
      </c>
      <c r="B1074" t="s">
        <v>2246</v>
      </c>
      <c r="C1074" t="s">
        <v>4270</v>
      </c>
      <c r="D1074" s="4">
        <v>34.869999999999997</v>
      </c>
      <c r="E1074" t="s">
        <v>4271</v>
      </c>
      <c r="F1074" s="1">
        <v>-0.17050000000000001</v>
      </c>
      <c r="G1074" s="1">
        <v>8.5000000000000006E-3</v>
      </c>
      <c r="H1074" t="s">
        <v>10</v>
      </c>
      <c r="I1074" t="s">
        <v>4272</v>
      </c>
    </row>
    <row r="1075" spans="1:9" x14ac:dyDescent="0.3">
      <c r="A1075">
        <v>1325</v>
      </c>
      <c r="B1075" t="s">
        <v>4310</v>
      </c>
      <c r="C1075" t="s">
        <v>4311</v>
      </c>
      <c r="D1075" s="4">
        <v>33.42</v>
      </c>
      <c r="E1075" t="s">
        <v>4312</v>
      </c>
      <c r="F1075" s="1">
        <v>-8.3000000000000004E-2</v>
      </c>
      <c r="G1075" s="1">
        <v>6.0000000000000001E-3</v>
      </c>
      <c r="H1075" t="s">
        <v>10</v>
      </c>
      <c r="I1075" t="s">
        <v>4313</v>
      </c>
    </row>
    <row r="1076" spans="1:9" x14ac:dyDescent="0.3">
      <c r="A1076">
        <v>1332</v>
      </c>
      <c r="B1076" t="s">
        <v>1799</v>
      </c>
      <c r="C1076" t="s">
        <v>4332</v>
      </c>
      <c r="D1076" s="4">
        <v>32.159999999999997</v>
      </c>
      <c r="E1076" t="s">
        <v>4333</v>
      </c>
      <c r="F1076" s="1">
        <v>-1.23E-2</v>
      </c>
      <c r="G1076" s="1">
        <v>7.9000000000000008E-3</v>
      </c>
      <c r="H1076" t="s">
        <v>10</v>
      </c>
      <c r="I1076" t="s">
        <v>4334</v>
      </c>
    </row>
    <row r="1077" spans="1:9" x14ac:dyDescent="0.3">
      <c r="A1077">
        <v>1333</v>
      </c>
      <c r="B1077" t="s">
        <v>4335</v>
      </c>
      <c r="C1077" t="s">
        <v>4336</v>
      </c>
      <c r="D1077" s="4">
        <v>32.04</v>
      </c>
      <c r="E1077" t="s">
        <v>4337</v>
      </c>
      <c r="F1077" s="1">
        <v>-2.87E-2</v>
      </c>
      <c r="G1077" s="1">
        <v>7.4999999999999997E-3</v>
      </c>
      <c r="H1077" t="s">
        <v>10</v>
      </c>
      <c r="I1077" t="s">
        <v>4338</v>
      </c>
    </row>
    <row r="1078" spans="1:9" x14ac:dyDescent="0.3">
      <c r="A1078">
        <v>1354</v>
      </c>
      <c r="B1078" t="s">
        <v>4406</v>
      </c>
      <c r="C1078" t="s">
        <v>4407</v>
      </c>
      <c r="D1078" s="4">
        <v>29.76</v>
      </c>
      <c r="E1078" t="s">
        <v>4408</v>
      </c>
      <c r="F1078" s="1">
        <v>-0.1033</v>
      </c>
      <c r="G1078" s="1">
        <v>1.2500000000000001E-2</v>
      </c>
      <c r="H1078" t="s">
        <v>10</v>
      </c>
      <c r="I1078" t="s">
        <v>4409</v>
      </c>
    </row>
    <row r="1079" spans="1:9" x14ac:dyDescent="0.3">
      <c r="A1079">
        <v>1358</v>
      </c>
      <c r="B1079" t="s">
        <v>280</v>
      </c>
      <c r="C1079" t="s">
        <v>4420</v>
      </c>
      <c r="D1079" s="4">
        <v>29.53</v>
      </c>
      <c r="E1079" t="s">
        <v>4421</v>
      </c>
      <c r="F1079" s="1">
        <v>-1.8100000000000002E-2</v>
      </c>
      <c r="G1079" s="1">
        <v>6.0000000000000001E-3</v>
      </c>
      <c r="H1079" t="s">
        <v>10</v>
      </c>
      <c r="I1079" t="s">
        <v>4422</v>
      </c>
    </row>
    <row r="1080" spans="1:9" x14ac:dyDescent="0.3">
      <c r="A1080">
        <v>1370</v>
      </c>
      <c r="B1080" t="s">
        <v>780</v>
      </c>
      <c r="C1080" t="s">
        <v>4456</v>
      </c>
      <c r="D1080" s="4">
        <v>28.15</v>
      </c>
      <c r="E1080" t="s">
        <v>4457</v>
      </c>
      <c r="F1080" s="1">
        <v>-6.2899999999999998E-2</v>
      </c>
      <c r="G1080" s="1">
        <v>2E-3</v>
      </c>
      <c r="H1080" t="s">
        <v>10</v>
      </c>
      <c r="I1080" t="s">
        <v>4458</v>
      </c>
    </row>
    <row r="1081" spans="1:9" x14ac:dyDescent="0.3">
      <c r="A1081">
        <v>1375</v>
      </c>
      <c r="B1081" t="s">
        <v>280</v>
      </c>
      <c r="C1081" t="s">
        <v>4471</v>
      </c>
      <c r="D1081" s="4">
        <v>27.58</v>
      </c>
      <c r="E1081" t="s">
        <v>4472</v>
      </c>
      <c r="F1081" s="1">
        <v>-3.95E-2</v>
      </c>
      <c r="G1081" s="1">
        <v>8.9999999999999993E-3</v>
      </c>
      <c r="H1081" t="s">
        <v>10</v>
      </c>
      <c r="I1081" t="s">
        <v>4473</v>
      </c>
    </row>
    <row r="1082" spans="1:9" x14ac:dyDescent="0.3">
      <c r="A1082">
        <v>1376</v>
      </c>
      <c r="B1082" t="s">
        <v>1799</v>
      </c>
      <c r="C1082" t="s">
        <v>4474</v>
      </c>
      <c r="D1082" s="4">
        <v>27.35</v>
      </c>
      <c r="E1082" t="s">
        <v>4475</v>
      </c>
      <c r="F1082" s="1">
        <v>1.9E-3</v>
      </c>
      <c r="G1082" s="1">
        <v>7.9000000000000008E-3</v>
      </c>
      <c r="H1082" t="s">
        <v>10</v>
      </c>
      <c r="I1082" t="s">
        <v>4476</v>
      </c>
    </row>
    <row r="1083" spans="1:9" x14ac:dyDescent="0.3">
      <c r="A1083">
        <v>1378</v>
      </c>
      <c r="B1083" t="s">
        <v>332</v>
      </c>
      <c r="C1083" t="s">
        <v>4480</v>
      </c>
      <c r="D1083" s="4">
        <v>27.23</v>
      </c>
      <c r="E1083" t="s">
        <v>4478</v>
      </c>
      <c r="F1083" s="1">
        <v>-3.39E-2</v>
      </c>
      <c r="G1083" s="1">
        <v>1.6999999999999999E-3</v>
      </c>
      <c r="H1083" t="s">
        <v>10</v>
      </c>
      <c r="I1083" t="s">
        <v>4481</v>
      </c>
    </row>
    <row r="1084" spans="1:9" x14ac:dyDescent="0.3">
      <c r="A1084">
        <v>1383</v>
      </c>
      <c r="B1084" t="s">
        <v>24</v>
      </c>
      <c r="C1084" t="s">
        <v>4495</v>
      </c>
      <c r="D1084" s="4">
        <v>26.82</v>
      </c>
      <c r="E1084" t="s">
        <v>4496</v>
      </c>
      <c r="F1084" s="1">
        <v>2.5999999999999999E-3</v>
      </c>
      <c r="G1084" s="1">
        <v>1E-3</v>
      </c>
      <c r="H1084" t="s">
        <v>10</v>
      </c>
      <c r="I1084" t="s">
        <v>4497</v>
      </c>
    </row>
    <row r="1085" spans="1:9" x14ac:dyDescent="0.3">
      <c r="A1085">
        <v>1389</v>
      </c>
      <c r="B1085" t="s">
        <v>1348</v>
      </c>
      <c r="C1085" t="s">
        <v>4514</v>
      </c>
      <c r="D1085" s="4">
        <v>26.38</v>
      </c>
      <c r="E1085" t="s">
        <v>4515</v>
      </c>
      <c r="F1085" t="s">
        <v>662</v>
      </c>
      <c r="G1085" s="1">
        <v>6.7999999999999996E-3</v>
      </c>
      <c r="H1085" t="s">
        <v>10</v>
      </c>
      <c r="I1085" t="s">
        <v>4516</v>
      </c>
    </row>
    <row r="1086" spans="1:9" x14ac:dyDescent="0.3">
      <c r="A1086">
        <v>1392</v>
      </c>
      <c r="B1086" t="s">
        <v>486</v>
      </c>
      <c r="C1086" t="s">
        <v>4523</v>
      </c>
      <c r="D1086" s="4">
        <v>26</v>
      </c>
      <c r="E1086" t="s">
        <v>4524</v>
      </c>
      <c r="F1086" s="1">
        <v>1.44E-2</v>
      </c>
      <c r="G1086" s="1">
        <v>2E-3</v>
      </c>
      <c r="H1086" t="s">
        <v>10</v>
      </c>
      <c r="I1086" t="s">
        <v>4525</v>
      </c>
    </row>
    <row r="1087" spans="1:9" x14ac:dyDescent="0.3">
      <c r="A1087">
        <v>1396</v>
      </c>
      <c r="B1087" t="s">
        <v>941</v>
      </c>
      <c r="C1087" t="s">
        <v>4535</v>
      </c>
      <c r="D1087" s="4">
        <v>25.71</v>
      </c>
      <c r="E1087" t="s">
        <v>4536</v>
      </c>
      <c r="F1087" s="1">
        <v>-1.8499999999999999E-2</v>
      </c>
      <c r="G1087" s="1">
        <v>7.4999999999999997E-3</v>
      </c>
      <c r="H1087" t="s">
        <v>10</v>
      </c>
      <c r="I1087" t="s">
        <v>4537</v>
      </c>
    </row>
    <row r="1088" spans="1:9" x14ac:dyDescent="0.3">
      <c r="A1088">
        <v>1402</v>
      </c>
      <c r="B1088" t="s">
        <v>280</v>
      </c>
      <c r="C1088" t="s">
        <v>4553</v>
      </c>
      <c r="D1088" s="4">
        <v>25.36</v>
      </c>
      <c r="E1088" t="s">
        <v>4554</v>
      </c>
      <c r="F1088" t="s">
        <v>662</v>
      </c>
      <c r="G1088" s="1">
        <v>8.5000000000000006E-3</v>
      </c>
      <c r="H1088" t="s">
        <v>10</v>
      </c>
      <c r="I1088" t="s">
        <v>4555</v>
      </c>
    </row>
    <row r="1089" spans="1:9" x14ac:dyDescent="0.3">
      <c r="A1089">
        <v>1408</v>
      </c>
      <c r="B1089" t="s">
        <v>1799</v>
      </c>
      <c r="C1089" t="s">
        <v>4572</v>
      </c>
      <c r="D1089" s="4">
        <v>25.19</v>
      </c>
      <c r="E1089" t="s">
        <v>4573</v>
      </c>
      <c r="F1089" s="1">
        <v>6.4999999999999997E-3</v>
      </c>
      <c r="G1089" s="1">
        <v>7.9000000000000008E-3</v>
      </c>
      <c r="H1089" t="s">
        <v>10</v>
      </c>
      <c r="I1089" t="s">
        <v>4574</v>
      </c>
    </row>
    <row r="1090" spans="1:9" x14ac:dyDescent="0.3">
      <c r="A1090">
        <v>1414</v>
      </c>
      <c r="B1090" t="s">
        <v>3223</v>
      </c>
      <c r="C1090" t="s">
        <v>4593</v>
      </c>
      <c r="D1090" s="4">
        <v>24.58</v>
      </c>
      <c r="E1090" t="s">
        <v>4594</v>
      </c>
      <c r="F1090" t="s">
        <v>662</v>
      </c>
      <c r="G1090" s="1">
        <v>7.4000000000000003E-3</v>
      </c>
      <c r="H1090" t="s">
        <v>10</v>
      </c>
      <c r="I1090" t="s">
        <v>4595</v>
      </c>
    </row>
    <row r="1091" spans="1:9" x14ac:dyDescent="0.3">
      <c r="A1091">
        <v>1416</v>
      </c>
      <c r="B1091" t="s">
        <v>3982</v>
      </c>
      <c r="C1091" t="s">
        <v>4600</v>
      </c>
      <c r="D1091" s="4">
        <v>24.43</v>
      </c>
      <c r="E1091" t="s">
        <v>4601</v>
      </c>
      <c r="F1091" s="1">
        <v>-2.12E-2</v>
      </c>
      <c r="G1091" s="1">
        <v>7.9000000000000008E-3</v>
      </c>
      <c r="H1091" t="s">
        <v>10</v>
      </c>
      <c r="I1091" t="s">
        <v>4602</v>
      </c>
    </row>
    <row r="1092" spans="1:9" x14ac:dyDescent="0.3">
      <c r="A1092">
        <v>1417</v>
      </c>
      <c r="B1092" t="s">
        <v>4603</v>
      </c>
      <c r="C1092" t="s">
        <v>4604</v>
      </c>
      <c r="D1092" s="4">
        <v>24.23</v>
      </c>
      <c r="E1092" t="s">
        <v>4605</v>
      </c>
      <c r="F1092" s="1">
        <v>-3.2199999999999999E-2</v>
      </c>
      <c r="G1092" s="1">
        <v>2.8999999999999998E-3</v>
      </c>
      <c r="H1092" t="s">
        <v>10</v>
      </c>
      <c r="I1092" t="s">
        <v>4606</v>
      </c>
    </row>
    <row r="1093" spans="1:9" x14ac:dyDescent="0.3">
      <c r="A1093">
        <v>1441</v>
      </c>
      <c r="B1093" t="s">
        <v>979</v>
      </c>
      <c r="C1093" t="s">
        <v>4683</v>
      </c>
      <c r="D1093" s="4">
        <v>22.54</v>
      </c>
      <c r="E1093" t="s">
        <v>4684</v>
      </c>
      <c r="F1093" s="1">
        <v>-0.21329999999999999</v>
      </c>
      <c r="G1093" s="1">
        <v>7.4999999999999997E-3</v>
      </c>
      <c r="H1093" t="s">
        <v>10</v>
      </c>
      <c r="I1093" t="s">
        <v>4685</v>
      </c>
    </row>
    <row r="1094" spans="1:9" x14ac:dyDescent="0.3">
      <c r="A1094">
        <v>1443</v>
      </c>
      <c r="B1094" t="s">
        <v>280</v>
      </c>
      <c r="C1094" t="s">
        <v>4689</v>
      </c>
      <c r="D1094" s="4">
        <v>22.41</v>
      </c>
      <c r="E1094" t="s">
        <v>4690</v>
      </c>
      <c r="F1094" s="1">
        <v>-2.98E-2</v>
      </c>
      <c r="G1094" s="1">
        <v>8.9999999999999993E-3</v>
      </c>
      <c r="H1094" t="s">
        <v>10</v>
      </c>
      <c r="I1094" t="s">
        <v>4691</v>
      </c>
    </row>
    <row r="1095" spans="1:9" x14ac:dyDescent="0.3">
      <c r="A1095">
        <v>1449</v>
      </c>
      <c r="B1095" t="s">
        <v>2951</v>
      </c>
      <c r="C1095" t="s">
        <v>4709</v>
      </c>
      <c r="D1095" s="4">
        <v>22.06</v>
      </c>
      <c r="E1095" t="s">
        <v>4707</v>
      </c>
      <c r="F1095" s="1">
        <v>-7.9000000000000008E-3</v>
      </c>
      <c r="G1095" s="1">
        <v>1.5E-3</v>
      </c>
      <c r="H1095" t="s">
        <v>10</v>
      </c>
      <c r="I1095" t="s">
        <v>4710</v>
      </c>
    </row>
    <row r="1096" spans="1:9" x14ac:dyDescent="0.3">
      <c r="A1096">
        <v>1474</v>
      </c>
      <c r="B1096" t="s">
        <v>618</v>
      </c>
      <c r="C1096" t="s">
        <v>4787</v>
      </c>
      <c r="D1096" s="4">
        <v>20.36</v>
      </c>
      <c r="E1096" t="s">
        <v>4785</v>
      </c>
      <c r="F1096" s="1">
        <v>-2.0400000000000001E-2</v>
      </c>
      <c r="G1096" s="1">
        <v>1.9E-3</v>
      </c>
      <c r="H1096" t="s">
        <v>10</v>
      </c>
      <c r="I1096" t="s">
        <v>4788</v>
      </c>
    </row>
    <row r="1097" spans="1:9" x14ac:dyDescent="0.3">
      <c r="A1097">
        <v>1476</v>
      </c>
      <c r="B1097" t="s">
        <v>2370</v>
      </c>
      <c r="C1097" t="s">
        <v>4792</v>
      </c>
      <c r="D1097" s="4">
        <v>20.27</v>
      </c>
      <c r="E1097" t="s">
        <v>4793</v>
      </c>
      <c r="F1097" s="1">
        <v>-3.1E-2</v>
      </c>
      <c r="G1097" s="1">
        <v>8.3000000000000001E-3</v>
      </c>
      <c r="H1097" t="s">
        <v>10</v>
      </c>
      <c r="I1097" t="s">
        <v>4794</v>
      </c>
    </row>
    <row r="1098" spans="1:9" x14ac:dyDescent="0.3">
      <c r="A1098">
        <v>1477</v>
      </c>
      <c r="B1098" t="s">
        <v>1799</v>
      </c>
      <c r="C1098" t="s">
        <v>4795</v>
      </c>
      <c r="D1098" s="4">
        <v>20.239999999999998</v>
      </c>
      <c r="E1098" t="s">
        <v>4796</v>
      </c>
      <c r="F1098" s="1">
        <v>-2.3999999999999998E-3</v>
      </c>
      <c r="G1098" s="1">
        <v>7.9000000000000008E-3</v>
      </c>
      <c r="H1098" t="s">
        <v>10</v>
      </c>
      <c r="I1098" t="s">
        <v>4797</v>
      </c>
    </row>
    <row r="1099" spans="1:9" x14ac:dyDescent="0.3">
      <c r="A1099">
        <v>1478</v>
      </c>
      <c r="B1099" t="s">
        <v>332</v>
      </c>
      <c r="C1099" t="s">
        <v>4798</v>
      </c>
      <c r="D1099" s="4">
        <v>20.18</v>
      </c>
      <c r="E1099" t="s">
        <v>4799</v>
      </c>
      <c r="F1099" s="1">
        <v>1.14E-2</v>
      </c>
      <c r="G1099" s="1">
        <v>1.1999999999999999E-3</v>
      </c>
      <c r="H1099" t="s">
        <v>10</v>
      </c>
      <c r="I1099" t="s">
        <v>4800</v>
      </c>
    </row>
    <row r="1100" spans="1:9" x14ac:dyDescent="0.3">
      <c r="A1100">
        <v>1482</v>
      </c>
      <c r="B1100" t="s">
        <v>3223</v>
      </c>
      <c r="C1100" t="s">
        <v>4812</v>
      </c>
      <c r="D1100" s="4">
        <v>20.059999999999999</v>
      </c>
      <c r="E1100" t="s">
        <v>4813</v>
      </c>
      <c r="F1100" s="1">
        <v>-7.1999999999999998E-3</v>
      </c>
      <c r="G1100" s="1">
        <v>7.4000000000000003E-3</v>
      </c>
      <c r="H1100" t="s">
        <v>10</v>
      </c>
      <c r="I1100" t="s">
        <v>4814</v>
      </c>
    </row>
    <row r="1101" spans="1:9" x14ac:dyDescent="0.3">
      <c r="A1101">
        <v>1488</v>
      </c>
      <c r="B1101" t="s">
        <v>1348</v>
      </c>
      <c r="C1101" t="s">
        <v>4830</v>
      </c>
      <c r="D1101" s="4">
        <v>19.079999999999998</v>
      </c>
      <c r="E1101" t="s">
        <v>4831</v>
      </c>
      <c r="F1101" t="s">
        <v>662</v>
      </c>
      <c r="G1101" s="1">
        <v>6.7999999999999996E-3</v>
      </c>
      <c r="H1101" t="s">
        <v>10</v>
      </c>
      <c r="I1101" t="s">
        <v>4832</v>
      </c>
    </row>
    <row r="1102" spans="1:9" x14ac:dyDescent="0.3">
      <c r="A1102">
        <v>1490</v>
      </c>
      <c r="B1102" t="s">
        <v>1842</v>
      </c>
      <c r="C1102" t="s">
        <v>4836</v>
      </c>
      <c r="D1102" s="4">
        <v>18.920000000000002</v>
      </c>
      <c r="E1102" t="s">
        <v>4837</v>
      </c>
      <c r="F1102" s="1">
        <v>-5.5599999999999997E-2</v>
      </c>
      <c r="G1102" s="1">
        <v>2.8999999999999998E-3</v>
      </c>
      <c r="H1102" t="s">
        <v>10</v>
      </c>
      <c r="I1102" t="s">
        <v>4838</v>
      </c>
    </row>
    <row r="1103" spans="1:9" x14ac:dyDescent="0.3">
      <c r="A1103">
        <v>1494</v>
      </c>
      <c r="B1103" t="s">
        <v>1799</v>
      </c>
      <c r="C1103" t="s">
        <v>4848</v>
      </c>
      <c r="D1103" s="4">
        <v>18.739999999999998</v>
      </c>
      <c r="E1103" t="s">
        <v>4849</v>
      </c>
      <c r="F1103" s="1">
        <v>-9.2999999999999992E-3</v>
      </c>
      <c r="G1103" s="1">
        <v>7.9000000000000008E-3</v>
      </c>
      <c r="H1103" t="s">
        <v>10</v>
      </c>
      <c r="I1103" t="s">
        <v>4850</v>
      </c>
    </row>
    <row r="1104" spans="1:9" x14ac:dyDescent="0.3">
      <c r="A1104">
        <v>1497</v>
      </c>
      <c r="B1104" t="s">
        <v>1799</v>
      </c>
      <c r="C1104" t="s">
        <v>4857</v>
      </c>
      <c r="D1104" s="4">
        <v>18.579999999999998</v>
      </c>
      <c r="E1104" t="s">
        <v>4858</v>
      </c>
      <c r="F1104" s="1">
        <v>-2.6700000000000002E-2</v>
      </c>
      <c r="G1104" s="1">
        <v>7.9000000000000008E-3</v>
      </c>
      <c r="H1104" t="s">
        <v>10</v>
      </c>
      <c r="I1104" t="s">
        <v>4859</v>
      </c>
    </row>
    <row r="1105" spans="1:9" x14ac:dyDescent="0.3">
      <c r="A1105">
        <v>1498</v>
      </c>
      <c r="B1105" t="s">
        <v>979</v>
      </c>
      <c r="C1105" t="s">
        <v>4860</v>
      </c>
      <c r="D1105" s="4">
        <v>18.510000000000002</v>
      </c>
      <c r="E1105" t="s">
        <v>4861</v>
      </c>
      <c r="F1105" s="1">
        <v>-7.6399999999999996E-2</v>
      </c>
      <c r="G1105" s="1">
        <v>7.4999999999999997E-3</v>
      </c>
      <c r="H1105" t="s">
        <v>10</v>
      </c>
      <c r="I1105" t="s">
        <v>4862</v>
      </c>
    </row>
    <row r="1106" spans="1:9" x14ac:dyDescent="0.3">
      <c r="A1106">
        <v>1507</v>
      </c>
      <c r="B1106" t="s">
        <v>1842</v>
      </c>
      <c r="C1106" t="s">
        <v>4888</v>
      </c>
      <c r="D1106" s="4">
        <v>17.98</v>
      </c>
      <c r="E1106" t="s">
        <v>4889</v>
      </c>
      <c r="F1106" s="1">
        <v>-5.9400000000000001E-2</v>
      </c>
      <c r="G1106" s="1">
        <v>4.4999999999999997E-3</v>
      </c>
      <c r="H1106" t="s">
        <v>10</v>
      </c>
      <c r="I1106" t="s">
        <v>4890</v>
      </c>
    </row>
    <row r="1107" spans="1:9" x14ac:dyDescent="0.3">
      <c r="A1107">
        <v>1508</v>
      </c>
      <c r="B1107" t="s">
        <v>280</v>
      </c>
      <c r="C1107" t="s">
        <v>4891</v>
      </c>
      <c r="D1107" s="4">
        <v>17.940000000000001</v>
      </c>
      <c r="E1107" t="s">
        <v>4892</v>
      </c>
      <c r="F1107" s="1">
        <v>2E-3</v>
      </c>
      <c r="G1107" s="1">
        <v>5.0000000000000001E-3</v>
      </c>
      <c r="H1107" t="s">
        <v>10</v>
      </c>
      <c r="I1107" t="s">
        <v>4893</v>
      </c>
    </row>
    <row r="1108" spans="1:9" x14ac:dyDescent="0.3">
      <c r="A1108">
        <v>1514</v>
      </c>
      <c r="B1108" t="s">
        <v>3223</v>
      </c>
      <c r="C1108" t="s">
        <v>4909</v>
      </c>
      <c r="D1108" s="4">
        <v>17.72</v>
      </c>
      <c r="E1108" t="s">
        <v>4907</v>
      </c>
      <c r="F1108" s="1">
        <v>-1.3899999999999999E-2</v>
      </c>
      <c r="G1108" s="1">
        <v>7.4000000000000003E-3</v>
      </c>
      <c r="H1108" t="s">
        <v>10</v>
      </c>
      <c r="I1108" t="s">
        <v>4910</v>
      </c>
    </row>
    <row r="1109" spans="1:9" x14ac:dyDescent="0.3">
      <c r="A1109">
        <v>1515</v>
      </c>
      <c r="B1109" t="s">
        <v>941</v>
      </c>
      <c r="C1109" t="s">
        <v>4911</v>
      </c>
      <c r="D1109" s="4">
        <v>17.71</v>
      </c>
      <c r="E1109" t="s">
        <v>4912</v>
      </c>
      <c r="F1109" s="1">
        <v>-1.8700000000000001E-2</v>
      </c>
      <c r="G1109" s="1">
        <v>7.4999999999999997E-3</v>
      </c>
      <c r="H1109" t="s">
        <v>10</v>
      </c>
      <c r="I1109" t="s">
        <v>4913</v>
      </c>
    </row>
    <row r="1110" spans="1:9" x14ac:dyDescent="0.3">
      <c r="A1110">
        <v>1518</v>
      </c>
      <c r="B1110" t="s">
        <v>3982</v>
      </c>
      <c r="C1110" t="s">
        <v>4920</v>
      </c>
      <c r="D1110" s="4">
        <v>17.5</v>
      </c>
      <c r="E1110" t="s">
        <v>4921</v>
      </c>
      <c r="F1110" s="1">
        <v>-2.1899999999999999E-2</v>
      </c>
      <c r="G1110" s="1">
        <v>7.9000000000000008E-3</v>
      </c>
      <c r="H1110" t="s">
        <v>10</v>
      </c>
      <c r="I1110" t="s">
        <v>4922</v>
      </c>
    </row>
    <row r="1111" spans="1:9" x14ac:dyDescent="0.3">
      <c r="A1111">
        <v>1523</v>
      </c>
      <c r="B1111" t="s">
        <v>486</v>
      </c>
      <c r="C1111" t="s">
        <v>4935</v>
      </c>
      <c r="D1111" s="4">
        <v>17.100000000000001</v>
      </c>
      <c r="E1111" t="s">
        <v>4936</v>
      </c>
      <c r="F1111" s="1">
        <v>-2.87E-2</v>
      </c>
      <c r="G1111" s="1">
        <v>6.0000000000000001E-3</v>
      </c>
      <c r="H1111" t="s">
        <v>10</v>
      </c>
      <c r="I1111" t="s">
        <v>4937</v>
      </c>
    </row>
    <row r="1112" spans="1:9" x14ac:dyDescent="0.3">
      <c r="A1112">
        <v>1536</v>
      </c>
      <c r="B1112" t="s">
        <v>460</v>
      </c>
      <c r="C1112" t="s">
        <v>4973</v>
      </c>
      <c r="D1112" s="4">
        <v>16.61</v>
      </c>
      <c r="E1112" t="s">
        <v>4974</v>
      </c>
      <c r="F1112" s="1">
        <v>-1.14E-2</v>
      </c>
      <c r="G1112" s="1">
        <v>2.8999999999999998E-3</v>
      </c>
      <c r="H1112" t="s">
        <v>10</v>
      </c>
      <c r="I1112" t="s">
        <v>4975</v>
      </c>
    </row>
    <row r="1113" spans="1:9" x14ac:dyDescent="0.3">
      <c r="A1113">
        <v>1540</v>
      </c>
      <c r="B1113" t="s">
        <v>280</v>
      </c>
      <c r="C1113" t="s">
        <v>4986</v>
      </c>
      <c r="D1113" s="4">
        <v>16.420000000000002</v>
      </c>
      <c r="E1113" t="s">
        <v>4987</v>
      </c>
      <c r="F1113" s="1">
        <v>-1.9099999999999999E-2</v>
      </c>
      <c r="G1113" s="1">
        <v>8.9999999999999993E-3</v>
      </c>
      <c r="H1113" t="s">
        <v>10</v>
      </c>
      <c r="I1113" t="s">
        <v>4988</v>
      </c>
    </row>
    <row r="1114" spans="1:9" x14ac:dyDescent="0.3">
      <c r="A1114">
        <v>1548</v>
      </c>
      <c r="B1114" t="s">
        <v>486</v>
      </c>
      <c r="C1114" t="s">
        <v>5011</v>
      </c>
      <c r="D1114" s="4">
        <v>15.89</v>
      </c>
      <c r="E1114" t="s">
        <v>5012</v>
      </c>
      <c r="F1114" s="1">
        <v>-5.96E-2</v>
      </c>
      <c r="G1114" s="1">
        <v>6.0000000000000001E-3</v>
      </c>
      <c r="H1114" t="s">
        <v>10</v>
      </c>
      <c r="I1114" t="s">
        <v>5013</v>
      </c>
    </row>
    <row r="1115" spans="1:9" x14ac:dyDescent="0.3">
      <c r="A1115">
        <v>1559</v>
      </c>
      <c r="B1115" t="s">
        <v>5043</v>
      </c>
      <c r="C1115" t="s">
        <v>5044</v>
      </c>
      <c r="D1115" s="4">
        <v>15.35</v>
      </c>
      <c r="E1115" t="s">
        <v>5045</v>
      </c>
      <c r="F1115" s="1">
        <v>-5.4800000000000001E-2</v>
      </c>
      <c r="G1115" s="1">
        <v>4.4999999999999997E-3</v>
      </c>
      <c r="H1115" t="s">
        <v>10</v>
      </c>
      <c r="I1115" t="s">
        <v>5046</v>
      </c>
    </row>
    <row r="1116" spans="1:9" x14ac:dyDescent="0.3">
      <c r="A1116">
        <v>1561</v>
      </c>
      <c r="B1116" t="s">
        <v>941</v>
      </c>
      <c r="C1116" t="s">
        <v>5050</v>
      </c>
      <c r="D1116" s="4">
        <v>14.96</v>
      </c>
      <c r="E1116" t="s">
        <v>5051</v>
      </c>
      <c r="F1116" s="1">
        <v>-1.1299999999999999E-2</v>
      </c>
      <c r="G1116" s="1">
        <v>7.4999999999999997E-3</v>
      </c>
      <c r="H1116" t="s">
        <v>10</v>
      </c>
      <c r="I1116" t="s">
        <v>5052</v>
      </c>
    </row>
    <row r="1117" spans="1:9" x14ac:dyDescent="0.3">
      <c r="A1117">
        <v>1567</v>
      </c>
      <c r="B1117" t="s">
        <v>3982</v>
      </c>
      <c r="C1117" t="s">
        <v>5069</v>
      </c>
      <c r="D1117" s="4">
        <v>14.1</v>
      </c>
      <c r="E1117" t="s">
        <v>5070</v>
      </c>
      <c r="F1117" s="1">
        <v>-2.35E-2</v>
      </c>
      <c r="G1117" s="1">
        <v>7.9000000000000008E-3</v>
      </c>
      <c r="H1117" t="s">
        <v>10</v>
      </c>
      <c r="I1117" t="s">
        <v>5071</v>
      </c>
    </row>
    <row r="1118" spans="1:9" x14ac:dyDescent="0.3">
      <c r="A1118">
        <v>1569</v>
      </c>
      <c r="B1118" t="s">
        <v>1842</v>
      </c>
      <c r="C1118" t="s">
        <v>5075</v>
      </c>
      <c r="D1118" s="4">
        <v>13.9</v>
      </c>
      <c r="E1118" t="s">
        <v>5076</v>
      </c>
      <c r="F1118" s="1">
        <v>-6.2300000000000001E-2</v>
      </c>
      <c r="G1118" s="1">
        <v>4.4999999999999997E-3</v>
      </c>
      <c r="H1118" t="s">
        <v>10</v>
      </c>
      <c r="I1118" t="s">
        <v>5077</v>
      </c>
    </row>
    <row r="1119" spans="1:9" x14ac:dyDescent="0.3">
      <c r="A1119">
        <v>1573</v>
      </c>
      <c r="B1119" t="s">
        <v>1799</v>
      </c>
      <c r="C1119" t="s">
        <v>5088</v>
      </c>
      <c r="D1119" s="4">
        <v>13.55</v>
      </c>
      <c r="E1119" t="s">
        <v>5089</v>
      </c>
      <c r="F1119" s="1">
        <v>-8.2900000000000001E-2</v>
      </c>
      <c r="G1119" s="1">
        <v>7.9000000000000008E-3</v>
      </c>
      <c r="H1119" t="s">
        <v>10</v>
      </c>
      <c r="I1119" t="s">
        <v>5090</v>
      </c>
    </row>
    <row r="1120" spans="1:9" x14ac:dyDescent="0.3">
      <c r="A1120">
        <v>1577</v>
      </c>
      <c r="B1120" t="s">
        <v>3982</v>
      </c>
      <c r="C1120" t="s">
        <v>5100</v>
      </c>
      <c r="D1120" s="4">
        <v>13.39</v>
      </c>
      <c r="E1120" t="s">
        <v>5101</v>
      </c>
      <c r="F1120" s="1">
        <v>-2.01E-2</v>
      </c>
      <c r="G1120" s="1">
        <v>7.9000000000000008E-3</v>
      </c>
      <c r="H1120" t="s">
        <v>10</v>
      </c>
      <c r="I1120" t="s">
        <v>5102</v>
      </c>
    </row>
    <row r="1121" spans="1:9" x14ac:dyDescent="0.3">
      <c r="A1121">
        <v>1578</v>
      </c>
      <c r="B1121" t="s">
        <v>1842</v>
      </c>
      <c r="C1121" t="s">
        <v>5103</v>
      </c>
      <c r="D1121" s="4">
        <v>13.36</v>
      </c>
      <c r="E1121" t="s">
        <v>5104</v>
      </c>
      <c r="F1121" t="s">
        <v>662</v>
      </c>
      <c r="G1121" s="1">
        <v>5.3E-3</v>
      </c>
      <c r="H1121" t="s">
        <v>10</v>
      </c>
      <c r="I1121" t="s">
        <v>5105</v>
      </c>
    </row>
    <row r="1122" spans="1:9" x14ac:dyDescent="0.3">
      <c r="A1122">
        <v>1579</v>
      </c>
      <c r="B1122" t="s">
        <v>5106</v>
      </c>
      <c r="C1122" t="s">
        <v>5107</v>
      </c>
      <c r="D1122" s="4">
        <v>13.29</v>
      </c>
      <c r="E1122" t="s">
        <v>5108</v>
      </c>
      <c r="F1122" s="1">
        <v>-7.0000000000000001E-3</v>
      </c>
      <c r="G1122" s="1">
        <v>7.1999999999999998E-3</v>
      </c>
      <c r="H1122" t="s">
        <v>10</v>
      </c>
      <c r="I1122" t="s">
        <v>5109</v>
      </c>
    </row>
    <row r="1123" spans="1:9" x14ac:dyDescent="0.3">
      <c r="A1123">
        <v>1589</v>
      </c>
      <c r="B1123" t="s">
        <v>3223</v>
      </c>
      <c r="C1123" t="s">
        <v>5141</v>
      </c>
      <c r="D1123" s="4">
        <v>12.84</v>
      </c>
      <c r="E1123" t="s">
        <v>5142</v>
      </c>
      <c r="F1123" s="1">
        <v>-8.6E-3</v>
      </c>
      <c r="G1123" s="1">
        <v>7.4000000000000003E-3</v>
      </c>
      <c r="H1123" t="s">
        <v>10</v>
      </c>
      <c r="I1123" t="s">
        <v>5143</v>
      </c>
    </row>
    <row r="1124" spans="1:9" x14ac:dyDescent="0.3">
      <c r="A1124">
        <v>1591</v>
      </c>
      <c r="B1124" t="s">
        <v>3223</v>
      </c>
      <c r="C1124" t="s">
        <v>5148</v>
      </c>
      <c r="D1124" s="4">
        <v>12.82</v>
      </c>
      <c r="E1124" t="s">
        <v>5149</v>
      </c>
      <c r="F1124" s="1">
        <v>-2.3E-3</v>
      </c>
      <c r="G1124" s="1">
        <v>7.4000000000000003E-3</v>
      </c>
      <c r="H1124" t="s">
        <v>10</v>
      </c>
      <c r="I1124" t="s">
        <v>5150</v>
      </c>
    </row>
    <row r="1125" spans="1:9" x14ac:dyDescent="0.3">
      <c r="A1125">
        <v>1599</v>
      </c>
      <c r="B1125" t="s">
        <v>280</v>
      </c>
      <c r="C1125" t="s">
        <v>5174</v>
      </c>
      <c r="D1125" s="4">
        <v>11.98</v>
      </c>
      <c r="E1125" t="s">
        <v>5175</v>
      </c>
      <c r="F1125" s="1">
        <v>-8.6999999999999994E-3</v>
      </c>
      <c r="G1125" s="1">
        <v>8.5000000000000006E-3</v>
      </c>
      <c r="H1125" t="s">
        <v>10</v>
      </c>
      <c r="I1125" t="s">
        <v>5176</v>
      </c>
    </row>
    <row r="1126" spans="1:9" x14ac:dyDescent="0.3">
      <c r="A1126">
        <v>1607</v>
      </c>
      <c r="B1126" t="s">
        <v>941</v>
      </c>
      <c r="C1126" t="s">
        <v>5199</v>
      </c>
      <c r="D1126" s="4">
        <v>11.43</v>
      </c>
      <c r="E1126" t="s">
        <v>5200</v>
      </c>
      <c r="F1126" s="1">
        <v>-7.4000000000000003E-3</v>
      </c>
      <c r="G1126" s="1">
        <v>7.4999999999999997E-3</v>
      </c>
      <c r="H1126" t="s">
        <v>10</v>
      </c>
      <c r="I1126" t="s">
        <v>5201</v>
      </c>
    </row>
    <row r="1127" spans="1:9" x14ac:dyDescent="0.3">
      <c r="A1127">
        <v>1609</v>
      </c>
      <c r="B1127" t="s">
        <v>280</v>
      </c>
      <c r="C1127" t="s">
        <v>5204</v>
      </c>
      <c r="D1127" s="4">
        <v>11.39</v>
      </c>
      <c r="E1127" t="s">
        <v>5205</v>
      </c>
      <c r="F1127" s="1">
        <v>-3.61E-2</v>
      </c>
      <c r="G1127" s="1">
        <v>6.0000000000000001E-3</v>
      </c>
      <c r="H1127" t="s">
        <v>10</v>
      </c>
      <c r="I1127" t="s">
        <v>5206</v>
      </c>
    </row>
    <row r="1128" spans="1:9" x14ac:dyDescent="0.3">
      <c r="A1128">
        <v>1611</v>
      </c>
      <c r="B1128" t="s">
        <v>1799</v>
      </c>
      <c r="C1128" t="s">
        <v>5211</v>
      </c>
      <c r="D1128" s="4">
        <v>11.1</v>
      </c>
      <c r="E1128" t="s">
        <v>5212</v>
      </c>
      <c r="F1128" s="1">
        <v>-1.0999999999999999E-2</v>
      </c>
      <c r="G1128" s="1">
        <v>7.9000000000000008E-3</v>
      </c>
      <c r="H1128" t="s">
        <v>10</v>
      </c>
      <c r="I1128" t="s">
        <v>5213</v>
      </c>
    </row>
    <row r="1129" spans="1:9" x14ac:dyDescent="0.3">
      <c r="A1129">
        <v>1621</v>
      </c>
      <c r="B1129" t="s">
        <v>1799</v>
      </c>
      <c r="C1129" t="s">
        <v>5244</v>
      </c>
      <c r="D1129" s="4">
        <v>10.56</v>
      </c>
      <c r="E1129" t="s">
        <v>5245</v>
      </c>
      <c r="F1129" t="s">
        <v>662</v>
      </c>
      <c r="G1129" s="1">
        <v>7.9000000000000008E-3</v>
      </c>
      <c r="H1129" t="s">
        <v>10</v>
      </c>
      <c r="I1129" t="s">
        <v>5246</v>
      </c>
    </row>
    <row r="1130" spans="1:9" x14ac:dyDescent="0.3">
      <c r="A1130">
        <v>1630</v>
      </c>
      <c r="B1130" t="s">
        <v>24</v>
      </c>
      <c r="C1130" t="s">
        <v>5272</v>
      </c>
      <c r="D1130" s="4">
        <v>10.050000000000001</v>
      </c>
      <c r="E1130" t="s">
        <v>5273</v>
      </c>
      <c r="F1130" s="1">
        <v>1.15E-2</v>
      </c>
      <c r="G1130" s="1">
        <v>3.5000000000000001E-3</v>
      </c>
      <c r="H1130" t="s">
        <v>10</v>
      </c>
      <c r="I1130" t="s">
        <v>5274</v>
      </c>
    </row>
    <row r="1131" spans="1:9" x14ac:dyDescent="0.3">
      <c r="A1131">
        <v>1645</v>
      </c>
      <c r="B1131" t="s">
        <v>24</v>
      </c>
      <c r="C1131" t="s">
        <v>5319</v>
      </c>
      <c r="D1131" s="4">
        <v>9.4</v>
      </c>
      <c r="E1131" t="s">
        <v>5320</v>
      </c>
      <c r="F1131" t="s">
        <v>662</v>
      </c>
      <c r="G1131" s="1">
        <v>2E-3</v>
      </c>
      <c r="H1131" t="s">
        <v>10</v>
      </c>
      <c r="I1131" t="s">
        <v>5321</v>
      </c>
    </row>
    <row r="1132" spans="1:9" x14ac:dyDescent="0.3">
      <c r="A1132">
        <v>1647</v>
      </c>
      <c r="B1132" t="s">
        <v>3982</v>
      </c>
      <c r="C1132" t="s">
        <v>5325</v>
      </c>
      <c r="D1132" s="4">
        <v>9.25</v>
      </c>
      <c r="E1132" t="s">
        <v>5326</v>
      </c>
      <c r="F1132" s="1">
        <v>-8.3000000000000004E-2</v>
      </c>
      <c r="G1132" s="1">
        <v>5.7999999999999996E-3</v>
      </c>
      <c r="H1132" t="s">
        <v>10</v>
      </c>
      <c r="I1132" t="s">
        <v>5327</v>
      </c>
    </row>
    <row r="1133" spans="1:9" x14ac:dyDescent="0.3">
      <c r="A1133">
        <v>1649</v>
      </c>
      <c r="B1133" t="s">
        <v>1799</v>
      </c>
      <c r="C1133" t="s">
        <v>5330</v>
      </c>
      <c r="D1133" s="4">
        <v>9.23</v>
      </c>
      <c r="E1133" t="s">
        <v>5331</v>
      </c>
      <c r="F1133" s="1">
        <v>-2.0500000000000001E-2</v>
      </c>
      <c r="G1133" s="1">
        <v>7.9000000000000008E-3</v>
      </c>
      <c r="H1133" t="s">
        <v>10</v>
      </c>
      <c r="I1133" t="s">
        <v>5332</v>
      </c>
    </row>
    <row r="1134" spans="1:9" x14ac:dyDescent="0.3">
      <c r="A1134">
        <v>1662</v>
      </c>
      <c r="B1134" t="s">
        <v>280</v>
      </c>
      <c r="C1134" t="s">
        <v>5372</v>
      </c>
      <c r="D1134" s="4">
        <v>8.49</v>
      </c>
      <c r="E1134" t="s">
        <v>5373</v>
      </c>
      <c r="F1134" s="1">
        <v>-2.24E-2</v>
      </c>
      <c r="G1134" s="1">
        <v>8.5000000000000006E-3</v>
      </c>
      <c r="H1134" t="s">
        <v>10</v>
      </c>
      <c r="I1134" t="s">
        <v>5374</v>
      </c>
    </row>
    <row r="1135" spans="1:9" x14ac:dyDescent="0.3">
      <c r="A1135">
        <v>1665</v>
      </c>
      <c r="B1135" t="s">
        <v>1799</v>
      </c>
      <c r="C1135" t="s">
        <v>5382</v>
      </c>
      <c r="D1135" s="4">
        <v>8.36</v>
      </c>
      <c r="E1135" t="s">
        <v>5383</v>
      </c>
      <c r="F1135" s="1">
        <v>-5.21E-2</v>
      </c>
      <c r="G1135" s="1">
        <v>7.9000000000000008E-3</v>
      </c>
      <c r="H1135" t="s">
        <v>10</v>
      </c>
      <c r="I1135" t="s">
        <v>5384</v>
      </c>
    </row>
    <row r="1136" spans="1:9" x14ac:dyDescent="0.3">
      <c r="A1136">
        <v>1675</v>
      </c>
      <c r="B1136" t="s">
        <v>941</v>
      </c>
      <c r="C1136" t="s">
        <v>5413</v>
      </c>
      <c r="D1136" s="4">
        <v>7.83</v>
      </c>
      <c r="E1136" t="s">
        <v>5414</v>
      </c>
      <c r="F1136" s="1">
        <v>-1.29E-2</v>
      </c>
      <c r="G1136" s="1">
        <v>7.4999999999999997E-3</v>
      </c>
      <c r="H1136" t="s">
        <v>10</v>
      </c>
      <c r="I1136" t="s">
        <v>5415</v>
      </c>
    </row>
    <row r="1137" spans="1:9" x14ac:dyDescent="0.3">
      <c r="A1137">
        <v>1680</v>
      </c>
      <c r="B1137" t="s">
        <v>3982</v>
      </c>
      <c r="C1137" t="s">
        <v>5427</v>
      </c>
      <c r="D1137" s="4">
        <v>7.71</v>
      </c>
      <c r="E1137" t="s">
        <v>5428</v>
      </c>
      <c r="F1137" s="1">
        <v>-2.3199999999999998E-2</v>
      </c>
      <c r="G1137" s="1">
        <v>7.9000000000000008E-3</v>
      </c>
      <c r="H1137" t="s">
        <v>10</v>
      </c>
      <c r="I1137" t="s">
        <v>5429</v>
      </c>
    </row>
    <row r="1138" spans="1:9" x14ac:dyDescent="0.3">
      <c r="A1138">
        <v>1681</v>
      </c>
      <c r="B1138" t="s">
        <v>1799</v>
      </c>
      <c r="C1138" t="s">
        <v>5430</v>
      </c>
      <c r="D1138" s="4">
        <v>7.7</v>
      </c>
      <c r="E1138" t="s">
        <v>5431</v>
      </c>
      <c r="F1138" s="1">
        <v>-9.5999999999999992E-3</v>
      </c>
      <c r="G1138" s="1">
        <v>7.9000000000000008E-3</v>
      </c>
      <c r="H1138" t="s">
        <v>10</v>
      </c>
      <c r="I1138" t="s">
        <v>5432</v>
      </c>
    </row>
    <row r="1139" spans="1:9" x14ac:dyDescent="0.3">
      <c r="A1139">
        <v>1685</v>
      </c>
      <c r="B1139" t="s">
        <v>1799</v>
      </c>
      <c r="C1139" t="s">
        <v>5442</v>
      </c>
      <c r="D1139" s="4">
        <v>7.68</v>
      </c>
      <c r="E1139" t="s">
        <v>5440</v>
      </c>
      <c r="F1139" s="1">
        <v>-7.4999999999999997E-3</v>
      </c>
      <c r="G1139" s="1">
        <v>7.9000000000000008E-3</v>
      </c>
      <c r="H1139" t="s">
        <v>10</v>
      </c>
      <c r="I1139" t="s">
        <v>5443</v>
      </c>
    </row>
    <row r="1140" spans="1:9" x14ac:dyDescent="0.3">
      <c r="A1140">
        <v>1691</v>
      </c>
      <c r="B1140" t="s">
        <v>5459</v>
      </c>
      <c r="C1140" t="s">
        <v>5460</v>
      </c>
      <c r="D1140" s="4">
        <v>7.42</v>
      </c>
      <c r="E1140" t="s">
        <v>5461</v>
      </c>
      <c r="F1140" s="1">
        <v>-9.7000000000000003E-2</v>
      </c>
      <c r="G1140" s="1">
        <v>6.4999999999999997E-3</v>
      </c>
      <c r="H1140" t="s">
        <v>10</v>
      </c>
      <c r="I1140" t="s">
        <v>5462</v>
      </c>
    </row>
    <row r="1141" spans="1:9" x14ac:dyDescent="0.3">
      <c r="A1141">
        <v>1692</v>
      </c>
      <c r="B1141" t="s">
        <v>248</v>
      </c>
      <c r="C1141" t="s">
        <v>5463</v>
      </c>
      <c r="D1141" s="4">
        <v>7.42</v>
      </c>
      <c r="E1141" t="s">
        <v>5461</v>
      </c>
      <c r="F1141" t="s">
        <v>662</v>
      </c>
      <c r="G1141" s="1">
        <v>2E-3</v>
      </c>
      <c r="H1141" t="s">
        <v>10</v>
      </c>
      <c r="I1141" t="s">
        <v>5464</v>
      </c>
    </row>
    <row r="1142" spans="1:9" x14ac:dyDescent="0.3">
      <c r="A1142">
        <v>1694</v>
      </c>
      <c r="B1142" t="s">
        <v>2353</v>
      </c>
      <c r="C1142" t="s">
        <v>5468</v>
      </c>
      <c r="D1142" s="4">
        <v>7.24</v>
      </c>
      <c r="E1142" t="s">
        <v>5469</v>
      </c>
      <c r="F1142" s="1">
        <v>-3.7900000000000003E-2</v>
      </c>
      <c r="G1142" s="1">
        <v>1.0500000000000001E-2</v>
      </c>
      <c r="H1142" t="s">
        <v>10</v>
      </c>
      <c r="I1142" t="s">
        <v>5470</v>
      </c>
    </row>
    <row r="1143" spans="1:9" x14ac:dyDescent="0.3">
      <c r="A1143">
        <v>1697</v>
      </c>
      <c r="B1143" t="s">
        <v>3982</v>
      </c>
      <c r="C1143" t="s">
        <v>5477</v>
      </c>
      <c r="D1143" s="4">
        <v>7.19</v>
      </c>
      <c r="E1143" t="s">
        <v>5478</v>
      </c>
      <c r="F1143" s="1">
        <v>-2.8500000000000001E-2</v>
      </c>
      <c r="G1143" s="1">
        <v>7.9000000000000008E-3</v>
      </c>
      <c r="H1143" t="s">
        <v>10</v>
      </c>
      <c r="I1143" t="s">
        <v>5479</v>
      </c>
    </row>
    <row r="1144" spans="1:9" x14ac:dyDescent="0.3">
      <c r="A1144">
        <v>1699</v>
      </c>
      <c r="B1144" t="s">
        <v>941</v>
      </c>
      <c r="C1144" t="s">
        <v>5483</v>
      </c>
      <c r="D1144" s="4">
        <v>7.12</v>
      </c>
      <c r="E1144" t="s">
        <v>5484</v>
      </c>
      <c r="F1144" s="1">
        <v>-1.5800000000000002E-2</v>
      </c>
      <c r="G1144" s="1">
        <v>7.4999999999999997E-3</v>
      </c>
      <c r="H1144" t="s">
        <v>10</v>
      </c>
      <c r="I1144" t="s">
        <v>5485</v>
      </c>
    </row>
    <row r="1145" spans="1:9" x14ac:dyDescent="0.3">
      <c r="A1145">
        <v>1701</v>
      </c>
      <c r="B1145" t="s">
        <v>941</v>
      </c>
      <c r="C1145" t="s">
        <v>5489</v>
      </c>
      <c r="D1145" s="4">
        <v>7.1</v>
      </c>
      <c r="E1145" t="s">
        <v>5487</v>
      </c>
      <c r="F1145" s="1">
        <v>-6.3E-3</v>
      </c>
      <c r="G1145" s="1">
        <v>7.4999999999999997E-3</v>
      </c>
      <c r="H1145" t="s">
        <v>10</v>
      </c>
      <c r="I1145" t="s">
        <v>5490</v>
      </c>
    </row>
    <row r="1146" spans="1:9" x14ac:dyDescent="0.3">
      <c r="A1146">
        <v>1707</v>
      </c>
      <c r="B1146" t="s">
        <v>1799</v>
      </c>
      <c r="C1146" t="s">
        <v>5507</v>
      </c>
      <c r="D1146" s="4">
        <v>6.81</v>
      </c>
      <c r="E1146" t="s">
        <v>5508</v>
      </c>
      <c r="F1146" t="s">
        <v>662</v>
      </c>
      <c r="G1146" s="1">
        <v>7.9000000000000008E-3</v>
      </c>
      <c r="H1146" t="s">
        <v>10</v>
      </c>
      <c r="I1146" t="s">
        <v>5509</v>
      </c>
    </row>
    <row r="1147" spans="1:9" x14ac:dyDescent="0.3">
      <c r="A1147">
        <v>1712</v>
      </c>
      <c r="B1147" t="s">
        <v>941</v>
      </c>
      <c r="C1147" t="s">
        <v>5522</v>
      </c>
      <c r="D1147" s="4">
        <v>6.54</v>
      </c>
      <c r="E1147" t="s">
        <v>5523</v>
      </c>
      <c r="F1147" s="1">
        <v>2.64E-2</v>
      </c>
      <c r="G1147" s="1">
        <v>6.0000000000000001E-3</v>
      </c>
      <c r="H1147" t="s">
        <v>10</v>
      </c>
      <c r="I1147" t="s">
        <v>5524</v>
      </c>
    </row>
    <row r="1148" spans="1:9" x14ac:dyDescent="0.3">
      <c r="A1148">
        <v>1713</v>
      </c>
      <c r="B1148" t="s">
        <v>24</v>
      </c>
      <c r="C1148" t="s">
        <v>5525</v>
      </c>
      <c r="D1148" s="4">
        <v>6.52</v>
      </c>
      <c r="E1148" t="s">
        <v>5526</v>
      </c>
      <c r="F1148" s="1">
        <v>-5.3699999999999998E-2</v>
      </c>
      <c r="G1148" s="1">
        <v>4.7999999999999996E-3</v>
      </c>
      <c r="H1148" t="s">
        <v>10</v>
      </c>
      <c r="I1148" t="s">
        <v>5527</v>
      </c>
    </row>
    <row r="1149" spans="1:9" x14ac:dyDescent="0.3">
      <c r="A1149">
        <v>1720</v>
      </c>
      <c r="B1149" t="s">
        <v>1799</v>
      </c>
      <c r="C1149" t="s">
        <v>5548</v>
      </c>
      <c r="D1149" s="4">
        <v>6.3</v>
      </c>
      <c r="E1149" t="s">
        <v>5549</v>
      </c>
      <c r="F1149" t="s">
        <v>662</v>
      </c>
      <c r="G1149" s="1">
        <v>7.9000000000000008E-3</v>
      </c>
      <c r="H1149" t="s">
        <v>10</v>
      </c>
      <c r="I1149" t="s">
        <v>5550</v>
      </c>
    </row>
    <row r="1150" spans="1:9" x14ac:dyDescent="0.3">
      <c r="A1150">
        <v>1721</v>
      </c>
      <c r="B1150" t="s">
        <v>941</v>
      </c>
      <c r="C1150" t="s">
        <v>5551</v>
      </c>
      <c r="D1150" s="4">
        <v>6.25</v>
      </c>
      <c r="E1150" t="s">
        <v>5552</v>
      </c>
      <c r="F1150" s="1">
        <v>-1.5800000000000002E-2</v>
      </c>
      <c r="G1150" s="1">
        <v>7.4999999999999997E-3</v>
      </c>
      <c r="H1150" t="s">
        <v>10</v>
      </c>
      <c r="I1150" t="s">
        <v>5553</v>
      </c>
    </row>
    <row r="1151" spans="1:9" x14ac:dyDescent="0.3">
      <c r="A1151">
        <v>1730</v>
      </c>
      <c r="B1151" t="s">
        <v>3982</v>
      </c>
      <c r="C1151" t="s">
        <v>5578</v>
      </c>
      <c r="D1151" s="4">
        <v>6.02</v>
      </c>
      <c r="E1151" t="s">
        <v>5579</v>
      </c>
      <c r="F1151" s="1">
        <v>-2.3800000000000002E-2</v>
      </c>
      <c r="G1151" s="1">
        <v>7.9000000000000008E-3</v>
      </c>
      <c r="H1151" t="s">
        <v>10</v>
      </c>
      <c r="I1151" t="s">
        <v>5580</v>
      </c>
    </row>
    <row r="1152" spans="1:9" x14ac:dyDescent="0.3">
      <c r="A1152">
        <v>1731</v>
      </c>
      <c r="B1152" t="s">
        <v>1799</v>
      </c>
      <c r="C1152" t="s">
        <v>5581</v>
      </c>
      <c r="D1152" s="4">
        <v>6.02</v>
      </c>
      <c r="E1152" t="s">
        <v>5579</v>
      </c>
      <c r="F1152" s="1">
        <v>-5.1400000000000001E-2</v>
      </c>
      <c r="G1152" s="1">
        <v>7.9000000000000008E-3</v>
      </c>
      <c r="H1152" t="s">
        <v>10</v>
      </c>
      <c r="I1152" t="s">
        <v>5582</v>
      </c>
    </row>
    <row r="1153" spans="1:9" x14ac:dyDescent="0.3">
      <c r="A1153">
        <v>1733</v>
      </c>
      <c r="B1153" t="s">
        <v>1864</v>
      </c>
      <c r="C1153" t="s">
        <v>5586</v>
      </c>
      <c r="D1153" s="4">
        <v>5.95</v>
      </c>
      <c r="E1153" t="s">
        <v>5587</v>
      </c>
      <c r="F1153" s="1">
        <v>-4.48E-2</v>
      </c>
      <c r="G1153" s="1">
        <v>4.4999999999999997E-3</v>
      </c>
      <c r="H1153" t="s">
        <v>10</v>
      </c>
      <c r="I1153" t="s">
        <v>5588</v>
      </c>
    </row>
    <row r="1154" spans="1:9" x14ac:dyDescent="0.3">
      <c r="A1154">
        <v>1745</v>
      </c>
      <c r="B1154" t="s">
        <v>1799</v>
      </c>
      <c r="C1154" t="s">
        <v>5623</v>
      </c>
      <c r="D1154" s="4">
        <v>5.47</v>
      </c>
      <c r="E1154" t="s">
        <v>5624</v>
      </c>
      <c r="F1154" s="1">
        <v>-1.44E-2</v>
      </c>
      <c r="G1154" s="1">
        <v>7.9000000000000008E-3</v>
      </c>
      <c r="H1154" t="s">
        <v>10</v>
      </c>
      <c r="I1154" t="s">
        <v>5625</v>
      </c>
    </row>
    <row r="1155" spans="1:9" x14ac:dyDescent="0.3">
      <c r="A1155">
        <v>1749</v>
      </c>
      <c r="B1155" t="s">
        <v>941</v>
      </c>
      <c r="C1155" t="s">
        <v>5635</v>
      </c>
      <c r="D1155" s="4">
        <v>5.42</v>
      </c>
      <c r="E1155" t="s">
        <v>5633</v>
      </c>
      <c r="F1155" s="1">
        <v>-0.1736</v>
      </c>
      <c r="G1155" s="1">
        <v>6.0000000000000001E-3</v>
      </c>
      <c r="H1155" t="s">
        <v>10</v>
      </c>
      <c r="I1155" t="s">
        <v>5636</v>
      </c>
    </row>
    <row r="1156" spans="1:9" x14ac:dyDescent="0.3">
      <c r="A1156">
        <v>1752</v>
      </c>
      <c r="B1156" t="s">
        <v>3982</v>
      </c>
      <c r="C1156" t="s">
        <v>5643</v>
      </c>
      <c r="D1156" s="4">
        <v>5.34</v>
      </c>
      <c r="E1156" t="s">
        <v>5644</v>
      </c>
      <c r="F1156" s="1">
        <v>-3.27E-2</v>
      </c>
      <c r="G1156" s="1">
        <v>7.9000000000000008E-3</v>
      </c>
      <c r="H1156" t="s">
        <v>10</v>
      </c>
      <c r="I1156" t="s">
        <v>5645</v>
      </c>
    </row>
    <row r="1157" spans="1:9" x14ac:dyDescent="0.3">
      <c r="A1157">
        <v>1755</v>
      </c>
      <c r="B1157" t="s">
        <v>1799</v>
      </c>
      <c r="C1157" t="s">
        <v>5652</v>
      </c>
      <c r="D1157" s="4">
        <v>5.29</v>
      </c>
      <c r="E1157" t="s">
        <v>5653</v>
      </c>
      <c r="F1157" s="1">
        <v>-2.24E-2</v>
      </c>
      <c r="G1157" s="1">
        <v>7.9000000000000008E-3</v>
      </c>
      <c r="H1157" t="s">
        <v>10</v>
      </c>
      <c r="I1157" t="s">
        <v>5654</v>
      </c>
    </row>
    <row r="1158" spans="1:9" x14ac:dyDescent="0.3">
      <c r="A1158">
        <v>1756</v>
      </c>
      <c r="B1158" t="s">
        <v>941</v>
      </c>
      <c r="C1158" t="s">
        <v>5655</v>
      </c>
      <c r="D1158" s="4">
        <v>5.24</v>
      </c>
      <c r="E1158" t="s">
        <v>5656</v>
      </c>
      <c r="F1158" s="1">
        <v>-9.9000000000000008E-3</v>
      </c>
      <c r="G1158" s="1">
        <v>7.4999999999999997E-3</v>
      </c>
      <c r="H1158" t="s">
        <v>10</v>
      </c>
      <c r="I1158" t="s">
        <v>5657</v>
      </c>
    </row>
    <row r="1159" spans="1:9" x14ac:dyDescent="0.3">
      <c r="A1159">
        <v>1760</v>
      </c>
      <c r="B1159" t="s">
        <v>3982</v>
      </c>
      <c r="C1159" t="s">
        <v>5668</v>
      </c>
      <c r="D1159" s="4">
        <v>5.09</v>
      </c>
      <c r="E1159" t="s">
        <v>5669</v>
      </c>
      <c r="F1159" s="1">
        <v>-2.4199999999999999E-2</v>
      </c>
      <c r="G1159" s="1">
        <v>7.9000000000000008E-3</v>
      </c>
      <c r="H1159" t="s">
        <v>10</v>
      </c>
      <c r="I1159" t="s">
        <v>5670</v>
      </c>
    </row>
    <row r="1160" spans="1:9" x14ac:dyDescent="0.3">
      <c r="A1160">
        <v>1763</v>
      </c>
      <c r="B1160" t="s">
        <v>1799</v>
      </c>
      <c r="C1160" t="s">
        <v>5677</v>
      </c>
      <c r="D1160" s="4">
        <v>4.9000000000000004</v>
      </c>
      <c r="E1160" t="s">
        <v>5678</v>
      </c>
      <c r="F1160" t="s">
        <v>662</v>
      </c>
      <c r="G1160" s="1">
        <v>7.9000000000000008E-3</v>
      </c>
      <c r="H1160" t="s">
        <v>10</v>
      </c>
      <c r="I1160" t="s">
        <v>5679</v>
      </c>
    </row>
    <row r="1161" spans="1:9" x14ac:dyDescent="0.3">
      <c r="A1161">
        <v>1767</v>
      </c>
      <c r="B1161" t="s">
        <v>24</v>
      </c>
      <c r="C1161" t="s">
        <v>5689</v>
      </c>
      <c r="D1161" s="4">
        <v>4.7699999999999996</v>
      </c>
      <c r="E1161" t="s">
        <v>5690</v>
      </c>
      <c r="F1161" t="s">
        <v>662</v>
      </c>
      <c r="G1161" s="1">
        <v>2E-3</v>
      </c>
      <c r="H1161" t="s">
        <v>10</v>
      </c>
      <c r="I1161" t="s">
        <v>5691</v>
      </c>
    </row>
    <row r="1162" spans="1:9" x14ac:dyDescent="0.3">
      <c r="A1162">
        <v>1784</v>
      </c>
      <c r="B1162" t="s">
        <v>3982</v>
      </c>
      <c r="C1162" t="s">
        <v>5740</v>
      </c>
      <c r="D1162" s="4">
        <v>4.1100000000000003</v>
      </c>
      <c r="E1162" t="s">
        <v>5741</v>
      </c>
      <c r="F1162" s="1">
        <v>-2.12E-2</v>
      </c>
      <c r="G1162" s="1">
        <v>7.9000000000000008E-3</v>
      </c>
      <c r="H1162" t="s">
        <v>10</v>
      </c>
      <c r="I1162" t="s">
        <v>5742</v>
      </c>
    </row>
    <row r="1163" spans="1:9" x14ac:dyDescent="0.3">
      <c r="A1163">
        <v>1789</v>
      </c>
      <c r="B1163" t="s">
        <v>3982</v>
      </c>
      <c r="C1163" t="s">
        <v>5756</v>
      </c>
      <c r="D1163" s="4">
        <v>3.88</v>
      </c>
      <c r="E1163" t="s">
        <v>5757</v>
      </c>
      <c r="F1163" s="1">
        <v>-2.3E-2</v>
      </c>
      <c r="G1163" s="1">
        <v>7.9000000000000008E-3</v>
      </c>
      <c r="H1163" t="s">
        <v>10</v>
      </c>
      <c r="I1163" t="s">
        <v>5758</v>
      </c>
    </row>
    <row r="1164" spans="1:9" x14ac:dyDescent="0.3">
      <c r="A1164">
        <v>1791</v>
      </c>
      <c r="B1164" t="s">
        <v>280</v>
      </c>
      <c r="C1164" t="s">
        <v>5761</v>
      </c>
      <c r="D1164" s="4">
        <v>3.87</v>
      </c>
      <c r="E1164" t="s">
        <v>5762</v>
      </c>
      <c r="F1164" s="1">
        <v>-3.1899999999999998E-2</v>
      </c>
      <c r="G1164" s="1">
        <v>5.4999999999999997E-3</v>
      </c>
      <c r="H1164" t="s">
        <v>10</v>
      </c>
      <c r="I1164" t="s">
        <v>5763</v>
      </c>
    </row>
    <row r="1165" spans="1:9" x14ac:dyDescent="0.3">
      <c r="A1165">
        <v>1795</v>
      </c>
      <c r="B1165" t="s">
        <v>486</v>
      </c>
      <c r="C1165" t="s">
        <v>5773</v>
      </c>
      <c r="D1165" s="4">
        <v>3.72</v>
      </c>
      <c r="E1165" t="s">
        <v>5774</v>
      </c>
      <c r="F1165" s="1">
        <v>-5.3800000000000001E-2</v>
      </c>
      <c r="G1165" s="1">
        <v>6.0000000000000001E-3</v>
      </c>
      <c r="H1165" t="s">
        <v>10</v>
      </c>
      <c r="I1165" t="s">
        <v>5775</v>
      </c>
    </row>
    <row r="1166" spans="1:9" x14ac:dyDescent="0.3">
      <c r="A1166">
        <v>1799</v>
      </c>
      <c r="B1166" t="s">
        <v>941</v>
      </c>
      <c r="C1166" t="s">
        <v>5786</v>
      </c>
      <c r="D1166" s="4">
        <v>3.6</v>
      </c>
      <c r="E1166" t="s">
        <v>5787</v>
      </c>
      <c r="F1166" s="1">
        <v>-1.15E-2</v>
      </c>
      <c r="G1166" s="1">
        <v>7.4999999999999997E-3</v>
      </c>
      <c r="H1166" t="s">
        <v>10</v>
      </c>
      <c r="I1166" t="s">
        <v>5788</v>
      </c>
    </row>
    <row r="1167" spans="1:9" x14ac:dyDescent="0.3">
      <c r="A1167">
        <v>1804</v>
      </c>
      <c r="B1167" t="s">
        <v>3982</v>
      </c>
      <c r="C1167" t="s">
        <v>5803</v>
      </c>
      <c r="D1167" s="4">
        <v>3.52</v>
      </c>
      <c r="E1167" t="s">
        <v>5804</v>
      </c>
      <c r="F1167" s="1">
        <v>-2.7099999999999999E-2</v>
      </c>
      <c r="G1167" s="1">
        <v>7.9000000000000008E-3</v>
      </c>
      <c r="H1167" t="s">
        <v>10</v>
      </c>
      <c r="I1167" t="s">
        <v>5805</v>
      </c>
    </row>
    <row r="1168" spans="1:9" x14ac:dyDescent="0.3">
      <c r="A1168">
        <v>1810</v>
      </c>
      <c r="B1168" t="s">
        <v>486</v>
      </c>
      <c r="C1168" t="s">
        <v>5822</v>
      </c>
      <c r="D1168" s="4">
        <v>3.41</v>
      </c>
      <c r="E1168" t="s">
        <v>5820</v>
      </c>
      <c r="F1168" s="1">
        <v>-2.1499999999999998E-2</v>
      </c>
      <c r="G1168" s="1">
        <v>6.0000000000000001E-3</v>
      </c>
      <c r="H1168" t="s">
        <v>10</v>
      </c>
      <c r="I1168" t="s">
        <v>5823</v>
      </c>
    </row>
    <row r="1169" spans="1:9" x14ac:dyDescent="0.3">
      <c r="A1169">
        <v>1812</v>
      </c>
      <c r="B1169" t="s">
        <v>3335</v>
      </c>
      <c r="C1169" t="s">
        <v>5827</v>
      </c>
      <c r="D1169" s="4">
        <v>3.3</v>
      </c>
      <c r="E1169" t="s">
        <v>5828</v>
      </c>
      <c r="F1169" s="1">
        <v>-3.7999999999999999E-2</v>
      </c>
      <c r="G1169" s="1">
        <v>7.4999999999999997E-3</v>
      </c>
      <c r="H1169" t="s">
        <v>10</v>
      </c>
      <c r="I1169" t="s">
        <v>5829</v>
      </c>
    </row>
    <row r="1170" spans="1:9" x14ac:dyDescent="0.3">
      <c r="A1170">
        <v>1814</v>
      </c>
      <c r="B1170" t="s">
        <v>941</v>
      </c>
      <c r="C1170" t="s">
        <v>5833</v>
      </c>
      <c r="D1170" s="4">
        <v>3.24</v>
      </c>
      <c r="E1170" t="s">
        <v>5834</v>
      </c>
      <c r="F1170" s="1">
        <v>-6.4999999999999997E-3</v>
      </c>
      <c r="G1170" s="1">
        <v>7.4999999999999997E-3</v>
      </c>
      <c r="H1170" t="s">
        <v>10</v>
      </c>
      <c r="I1170" t="s">
        <v>5835</v>
      </c>
    </row>
    <row r="1171" spans="1:9" x14ac:dyDescent="0.3">
      <c r="A1171">
        <v>1817</v>
      </c>
      <c r="B1171" t="s">
        <v>2475</v>
      </c>
      <c r="C1171" t="s">
        <v>5844</v>
      </c>
      <c r="D1171" s="4">
        <v>3.2</v>
      </c>
      <c r="E1171" t="s">
        <v>5842</v>
      </c>
      <c r="F1171" s="1">
        <v>-5.2299999999999999E-2</v>
      </c>
      <c r="G1171" s="1">
        <v>5.0000000000000001E-3</v>
      </c>
      <c r="H1171" t="s">
        <v>10</v>
      </c>
      <c r="I1171" t="s">
        <v>5845</v>
      </c>
    </row>
    <row r="1172" spans="1:9" x14ac:dyDescent="0.3">
      <c r="A1172">
        <v>1819</v>
      </c>
      <c r="B1172" t="s">
        <v>486</v>
      </c>
      <c r="C1172" t="s">
        <v>5849</v>
      </c>
      <c r="D1172" s="4">
        <v>3.12</v>
      </c>
      <c r="E1172" t="s">
        <v>5850</v>
      </c>
      <c r="F1172" s="1">
        <v>-2.6800000000000001E-2</v>
      </c>
      <c r="G1172" s="1">
        <v>6.0000000000000001E-3</v>
      </c>
      <c r="H1172" t="s">
        <v>10</v>
      </c>
      <c r="I1172" t="s">
        <v>5851</v>
      </c>
    </row>
    <row r="1173" spans="1:9" x14ac:dyDescent="0.3">
      <c r="A1173">
        <v>1820</v>
      </c>
      <c r="B1173" t="s">
        <v>486</v>
      </c>
      <c r="C1173" t="s">
        <v>5852</v>
      </c>
      <c r="D1173" s="4">
        <v>3.11</v>
      </c>
      <c r="E1173" t="s">
        <v>5853</v>
      </c>
      <c r="F1173" s="1">
        <v>-3.5400000000000001E-2</v>
      </c>
      <c r="G1173" s="1">
        <v>6.0000000000000001E-3</v>
      </c>
      <c r="H1173" t="s">
        <v>10</v>
      </c>
      <c r="I1173" t="s">
        <v>5854</v>
      </c>
    </row>
    <row r="1174" spans="1:9" x14ac:dyDescent="0.3">
      <c r="A1174">
        <v>1821</v>
      </c>
      <c r="B1174" t="s">
        <v>941</v>
      </c>
      <c r="C1174" t="s">
        <v>5855</v>
      </c>
      <c r="D1174" s="4">
        <v>3.1</v>
      </c>
      <c r="E1174" t="s">
        <v>5856</v>
      </c>
      <c r="F1174" s="1">
        <v>-8.8999999999999999E-3</v>
      </c>
      <c r="G1174" s="1">
        <v>7.4999999999999997E-3</v>
      </c>
      <c r="H1174" t="s">
        <v>10</v>
      </c>
      <c r="I1174" t="s">
        <v>5857</v>
      </c>
    </row>
    <row r="1175" spans="1:9" x14ac:dyDescent="0.3">
      <c r="A1175">
        <v>1822</v>
      </c>
      <c r="B1175" t="s">
        <v>4310</v>
      </c>
      <c r="C1175" t="s">
        <v>5858</v>
      </c>
      <c r="D1175" s="4">
        <v>3.07</v>
      </c>
      <c r="E1175" t="s">
        <v>5859</v>
      </c>
      <c r="F1175" s="1">
        <v>-5.0599999999999999E-2</v>
      </c>
      <c r="G1175" s="1">
        <v>8.9999999999999993E-3</v>
      </c>
      <c r="H1175" t="s">
        <v>10</v>
      </c>
      <c r="I1175" t="s">
        <v>5860</v>
      </c>
    </row>
    <row r="1176" spans="1:9" x14ac:dyDescent="0.3">
      <c r="A1176">
        <v>1834</v>
      </c>
      <c r="B1176" t="s">
        <v>24</v>
      </c>
      <c r="C1176" t="s">
        <v>5896</v>
      </c>
      <c r="D1176" s="4">
        <v>2.73</v>
      </c>
      <c r="E1176" t="s">
        <v>5897</v>
      </c>
      <c r="F1176" s="1">
        <v>-3.1199999999999999E-2</v>
      </c>
      <c r="G1176" s="1">
        <v>2.8999999999999998E-3</v>
      </c>
      <c r="H1176" t="s">
        <v>10</v>
      </c>
      <c r="I1176" t="s">
        <v>5898</v>
      </c>
    </row>
    <row r="1177" spans="1:9" x14ac:dyDescent="0.3">
      <c r="A1177">
        <v>1836</v>
      </c>
      <c r="B1177" t="s">
        <v>1856</v>
      </c>
      <c r="C1177" t="s">
        <v>5902</v>
      </c>
      <c r="D1177" s="4">
        <v>2.65</v>
      </c>
      <c r="E1177" t="s">
        <v>5903</v>
      </c>
      <c r="F1177" s="1">
        <v>-4.8999999999999998E-3</v>
      </c>
      <c r="G1177" s="1">
        <v>4.4999999999999997E-3</v>
      </c>
      <c r="H1177" t="s">
        <v>10</v>
      </c>
      <c r="I1177" t="s">
        <v>5904</v>
      </c>
    </row>
    <row r="1178" spans="1:9" x14ac:dyDescent="0.3">
      <c r="A1178">
        <v>1839</v>
      </c>
      <c r="B1178" t="s">
        <v>444</v>
      </c>
      <c r="C1178" t="s">
        <v>5912</v>
      </c>
      <c r="D1178" s="4">
        <v>2.5299999999999998</v>
      </c>
      <c r="E1178" t="s">
        <v>5913</v>
      </c>
      <c r="F1178" s="1">
        <v>-2.9899999999999999E-2</v>
      </c>
      <c r="G1178" s="1">
        <v>8.9999999999999998E-4</v>
      </c>
      <c r="H1178" t="s">
        <v>10</v>
      </c>
      <c r="I1178" t="s">
        <v>5914</v>
      </c>
    </row>
    <row r="1179" spans="1:9" x14ac:dyDescent="0.3">
      <c r="A1179">
        <v>1850</v>
      </c>
      <c r="B1179" t="s">
        <v>24</v>
      </c>
      <c r="C1179" t="s">
        <v>5943</v>
      </c>
      <c r="D1179" s="4">
        <v>2.1800000000000002</v>
      </c>
      <c r="E1179" t="s">
        <v>5944</v>
      </c>
      <c r="F1179" t="s">
        <v>662</v>
      </c>
      <c r="G1179" s="1">
        <v>2E-3</v>
      </c>
      <c r="H1179" t="s">
        <v>10</v>
      </c>
      <c r="I1179" t="s">
        <v>5945</v>
      </c>
    </row>
    <row r="1180" spans="1:9" x14ac:dyDescent="0.3">
      <c r="A1180">
        <v>1857</v>
      </c>
      <c r="B1180" t="s">
        <v>1799</v>
      </c>
      <c r="C1180" t="s">
        <v>5964</v>
      </c>
      <c r="D1180" s="4">
        <v>1.83</v>
      </c>
      <c r="E1180" t="s">
        <v>5965</v>
      </c>
      <c r="F1180" s="1">
        <v>-2.3199999999999998E-2</v>
      </c>
      <c r="G1180" s="1">
        <v>7.9000000000000008E-3</v>
      </c>
      <c r="H1180" t="s">
        <v>10</v>
      </c>
      <c r="I1180" t="s">
        <v>5966</v>
      </c>
    </row>
    <row r="1181" spans="1:9" x14ac:dyDescent="0.3">
      <c r="A1181">
        <v>1866</v>
      </c>
      <c r="B1181" t="s">
        <v>5990</v>
      </c>
      <c r="C1181" t="s">
        <v>5991</v>
      </c>
      <c r="D1181" s="4">
        <v>1.48</v>
      </c>
      <c r="E1181" t="s">
        <v>5992</v>
      </c>
      <c r="F1181" s="1">
        <v>-4.19E-2</v>
      </c>
      <c r="G1181" s="1">
        <v>7.4999999999999997E-3</v>
      </c>
      <c r="H1181" t="s">
        <v>10</v>
      </c>
      <c r="I1181" t="s">
        <v>5993</v>
      </c>
    </row>
    <row r="1182" spans="1:9" x14ac:dyDescent="0.3">
      <c r="A1182">
        <v>1871</v>
      </c>
      <c r="B1182" t="s">
        <v>5885</v>
      </c>
      <c r="C1182" t="s">
        <v>6010</v>
      </c>
      <c r="D1182" s="4">
        <v>1.27</v>
      </c>
      <c r="E1182" t="s">
        <v>6011</v>
      </c>
      <c r="F1182" s="1">
        <v>5.9299999999999999E-2</v>
      </c>
      <c r="G1182" s="1">
        <v>2.8999999999999998E-3</v>
      </c>
      <c r="H1182" t="s">
        <v>10</v>
      </c>
      <c r="I1182" t="s">
        <v>6012</v>
      </c>
    </row>
    <row r="1183" spans="1:9" x14ac:dyDescent="0.3">
      <c r="A1183">
        <v>1875</v>
      </c>
      <c r="B1183" t="s">
        <v>1799</v>
      </c>
      <c r="C1183" t="s">
        <v>6023</v>
      </c>
      <c r="D1183" s="4">
        <v>1.1399999999999999</v>
      </c>
      <c r="E1183" t="s">
        <v>6024</v>
      </c>
      <c r="F1183" t="s">
        <v>662</v>
      </c>
      <c r="G1183" s="1">
        <v>7.9000000000000008E-3</v>
      </c>
      <c r="H1183" t="s">
        <v>10</v>
      </c>
      <c r="I1183" t="s">
        <v>6025</v>
      </c>
    </row>
    <row r="1184" spans="1:9" x14ac:dyDescent="0.3">
      <c r="A1184">
        <v>1877</v>
      </c>
      <c r="B1184" t="s">
        <v>6029</v>
      </c>
      <c r="C1184" t="s">
        <v>6030</v>
      </c>
      <c r="D1184" s="4">
        <v>1.1100000000000001</v>
      </c>
      <c r="E1184" t="s">
        <v>6031</v>
      </c>
      <c r="F1184" t="s">
        <v>662</v>
      </c>
      <c r="G1184" s="1">
        <v>7.4999999999999997E-3</v>
      </c>
      <c r="H1184" t="s">
        <v>10</v>
      </c>
      <c r="I1184" t="s">
        <v>6032</v>
      </c>
    </row>
    <row r="1185" spans="1:9" x14ac:dyDescent="0.3">
      <c r="A1185">
        <v>1895</v>
      </c>
      <c r="B1185" t="s">
        <v>6092</v>
      </c>
      <c r="C1185" t="s">
        <v>6093</v>
      </c>
      <c r="D1185" s="4">
        <f>427.75*0.001</f>
        <v>0.42775000000000002</v>
      </c>
      <c r="E1185" t="s">
        <v>6094</v>
      </c>
      <c r="F1185" t="s">
        <v>662</v>
      </c>
      <c r="G1185" s="1">
        <v>6.7000000000000002E-3</v>
      </c>
      <c r="H1185" t="s">
        <v>10</v>
      </c>
      <c r="I1185" t="s">
        <v>6095</v>
      </c>
    </row>
    <row r="1186" spans="1:9" x14ac:dyDescent="0.3">
      <c r="A1186">
        <v>1924</v>
      </c>
      <c r="B1186" t="s">
        <v>588</v>
      </c>
      <c r="C1186" t="s">
        <v>6159</v>
      </c>
      <c r="D1186" s="4" t="s">
        <v>662</v>
      </c>
      <c r="E1186" t="s">
        <v>662</v>
      </c>
      <c r="F1186" s="2">
        <v>0</v>
      </c>
      <c r="G1186" s="1">
        <v>4.0000000000000001E-3</v>
      </c>
      <c r="H1186" t="s">
        <v>46</v>
      </c>
      <c r="I1186" t="s">
        <v>6160</v>
      </c>
    </row>
    <row r="1187" spans="1:9" x14ac:dyDescent="0.3">
      <c r="A1187">
        <v>9</v>
      </c>
      <c r="B1187" t="s">
        <v>16</v>
      </c>
      <c r="C1187" t="s">
        <v>44</v>
      </c>
      <c r="D1187" s="4">
        <f>78.94*1000</f>
        <v>78940</v>
      </c>
      <c r="E1187" t="s">
        <v>45</v>
      </c>
      <c r="F1187" s="1">
        <v>-9.2499999999999999E-2</v>
      </c>
      <c r="G1187" s="1">
        <v>4.0000000000000002E-4</v>
      </c>
      <c r="H1187" t="s">
        <v>46</v>
      </c>
      <c r="I1187" t="s">
        <v>47</v>
      </c>
    </row>
    <row r="1188" spans="1:9" x14ac:dyDescent="0.3">
      <c r="A1188">
        <v>12</v>
      </c>
      <c r="B1188" t="s">
        <v>12</v>
      </c>
      <c r="C1188" t="s">
        <v>55</v>
      </c>
      <c r="D1188" s="4">
        <f>68.16*1000</f>
        <v>68160</v>
      </c>
      <c r="E1188" t="s">
        <v>56</v>
      </c>
      <c r="F1188" s="1">
        <v>-8.0299999999999996E-2</v>
      </c>
      <c r="G1188" s="1">
        <v>1.9E-3</v>
      </c>
      <c r="H1188" t="s">
        <v>46</v>
      </c>
      <c r="I1188" t="s">
        <v>57</v>
      </c>
    </row>
    <row r="1189" spans="1:9" x14ac:dyDescent="0.3">
      <c r="A1189">
        <v>28</v>
      </c>
      <c r="B1189" t="s">
        <v>12</v>
      </c>
      <c r="C1189" t="s">
        <v>109</v>
      </c>
      <c r="D1189" s="4">
        <f>35.23*1000</f>
        <v>35230</v>
      </c>
      <c r="E1189" t="s">
        <v>110</v>
      </c>
      <c r="F1189" s="1">
        <v>-6.0600000000000001E-2</v>
      </c>
      <c r="G1189" s="1">
        <v>1.8E-3</v>
      </c>
      <c r="H1189" t="s">
        <v>46</v>
      </c>
      <c r="I1189" t="s">
        <v>111</v>
      </c>
    </row>
    <row r="1190" spans="1:9" x14ac:dyDescent="0.3">
      <c r="A1190">
        <v>60</v>
      </c>
      <c r="B1190" t="s">
        <v>116</v>
      </c>
      <c r="C1190" t="s">
        <v>216</v>
      </c>
      <c r="D1190" s="4">
        <f>15.48*1000</f>
        <v>15480</v>
      </c>
      <c r="E1190" t="s">
        <v>217</v>
      </c>
      <c r="F1190" s="1">
        <v>-9.4299999999999995E-2</v>
      </c>
      <c r="G1190" s="1">
        <v>4.0000000000000002E-4</v>
      </c>
      <c r="H1190" t="s">
        <v>46</v>
      </c>
      <c r="I1190" t="s">
        <v>218</v>
      </c>
    </row>
    <row r="1191" spans="1:9" x14ac:dyDescent="0.3">
      <c r="A1191">
        <v>71</v>
      </c>
      <c r="B1191" t="s">
        <v>7</v>
      </c>
      <c r="C1191" t="s">
        <v>256</v>
      </c>
      <c r="D1191" s="4">
        <f>13.49*1000</f>
        <v>13490</v>
      </c>
      <c r="E1191" t="s">
        <v>257</v>
      </c>
      <c r="F1191" s="1">
        <v>-5.9499999999999997E-2</v>
      </c>
      <c r="G1191" s="1">
        <v>4.0000000000000002E-4</v>
      </c>
      <c r="H1191" t="s">
        <v>46</v>
      </c>
      <c r="I1191" t="s">
        <v>258</v>
      </c>
    </row>
    <row r="1192" spans="1:9" x14ac:dyDescent="0.3">
      <c r="A1192">
        <v>77</v>
      </c>
      <c r="B1192" t="s">
        <v>16</v>
      </c>
      <c r="C1192" t="s">
        <v>277</v>
      </c>
      <c r="D1192" s="4">
        <f>12.78*1000</f>
        <v>12780</v>
      </c>
      <c r="E1192" t="s">
        <v>278</v>
      </c>
      <c r="F1192" s="1">
        <v>-8.1600000000000006E-2</v>
      </c>
      <c r="G1192" s="1">
        <v>6.9999999999999999E-4</v>
      </c>
      <c r="H1192" t="s">
        <v>46</v>
      </c>
      <c r="I1192" t="s">
        <v>279</v>
      </c>
    </row>
    <row r="1193" spans="1:9" x14ac:dyDescent="0.3">
      <c r="A1193">
        <v>116</v>
      </c>
      <c r="B1193" t="s">
        <v>16</v>
      </c>
      <c r="C1193" t="s">
        <v>412</v>
      </c>
      <c r="D1193" s="4">
        <f>7.32*1000</f>
        <v>7320</v>
      </c>
      <c r="E1193" t="s">
        <v>413</v>
      </c>
      <c r="F1193" s="1">
        <v>-8.0299999999999996E-2</v>
      </c>
      <c r="G1193" s="1">
        <v>8.0000000000000004E-4</v>
      </c>
      <c r="H1193" t="s">
        <v>46</v>
      </c>
      <c r="I1193" t="s">
        <v>414</v>
      </c>
    </row>
    <row r="1194" spans="1:9" x14ac:dyDescent="0.3">
      <c r="A1194">
        <v>118</v>
      </c>
      <c r="B1194" t="s">
        <v>16</v>
      </c>
      <c r="C1194" t="s">
        <v>418</v>
      </c>
      <c r="D1194" s="4">
        <f>7.09*1000</f>
        <v>7090</v>
      </c>
      <c r="E1194" t="s">
        <v>419</v>
      </c>
      <c r="F1194" s="1">
        <v>-5.9900000000000002E-2</v>
      </c>
      <c r="G1194" s="1">
        <v>1E-3</v>
      </c>
      <c r="H1194" t="s">
        <v>46</v>
      </c>
      <c r="I1194" t="s">
        <v>420</v>
      </c>
    </row>
    <row r="1195" spans="1:9" x14ac:dyDescent="0.3">
      <c r="A1195">
        <v>174</v>
      </c>
      <c r="B1195" t="s">
        <v>12</v>
      </c>
      <c r="C1195" t="s">
        <v>612</v>
      </c>
      <c r="D1195" s="4">
        <f>4.45*1000</f>
        <v>4450</v>
      </c>
      <c r="E1195" t="s">
        <v>613</v>
      </c>
      <c r="F1195" s="1">
        <v>-5.4899999999999997E-2</v>
      </c>
      <c r="G1195" s="1">
        <v>2E-3</v>
      </c>
      <c r="H1195" t="s">
        <v>46</v>
      </c>
      <c r="I1195" t="s">
        <v>614</v>
      </c>
    </row>
    <row r="1196" spans="1:9" x14ac:dyDescent="0.3">
      <c r="A1196">
        <v>225</v>
      </c>
      <c r="B1196" t="s">
        <v>24</v>
      </c>
      <c r="C1196" t="s">
        <v>777</v>
      </c>
      <c r="D1196" s="4">
        <f>2.88*1000</f>
        <v>2880</v>
      </c>
      <c r="E1196" t="s">
        <v>778</v>
      </c>
      <c r="F1196" s="1">
        <v>-0.12939999999999999</v>
      </c>
      <c r="G1196" s="1">
        <v>3.5000000000000001E-3</v>
      </c>
      <c r="H1196" t="s">
        <v>46</v>
      </c>
      <c r="I1196" t="s">
        <v>779</v>
      </c>
    </row>
    <row r="1197" spans="1:9" x14ac:dyDescent="0.3">
      <c r="A1197">
        <v>376</v>
      </c>
      <c r="B1197" t="s">
        <v>280</v>
      </c>
      <c r="C1197" t="s">
        <v>1233</v>
      </c>
      <c r="D1197" s="4">
        <f>1.08*1000</f>
        <v>1080</v>
      </c>
      <c r="E1197" t="s">
        <v>1231</v>
      </c>
      <c r="F1197" s="1">
        <v>-0.1313</v>
      </c>
      <c r="G1197" s="1">
        <v>6.0000000000000001E-3</v>
      </c>
      <c r="H1197" t="s">
        <v>46</v>
      </c>
      <c r="I1197" t="s">
        <v>1234</v>
      </c>
    </row>
    <row r="1198" spans="1:9" x14ac:dyDescent="0.3">
      <c r="A1198">
        <v>434</v>
      </c>
      <c r="B1198" t="s">
        <v>24</v>
      </c>
      <c r="C1198" t="s">
        <v>1418</v>
      </c>
      <c r="D1198" s="4">
        <v>836.57</v>
      </c>
      <c r="E1198" t="s">
        <v>1419</v>
      </c>
      <c r="F1198" s="1">
        <v>-2.47E-2</v>
      </c>
      <c r="G1198" s="1">
        <v>3.5999999999999999E-3</v>
      </c>
      <c r="H1198" t="s">
        <v>46</v>
      </c>
      <c r="I1198" t="s">
        <v>1420</v>
      </c>
    </row>
    <row r="1199" spans="1:9" x14ac:dyDescent="0.3">
      <c r="A1199">
        <v>437</v>
      </c>
      <c r="B1199" t="s">
        <v>780</v>
      </c>
      <c r="C1199" t="s">
        <v>1427</v>
      </c>
      <c r="D1199" s="4">
        <v>831.17</v>
      </c>
      <c r="E1199" t="s">
        <v>1428</v>
      </c>
      <c r="F1199" s="1">
        <v>-0.1095</v>
      </c>
      <c r="G1199" s="1">
        <v>2.5000000000000001E-3</v>
      </c>
      <c r="H1199" t="s">
        <v>46</v>
      </c>
      <c r="I1199" t="s">
        <v>1429</v>
      </c>
    </row>
    <row r="1200" spans="1:9" x14ac:dyDescent="0.3">
      <c r="A1200">
        <v>474</v>
      </c>
      <c r="B1200" t="s">
        <v>24</v>
      </c>
      <c r="C1200" t="s">
        <v>1544</v>
      </c>
      <c r="D1200" s="4">
        <v>720.83</v>
      </c>
      <c r="E1200" t="s">
        <v>1545</v>
      </c>
      <c r="F1200" s="1">
        <v>-9.6100000000000005E-2</v>
      </c>
      <c r="G1200" s="1">
        <v>5.5999999999999999E-3</v>
      </c>
      <c r="H1200" t="s">
        <v>46</v>
      </c>
      <c r="I1200" t="s">
        <v>1546</v>
      </c>
    </row>
    <row r="1201" spans="1:9" x14ac:dyDescent="0.3">
      <c r="A1201">
        <v>636</v>
      </c>
      <c r="B1201" t="s">
        <v>2087</v>
      </c>
      <c r="C1201" t="s">
        <v>2088</v>
      </c>
      <c r="D1201" s="4">
        <v>368.33</v>
      </c>
      <c r="E1201" t="s">
        <v>2089</v>
      </c>
      <c r="F1201" s="1">
        <v>-5.8200000000000002E-2</v>
      </c>
      <c r="G1201" s="1">
        <v>0</v>
      </c>
      <c r="H1201" t="s">
        <v>46</v>
      </c>
      <c r="I1201" t="s">
        <v>2090</v>
      </c>
    </row>
    <row r="1202" spans="1:9" x14ac:dyDescent="0.3">
      <c r="A1202">
        <v>948</v>
      </c>
      <c r="B1202" t="s">
        <v>280</v>
      </c>
      <c r="C1202" t="s">
        <v>3090</v>
      </c>
      <c r="D1202" s="4">
        <v>119.98</v>
      </c>
      <c r="E1202" t="s">
        <v>3091</v>
      </c>
      <c r="F1202" s="1">
        <v>-0.20810000000000001</v>
      </c>
      <c r="G1202" s="1">
        <v>8.5000000000000006E-3</v>
      </c>
      <c r="H1202" t="s">
        <v>46</v>
      </c>
      <c r="I1202" t="s">
        <v>3092</v>
      </c>
    </row>
    <row r="1203" spans="1:9" x14ac:dyDescent="0.3">
      <c r="A1203">
        <v>1108</v>
      </c>
      <c r="B1203" t="s">
        <v>964</v>
      </c>
      <c r="C1203" t="s">
        <v>3608</v>
      </c>
      <c r="D1203" s="4">
        <v>71.72</v>
      </c>
      <c r="E1203" t="s">
        <v>3609</v>
      </c>
      <c r="F1203" t="s">
        <v>662</v>
      </c>
      <c r="G1203" s="1">
        <v>5.8999999999999999E-3</v>
      </c>
      <c r="H1203" t="s">
        <v>46</v>
      </c>
      <c r="I1203" t="s">
        <v>3610</v>
      </c>
    </row>
    <row r="1204" spans="1:9" x14ac:dyDescent="0.3">
      <c r="A1204">
        <v>1157</v>
      </c>
      <c r="B1204" t="s">
        <v>3281</v>
      </c>
      <c r="C1204" t="s">
        <v>3765</v>
      </c>
      <c r="D1204" s="4">
        <v>59.38</v>
      </c>
      <c r="E1204" t="s">
        <v>3766</v>
      </c>
      <c r="F1204" s="1">
        <v>-0.1772</v>
      </c>
      <c r="G1204" s="1">
        <v>5.8999999999999999E-3</v>
      </c>
      <c r="H1204" t="s">
        <v>46</v>
      </c>
      <c r="I1204" t="s">
        <v>3767</v>
      </c>
    </row>
    <row r="1205" spans="1:9" x14ac:dyDescent="0.3">
      <c r="A1205">
        <v>1535</v>
      </c>
      <c r="B1205" t="s">
        <v>588</v>
      </c>
      <c r="C1205" t="s">
        <v>4970</v>
      </c>
      <c r="D1205" s="4">
        <v>16.64</v>
      </c>
      <c r="E1205" t="s">
        <v>4971</v>
      </c>
      <c r="F1205" s="1">
        <v>-0.114</v>
      </c>
      <c r="G1205" s="1">
        <v>6.3E-3</v>
      </c>
      <c r="H1205" t="s">
        <v>46</v>
      </c>
      <c r="I1205" t="s">
        <v>4972</v>
      </c>
    </row>
    <row r="1206" spans="1:9" x14ac:dyDescent="0.3">
      <c r="A1206">
        <v>1640</v>
      </c>
      <c r="B1206" t="s">
        <v>4705</v>
      </c>
      <c r="C1206" t="s">
        <v>5302</v>
      </c>
      <c r="D1206" s="4">
        <v>9.59</v>
      </c>
      <c r="E1206" t="s">
        <v>5303</v>
      </c>
      <c r="F1206" s="1">
        <v>-0.10150000000000001</v>
      </c>
      <c r="G1206" s="1">
        <v>5.4999999999999997E-3</v>
      </c>
      <c r="H1206" t="s">
        <v>46</v>
      </c>
      <c r="I1206" t="s">
        <v>5304</v>
      </c>
    </row>
    <row r="1207" spans="1:9" x14ac:dyDescent="0.3">
      <c r="A1207">
        <v>1715</v>
      </c>
      <c r="B1207" t="s">
        <v>863</v>
      </c>
      <c r="C1207" t="s">
        <v>5531</v>
      </c>
      <c r="D1207" s="4">
        <v>6.5</v>
      </c>
      <c r="E1207" t="s">
        <v>5529</v>
      </c>
      <c r="F1207" s="1">
        <v>-6.2700000000000006E-2</v>
      </c>
      <c r="G1207" s="1">
        <v>3.8999999999999998E-3</v>
      </c>
      <c r="H1207" t="s">
        <v>46</v>
      </c>
      <c r="I1207" t="s">
        <v>5532</v>
      </c>
    </row>
    <row r="1208" spans="1:9" x14ac:dyDescent="0.3">
      <c r="A1208">
        <v>1753</v>
      </c>
      <c r="B1208" t="s">
        <v>12</v>
      </c>
      <c r="C1208" t="s">
        <v>5646</v>
      </c>
      <c r="D1208" s="4">
        <v>5.31</v>
      </c>
      <c r="E1208" t="s">
        <v>5647</v>
      </c>
      <c r="F1208" s="1">
        <v>-7.1599999999999997E-2</v>
      </c>
      <c r="G1208" s="1">
        <v>2.5000000000000001E-3</v>
      </c>
      <c r="H1208" t="s">
        <v>46</v>
      </c>
      <c r="I1208" t="s">
        <v>5648</v>
      </c>
    </row>
    <row r="1209" spans="1:9" x14ac:dyDescent="0.3">
      <c r="A1209">
        <v>1757</v>
      </c>
      <c r="B1209" t="s">
        <v>780</v>
      </c>
      <c r="C1209" t="s">
        <v>5658</v>
      </c>
      <c r="D1209" s="4">
        <v>5.22</v>
      </c>
      <c r="E1209" t="s">
        <v>5659</v>
      </c>
      <c r="F1209" s="1">
        <v>-0.1172</v>
      </c>
      <c r="G1209" s="1">
        <v>6.4000000000000003E-3</v>
      </c>
      <c r="H1209" t="s">
        <v>46</v>
      </c>
      <c r="I1209" t="s">
        <v>5660</v>
      </c>
    </row>
    <row r="1210" spans="1:9" x14ac:dyDescent="0.3">
      <c r="A1210">
        <v>1887</v>
      </c>
      <c r="B1210" t="s">
        <v>6062</v>
      </c>
      <c r="C1210" t="s">
        <v>6063</v>
      </c>
      <c r="D1210" s="4">
        <f>615.35*0.001</f>
        <v>0.61535000000000006</v>
      </c>
      <c r="E1210" t="s">
        <v>6064</v>
      </c>
      <c r="F1210" t="s">
        <v>662</v>
      </c>
      <c r="G1210" s="1">
        <v>8.5000000000000006E-3</v>
      </c>
      <c r="H1210" t="s">
        <v>46</v>
      </c>
      <c r="I1210" t="s">
        <v>6065</v>
      </c>
    </row>
    <row r="1211" spans="1:9" x14ac:dyDescent="0.3">
      <c r="A1211">
        <v>7</v>
      </c>
      <c r="B1211" t="s">
        <v>16</v>
      </c>
      <c r="C1211" t="s">
        <v>36</v>
      </c>
      <c r="D1211" s="4">
        <f>92.17*1000</f>
        <v>92170</v>
      </c>
      <c r="E1211" t="s">
        <v>37</v>
      </c>
      <c r="F1211" s="1">
        <v>1.1599999999999999E-2</v>
      </c>
      <c r="G1211" s="1">
        <v>4.0000000000000002E-4</v>
      </c>
      <c r="H1211" t="s">
        <v>38</v>
      </c>
      <c r="I1211" t="s">
        <v>39</v>
      </c>
    </row>
    <row r="1212" spans="1:9" x14ac:dyDescent="0.3">
      <c r="A1212">
        <v>16</v>
      </c>
      <c r="B1212" t="s">
        <v>12</v>
      </c>
      <c r="C1212" t="s">
        <v>68</v>
      </c>
      <c r="D1212" s="4">
        <f>56.87*1000</f>
        <v>56870</v>
      </c>
      <c r="E1212" t="s">
        <v>69</v>
      </c>
      <c r="F1212" s="1">
        <v>-1.46E-2</v>
      </c>
      <c r="G1212" s="1">
        <v>1.9E-3</v>
      </c>
      <c r="H1212" t="s">
        <v>38</v>
      </c>
      <c r="I1212" t="s">
        <v>70</v>
      </c>
    </row>
    <row r="1213" spans="1:9" x14ac:dyDescent="0.3">
      <c r="A1213">
        <v>44</v>
      </c>
      <c r="B1213" t="s">
        <v>12</v>
      </c>
      <c r="C1213" t="s">
        <v>162</v>
      </c>
      <c r="D1213" s="4">
        <f>24.04*1000</f>
        <v>24040</v>
      </c>
      <c r="E1213" t="s">
        <v>163</v>
      </c>
      <c r="F1213" s="1">
        <v>-1.6000000000000001E-3</v>
      </c>
      <c r="G1213" s="1">
        <v>1.8E-3</v>
      </c>
      <c r="H1213" t="s">
        <v>38</v>
      </c>
      <c r="I1213" t="s">
        <v>164</v>
      </c>
    </row>
    <row r="1214" spans="1:9" x14ac:dyDescent="0.3">
      <c r="A1214">
        <v>72</v>
      </c>
      <c r="B1214" t="s">
        <v>7</v>
      </c>
      <c r="C1214" t="s">
        <v>259</v>
      </c>
      <c r="D1214" s="4">
        <f>13.13*1000</f>
        <v>13130</v>
      </c>
      <c r="E1214" t="s">
        <v>260</v>
      </c>
      <c r="F1214" s="1">
        <v>-8.0000000000000004E-4</v>
      </c>
      <c r="G1214" s="1">
        <v>4.0000000000000002E-4</v>
      </c>
      <c r="H1214" t="s">
        <v>38</v>
      </c>
      <c r="I1214" t="s">
        <v>261</v>
      </c>
    </row>
    <row r="1215" spans="1:9" x14ac:dyDescent="0.3">
      <c r="A1215">
        <v>89</v>
      </c>
      <c r="B1215" t="s">
        <v>116</v>
      </c>
      <c r="C1215" t="s">
        <v>320</v>
      </c>
      <c r="D1215" s="4">
        <f>10.12*1000</f>
        <v>10120</v>
      </c>
      <c r="E1215" t="s">
        <v>321</v>
      </c>
      <c r="F1215" s="1">
        <v>-6.7999999999999996E-3</v>
      </c>
      <c r="G1215" s="1">
        <v>4.0000000000000002E-4</v>
      </c>
      <c r="H1215" t="s">
        <v>38</v>
      </c>
      <c r="I1215" t="s">
        <v>322</v>
      </c>
    </row>
    <row r="1216" spans="1:9" x14ac:dyDescent="0.3">
      <c r="A1216">
        <v>122</v>
      </c>
      <c r="B1216" t="s">
        <v>16</v>
      </c>
      <c r="C1216" t="s">
        <v>431</v>
      </c>
      <c r="D1216" s="4">
        <f>6.87*1000</f>
        <v>6870</v>
      </c>
      <c r="E1216" t="s">
        <v>432</v>
      </c>
      <c r="F1216" s="1">
        <v>-1.43E-2</v>
      </c>
      <c r="G1216" s="1">
        <v>8.0000000000000004E-4</v>
      </c>
      <c r="H1216" t="s">
        <v>38</v>
      </c>
      <c r="I1216" t="s">
        <v>433</v>
      </c>
    </row>
    <row r="1217" spans="1:9" x14ac:dyDescent="0.3">
      <c r="A1217">
        <v>163</v>
      </c>
      <c r="B1217" t="s">
        <v>16</v>
      </c>
      <c r="C1217" t="s">
        <v>574</v>
      </c>
      <c r="D1217" s="4">
        <f>5.05*1000</f>
        <v>5050</v>
      </c>
      <c r="E1217" t="s">
        <v>568</v>
      </c>
      <c r="F1217" s="1">
        <v>1.89E-2</v>
      </c>
      <c r="G1217" s="1">
        <v>6.9999999999999999E-4</v>
      </c>
      <c r="H1217" t="s">
        <v>38</v>
      </c>
      <c r="I1217" t="s">
        <v>575</v>
      </c>
    </row>
    <row r="1218" spans="1:9" x14ac:dyDescent="0.3">
      <c r="A1218">
        <v>220</v>
      </c>
      <c r="B1218" t="s">
        <v>24</v>
      </c>
      <c r="C1218" t="s">
        <v>760</v>
      </c>
      <c r="D1218" s="4">
        <f>3.09*1000</f>
        <v>3090</v>
      </c>
      <c r="E1218" t="s">
        <v>761</v>
      </c>
      <c r="F1218" s="1">
        <v>1.0699999999999999E-2</v>
      </c>
      <c r="G1218" s="1">
        <v>3.5000000000000001E-3</v>
      </c>
      <c r="H1218" t="s">
        <v>38</v>
      </c>
      <c r="I1218" t="s">
        <v>762</v>
      </c>
    </row>
    <row r="1219" spans="1:9" x14ac:dyDescent="0.3">
      <c r="A1219">
        <v>238</v>
      </c>
      <c r="B1219" t="s">
        <v>16</v>
      </c>
      <c r="C1219" t="s">
        <v>820</v>
      </c>
      <c r="D1219" s="4">
        <f>2.63*1000</f>
        <v>2630</v>
      </c>
      <c r="E1219" t="s">
        <v>817</v>
      </c>
      <c r="F1219" s="1">
        <v>-1.1999999999999999E-3</v>
      </c>
      <c r="G1219" s="1">
        <v>1E-3</v>
      </c>
      <c r="H1219" t="s">
        <v>38</v>
      </c>
      <c r="I1219" t="s">
        <v>821</v>
      </c>
    </row>
    <row r="1220" spans="1:9" x14ac:dyDescent="0.3">
      <c r="A1220">
        <v>339</v>
      </c>
      <c r="B1220" t="s">
        <v>780</v>
      </c>
      <c r="C1220" t="s">
        <v>1129</v>
      </c>
      <c r="D1220" s="4">
        <f>1.27*1000</f>
        <v>1270</v>
      </c>
      <c r="E1220" t="s">
        <v>1127</v>
      </c>
      <c r="F1220" s="1">
        <v>-1.17E-2</v>
      </c>
      <c r="G1220" s="1">
        <v>2.5000000000000001E-3</v>
      </c>
      <c r="H1220" t="s">
        <v>38</v>
      </c>
      <c r="I1220" t="s">
        <v>1130</v>
      </c>
    </row>
    <row r="1221" spans="1:9" x14ac:dyDescent="0.3">
      <c r="A1221">
        <v>351</v>
      </c>
      <c r="B1221" t="s">
        <v>12</v>
      </c>
      <c r="C1221" t="s">
        <v>1163</v>
      </c>
      <c r="D1221" s="4">
        <f>1.2*1000</f>
        <v>1200</v>
      </c>
      <c r="E1221" t="s">
        <v>1164</v>
      </c>
      <c r="F1221" s="1">
        <v>-2.0999999999999999E-3</v>
      </c>
      <c r="G1221" s="1">
        <v>2E-3</v>
      </c>
      <c r="H1221" t="s">
        <v>38</v>
      </c>
      <c r="I1221" t="s">
        <v>1165</v>
      </c>
    </row>
    <row r="1222" spans="1:9" x14ac:dyDescent="0.3">
      <c r="A1222">
        <v>355</v>
      </c>
      <c r="B1222" t="s">
        <v>280</v>
      </c>
      <c r="C1222" t="s">
        <v>1174</v>
      </c>
      <c r="D1222" s="4">
        <f>1.18*1000</f>
        <v>1180</v>
      </c>
      <c r="E1222" t="s">
        <v>1175</v>
      </c>
      <c r="F1222" s="1">
        <v>1.37E-2</v>
      </c>
      <c r="G1222" s="1">
        <v>6.0000000000000001E-3</v>
      </c>
      <c r="H1222" t="s">
        <v>38</v>
      </c>
      <c r="I1222" t="s">
        <v>1176</v>
      </c>
    </row>
    <row r="1223" spans="1:9" x14ac:dyDescent="0.3">
      <c r="A1223">
        <v>443</v>
      </c>
      <c r="B1223" t="s">
        <v>24</v>
      </c>
      <c r="C1223" t="s">
        <v>1445</v>
      </c>
      <c r="D1223" s="4">
        <v>820.98</v>
      </c>
      <c r="E1223" t="s">
        <v>1446</v>
      </c>
      <c r="F1223" s="1">
        <v>2.5600000000000001E-2</v>
      </c>
      <c r="G1223" s="1">
        <v>5.7999999999999996E-3</v>
      </c>
      <c r="H1223" t="s">
        <v>38</v>
      </c>
      <c r="I1223" t="s">
        <v>1447</v>
      </c>
    </row>
    <row r="1224" spans="1:9" x14ac:dyDescent="0.3">
      <c r="A1224">
        <v>558</v>
      </c>
      <c r="B1224" t="s">
        <v>332</v>
      </c>
      <c r="C1224" t="s">
        <v>1819</v>
      </c>
      <c r="D1224" s="4">
        <v>484.82</v>
      </c>
      <c r="E1224" t="s">
        <v>1820</v>
      </c>
      <c r="F1224" s="1">
        <v>-1.1900000000000001E-2</v>
      </c>
      <c r="G1224" s="1">
        <v>1.1999999999999999E-3</v>
      </c>
      <c r="H1224" t="s">
        <v>38</v>
      </c>
      <c r="I1224" t="s">
        <v>1821</v>
      </c>
    </row>
    <row r="1225" spans="1:9" x14ac:dyDescent="0.3">
      <c r="A1225">
        <v>575</v>
      </c>
      <c r="B1225" t="s">
        <v>460</v>
      </c>
      <c r="C1225" t="s">
        <v>1878</v>
      </c>
      <c r="D1225" s="4">
        <v>456.15</v>
      </c>
      <c r="E1225" t="s">
        <v>1879</v>
      </c>
      <c r="F1225" s="1">
        <v>-7.4999999999999997E-3</v>
      </c>
      <c r="G1225" s="1">
        <v>2.8999999999999998E-3</v>
      </c>
      <c r="H1225" t="s">
        <v>38</v>
      </c>
      <c r="I1225" t="s">
        <v>1880</v>
      </c>
    </row>
    <row r="1226" spans="1:9" x14ac:dyDescent="0.3">
      <c r="A1226">
        <v>738</v>
      </c>
      <c r="B1226" t="s">
        <v>863</v>
      </c>
      <c r="C1226" t="s">
        <v>2420</v>
      </c>
      <c r="D1226" s="4">
        <v>232.97</v>
      </c>
      <c r="E1226" t="s">
        <v>2421</v>
      </c>
      <c r="F1226" s="1">
        <v>2.0999999999999999E-3</v>
      </c>
      <c r="G1226" s="1">
        <v>4.1999999999999997E-3</v>
      </c>
      <c r="H1226" t="s">
        <v>38</v>
      </c>
      <c r="I1226" t="s">
        <v>2422</v>
      </c>
    </row>
    <row r="1227" spans="1:9" x14ac:dyDescent="0.3">
      <c r="A1227">
        <v>850</v>
      </c>
      <c r="B1227" t="s">
        <v>24</v>
      </c>
      <c r="C1227" t="s">
        <v>2780</v>
      </c>
      <c r="D1227" s="4">
        <v>158.33000000000001</v>
      </c>
      <c r="E1227" t="s">
        <v>2781</v>
      </c>
      <c r="F1227" s="1">
        <v>2.1100000000000001E-2</v>
      </c>
      <c r="G1227" s="1">
        <v>1.2999999999999999E-3</v>
      </c>
      <c r="H1227" t="s">
        <v>38</v>
      </c>
      <c r="I1227" t="s">
        <v>2782</v>
      </c>
    </row>
    <row r="1228" spans="1:9" x14ac:dyDescent="0.3">
      <c r="A1228">
        <v>919</v>
      </c>
      <c r="B1228" t="s">
        <v>863</v>
      </c>
      <c r="C1228" t="s">
        <v>2998</v>
      </c>
      <c r="D1228" s="4">
        <v>129</v>
      </c>
      <c r="E1228" t="s">
        <v>2999</v>
      </c>
      <c r="F1228" s="1">
        <v>-2.75E-2</v>
      </c>
      <c r="G1228" s="1">
        <v>1.5E-3</v>
      </c>
      <c r="H1228" t="s">
        <v>38</v>
      </c>
      <c r="I1228" t="s">
        <v>3000</v>
      </c>
    </row>
    <row r="1229" spans="1:9" x14ac:dyDescent="0.3">
      <c r="A1229">
        <v>1188</v>
      </c>
      <c r="B1229" t="s">
        <v>3867</v>
      </c>
      <c r="C1229" t="s">
        <v>3868</v>
      </c>
      <c r="D1229" s="4">
        <v>52.38</v>
      </c>
      <c r="E1229" t="s">
        <v>3869</v>
      </c>
      <c r="F1229" s="1">
        <v>1.43E-2</v>
      </c>
      <c r="G1229" s="1">
        <v>2.8999999999999998E-3</v>
      </c>
      <c r="H1229" t="s">
        <v>38</v>
      </c>
      <c r="I1229" t="s">
        <v>3870</v>
      </c>
    </row>
    <row r="1230" spans="1:9" x14ac:dyDescent="0.3">
      <c r="A1230">
        <v>1235</v>
      </c>
      <c r="B1230" t="s">
        <v>4014</v>
      </c>
      <c r="C1230" t="s">
        <v>4015</v>
      </c>
      <c r="D1230" s="4">
        <v>44.15</v>
      </c>
      <c r="E1230" t="s">
        <v>4016</v>
      </c>
      <c r="F1230" s="1">
        <v>-9.4000000000000004E-3</v>
      </c>
      <c r="G1230" s="1">
        <v>8.8999999999999999E-3</v>
      </c>
      <c r="H1230" t="s">
        <v>38</v>
      </c>
      <c r="I1230" t="s">
        <v>4017</v>
      </c>
    </row>
    <row r="1231" spans="1:9" x14ac:dyDescent="0.3">
      <c r="A1231">
        <v>1268</v>
      </c>
      <c r="B1231" t="s">
        <v>24</v>
      </c>
      <c r="C1231" t="s">
        <v>4118</v>
      </c>
      <c r="D1231" s="4">
        <v>39.729999999999997</v>
      </c>
      <c r="E1231" t="s">
        <v>4119</v>
      </c>
      <c r="F1231" s="1">
        <v>-2.5999999999999999E-3</v>
      </c>
      <c r="G1231" s="1">
        <v>3.8999999999999998E-3</v>
      </c>
      <c r="H1231" t="s">
        <v>38</v>
      </c>
      <c r="I1231" t="s">
        <v>4120</v>
      </c>
    </row>
    <row r="1232" spans="1:9" x14ac:dyDescent="0.3">
      <c r="A1232">
        <v>1314</v>
      </c>
      <c r="B1232" t="s">
        <v>588</v>
      </c>
      <c r="C1232" t="s">
        <v>4273</v>
      </c>
      <c r="D1232" s="4">
        <v>34.270000000000003</v>
      </c>
      <c r="E1232" t="s">
        <v>4274</v>
      </c>
      <c r="F1232" s="1">
        <v>4.4000000000000003E-3</v>
      </c>
      <c r="G1232" s="1">
        <v>6.4000000000000003E-3</v>
      </c>
      <c r="H1232" t="s">
        <v>38</v>
      </c>
      <c r="I1232" t="s">
        <v>4275</v>
      </c>
    </row>
    <row r="1233" spans="1:9" x14ac:dyDescent="0.3">
      <c r="A1233">
        <v>1327</v>
      </c>
      <c r="B1233" t="s">
        <v>2564</v>
      </c>
      <c r="C1233" t="s">
        <v>4317</v>
      </c>
      <c r="D1233" s="4">
        <v>32.909999999999997</v>
      </c>
      <c r="E1233" t="s">
        <v>4318</v>
      </c>
      <c r="F1233" s="1">
        <v>-3.7400000000000003E-2</v>
      </c>
      <c r="G1233" s="1">
        <v>9.4999999999999998E-3</v>
      </c>
      <c r="H1233" t="s">
        <v>38</v>
      </c>
      <c r="I1233" t="s">
        <v>4319</v>
      </c>
    </row>
    <row r="1234" spans="1:9" x14ac:dyDescent="0.3">
      <c r="A1234">
        <v>1353</v>
      </c>
      <c r="B1234" t="s">
        <v>400</v>
      </c>
      <c r="C1234" t="s">
        <v>4403</v>
      </c>
      <c r="D1234" s="4">
        <v>29.81</v>
      </c>
      <c r="E1234" t="s">
        <v>4404</v>
      </c>
      <c r="F1234" s="1">
        <v>1.21E-2</v>
      </c>
      <c r="G1234" s="1">
        <v>5.5999999999999999E-3</v>
      </c>
      <c r="H1234" t="s">
        <v>38</v>
      </c>
      <c r="I1234" t="s">
        <v>4405</v>
      </c>
    </row>
    <row r="1235" spans="1:9" x14ac:dyDescent="0.3">
      <c r="A1235">
        <v>1356</v>
      </c>
      <c r="B1235" t="s">
        <v>332</v>
      </c>
      <c r="C1235" t="s">
        <v>4414</v>
      </c>
      <c r="D1235" s="4">
        <v>29.7</v>
      </c>
      <c r="E1235" t="s">
        <v>4415</v>
      </c>
      <c r="F1235" s="1">
        <v>6.8999999999999999E-3</v>
      </c>
      <c r="G1235" s="1">
        <v>4.4000000000000003E-3</v>
      </c>
      <c r="H1235" t="s">
        <v>38</v>
      </c>
      <c r="I1235" t="s">
        <v>4416</v>
      </c>
    </row>
    <row r="1236" spans="1:9" x14ac:dyDescent="0.3">
      <c r="A1236">
        <v>1436</v>
      </c>
      <c r="B1236" t="s">
        <v>2951</v>
      </c>
      <c r="C1236" t="s">
        <v>4667</v>
      </c>
      <c r="D1236" s="4">
        <v>22.8</v>
      </c>
      <c r="E1236" t="s">
        <v>4668</v>
      </c>
      <c r="F1236" s="1">
        <v>-1.4200000000000001E-2</v>
      </c>
      <c r="G1236" s="1">
        <v>1.9E-3</v>
      </c>
      <c r="H1236" t="s">
        <v>38</v>
      </c>
      <c r="I1236" t="s">
        <v>4669</v>
      </c>
    </row>
    <row r="1237" spans="1:9" x14ac:dyDescent="0.3">
      <c r="A1237">
        <v>1448</v>
      </c>
      <c r="B1237" t="s">
        <v>4705</v>
      </c>
      <c r="C1237" t="s">
        <v>4706</v>
      </c>
      <c r="D1237" s="4">
        <v>22.06</v>
      </c>
      <c r="E1237" t="s">
        <v>4707</v>
      </c>
      <c r="F1237" s="1">
        <v>-1.9E-2</v>
      </c>
      <c r="G1237" s="1">
        <v>5.4999999999999997E-3</v>
      </c>
      <c r="H1237" t="s">
        <v>38</v>
      </c>
      <c r="I1237" t="s">
        <v>4708</v>
      </c>
    </row>
    <row r="1238" spans="1:9" x14ac:dyDescent="0.3">
      <c r="A1238">
        <v>1695</v>
      </c>
      <c r="B1238" t="s">
        <v>12</v>
      </c>
      <c r="C1238" t="s">
        <v>5471</v>
      </c>
      <c r="D1238" s="4">
        <v>7.23</v>
      </c>
      <c r="E1238" t="s">
        <v>5472</v>
      </c>
      <c r="F1238" s="1">
        <v>-2.4199999999999999E-2</v>
      </c>
      <c r="G1238" s="1">
        <v>2.5000000000000001E-3</v>
      </c>
      <c r="H1238" t="s">
        <v>38</v>
      </c>
      <c r="I1238" t="s">
        <v>5473</v>
      </c>
    </row>
    <row r="1239" spans="1:9" x14ac:dyDescent="0.3">
      <c r="A1239">
        <v>1743</v>
      </c>
      <c r="B1239" t="s">
        <v>517</v>
      </c>
      <c r="C1239" t="s">
        <v>5618</v>
      </c>
      <c r="D1239" s="4">
        <v>5.52</v>
      </c>
      <c r="E1239" t="s">
        <v>5616</v>
      </c>
      <c r="F1239" s="1">
        <v>-3.2000000000000001E-2</v>
      </c>
      <c r="G1239" s="1">
        <v>5.4999999999999997E-3</v>
      </c>
      <c r="H1239" t="s">
        <v>38</v>
      </c>
      <c r="I1239" t="s">
        <v>5619</v>
      </c>
    </row>
    <row r="1240" spans="1:9" x14ac:dyDescent="0.3">
      <c r="A1240">
        <v>1803</v>
      </c>
      <c r="B1240" t="s">
        <v>1340</v>
      </c>
      <c r="C1240" t="s">
        <v>5800</v>
      </c>
      <c r="D1240" s="4">
        <v>3.53</v>
      </c>
      <c r="E1240" t="s">
        <v>5801</v>
      </c>
      <c r="F1240" s="1">
        <v>-6.7500000000000004E-2</v>
      </c>
      <c r="G1240" s="1">
        <v>4.8999999999999998E-3</v>
      </c>
      <c r="H1240" t="s">
        <v>38</v>
      </c>
      <c r="I1240" t="s">
        <v>5802</v>
      </c>
    </row>
    <row r="1241" spans="1:9" x14ac:dyDescent="0.3">
      <c r="A1241">
        <v>1892</v>
      </c>
      <c r="B1241" t="s">
        <v>6062</v>
      </c>
      <c r="C1241" t="s">
        <v>6080</v>
      </c>
      <c r="D1241" s="4">
        <f>514.51*0.001</f>
        <v>0.51451000000000002</v>
      </c>
      <c r="E1241" t="s">
        <v>6081</v>
      </c>
      <c r="F1241" t="s">
        <v>662</v>
      </c>
      <c r="G1241" s="1">
        <v>8.5000000000000006E-3</v>
      </c>
      <c r="H1241" t="s">
        <v>38</v>
      </c>
      <c r="I1241" t="s">
        <v>6082</v>
      </c>
    </row>
    <row r="1242" spans="1:9" x14ac:dyDescent="0.3">
      <c r="A1242">
        <v>374</v>
      </c>
      <c r="B1242" t="s">
        <v>12</v>
      </c>
      <c r="C1242" t="s">
        <v>1227</v>
      </c>
      <c r="D1242" s="4">
        <f>1.09*1000</f>
        <v>1090</v>
      </c>
      <c r="E1242" t="s">
        <v>1225</v>
      </c>
      <c r="F1242" s="1">
        <v>-0.159</v>
      </c>
      <c r="G1242" s="1">
        <v>6.0000000000000001E-3</v>
      </c>
      <c r="H1242" t="s">
        <v>1228</v>
      </c>
      <c r="I1242" t="s">
        <v>1229</v>
      </c>
    </row>
    <row r="1243" spans="1:9" x14ac:dyDescent="0.3">
      <c r="A1243">
        <v>832</v>
      </c>
      <c r="B1243" t="s">
        <v>280</v>
      </c>
      <c r="C1243" t="s">
        <v>2720</v>
      </c>
      <c r="D1243" s="4">
        <v>169.36</v>
      </c>
      <c r="E1243" t="s">
        <v>2721</v>
      </c>
      <c r="F1243" s="1">
        <v>-4.2700000000000002E-2</v>
      </c>
      <c r="G1243" s="1">
        <v>6.0000000000000001E-3</v>
      </c>
      <c r="H1243" t="s">
        <v>1228</v>
      </c>
      <c r="I1243" t="s">
        <v>2722</v>
      </c>
    </row>
    <row r="1244" spans="1:9" x14ac:dyDescent="0.3">
      <c r="A1244">
        <v>1705</v>
      </c>
      <c r="B1244" t="s">
        <v>1289</v>
      </c>
      <c r="C1244" t="s">
        <v>5501</v>
      </c>
      <c r="D1244" s="4">
        <v>6.86</v>
      </c>
      <c r="E1244" t="s">
        <v>5502</v>
      </c>
      <c r="F1244" s="1">
        <v>-0.11</v>
      </c>
      <c r="G1244" s="1">
        <v>1.2699999999999999E-2</v>
      </c>
      <c r="H1244" t="s">
        <v>1228</v>
      </c>
      <c r="I1244" t="s">
        <v>5503</v>
      </c>
    </row>
    <row r="1245" spans="1:9" x14ac:dyDescent="0.3">
      <c r="A1245">
        <v>1928</v>
      </c>
      <c r="B1245" t="s">
        <v>12</v>
      </c>
      <c r="C1245" t="s">
        <v>6167</v>
      </c>
      <c r="D1245" s="4" t="s">
        <v>662</v>
      </c>
      <c r="E1245" t="s">
        <v>662</v>
      </c>
      <c r="F1245" s="2">
        <v>0</v>
      </c>
      <c r="G1245" s="1">
        <v>3.0000000000000001E-3</v>
      </c>
      <c r="H1245" t="s">
        <v>63</v>
      </c>
      <c r="I1245" t="s">
        <v>6168</v>
      </c>
    </row>
    <row r="1246" spans="1:9" x14ac:dyDescent="0.3">
      <c r="A1246">
        <v>1947</v>
      </c>
      <c r="B1246" t="s">
        <v>6113</v>
      </c>
      <c r="C1246" t="s">
        <v>6207</v>
      </c>
      <c r="D1246" s="4" t="s">
        <v>662</v>
      </c>
      <c r="E1246" t="s">
        <v>662</v>
      </c>
      <c r="F1246" s="1">
        <v>-4.7000000000000002E-3</v>
      </c>
      <c r="G1246" s="1">
        <v>4.1000000000000003E-3</v>
      </c>
      <c r="H1246" t="s">
        <v>63</v>
      </c>
      <c r="I1246" t="s">
        <v>6208</v>
      </c>
    </row>
    <row r="1247" spans="1:9" x14ac:dyDescent="0.3">
      <c r="A1247">
        <v>14</v>
      </c>
      <c r="B1247" t="s">
        <v>12</v>
      </c>
      <c r="C1247" t="s">
        <v>61</v>
      </c>
      <c r="D1247" s="4">
        <f>62.81*1000</f>
        <v>62810</v>
      </c>
      <c r="E1247" t="s">
        <v>62</v>
      </c>
      <c r="F1247" s="1">
        <v>-6.8199999999999997E-2</v>
      </c>
      <c r="G1247" s="1">
        <v>5.0000000000000001E-4</v>
      </c>
      <c r="H1247" t="s">
        <v>63</v>
      </c>
      <c r="I1247" t="s">
        <v>64</v>
      </c>
    </row>
    <row r="1248" spans="1:9" x14ac:dyDescent="0.3">
      <c r="A1248">
        <v>19</v>
      </c>
      <c r="B1248" t="s">
        <v>16</v>
      </c>
      <c r="C1248" t="s">
        <v>78</v>
      </c>
      <c r="D1248" s="4">
        <f>52.3*1000</f>
        <v>52300</v>
      </c>
      <c r="E1248" t="s">
        <v>79</v>
      </c>
      <c r="F1248" s="1">
        <v>-8.7800000000000003E-2</v>
      </c>
      <c r="G1248" s="1">
        <v>4.0000000000000002E-4</v>
      </c>
      <c r="H1248" t="s">
        <v>63</v>
      </c>
      <c r="I1248" t="s">
        <v>80</v>
      </c>
    </row>
    <row r="1249" spans="1:9" x14ac:dyDescent="0.3">
      <c r="A1249">
        <v>39</v>
      </c>
      <c r="B1249" t="s">
        <v>12</v>
      </c>
      <c r="C1249" t="s">
        <v>145</v>
      </c>
      <c r="D1249" s="4">
        <f>28.63*1000</f>
        <v>28630</v>
      </c>
      <c r="E1249" t="s">
        <v>146</v>
      </c>
      <c r="F1249" s="1">
        <v>-9.3399999999999997E-2</v>
      </c>
      <c r="G1249" s="1">
        <v>1.9E-3</v>
      </c>
      <c r="H1249" t="s">
        <v>63</v>
      </c>
      <c r="I1249" t="s">
        <v>147</v>
      </c>
    </row>
    <row r="1250" spans="1:9" x14ac:dyDescent="0.3">
      <c r="A1250">
        <v>53</v>
      </c>
      <c r="B1250" t="s">
        <v>7</v>
      </c>
      <c r="C1250" t="s">
        <v>191</v>
      </c>
      <c r="D1250" s="4">
        <f>19.69*1000</f>
        <v>19690</v>
      </c>
      <c r="E1250" t="s">
        <v>192</v>
      </c>
      <c r="F1250" s="1">
        <v>-6.9000000000000006E-2</v>
      </c>
      <c r="G1250" s="1">
        <v>2.3E-3</v>
      </c>
      <c r="H1250" t="s">
        <v>63</v>
      </c>
      <c r="I1250" t="s">
        <v>193</v>
      </c>
    </row>
    <row r="1251" spans="1:9" x14ac:dyDescent="0.3">
      <c r="A1251">
        <v>94</v>
      </c>
      <c r="B1251" t="s">
        <v>116</v>
      </c>
      <c r="C1251" t="s">
        <v>336</v>
      </c>
      <c r="D1251" s="4">
        <f>9.45*1000</f>
        <v>9450</v>
      </c>
      <c r="E1251" t="s">
        <v>337</v>
      </c>
      <c r="F1251" s="1">
        <v>-9.5100000000000004E-2</v>
      </c>
      <c r="G1251" s="1">
        <v>4.0000000000000002E-4</v>
      </c>
      <c r="H1251" t="s">
        <v>63</v>
      </c>
      <c r="I1251" t="s">
        <v>338</v>
      </c>
    </row>
    <row r="1252" spans="1:9" x14ac:dyDescent="0.3">
      <c r="A1252">
        <v>164</v>
      </c>
      <c r="B1252" t="s">
        <v>7</v>
      </c>
      <c r="C1252" t="s">
        <v>576</v>
      </c>
      <c r="D1252" s="4">
        <f>5.03*1000</f>
        <v>5030</v>
      </c>
      <c r="E1252" t="s">
        <v>577</v>
      </c>
      <c r="F1252" s="1">
        <v>-6.8500000000000005E-2</v>
      </c>
      <c r="G1252" s="1">
        <v>5.0000000000000001E-4</v>
      </c>
      <c r="H1252" t="s">
        <v>63</v>
      </c>
      <c r="I1252" t="s">
        <v>578</v>
      </c>
    </row>
    <row r="1253" spans="1:9" x14ac:dyDescent="0.3">
      <c r="A1253">
        <v>222</v>
      </c>
      <c r="B1253" t="s">
        <v>440</v>
      </c>
      <c r="C1253" t="s">
        <v>767</v>
      </c>
      <c r="D1253" s="4">
        <f>3.01*1000</f>
        <v>3010</v>
      </c>
      <c r="E1253" t="s">
        <v>768</v>
      </c>
      <c r="F1253" s="1">
        <v>-2.1100000000000001E-2</v>
      </c>
      <c r="G1253" s="1">
        <v>3.8E-3</v>
      </c>
      <c r="H1253" t="s">
        <v>63</v>
      </c>
      <c r="I1253" t="s">
        <v>769</v>
      </c>
    </row>
    <row r="1254" spans="1:9" x14ac:dyDescent="0.3">
      <c r="A1254">
        <v>245</v>
      </c>
      <c r="B1254" t="s">
        <v>839</v>
      </c>
      <c r="C1254" t="s">
        <v>840</v>
      </c>
      <c r="D1254" s="4">
        <f>2.44*1000</f>
        <v>2440</v>
      </c>
      <c r="E1254" t="s">
        <v>841</v>
      </c>
      <c r="F1254" s="1">
        <v>-6.88E-2</v>
      </c>
      <c r="G1254" s="1">
        <v>4.1000000000000003E-3</v>
      </c>
      <c r="H1254" t="s">
        <v>63</v>
      </c>
      <c r="I1254" t="s">
        <v>842</v>
      </c>
    </row>
    <row r="1255" spans="1:9" x14ac:dyDescent="0.3">
      <c r="A1255">
        <v>317</v>
      </c>
      <c r="B1255" t="s">
        <v>16</v>
      </c>
      <c r="C1255" t="s">
        <v>1065</v>
      </c>
      <c r="D1255" s="4">
        <f>1.45*1000</f>
        <v>1450</v>
      </c>
      <c r="E1255" t="s">
        <v>1066</v>
      </c>
      <c r="F1255" s="1">
        <v>-6.8599999999999994E-2</v>
      </c>
      <c r="G1255" s="1">
        <v>1E-3</v>
      </c>
      <c r="H1255" t="s">
        <v>63</v>
      </c>
      <c r="I1255" t="s">
        <v>1067</v>
      </c>
    </row>
    <row r="1256" spans="1:9" x14ac:dyDescent="0.3">
      <c r="A1256">
        <v>325</v>
      </c>
      <c r="B1256" t="s">
        <v>332</v>
      </c>
      <c r="C1256" t="s">
        <v>1086</v>
      </c>
      <c r="D1256" s="4">
        <f>1.41*1000</f>
        <v>1410</v>
      </c>
      <c r="E1256" t="s">
        <v>1087</v>
      </c>
      <c r="F1256" s="1">
        <v>-0.1167</v>
      </c>
      <c r="G1256" s="1">
        <v>6.9999999999999999E-4</v>
      </c>
      <c r="H1256" t="s">
        <v>63</v>
      </c>
      <c r="I1256" t="s">
        <v>1088</v>
      </c>
    </row>
    <row r="1257" spans="1:9" x14ac:dyDescent="0.3">
      <c r="A1257">
        <v>338</v>
      </c>
      <c r="B1257" t="s">
        <v>24</v>
      </c>
      <c r="C1257" t="s">
        <v>1126</v>
      </c>
      <c r="D1257" s="4">
        <f>1.27*1000</f>
        <v>1270</v>
      </c>
      <c r="E1257" t="s">
        <v>1127</v>
      </c>
      <c r="F1257" s="1">
        <v>-7.7999999999999996E-3</v>
      </c>
      <c r="G1257" s="1">
        <v>2.5000000000000001E-3</v>
      </c>
      <c r="H1257" t="s">
        <v>63</v>
      </c>
      <c r="I1257" t="s">
        <v>1128</v>
      </c>
    </row>
    <row r="1258" spans="1:9" x14ac:dyDescent="0.3">
      <c r="A1258">
        <v>396</v>
      </c>
      <c r="B1258" t="s">
        <v>280</v>
      </c>
      <c r="C1258" t="s">
        <v>1286</v>
      </c>
      <c r="D1258" s="4">
        <v>979.45</v>
      </c>
      <c r="E1258" t="s">
        <v>1287</v>
      </c>
      <c r="F1258" s="1">
        <v>-7.9500000000000001E-2</v>
      </c>
      <c r="G1258" s="1">
        <v>6.0000000000000001E-3</v>
      </c>
      <c r="H1258" t="s">
        <v>63</v>
      </c>
      <c r="I1258" t="s">
        <v>1288</v>
      </c>
    </row>
    <row r="1259" spans="1:9" x14ac:dyDescent="0.3">
      <c r="A1259">
        <v>430</v>
      </c>
      <c r="B1259" t="s">
        <v>24</v>
      </c>
      <c r="C1259" t="s">
        <v>1405</v>
      </c>
      <c r="D1259" s="4">
        <v>844.49</v>
      </c>
      <c r="E1259" t="s">
        <v>1406</v>
      </c>
      <c r="F1259" s="1">
        <v>-9.5299999999999996E-2</v>
      </c>
      <c r="G1259" s="1">
        <v>3.3E-3</v>
      </c>
      <c r="H1259" t="s">
        <v>63</v>
      </c>
      <c r="I1259" t="s">
        <v>1407</v>
      </c>
    </row>
    <row r="1260" spans="1:9" x14ac:dyDescent="0.3">
      <c r="A1260">
        <v>442</v>
      </c>
      <c r="B1260" t="s">
        <v>12</v>
      </c>
      <c r="C1260" t="s">
        <v>1442</v>
      </c>
      <c r="D1260" s="4">
        <v>821.24</v>
      </c>
      <c r="E1260" t="s">
        <v>1443</v>
      </c>
      <c r="F1260" s="1">
        <v>-7.7799999999999994E-2</v>
      </c>
      <c r="G1260" s="1">
        <v>4.0000000000000002E-4</v>
      </c>
      <c r="H1260" t="s">
        <v>63</v>
      </c>
      <c r="I1260" t="s">
        <v>1444</v>
      </c>
    </row>
    <row r="1261" spans="1:9" x14ac:dyDescent="0.3">
      <c r="A1261">
        <v>449</v>
      </c>
      <c r="B1261" t="s">
        <v>440</v>
      </c>
      <c r="C1261" t="s">
        <v>1465</v>
      </c>
      <c r="D1261" s="4">
        <v>800.63</v>
      </c>
      <c r="E1261" t="s">
        <v>1466</v>
      </c>
      <c r="F1261" s="1">
        <v>-4.3299999999999998E-2</v>
      </c>
      <c r="G1261" s="1">
        <v>3.8E-3</v>
      </c>
      <c r="H1261" t="s">
        <v>63</v>
      </c>
      <c r="I1261" t="s">
        <v>1467</v>
      </c>
    </row>
    <row r="1262" spans="1:9" x14ac:dyDescent="0.3">
      <c r="A1262">
        <v>591</v>
      </c>
      <c r="B1262" t="s">
        <v>941</v>
      </c>
      <c r="C1262" t="s">
        <v>1931</v>
      </c>
      <c r="D1262" s="4">
        <v>425.56</v>
      </c>
      <c r="E1262" t="s">
        <v>1932</v>
      </c>
      <c r="F1262" s="1">
        <v>-3.9300000000000002E-2</v>
      </c>
      <c r="G1262" s="1">
        <v>6.0000000000000001E-3</v>
      </c>
      <c r="H1262" t="s">
        <v>63</v>
      </c>
      <c r="I1262" t="s">
        <v>1933</v>
      </c>
    </row>
    <row r="1263" spans="1:9" x14ac:dyDescent="0.3">
      <c r="A1263">
        <v>625</v>
      </c>
      <c r="B1263" t="s">
        <v>24</v>
      </c>
      <c r="C1263" t="s">
        <v>2048</v>
      </c>
      <c r="D1263" s="4">
        <v>378.96</v>
      </c>
      <c r="E1263" t="s">
        <v>2049</v>
      </c>
      <c r="F1263" s="1">
        <v>-4.65E-2</v>
      </c>
      <c r="G1263" s="1">
        <v>3.8999999999999998E-3</v>
      </c>
      <c r="H1263" t="s">
        <v>63</v>
      </c>
      <c r="I1263" t="s">
        <v>2050</v>
      </c>
    </row>
    <row r="1264" spans="1:9" x14ac:dyDescent="0.3">
      <c r="A1264">
        <v>679</v>
      </c>
      <c r="B1264" t="s">
        <v>24</v>
      </c>
      <c r="C1264" t="s">
        <v>2222</v>
      </c>
      <c r="D1264" s="4">
        <v>310.31</v>
      </c>
      <c r="E1264" t="s">
        <v>2223</v>
      </c>
      <c r="F1264" s="1">
        <v>-7.9600000000000004E-2</v>
      </c>
      <c r="G1264" s="1">
        <v>2.5000000000000001E-3</v>
      </c>
      <c r="H1264" t="s">
        <v>63</v>
      </c>
      <c r="I1264" t="s">
        <v>2224</v>
      </c>
    </row>
    <row r="1265" spans="1:9" x14ac:dyDescent="0.3">
      <c r="A1265">
        <v>750</v>
      </c>
      <c r="B1265" t="s">
        <v>332</v>
      </c>
      <c r="C1265" t="s">
        <v>2459</v>
      </c>
      <c r="D1265" s="4">
        <v>222</v>
      </c>
      <c r="E1265" t="s">
        <v>2460</v>
      </c>
      <c r="F1265" s="1">
        <v>-2.9899999999999999E-2</v>
      </c>
      <c r="G1265" s="1">
        <v>2.3999999999999998E-3</v>
      </c>
      <c r="H1265" t="s">
        <v>63</v>
      </c>
      <c r="I1265" t="s">
        <v>2461</v>
      </c>
    </row>
    <row r="1266" spans="1:9" x14ac:dyDescent="0.3">
      <c r="A1266">
        <v>760</v>
      </c>
      <c r="B1266" t="s">
        <v>24</v>
      </c>
      <c r="C1266" t="s">
        <v>2493</v>
      </c>
      <c r="D1266" s="4">
        <v>213.42</v>
      </c>
      <c r="E1266" t="s">
        <v>2494</v>
      </c>
      <c r="F1266" s="1">
        <v>-3.1800000000000002E-2</v>
      </c>
      <c r="G1266" s="1">
        <v>6.8999999999999999E-3</v>
      </c>
      <c r="H1266" t="s">
        <v>63</v>
      </c>
      <c r="I1266" t="s">
        <v>2495</v>
      </c>
    </row>
    <row r="1267" spans="1:9" x14ac:dyDescent="0.3">
      <c r="A1267">
        <v>789</v>
      </c>
      <c r="B1267" t="s">
        <v>24</v>
      </c>
      <c r="C1267" t="s">
        <v>2583</v>
      </c>
      <c r="D1267" s="4">
        <v>195.78</v>
      </c>
      <c r="E1267" t="s">
        <v>2584</v>
      </c>
      <c r="F1267" s="1">
        <v>-6.0900000000000003E-2</v>
      </c>
      <c r="G1267" s="1">
        <v>1.5E-3</v>
      </c>
      <c r="H1267" t="s">
        <v>63</v>
      </c>
      <c r="I1267" t="s">
        <v>2585</v>
      </c>
    </row>
    <row r="1268" spans="1:9" x14ac:dyDescent="0.3">
      <c r="A1268">
        <v>926</v>
      </c>
      <c r="B1268" t="s">
        <v>24</v>
      </c>
      <c r="C1268" t="s">
        <v>3021</v>
      </c>
      <c r="D1268" s="4">
        <v>127.1</v>
      </c>
      <c r="E1268" t="s">
        <v>3022</v>
      </c>
      <c r="F1268" s="1">
        <v>-5.3600000000000002E-2</v>
      </c>
      <c r="G1268" s="1">
        <v>4.0000000000000001E-3</v>
      </c>
      <c r="H1268" t="s">
        <v>63</v>
      </c>
      <c r="I1268" t="s">
        <v>3023</v>
      </c>
    </row>
    <row r="1269" spans="1:9" x14ac:dyDescent="0.3">
      <c r="A1269">
        <v>979</v>
      </c>
      <c r="B1269" t="s">
        <v>1904</v>
      </c>
      <c r="C1269" t="s">
        <v>3189</v>
      </c>
      <c r="D1269" s="4">
        <v>108.17</v>
      </c>
      <c r="E1269" t="s">
        <v>3190</v>
      </c>
      <c r="F1269" s="1">
        <v>-0.08</v>
      </c>
      <c r="G1269" s="1">
        <v>4.0000000000000002E-4</v>
      </c>
      <c r="H1269" t="s">
        <v>63</v>
      </c>
      <c r="I1269" t="s">
        <v>3191</v>
      </c>
    </row>
    <row r="1270" spans="1:9" x14ac:dyDescent="0.3">
      <c r="A1270">
        <v>1138</v>
      </c>
      <c r="B1270" t="s">
        <v>12</v>
      </c>
      <c r="C1270" t="s">
        <v>3704</v>
      </c>
      <c r="D1270" s="4">
        <v>63.77</v>
      </c>
      <c r="E1270" t="s">
        <v>3705</v>
      </c>
      <c r="F1270" s="1">
        <v>-6.7400000000000002E-2</v>
      </c>
      <c r="G1270" s="1">
        <v>1.1999999999999999E-3</v>
      </c>
      <c r="H1270" t="s">
        <v>63</v>
      </c>
      <c r="I1270" t="s">
        <v>3706</v>
      </c>
    </row>
    <row r="1271" spans="1:9" x14ac:dyDescent="0.3">
      <c r="A1271">
        <v>1184</v>
      </c>
      <c r="B1271" t="s">
        <v>1340</v>
      </c>
      <c r="C1271" t="s">
        <v>3856</v>
      </c>
      <c r="D1271" s="4">
        <v>52.7</v>
      </c>
      <c r="E1271" t="s">
        <v>3857</v>
      </c>
      <c r="F1271" s="1">
        <v>-4.48E-2</v>
      </c>
      <c r="G1271" s="1">
        <v>3.0000000000000001E-3</v>
      </c>
      <c r="H1271" t="s">
        <v>63</v>
      </c>
      <c r="I1271" t="s">
        <v>3858</v>
      </c>
    </row>
    <row r="1272" spans="1:9" x14ac:dyDescent="0.3">
      <c r="A1272">
        <v>1306</v>
      </c>
      <c r="B1272" t="s">
        <v>941</v>
      </c>
      <c r="C1272" t="s">
        <v>4247</v>
      </c>
      <c r="D1272" s="4">
        <v>35.28</v>
      </c>
      <c r="E1272" t="s">
        <v>4248</v>
      </c>
      <c r="F1272" s="1">
        <v>-7.8200000000000006E-2</v>
      </c>
      <c r="G1272" s="1">
        <v>6.0000000000000001E-3</v>
      </c>
      <c r="H1272" t="s">
        <v>63</v>
      </c>
      <c r="I1272" t="s">
        <v>4249</v>
      </c>
    </row>
    <row r="1273" spans="1:9" x14ac:dyDescent="0.3">
      <c r="A1273">
        <v>1399</v>
      </c>
      <c r="B1273" t="s">
        <v>2246</v>
      </c>
      <c r="C1273" t="s">
        <v>4544</v>
      </c>
      <c r="D1273" s="4">
        <v>25.52</v>
      </c>
      <c r="E1273" t="s">
        <v>4545</v>
      </c>
      <c r="F1273" s="1">
        <v>-0.1807</v>
      </c>
      <c r="G1273" s="1">
        <v>8.5000000000000006E-3</v>
      </c>
      <c r="H1273" t="s">
        <v>63</v>
      </c>
      <c r="I1273" t="s">
        <v>4546</v>
      </c>
    </row>
    <row r="1274" spans="1:9" x14ac:dyDescent="0.3">
      <c r="A1274">
        <v>1460</v>
      </c>
      <c r="B1274" t="s">
        <v>280</v>
      </c>
      <c r="C1274" t="s">
        <v>4742</v>
      </c>
      <c r="D1274" s="4">
        <v>21.33</v>
      </c>
      <c r="E1274" t="s">
        <v>4743</v>
      </c>
      <c r="F1274" s="1">
        <v>-4.36E-2</v>
      </c>
      <c r="G1274" s="1">
        <v>6.0000000000000001E-3</v>
      </c>
      <c r="H1274" t="s">
        <v>63</v>
      </c>
      <c r="I1274" t="s">
        <v>4744</v>
      </c>
    </row>
    <row r="1275" spans="1:9" x14ac:dyDescent="0.3">
      <c r="A1275">
        <v>1625</v>
      </c>
      <c r="B1275" t="s">
        <v>618</v>
      </c>
      <c r="C1275" t="s">
        <v>5257</v>
      </c>
      <c r="D1275" s="4">
        <v>10.39</v>
      </c>
      <c r="E1275" t="s">
        <v>5258</v>
      </c>
      <c r="F1275" s="1">
        <v>-5.8700000000000002E-2</v>
      </c>
      <c r="G1275" s="1">
        <v>1.5E-3</v>
      </c>
      <c r="H1275" t="s">
        <v>63</v>
      </c>
      <c r="I1275" t="s">
        <v>5259</v>
      </c>
    </row>
    <row r="1276" spans="1:9" x14ac:dyDescent="0.3">
      <c r="A1276">
        <v>1646</v>
      </c>
      <c r="B1276" t="s">
        <v>3230</v>
      </c>
      <c r="C1276" t="s">
        <v>5322</v>
      </c>
      <c r="D1276" s="4">
        <v>9.35</v>
      </c>
      <c r="E1276" t="s">
        <v>5323</v>
      </c>
      <c r="F1276" s="1">
        <v>-6.7299999999999999E-2</v>
      </c>
      <c r="G1276" s="1">
        <v>3.5000000000000001E-3</v>
      </c>
      <c r="H1276" t="s">
        <v>63</v>
      </c>
      <c r="I1276" t="s">
        <v>5324</v>
      </c>
    </row>
    <row r="1277" spans="1:9" x14ac:dyDescent="0.3">
      <c r="A1277">
        <v>1658</v>
      </c>
      <c r="B1277" t="s">
        <v>5275</v>
      </c>
      <c r="C1277" t="s">
        <v>5360</v>
      </c>
      <c r="D1277" s="4">
        <v>8.68</v>
      </c>
      <c r="E1277" t="s">
        <v>5361</v>
      </c>
      <c r="F1277" s="1">
        <v>-0.1288</v>
      </c>
      <c r="G1277" s="1">
        <v>8.5000000000000006E-3</v>
      </c>
      <c r="H1277" t="s">
        <v>63</v>
      </c>
      <c r="I1277" t="s">
        <v>5362</v>
      </c>
    </row>
    <row r="1278" spans="1:9" x14ac:dyDescent="0.3">
      <c r="A1278">
        <v>1687</v>
      </c>
      <c r="B1278" t="s">
        <v>12</v>
      </c>
      <c r="C1278" t="s">
        <v>5447</v>
      </c>
      <c r="D1278" s="4">
        <v>7.51</v>
      </c>
      <c r="E1278" t="s">
        <v>5448</v>
      </c>
      <c r="F1278" s="1">
        <v>-2.98E-2</v>
      </c>
      <c r="G1278" s="1">
        <v>2.5000000000000001E-3</v>
      </c>
      <c r="H1278" t="s">
        <v>63</v>
      </c>
      <c r="I1278" t="s">
        <v>5449</v>
      </c>
    </row>
    <row r="1279" spans="1:9" x14ac:dyDescent="0.3">
      <c r="A1279">
        <v>1842</v>
      </c>
      <c r="B1279" t="s">
        <v>280</v>
      </c>
      <c r="C1279" t="s">
        <v>5920</v>
      </c>
      <c r="D1279" s="4">
        <v>2.42</v>
      </c>
      <c r="E1279" t="s">
        <v>5921</v>
      </c>
      <c r="F1279" s="1">
        <v>-7.0599999999999996E-2</v>
      </c>
      <c r="G1279" s="1">
        <v>6.4999999999999997E-3</v>
      </c>
      <c r="H1279" t="s">
        <v>63</v>
      </c>
      <c r="I1279" t="s">
        <v>5922</v>
      </c>
    </row>
    <row r="1280" spans="1:9" x14ac:dyDescent="0.3">
      <c r="A1280">
        <v>1843</v>
      </c>
      <c r="B1280" t="s">
        <v>1182</v>
      </c>
      <c r="C1280" t="s">
        <v>5923</v>
      </c>
      <c r="D1280" s="4">
        <v>2.42</v>
      </c>
      <c r="E1280" t="s">
        <v>5921</v>
      </c>
      <c r="F1280" s="1">
        <v>1.06E-2</v>
      </c>
      <c r="G1280" s="1">
        <v>5.4999999999999997E-3</v>
      </c>
      <c r="H1280" t="s">
        <v>63</v>
      </c>
      <c r="I1280" t="s">
        <v>5924</v>
      </c>
    </row>
    <row r="1281" spans="1:9" x14ac:dyDescent="0.3">
      <c r="A1281">
        <v>1923</v>
      </c>
      <c r="B1281" t="s">
        <v>863</v>
      </c>
      <c r="C1281" t="s">
        <v>6157</v>
      </c>
      <c r="D1281" s="4" t="s">
        <v>662</v>
      </c>
      <c r="E1281" t="s">
        <v>662</v>
      </c>
      <c r="F1281" s="1">
        <v>-0.22739999999999999</v>
      </c>
      <c r="G1281" s="1">
        <v>4.4999999999999997E-3</v>
      </c>
      <c r="H1281" t="s">
        <v>254</v>
      </c>
      <c r="I1281" t="s">
        <v>6158</v>
      </c>
    </row>
    <row r="1282" spans="1:9" x14ac:dyDescent="0.3">
      <c r="A1282">
        <v>70</v>
      </c>
      <c r="B1282" t="s">
        <v>12</v>
      </c>
      <c r="C1282" t="s">
        <v>252</v>
      </c>
      <c r="D1282" s="4">
        <f>13.5*1000</f>
        <v>13500</v>
      </c>
      <c r="E1282" t="s">
        <v>253</v>
      </c>
      <c r="F1282" s="1">
        <v>-0.1895</v>
      </c>
      <c r="G1282" s="1">
        <v>2.3E-3</v>
      </c>
      <c r="H1282" t="s">
        <v>254</v>
      </c>
      <c r="I1282" t="s">
        <v>255</v>
      </c>
    </row>
    <row r="1283" spans="1:9" x14ac:dyDescent="0.3">
      <c r="A1283">
        <v>88</v>
      </c>
      <c r="B1283" t="s">
        <v>16</v>
      </c>
      <c r="C1283" t="s">
        <v>317</v>
      </c>
      <c r="D1283" s="4">
        <f>10.8*1000</f>
        <v>10800</v>
      </c>
      <c r="E1283" t="s">
        <v>318</v>
      </c>
      <c r="F1283" s="1">
        <v>-0.15540000000000001</v>
      </c>
      <c r="G1283" s="1">
        <v>6.9999999999999999E-4</v>
      </c>
      <c r="H1283" t="s">
        <v>254</v>
      </c>
      <c r="I1283" t="s">
        <v>319</v>
      </c>
    </row>
    <row r="1284" spans="1:9" x14ac:dyDescent="0.3">
      <c r="A1284">
        <v>114</v>
      </c>
      <c r="B1284" t="s">
        <v>12</v>
      </c>
      <c r="C1284" t="s">
        <v>405</v>
      </c>
      <c r="D1284" s="4">
        <f>7.38*1000</f>
        <v>7380</v>
      </c>
      <c r="E1284" t="s">
        <v>406</v>
      </c>
      <c r="F1284" s="1">
        <v>-0.1095</v>
      </c>
      <c r="G1284" s="1">
        <v>1.6999999999999999E-3</v>
      </c>
      <c r="H1284" t="s">
        <v>254</v>
      </c>
      <c r="I1284" t="s">
        <v>407</v>
      </c>
    </row>
    <row r="1285" spans="1:9" x14ac:dyDescent="0.3">
      <c r="A1285">
        <v>305</v>
      </c>
      <c r="B1285" t="s">
        <v>7</v>
      </c>
      <c r="C1285" t="s">
        <v>1032</v>
      </c>
      <c r="D1285" s="4">
        <f>1.56*1000</f>
        <v>1560</v>
      </c>
      <c r="E1285" t="s">
        <v>1033</v>
      </c>
      <c r="F1285" s="1">
        <v>-0.10829999999999999</v>
      </c>
      <c r="G1285" s="1">
        <v>1.5E-3</v>
      </c>
      <c r="H1285" t="s">
        <v>254</v>
      </c>
      <c r="I1285" t="s">
        <v>1034</v>
      </c>
    </row>
    <row r="1286" spans="1:9" x14ac:dyDescent="0.3">
      <c r="A1286">
        <v>357</v>
      </c>
      <c r="B1286" t="s">
        <v>12</v>
      </c>
      <c r="C1286" t="s">
        <v>1180</v>
      </c>
      <c r="D1286" s="4">
        <f>1.17*1000</f>
        <v>1170</v>
      </c>
      <c r="E1286" t="s">
        <v>1178</v>
      </c>
      <c r="F1286" s="1">
        <v>-0.14280000000000001</v>
      </c>
      <c r="G1286" s="1">
        <v>5.9999999999999995E-4</v>
      </c>
      <c r="H1286" t="s">
        <v>254</v>
      </c>
      <c r="I1286" t="s">
        <v>1181</v>
      </c>
    </row>
    <row r="1287" spans="1:9" x14ac:dyDescent="0.3">
      <c r="A1287">
        <v>435</v>
      </c>
      <c r="B1287" t="s">
        <v>16</v>
      </c>
      <c r="C1287" t="s">
        <v>1421</v>
      </c>
      <c r="D1287" s="4">
        <v>833.31</v>
      </c>
      <c r="E1287" t="s">
        <v>1422</v>
      </c>
      <c r="F1287" s="1">
        <v>-0.1062</v>
      </c>
      <c r="G1287" s="1">
        <v>1.5E-3</v>
      </c>
      <c r="H1287" t="s">
        <v>254</v>
      </c>
      <c r="I1287" t="s">
        <v>1423</v>
      </c>
    </row>
    <row r="1288" spans="1:9" x14ac:dyDescent="0.3">
      <c r="A1288">
        <v>634</v>
      </c>
      <c r="B1288" t="s">
        <v>280</v>
      </c>
      <c r="C1288" t="s">
        <v>2080</v>
      </c>
      <c r="D1288" s="4">
        <v>369.43</v>
      </c>
      <c r="E1288" t="s">
        <v>2081</v>
      </c>
      <c r="F1288" s="1">
        <v>-0.15379999999999999</v>
      </c>
      <c r="G1288" s="1">
        <v>7.0000000000000001E-3</v>
      </c>
      <c r="H1288" t="s">
        <v>254</v>
      </c>
      <c r="I1288" t="s">
        <v>2082</v>
      </c>
    </row>
    <row r="1289" spans="1:9" x14ac:dyDescent="0.3">
      <c r="A1289">
        <v>651</v>
      </c>
      <c r="B1289" t="s">
        <v>780</v>
      </c>
      <c r="C1289" t="s">
        <v>2137</v>
      </c>
      <c r="D1289" s="4">
        <v>343.68</v>
      </c>
      <c r="E1289" t="s">
        <v>2138</v>
      </c>
      <c r="F1289" s="1">
        <v>-0.18410000000000001</v>
      </c>
      <c r="G1289" s="1">
        <v>3.0000000000000001E-3</v>
      </c>
      <c r="H1289" t="s">
        <v>254</v>
      </c>
      <c r="I1289" t="s">
        <v>2139</v>
      </c>
    </row>
    <row r="1290" spans="1:9" x14ac:dyDescent="0.3">
      <c r="A1290">
        <v>655</v>
      </c>
      <c r="B1290" t="s">
        <v>24</v>
      </c>
      <c r="C1290" t="s">
        <v>2149</v>
      </c>
      <c r="D1290" s="4">
        <v>336.85</v>
      </c>
      <c r="E1290" t="s">
        <v>2150</v>
      </c>
      <c r="F1290" s="1">
        <v>-0.15479999999999999</v>
      </c>
      <c r="G1290" s="1">
        <v>3.5000000000000001E-3</v>
      </c>
      <c r="H1290" t="s">
        <v>254</v>
      </c>
      <c r="I1290" t="s">
        <v>2151</v>
      </c>
    </row>
    <row r="1291" spans="1:9" x14ac:dyDescent="0.3">
      <c r="A1291">
        <v>708</v>
      </c>
      <c r="B1291" t="s">
        <v>1687</v>
      </c>
      <c r="C1291" t="s">
        <v>2318</v>
      </c>
      <c r="D1291" s="4">
        <v>262.14</v>
      </c>
      <c r="E1291" t="s">
        <v>2319</v>
      </c>
      <c r="F1291" t="s">
        <v>662</v>
      </c>
      <c r="G1291" s="1">
        <v>8.5000000000000006E-3</v>
      </c>
      <c r="H1291" t="s">
        <v>254</v>
      </c>
      <c r="I1291" t="s">
        <v>2320</v>
      </c>
    </row>
    <row r="1292" spans="1:9" x14ac:dyDescent="0.3">
      <c r="A1292">
        <v>1231</v>
      </c>
      <c r="B1292" t="s">
        <v>2087</v>
      </c>
      <c r="C1292" t="s">
        <v>4002</v>
      </c>
      <c r="D1292" s="4">
        <v>45.3</v>
      </c>
      <c r="E1292" t="s">
        <v>4003</v>
      </c>
      <c r="F1292" s="1">
        <v>-0.14649999999999999</v>
      </c>
      <c r="G1292" s="1">
        <v>0</v>
      </c>
      <c r="H1292" t="s">
        <v>254</v>
      </c>
      <c r="I1292" t="s">
        <v>4004</v>
      </c>
    </row>
    <row r="1293" spans="1:9" x14ac:dyDescent="0.3">
      <c r="A1293">
        <v>1319</v>
      </c>
      <c r="B1293" t="s">
        <v>4290</v>
      </c>
      <c r="C1293" t="s">
        <v>4291</v>
      </c>
      <c r="D1293" s="4">
        <v>33.79</v>
      </c>
      <c r="E1293" t="s">
        <v>4292</v>
      </c>
      <c r="F1293" s="1">
        <v>-0.23580000000000001</v>
      </c>
      <c r="G1293" s="1">
        <v>6.0000000000000001E-3</v>
      </c>
      <c r="H1293" t="s">
        <v>254</v>
      </c>
      <c r="I1293" t="s">
        <v>4293</v>
      </c>
    </row>
    <row r="1294" spans="1:9" x14ac:dyDescent="0.3">
      <c r="A1294">
        <v>58</v>
      </c>
      <c r="B1294" t="s">
        <v>16</v>
      </c>
      <c r="C1294" t="s">
        <v>208</v>
      </c>
      <c r="D1294" s="4">
        <f>15.74*1000</f>
        <v>15740</v>
      </c>
      <c r="E1294" t="s">
        <v>209</v>
      </c>
      <c r="F1294" s="1">
        <v>-1.5100000000000001E-2</v>
      </c>
      <c r="G1294" s="1">
        <v>6.9999999999999999E-4</v>
      </c>
      <c r="H1294" t="s">
        <v>210</v>
      </c>
      <c r="I1294" t="s">
        <v>211</v>
      </c>
    </row>
    <row r="1295" spans="1:9" x14ac:dyDescent="0.3">
      <c r="A1295">
        <v>65</v>
      </c>
      <c r="B1295" t="s">
        <v>12</v>
      </c>
      <c r="C1295" t="s">
        <v>233</v>
      </c>
      <c r="D1295" s="4">
        <f>14.46*1000</f>
        <v>14460</v>
      </c>
      <c r="E1295" t="s">
        <v>234</v>
      </c>
      <c r="F1295" s="1">
        <v>-3.6799999999999999E-2</v>
      </c>
      <c r="G1295" s="1">
        <v>2.3E-3</v>
      </c>
      <c r="H1295" t="s">
        <v>210</v>
      </c>
      <c r="I1295" t="s">
        <v>235</v>
      </c>
    </row>
    <row r="1296" spans="1:9" x14ac:dyDescent="0.3">
      <c r="A1296">
        <v>102</v>
      </c>
      <c r="B1296" t="s">
        <v>12</v>
      </c>
      <c r="C1296" t="s">
        <v>363</v>
      </c>
      <c r="D1296" s="4">
        <f>8.42*1000</f>
        <v>8420</v>
      </c>
      <c r="E1296" t="s">
        <v>364</v>
      </c>
      <c r="F1296" s="1">
        <v>-2.75E-2</v>
      </c>
      <c r="G1296" s="1">
        <v>1.8E-3</v>
      </c>
      <c r="H1296" t="s">
        <v>210</v>
      </c>
      <c r="I1296" t="s">
        <v>365</v>
      </c>
    </row>
    <row r="1297" spans="1:9" x14ac:dyDescent="0.3">
      <c r="A1297">
        <v>314</v>
      </c>
      <c r="B1297" t="s">
        <v>7</v>
      </c>
      <c r="C1297" t="s">
        <v>1058</v>
      </c>
      <c r="D1297" s="4">
        <f>1.5*1000</f>
        <v>1500</v>
      </c>
      <c r="E1297" t="s">
        <v>1056</v>
      </c>
      <c r="F1297" s="1">
        <v>-2.7699999999999999E-2</v>
      </c>
      <c r="G1297" s="1">
        <v>1.5E-3</v>
      </c>
      <c r="H1297" t="s">
        <v>210</v>
      </c>
      <c r="I1297" t="s">
        <v>1059</v>
      </c>
    </row>
    <row r="1298" spans="1:9" x14ac:dyDescent="0.3">
      <c r="A1298">
        <v>448</v>
      </c>
      <c r="B1298" t="s">
        <v>16</v>
      </c>
      <c r="C1298" t="s">
        <v>1462</v>
      </c>
      <c r="D1298" s="4">
        <v>809.46</v>
      </c>
      <c r="E1298" t="s">
        <v>1463</v>
      </c>
      <c r="F1298" s="1">
        <v>-2.8199999999999999E-2</v>
      </c>
      <c r="G1298" s="1">
        <v>1.5E-3</v>
      </c>
      <c r="H1298" t="s">
        <v>210</v>
      </c>
      <c r="I1298" t="s">
        <v>1464</v>
      </c>
    </row>
    <row r="1299" spans="1:9" x14ac:dyDescent="0.3">
      <c r="A1299">
        <v>567</v>
      </c>
      <c r="B1299" t="s">
        <v>12</v>
      </c>
      <c r="C1299" t="s">
        <v>1850</v>
      </c>
      <c r="D1299" s="4">
        <v>472.26</v>
      </c>
      <c r="E1299" t="s">
        <v>1851</v>
      </c>
      <c r="F1299" s="1">
        <v>-8.8000000000000005E-3</v>
      </c>
      <c r="G1299" s="1">
        <v>5.9999999999999995E-4</v>
      </c>
      <c r="H1299" t="s">
        <v>210</v>
      </c>
      <c r="I1299" t="s">
        <v>1852</v>
      </c>
    </row>
    <row r="1300" spans="1:9" x14ac:dyDescent="0.3">
      <c r="A1300">
        <v>697</v>
      </c>
      <c r="B1300" t="s">
        <v>780</v>
      </c>
      <c r="C1300" t="s">
        <v>2284</v>
      </c>
      <c r="D1300" s="4">
        <v>280.2</v>
      </c>
      <c r="E1300" t="s">
        <v>2285</v>
      </c>
      <c r="F1300" s="1">
        <v>-3.0800000000000001E-2</v>
      </c>
      <c r="G1300" s="1">
        <v>3.0000000000000001E-3</v>
      </c>
      <c r="H1300" t="s">
        <v>210</v>
      </c>
      <c r="I1300" t="s">
        <v>2286</v>
      </c>
    </row>
    <row r="1301" spans="1:9" x14ac:dyDescent="0.3">
      <c r="A1301">
        <v>766</v>
      </c>
      <c r="B1301" t="s">
        <v>280</v>
      </c>
      <c r="C1301" t="s">
        <v>2511</v>
      </c>
      <c r="D1301" s="4">
        <v>210.16</v>
      </c>
      <c r="E1301" t="s">
        <v>2512</v>
      </c>
      <c r="F1301" s="1">
        <v>-3.0700000000000002E-2</v>
      </c>
      <c r="G1301" s="1">
        <v>7.0000000000000001E-3</v>
      </c>
      <c r="H1301" t="s">
        <v>210</v>
      </c>
      <c r="I1301" t="s">
        <v>2513</v>
      </c>
    </row>
    <row r="1302" spans="1:9" x14ac:dyDescent="0.3">
      <c r="A1302">
        <v>767</v>
      </c>
      <c r="B1302" t="s">
        <v>24</v>
      </c>
      <c r="C1302" t="s">
        <v>2514</v>
      </c>
      <c r="D1302" s="4">
        <v>209.58</v>
      </c>
      <c r="E1302" t="s">
        <v>2515</v>
      </c>
      <c r="F1302" s="1">
        <v>-2.2599999999999999E-2</v>
      </c>
      <c r="G1302" s="1">
        <v>3.8999999999999998E-3</v>
      </c>
      <c r="H1302" t="s">
        <v>210</v>
      </c>
      <c r="I1302" t="s">
        <v>2516</v>
      </c>
    </row>
    <row r="1303" spans="1:9" x14ac:dyDescent="0.3">
      <c r="A1303">
        <v>843</v>
      </c>
      <c r="B1303" t="s">
        <v>24</v>
      </c>
      <c r="C1303" t="s">
        <v>2754</v>
      </c>
      <c r="D1303" s="4">
        <v>162.22999999999999</v>
      </c>
      <c r="E1303" t="s">
        <v>2755</v>
      </c>
      <c r="F1303" s="1">
        <v>-1.9E-2</v>
      </c>
      <c r="G1303" s="1">
        <v>3.5000000000000001E-3</v>
      </c>
      <c r="H1303" t="s">
        <v>210</v>
      </c>
      <c r="I1303" t="s">
        <v>2756</v>
      </c>
    </row>
    <row r="1304" spans="1:9" x14ac:dyDescent="0.3">
      <c r="A1304">
        <v>1929</v>
      </c>
      <c r="B1304" t="s">
        <v>12</v>
      </c>
      <c r="C1304" t="s">
        <v>6169</v>
      </c>
      <c r="D1304" s="4" t="s">
        <v>662</v>
      </c>
      <c r="E1304" t="s">
        <v>662</v>
      </c>
      <c r="F1304" s="2">
        <v>0</v>
      </c>
      <c r="G1304" s="1">
        <v>3.5000000000000001E-3</v>
      </c>
      <c r="H1304" t="s">
        <v>53</v>
      </c>
      <c r="I1304" t="s">
        <v>6170</v>
      </c>
    </row>
    <row r="1305" spans="1:9" x14ac:dyDescent="0.3">
      <c r="A1305">
        <v>1948</v>
      </c>
      <c r="B1305" t="s">
        <v>6113</v>
      </c>
      <c r="C1305" t="s">
        <v>6209</v>
      </c>
      <c r="D1305" s="4" t="s">
        <v>662</v>
      </c>
      <c r="E1305" t="s">
        <v>662</v>
      </c>
      <c r="F1305" s="1">
        <v>-1.9E-3</v>
      </c>
      <c r="G1305" s="1">
        <v>4.1000000000000003E-3</v>
      </c>
      <c r="H1305" t="s">
        <v>53</v>
      </c>
      <c r="I1305" t="s">
        <v>6210</v>
      </c>
    </row>
    <row r="1306" spans="1:9" x14ac:dyDescent="0.3">
      <c r="A1306">
        <v>11</v>
      </c>
      <c r="B1306" t="s">
        <v>12</v>
      </c>
      <c r="C1306" t="s">
        <v>51</v>
      </c>
      <c r="D1306" s="4">
        <f>69.62*1000</f>
        <v>69620</v>
      </c>
      <c r="E1306" t="s">
        <v>52</v>
      </c>
      <c r="F1306" s="1">
        <v>-6.9199999999999998E-2</v>
      </c>
      <c r="G1306" s="1">
        <v>5.9999999999999995E-4</v>
      </c>
      <c r="H1306" t="s">
        <v>53</v>
      </c>
      <c r="I1306" t="s">
        <v>54</v>
      </c>
    </row>
    <row r="1307" spans="1:9" x14ac:dyDescent="0.3">
      <c r="A1307">
        <v>15</v>
      </c>
      <c r="B1307" t="s">
        <v>12</v>
      </c>
      <c r="C1307" t="s">
        <v>65</v>
      </c>
      <c r="D1307" s="4">
        <f>60.03*1000</f>
        <v>60030</v>
      </c>
      <c r="E1307" t="s">
        <v>66</v>
      </c>
      <c r="F1307" s="1">
        <v>-0.13320000000000001</v>
      </c>
      <c r="G1307" s="1">
        <v>1.9E-3</v>
      </c>
      <c r="H1307" t="s">
        <v>53</v>
      </c>
      <c r="I1307" t="s">
        <v>67</v>
      </c>
    </row>
    <row r="1308" spans="1:9" x14ac:dyDescent="0.3">
      <c r="A1308">
        <v>24</v>
      </c>
      <c r="B1308" t="s">
        <v>16</v>
      </c>
      <c r="C1308" t="s">
        <v>96</v>
      </c>
      <c r="D1308" s="4">
        <f>45.41*1000</f>
        <v>45410</v>
      </c>
      <c r="E1308" t="s">
        <v>97</v>
      </c>
      <c r="F1308" s="1">
        <v>-0.1105</v>
      </c>
      <c r="G1308" s="1">
        <v>5.0000000000000001E-4</v>
      </c>
      <c r="H1308" t="s">
        <v>53</v>
      </c>
      <c r="I1308" t="s">
        <v>98</v>
      </c>
    </row>
    <row r="1309" spans="1:9" x14ac:dyDescent="0.3">
      <c r="A1309">
        <v>61</v>
      </c>
      <c r="B1309" t="s">
        <v>116</v>
      </c>
      <c r="C1309" t="s">
        <v>219</v>
      </c>
      <c r="D1309" s="4">
        <f>15.37*1000</f>
        <v>15370</v>
      </c>
      <c r="E1309" t="s">
        <v>220</v>
      </c>
      <c r="F1309" s="1">
        <v>-0.12239999999999999</v>
      </c>
      <c r="G1309" s="1">
        <v>4.0000000000000002E-4</v>
      </c>
      <c r="H1309" t="s">
        <v>53</v>
      </c>
      <c r="I1309" t="s">
        <v>221</v>
      </c>
    </row>
    <row r="1310" spans="1:9" x14ac:dyDescent="0.3">
      <c r="A1310">
        <v>134</v>
      </c>
      <c r="B1310" t="s">
        <v>16</v>
      </c>
      <c r="C1310" t="s">
        <v>474</v>
      </c>
      <c r="D1310" s="4">
        <f>6.25*1000</f>
        <v>6250</v>
      </c>
      <c r="E1310" t="s">
        <v>472</v>
      </c>
      <c r="F1310" s="1">
        <v>-0.1321</v>
      </c>
      <c r="G1310" s="1">
        <v>1E-3</v>
      </c>
      <c r="H1310" t="s">
        <v>53</v>
      </c>
      <c r="I1310" t="s">
        <v>475</v>
      </c>
    </row>
    <row r="1311" spans="1:9" x14ac:dyDescent="0.3">
      <c r="A1311">
        <v>171</v>
      </c>
      <c r="B1311" t="s">
        <v>116</v>
      </c>
      <c r="C1311" t="s">
        <v>601</v>
      </c>
      <c r="D1311" s="4">
        <f>4.69*1000</f>
        <v>4690</v>
      </c>
      <c r="E1311" t="s">
        <v>602</v>
      </c>
      <c r="F1311" s="1">
        <v>-5.79E-2</v>
      </c>
      <c r="G1311" s="1">
        <v>2.5000000000000001E-3</v>
      </c>
      <c r="H1311" t="s">
        <v>53</v>
      </c>
      <c r="I1311" t="s">
        <v>603</v>
      </c>
    </row>
    <row r="1312" spans="1:9" x14ac:dyDescent="0.3">
      <c r="A1312">
        <v>180</v>
      </c>
      <c r="B1312" t="s">
        <v>7</v>
      </c>
      <c r="C1312" t="s">
        <v>631</v>
      </c>
      <c r="D1312" s="4">
        <f>4.19*1000</f>
        <v>4190</v>
      </c>
      <c r="E1312" t="s">
        <v>632</v>
      </c>
      <c r="F1312" s="1">
        <v>-6.7900000000000002E-2</v>
      </c>
      <c r="G1312" s="1">
        <v>5.0000000000000001E-4</v>
      </c>
      <c r="H1312" t="s">
        <v>53</v>
      </c>
      <c r="I1312" t="s">
        <v>633</v>
      </c>
    </row>
    <row r="1313" spans="1:9" x14ac:dyDescent="0.3">
      <c r="A1313">
        <v>183</v>
      </c>
      <c r="B1313" t="s">
        <v>240</v>
      </c>
      <c r="C1313" t="s">
        <v>640</v>
      </c>
      <c r="D1313" s="4">
        <f>4.09*1000</f>
        <v>4090</v>
      </c>
      <c r="E1313" t="s">
        <v>641</v>
      </c>
      <c r="F1313" s="1">
        <v>-6.6100000000000006E-2</v>
      </c>
      <c r="G1313" s="1">
        <v>3.3999999999999998E-3</v>
      </c>
      <c r="H1313" t="s">
        <v>53</v>
      </c>
      <c r="I1313" t="s">
        <v>642</v>
      </c>
    </row>
    <row r="1314" spans="1:9" s="5" customFormat="1" x14ac:dyDescent="0.3">
      <c r="A1314" s="5">
        <v>280</v>
      </c>
      <c r="B1314" s="5" t="s">
        <v>16</v>
      </c>
      <c r="C1314" s="5" t="s">
        <v>955</v>
      </c>
      <c r="D1314" s="6">
        <f>1.84*1000</f>
        <v>1840</v>
      </c>
      <c r="E1314" s="5" t="s">
        <v>956</v>
      </c>
      <c r="F1314" s="7">
        <v>-6.7299999999999999E-2</v>
      </c>
      <c r="G1314" s="7">
        <v>1E-3</v>
      </c>
      <c r="H1314" s="5" t="s">
        <v>53</v>
      </c>
      <c r="I1314" s="5" t="s">
        <v>957</v>
      </c>
    </row>
    <row r="1315" spans="1:9" x14ac:dyDescent="0.3">
      <c r="A1315">
        <v>281</v>
      </c>
      <c r="B1315" t="s">
        <v>440</v>
      </c>
      <c r="C1315" t="s">
        <v>958</v>
      </c>
      <c r="D1315" s="4">
        <f>1.82*1000</f>
        <v>1820</v>
      </c>
      <c r="E1315" t="s">
        <v>959</v>
      </c>
      <c r="F1315" s="1">
        <v>-1.7399999999999999E-2</v>
      </c>
      <c r="G1315" s="1">
        <v>3.8E-3</v>
      </c>
      <c r="H1315" t="s">
        <v>53</v>
      </c>
      <c r="I1315" t="s">
        <v>960</v>
      </c>
    </row>
    <row r="1316" spans="1:9" s="5" customFormat="1" x14ac:dyDescent="0.3">
      <c r="A1316" s="5">
        <v>295</v>
      </c>
      <c r="B1316" s="5" t="s">
        <v>7</v>
      </c>
      <c r="C1316" s="5" t="s">
        <v>1002</v>
      </c>
      <c r="D1316" s="6">
        <f>1.7*1000</f>
        <v>1700</v>
      </c>
      <c r="E1316" s="5" t="s">
        <v>1000</v>
      </c>
      <c r="F1316" s="7">
        <v>-6.7500000000000004E-2</v>
      </c>
      <c r="G1316" s="7">
        <v>1.5E-3</v>
      </c>
      <c r="H1316" s="5" t="s">
        <v>53</v>
      </c>
      <c r="I1316" s="5" t="s">
        <v>1003</v>
      </c>
    </row>
    <row r="1317" spans="1:9" x14ac:dyDescent="0.3">
      <c r="A1317">
        <v>336</v>
      </c>
      <c r="B1317" t="s">
        <v>12</v>
      </c>
      <c r="C1317" t="s">
        <v>1120</v>
      </c>
      <c r="D1317" s="4">
        <f>1.29*1000</f>
        <v>1290</v>
      </c>
      <c r="E1317" t="s">
        <v>1121</v>
      </c>
      <c r="F1317" s="1">
        <v>-0.10639999999999999</v>
      </c>
      <c r="G1317" s="1">
        <v>1.6999999999999999E-3</v>
      </c>
      <c r="H1317" t="s">
        <v>53</v>
      </c>
      <c r="I1317" t="s">
        <v>1122</v>
      </c>
    </row>
    <row r="1318" spans="1:9" x14ac:dyDescent="0.3">
      <c r="A1318">
        <v>375</v>
      </c>
      <c r="B1318" t="s">
        <v>24</v>
      </c>
      <c r="C1318" t="s">
        <v>1230</v>
      </c>
      <c r="D1318" s="4">
        <f>1.08*1000</f>
        <v>1080</v>
      </c>
      <c r="E1318" t="s">
        <v>1231</v>
      </c>
      <c r="F1318" s="1">
        <v>-3.2000000000000002E-3</v>
      </c>
      <c r="G1318" s="1">
        <v>2.5000000000000001E-3</v>
      </c>
      <c r="H1318" t="s">
        <v>53</v>
      </c>
      <c r="I1318" t="s">
        <v>1232</v>
      </c>
    </row>
    <row r="1319" spans="1:9" x14ac:dyDescent="0.3">
      <c r="A1319">
        <v>382</v>
      </c>
      <c r="B1319" t="s">
        <v>12</v>
      </c>
      <c r="C1319" t="s">
        <v>1250</v>
      </c>
      <c r="D1319" s="4">
        <f>1.03*1000</f>
        <v>1030</v>
      </c>
      <c r="E1319" t="s">
        <v>1251</v>
      </c>
      <c r="F1319" s="1">
        <v>-7.2400000000000006E-2</v>
      </c>
      <c r="G1319" s="1">
        <v>3.0000000000000001E-3</v>
      </c>
      <c r="H1319" t="s">
        <v>53</v>
      </c>
      <c r="I1319" t="s">
        <v>1252</v>
      </c>
    </row>
    <row r="1320" spans="1:9" x14ac:dyDescent="0.3">
      <c r="A1320">
        <v>383</v>
      </c>
      <c r="B1320" t="s">
        <v>780</v>
      </c>
      <c r="C1320" t="s">
        <v>1253</v>
      </c>
      <c r="D1320" s="4">
        <f>1.03*1000</f>
        <v>1030</v>
      </c>
      <c r="E1320" t="s">
        <v>1251</v>
      </c>
      <c r="F1320" s="1">
        <v>-9.7699999999999995E-2</v>
      </c>
      <c r="G1320" s="1">
        <v>3.0000000000000001E-3</v>
      </c>
      <c r="H1320" t="s">
        <v>53</v>
      </c>
      <c r="I1320" t="s">
        <v>1254</v>
      </c>
    </row>
    <row r="1321" spans="1:9" x14ac:dyDescent="0.3">
      <c r="A1321">
        <v>416</v>
      </c>
      <c r="B1321" t="s">
        <v>280</v>
      </c>
      <c r="C1321" t="s">
        <v>1359</v>
      </c>
      <c r="D1321" s="4">
        <v>903.23</v>
      </c>
      <c r="E1321" t="s">
        <v>1360</v>
      </c>
      <c r="F1321" s="1">
        <v>-6.8900000000000003E-2</v>
      </c>
      <c r="G1321" s="1">
        <v>6.3E-3</v>
      </c>
      <c r="H1321" t="s">
        <v>53</v>
      </c>
      <c r="I1321" t="s">
        <v>1361</v>
      </c>
    </row>
    <row r="1322" spans="1:9" x14ac:dyDescent="0.3">
      <c r="A1322">
        <v>424</v>
      </c>
      <c r="B1322" t="s">
        <v>486</v>
      </c>
      <c r="C1322" t="s">
        <v>1385</v>
      </c>
      <c r="D1322" s="4">
        <v>878.35</v>
      </c>
      <c r="E1322" t="s">
        <v>1386</v>
      </c>
      <c r="F1322" s="1">
        <v>-8.3400000000000002E-2</v>
      </c>
      <c r="G1322" s="1">
        <v>6.0000000000000001E-3</v>
      </c>
      <c r="H1322" t="s">
        <v>53</v>
      </c>
      <c r="I1322" t="s">
        <v>1387</v>
      </c>
    </row>
    <row r="1323" spans="1:9" x14ac:dyDescent="0.3">
      <c r="A1323">
        <v>446</v>
      </c>
      <c r="B1323" t="s">
        <v>1025</v>
      </c>
      <c r="C1323" t="s">
        <v>1456</v>
      </c>
      <c r="D1323" s="4">
        <v>811.47</v>
      </c>
      <c r="E1323" t="s">
        <v>1457</v>
      </c>
      <c r="F1323" s="1">
        <v>-7.7200000000000005E-2</v>
      </c>
      <c r="G1323" s="1">
        <v>3.8E-3</v>
      </c>
      <c r="H1323" t="s">
        <v>53</v>
      </c>
      <c r="I1323" t="s">
        <v>1458</v>
      </c>
    </row>
    <row r="1324" spans="1:9" x14ac:dyDescent="0.3">
      <c r="A1324">
        <v>454</v>
      </c>
      <c r="B1324" t="s">
        <v>12</v>
      </c>
      <c r="C1324" t="s">
        <v>1482</v>
      </c>
      <c r="D1324" s="4">
        <v>788.43</v>
      </c>
      <c r="E1324" t="s">
        <v>1483</v>
      </c>
      <c r="F1324" s="1">
        <v>-5.0900000000000001E-2</v>
      </c>
      <c r="G1324" s="1">
        <v>2E-3</v>
      </c>
      <c r="H1324" t="s">
        <v>53</v>
      </c>
      <c r="I1324" t="s">
        <v>1484</v>
      </c>
    </row>
    <row r="1325" spans="1:9" x14ac:dyDescent="0.3">
      <c r="A1325">
        <v>475</v>
      </c>
      <c r="B1325" t="s">
        <v>24</v>
      </c>
      <c r="C1325" t="s">
        <v>1547</v>
      </c>
      <c r="D1325" s="4">
        <v>718.58</v>
      </c>
      <c r="E1325" t="s">
        <v>1548</v>
      </c>
      <c r="F1325" s="1">
        <v>-5.8200000000000002E-2</v>
      </c>
      <c r="G1325" s="1">
        <v>3.8999999999999998E-3</v>
      </c>
      <c r="H1325" t="s">
        <v>53</v>
      </c>
      <c r="I1325" t="s">
        <v>1549</v>
      </c>
    </row>
    <row r="1326" spans="1:9" x14ac:dyDescent="0.3">
      <c r="A1326">
        <v>497</v>
      </c>
      <c r="B1326" t="s">
        <v>440</v>
      </c>
      <c r="C1326" t="s">
        <v>1617</v>
      </c>
      <c r="D1326" s="4">
        <v>638.61</v>
      </c>
      <c r="E1326" t="s">
        <v>1618</v>
      </c>
      <c r="F1326" s="1">
        <v>-4.9700000000000001E-2</v>
      </c>
      <c r="G1326" s="1">
        <v>3.8E-3</v>
      </c>
      <c r="H1326" t="s">
        <v>53</v>
      </c>
      <c r="I1326" t="s">
        <v>1619</v>
      </c>
    </row>
    <row r="1327" spans="1:9" x14ac:dyDescent="0.3">
      <c r="A1327">
        <v>498</v>
      </c>
      <c r="B1327" t="s">
        <v>941</v>
      </c>
      <c r="C1327" t="s">
        <v>1620</v>
      </c>
      <c r="D1327" s="4">
        <v>638.28</v>
      </c>
      <c r="E1327" t="s">
        <v>1621</v>
      </c>
      <c r="F1327" s="1">
        <v>-8.09E-2</v>
      </c>
      <c r="G1327" s="1">
        <v>5.8999999999999999E-3</v>
      </c>
      <c r="H1327" t="s">
        <v>53</v>
      </c>
      <c r="I1327" t="s">
        <v>1622</v>
      </c>
    </row>
    <row r="1328" spans="1:9" x14ac:dyDescent="0.3">
      <c r="A1328">
        <v>582</v>
      </c>
      <c r="B1328" t="s">
        <v>248</v>
      </c>
      <c r="C1328" t="s">
        <v>1901</v>
      </c>
      <c r="D1328" s="4">
        <v>435.58</v>
      </c>
      <c r="E1328" t="s">
        <v>1902</v>
      </c>
      <c r="F1328" s="1">
        <v>-8.8200000000000001E-2</v>
      </c>
      <c r="G1328" s="1">
        <v>2E-3</v>
      </c>
      <c r="H1328" t="s">
        <v>53</v>
      </c>
      <c r="I1328" t="s">
        <v>1903</v>
      </c>
    </row>
    <row r="1329" spans="1:9" x14ac:dyDescent="0.3">
      <c r="A1329">
        <v>611</v>
      </c>
      <c r="B1329" t="s">
        <v>839</v>
      </c>
      <c r="C1329" t="s">
        <v>2002</v>
      </c>
      <c r="D1329" s="4">
        <v>395.9</v>
      </c>
      <c r="E1329" t="s">
        <v>2003</v>
      </c>
      <c r="F1329" s="1">
        <v>-8.2400000000000001E-2</v>
      </c>
      <c r="G1329" s="1">
        <v>4.1999999999999997E-3</v>
      </c>
      <c r="H1329" t="s">
        <v>53</v>
      </c>
      <c r="I1329" t="s">
        <v>2004</v>
      </c>
    </row>
    <row r="1330" spans="1:9" x14ac:dyDescent="0.3">
      <c r="A1330">
        <v>620</v>
      </c>
      <c r="B1330" t="s">
        <v>24</v>
      </c>
      <c r="C1330" t="s">
        <v>2032</v>
      </c>
      <c r="D1330" s="4">
        <v>382.46</v>
      </c>
      <c r="E1330" t="s">
        <v>2033</v>
      </c>
      <c r="F1330" s="1">
        <v>-0.16259999999999999</v>
      </c>
      <c r="G1330" s="1">
        <v>6.0000000000000001E-3</v>
      </c>
      <c r="H1330" t="s">
        <v>53</v>
      </c>
      <c r="I1330" t="s">
        <v>2034</v>
      </c>
    </row>
    <row r="1331" spans="1:9" x14ac:dyDescent="0.3">
      <c r="A1331">
        <v>622</v>
      </c>
      <c r="B1331" t="s">
        <v>332</v>
      </c>
      <c r="C1331" t="s">
        <v>2039</v>
      </c>
      <c r="D1331" s="4">
        <v>380.58</v>
      </c>
      <c r="E1331" t="s">
        <v>2040</v>
      </c>
      <c r="F1331" s="1">
        <v>-0.12870000000000001</v>
      </c>
      <c r="G1331" s="1">
        <v>8.9999999999999998E-4</v>
      </c>
      <c r="H1331" t="s">
        <v>53</v>
      </c>
      <c r="I1331" t="s">
        <v>2041</v>
      </c>
    </row>
    <row r="1332" spans="1:9" x14ac:dyDescent="0.3">
      <c r="A1332">
        <v>703</v>
      </c>
      <c r="B1332" t="s">
        <v>1182</v>
      </c>
      <c r="C1332" t="s">
        <v>2302</v>
      </c>
      <c r="D1332" s="4">
        <v>268.89999999999998</v>
      </c>
      <c r="E1332" t="s">
        <v>2303</v>
      </c>
      <c r="F1332" s="1">
        <v>-8.2400000000000001E-2</v>
      </c>
      <c r="G1332" s="1">
        <v>2.5000000000000001E-3</v>
      </c>
      <c r="H1332" t="s">
        <v>53</v>
      </c>
      <c r="I1332" t="s">
        <v>2304</v>
      </c>
    </row>
    <row r="1333" spans="1:9" x14ac:dyDescent="0.3">
      <c r="A1333">
        <v>722</v>
      </c>
      <c r="B1333" t="s">
        <v>1182</v>
      </c>
      <c r="C1333" t="s">
        <v>2364</v>
      </c>
      <c r="D1333" s="4">
        <v>247.01</v>
      </c>
      <c r="E1333" t="s">
        <v>2365</v>
      </c>
      <c r="F1333" s="1">
        <v>-2.8999999999999998E-3</v>
      </c>
      <c r="G1333" s="1">
        <v>3.5000000000000001E-3</v>
      </c>
      <c r="H1333" t="s">
        <v>53</v>
      </c>
      <c r="I1333" t="s">
        <v>2366</v>
      </c>
    </row>
    <row r="1334" spans="1:9" x14ac:dyDescent="0.3">
      <c r="A1334">
        <v>759</v>
      </c>
      <c r="B1334" t="s">
        <v>12</v>
      </c>
      <c r="C1334" t="s">
        <v>2490</v>
      </c>
      <c r="D1334" s="4">
        <v>213.49</v>
      </c>
      <c r="E1334" t="s">
        <v>2491</v>
      </c>
      <c r="F1334" s="1">
        <v>-0.1167</v>
      </c>
      <c r="G1334" s="1">
        <v>4.0000000000000002E-4</v>
      </c>
      <c r="H1334" t="s">
        <v>53</v>
      </c>
      <c r="I1334" t="s">
        <v>2492</v>
      </c>
    </row>
    <row r="1335" spans="1:9" x14ac:dyDescent="0.3">
      <c r="A1335">
        <v>770</v>
      </c>
      <c r="B1335" t="s">
        <v>440</v>
      </c>
      <c r="C1335" t="s">
        <v>2523</v>
      </c>
      <c r="D1335" s="4">
        <v>208.6</v>
      </c>
      <c r="E1335" t="s">
        <v>2524</v>
      </c>
      <c r="F1335" s="1">
        <v>-2.5700000000000001E-2</v>
      </c>
      <c r="G1335" s="1">
        <v>3.8E-3</v>
      </c>
      <c r="H1335" t="s">
        <v>53</v>
      </c>
      <c r="I1335" t="s">
        <v>2525</v>
      </c>
    </row>
    <row r="1336" spans="1:9" x14ac:dyDescent="0.3">
      <c r="A1336">
        <v>773</v>
      </c>
      <c r="B1336" t="s">
        <v>7</v>
      </c>
      <c r="C1336" t="s">
        <v>2532</v>
      </c>
      <c r="D1336" s="4">
        <v>207.32</v>
      </c>
      <c r="E1336" t="s">
        <v>2533</v>
      </c>
      <c r="F1336" s="1">
        <v>-1.9599999999999999E-2</v>
      </c>
      <c r="G1336" s="1">
        <v>1.1999999999999999E-3</v>
      </c>
      <c r="H1336" t="s">
        <v>53</v>
      </c>
      <c r="I1336" t="s">
        <v>2534</v>
      </c>
    </row>
    <row r="1337" spans="1:9" x14ac:dyDescent="0.3">
      <c r="A1337">
        <v>784</v>
      </c>
      <c r="B1337" t="s">
        <v>1864</v>
      </c>
      <c r="C1337" t="s">
        <v>2568</v>
      </c>
      <c r="D1337" s="4">
        <v>199.88</v>
      </c>
      <c r="E1337" t="s">
        <v>2569</v>
      </c>
      <c r="F1337" s="1">
        <v>-6.7000000000000004E-2</v>
      </c>
      <c r="G1337" s="1">
        <v>3.5000000000000001E-3</v>
      </c>
      <c r="H1337" t="s">
        <v>53</v>
      </c>
      <c r="I1337" t="s">
        <v>2570</v>
      </c>
    </row>
    <row r="1338" spans="1:9" x14ac:dyDescent="0.3">
      <c r="A1338">
        <v>802</v>
      </c>
      <c r="B1338" t="s">
        <v>24</v>
      </c>
      <c r="C1338" t="s">
        <v>2624</v>
      </c>
      <c r="D1338" s="4">
        <v>189.41</v>
      </c>
      <c r="E1338" t="s">
        <v>2625</v>
      </c>
      <c r="F1338" s="1">
        <v>-7.6200000000000004E-2</v>
      </c>
      <c r="G1338" s="1">
        <v>3.8999999999999998E-3</v>
      </c>
      <c r="H1338" t="s">
        <v>53</v>
      </c>
      <c r="I1338" t="s">
        <v>2626</v>
      </c>
    </row>
    <row r="1339" spans="1:9" x14ac:dyDescent="0.3">
      <c r="A1339">
        <v>825</v>
      </c>
      <c r="B1339" t="s">
        <v>332</v>
      </c>
      <c r="C1339" t="s">
        <v>2696</v>
      </c>
      <c r="D1339" s="4">
        <v>173.51</v>
      </c>
      <c r="E1339" t="s">
        <v>2697</v>
      </c>
      <c r="F1339" s="1">
        <v>-7.0499999999999993E-2</v>
      </c>
      <c r="G1339" s="1">
        <v>2.8999999999999998E-3</v>
      </c>
      <c r="H1339" t="s">
        <v>53</v>
      </c>
      <c r="I1339" t="s">
        <v>2698</v>
      </c>
    </row>
    <row r="1340" spans="1:9" x14ac:dyDescent="0.3">
      <c r="A1340">
        <v>859</v>
      </c>
      <c r="B1340" t="s">
        <v>1471</v>
      </c>
      <c r="C1340" t="s">
        <v>2808</v>
      </c>
      <c r="D1340" s="4">
        <v>153.07</v>
      </c>
      <c r="E1340" t="s">
        <v>2809</v>
      </c>
      <c r="F1340" s="1">
        <v>-4.2900000000000001E-2</v>
      </c>
      <c r="G1340" s="1">
        <v>4.7999999999999996E-3</v>
      </c>
      <c r="H1340" t="s">
        <v>53</v>
      </c>
      <c r="I1340" t="s">
        <v>2810</v>
      </c>
    </row>
    <row r="1341" spans="1:9" x14ac:dyDescent="0.3">
      <c r="A1341">
        <v>862</v>
      </c>
      <c r="B1341" t="s">
        <v>24</v>
      </c>
      <c r="C1341" t="s">
        <v>2817</v>
      </c>
      <c r="D1341" s="4">
        <v>151</v>
      </c>
      <c r="E1341" t="s">
        <v>2818</v>
      </c>
      <c r="F1341" s="1">
        <v>-9.8900000000000002E-2</v>
      </c>
      <c r="G1341" s="1">
        <v>3.8999999999999998E-3</v>
      </c>
      <c r="H1341" t="s">
        <v>53</v>
      </c>
      <c r="I1341" t="s">
        <v>2819</v>
      </c>
    </row>
    <row r="1342" spans="1:9" x14ac:dyDescent="0.3">
      <c r="A1342">
        <v>969</v>
      </c>
      <c r="B1342" t="s">
        <v>1799</v>
      </c>
      <c r="C1342" t="s">
        <v>3158</v>
      </c>
      <c r="D1342" s="4">
        <v>112.34</v>
      </c>
      <c r="E1342" t="s">
        <v>3159</v>
      </c>
      <c r="F1342" s="1">
        <v>-3.6799999999999999E-2</v>
      </c>
      <c r="G1342" s="1">
        <v>7.9000000000000008E-3</v>
      </c>
      <c r="H1342" t="s">
        <v>53</v>
      </c>
      <c r="I1342" t="s">
        <v>3160</v>
      </c>
    </row>
    <row r="1343" spans="1:9" x14ac:dyDescent="0.3">
      <c r="A1343">
        <v>1037</v>
      </c>
      <c r="B1343" t="s">
        <v>24</v>
      </c>
      <c r="C1343" t="s">
        <v>3377</v>
      </c>
      <c r="D1343" s="4">
        <v>89.72</v>
      </c>
      <c r="E1343" t="s">
        <v>3378</v>
      </c>
      <c r="F1343" s="1">
        <v>-6.3700000000000007E-2</v>
      </c>
      <c r="G1343" s="1">
        <v>4.0000000000000001E-3</v>
      </c>
      <c r="H1343" t="s">
        <v>53</v>
      </c>
      <c r="I1343" t="s">
        <v>3379</v>
      </c>
    </row>
    <row r="1344" spans="1:9" x14ac:dyDescent="0.3">
      <c r="A1344">
        <v>1052</v>
      </c>
      <c r="B1344" t="s">
        <v>1799</v>
      </c>
      <c r="C1344" t="s">
        <v>3425</v>
      </c>
      <c r="D1344" s="4">
        <v>84.17</v>
      </c>
      <c r="E1344" t="s">
        <v>3426</v>
      </c>
      <c r="F1344" s="1">
        <v>-6.0299999999999999E-2</v>
      </c>
      <c r="G1344" s="1">
        <v>7.9000000000000008E-3</v>
      </c>
      <c r="H1344" t="s">
        <v>53</v>
      </c>
      <c r="I1344" t="s">
        <v>3427</v>
      </c>
    </row>
    <row r="1345" spans="1:9" x14ac:dyDescent="0.3">
      <c r="A1345">
        <v>1062</v>
      </c>
      <c r="B1345" t="s">
        <v>1904</v>
      </c>
      <c r="C1345" t="s">
        <v>3458</v>
      </c>
      <c r="D1345" s="4">
        <v>82.68</v>
      </c>
      <c r="E1345" t="s">
        <v>3459</v>
      </c>
      <c r="F1345" s="1">
        <v>-0.10979999999999999</v>
      </c>
      <c r="G1345" s="1">
        <v>4.0000000000000002E-4</v>
      </c>
      <c r="H1345" t="s">
        <v>53</v>
      </c>
      <c r="I1345" t="s">
        <v>3460</v>
      </c>
    </row>
    <row r="1346" spans="1:9" x14ac:dyDescent="0.3">
      <c r="A1346">
        <v>1082</v>
      </c>
      <c r="B1346" t="s">
        <v>1182</v>
      </c>
      <c r="C1346" t="s">
        <v>3522</v>
      </c>
      <c r="D1346" s="4">
        <v>77.34</v>
      </c>
      <c r="E1346" t="s">
        <v>3523</v>
      </c>
      <c r="F1346" s="1">
        <v>-2.8000000000000001E-2</v>
      </c>
      <c r="G1346" s="1">
        <v>3.5000000000000001E-3</v>
      </c>
      <c r="H1346" t="s">
        <v>53</v>
      </c>
      <c r="I1346" t="s">
        <v>3524</v>
      </c>
    </row>
    <row r="1347" spans="1:9" x14ac:dyDescent="0.3">
      <c r="A1347">
        <v>1139</v>
      </c>
      <c r="B1347" t="s">
        <v>1799</v>
      </c>
      <c r="C1347" t="s">
        <v>3707</v>
      </c>
      <c r="D1347" s="4">
        <v>63.22</v>
      </c>
      <c r="E1347" t="s">
        <v>3708</v>
      </c>
      <c r="F1347" s="1">
        <v>-6.1199999999999997E-2</v>
      </c>
      <c r="G1347" s="1">
        <v>7.9000000000000008E-3</v>
      </c>
      <c r="H1347" t="s">
        <v>53</v>
      </c>
      <c r="I1347" t="s">
        <v>3709</v>
      </c>
    </row>
    <row r="1348" spans="1:9" x14ac:dyDescent="0.3">
      <c r="A1348">
        <v>1143</v>
      </c>
      <c r="B1348" t="s">
        <v>979</v>
      </c>
      <c r="C1348" t="s">
        <v>3719</v>
      </c>
      <c r="D1348" s="4">
        <v>61.68</v>
      </c>
      <c r="E1348" t="s">
        <v>3720</v>
      </c>
      <c r="F1348" s="1">
        <v>-4.0300000000000002E-2</v>
      </c>
      <c r="G1348" s="1">
        <v>0.01</v>
      </c>
      <c r="H1348" t="s">
        <v>53</v>
      </c>
      <c r="I1348" t="s">
        <v>3721</v>
      </c>
    </row>
    <row r="1349" spans="1:9" x14ac:dyDescent="0.3">
      <c r="A1349">
        <v>1185</v>
      </c>
      <c r="B1349" t="s">
        <v>2792</v>
      </c>
      <c r="C1349" t="s">
        <v>3859</v>
      </c>
      <c r="D1349" s="4">
        <v>52.46</v>
      </c>
      <c r="E1349" t="s">
        <v>3860</v>
      </c>
      <c r="F1349" s="1">
        <v>-4.0300000000000002E-2</v>
      </c>
      <c r="G1349" s="1">
        <v>5.1999999999999998E-3</v>
      </c>
      <c r="H1349" t="s">
        <v>53</v>
      </c>
      <c r="I1349" t="s">
        <v>3861</v>
      </c>
    </row>
    <row r="1350" spans="1:9" x14ac:dyDescent="0.3">
      <c r="A1350">
        <v>1207</v>
      </c>
      <c r="B1350" t="s">
        <v>24</v>
      </c>
      <c r="C1350" t="s">
        <v>3927</v>
      </c>
      <c r="D1350" s="4">
        <v>49.08</v>
      </c>
      <c r="E1350" t="s">
        <v>3928</v>
      </c>
      <c r="F1350" s="1">
        <v>-5.1200000000000002E-2</v>
      </c>
      <c r="G1350" s="1">
        <v>1.5E-3</v>
      </c>
      <c r="H1350" t="s">
        <v>53</v>
      </c>
      <c r="I1350" t="s">
        <v>3929</v>
      </c>
    </row>
    <row r="1351" spans="1:9" x14ac:dyDescent="0.3">
      <c r="A1351">
        <v>1229</v>
      </c>
      <c r="B1351" t="s">
        <v>24</v>
      </c>
      <c r="C1351" t="s">
        <v>3996</v>
      </c>
      <c r="D1351" s="4">
        <v>45.56</v>
      </c>
      <c r="E1351" t="s">
        <v>3997</v>
      </c>
      <c r="F1351" s="1">
        <v>-8.5900000000000004E-2</v>
      </c>
      <c r="G1351" s="1">
        <v>2.3E-3</v>
      </c>
      <c r="H1351" t="s">
        <v>53</v>
      </c>
      <c r="I1351" t="s">
        <v>3998</v>
      </c>
    </row>
    <row r="1352" spans="1:9" x14ac:dyDescent="0.3">
      <c r="A1352">
        <v>1258</v>
      </c>
      <c r="B1352" t="s">
        <v>1799</v>
      </c>
      <c r="C1352" t="s">
        <v>4087</v>
      </c>
      <c r="D1352" s="4">
        <v>41.25</v>
      </c>
      <c r="E1352" t="s">
        <v>4088</v>
      </c>
      <c r="F1352" s="1">
        <v>-6.2899999999999998E-2</v>
      </c>
      <c r="G1352" s="1">
        <v>7.9000000000000008E-3</v>
      </c>
      <c r="H1352" t="s">
        <v>53</v>
      </c>
      <c r="I1352" t="s">
        <v>4089</v>
      </c>
    </row>
    <row r="1353" spans="1:9" x14ac:dyDescent="0.3">
      <c r="A1353">
        <v>1301</v>
      </c>
      <c r="B1353" t="s">
        <v>400</v>
      </c>
      <c r="C1353" t="s">
        <v>4231</v>
      </c>
      <c r="D1353" s="4">
        <v>36.130000000000003</v>
      </c>
      <c r="E1353" t="s">
        <v>4232</v>
      </c>
      <c r="F1353" s="1">
        <v>-3.8999999999999998E-3</v>
      </c>
      <c r="G1353" s="1">
        <v>5.1000000000000004E-3</v>
      </c>
      <c r="H1353" t="s">
        <v>53</v>
      </c>
      <c r="I1353" t="s">
        <v>4233</v>
      </c>
    </row>
    <row r="1354" spans="1:9" x14ac:dyDescent="0.3">
      <c r="A1354">
        <v>1324</v>
      </c>
      <c r="B1354" t="s">
        <v>24</v>
      </c>
      <c r="C1354" t="s">
        <v>4307</v>
      </c>
      <c r="D1354" s="4">
        <v>33.57</v>
      </c>
      <c r="E1354" t="s">
        <v>4308</v>
      </c>
      <c r="F1354" s="1">
        <v>-0.1053</v>
      </c>
      <c r="G1354" s="1">
        <v>5.9999999999999995E-4</v>
      </c>
      <c r="H1354" t="s">
        <v>53</v>
      </c>
      <c r="I1354" t="s">
        <v>4309</v>
      </c>
    </row>
    <row r="1355" spans="1:9" x14ac:dyDescent="0.3">
      <c r="A1355">
        <v>1393</v>
      </c>
      <c r="B1355" t="s">
        <v>964</v>
      </c>
      <c r="C1355" t="s">
        <v>4526</v>
      </c>
      <c r="D1355" s="4">
        <v>26</v>
      </c>
      <c r="E1355" t="s">
        <v>4524</v>
      </c>
      <c r="F1355" s="1">
        <v>-4.58E-2</v>
      </c>
      <c r="G1355" s="1">
        <v>3.3999999999999998E-3</v>
      </c>
      <c r="H1355" t="s">
        <v>53</v>
      </c>
      <c r="I1355" t="s">
        <v>4527</v>
      </c>
    </row>
    <row r="1356" spans="1:9" x14ac:dyDescent="0.3">
      <c r="A1356">
        <v>1398</v>
      </c>
      <c r="B1356" t="s">
        <v>1182</v>
      </c>
      <c r="C1356" t="s">
        <v>4541</v>
      </c>
      <c r="D1356" s="4">
        <v>25.53</v>
      </c>
      <c r="E1356" t="s">
        <v>4542</v>
      </c>
      <c r="F1356" s="1">
        <v>-3.2599999999999997E-2</v>
      </c>
      <c r="G1356" s="1">
        <v>3.5000000000000001E-3</v>
      </c>
      <c r="H1356" t="s">
        <v>53</v>
      </c>
      <c r="I1356" t="s">
        <v>4543</v>
      </c>
    </row>
    <row r="1357" spans="1:9" x14ac:dyDescent="0.3">
      <c r="A1357">
        <v>1411</v>
      </c>
      <c r="B1357" t="s">
        <v>24</v>
      </c>
      <c r="C1357" t="s">
        <v>4583</v>
      </c>
      <c r="D1357" s="4">
        <v>24.81</v>
      </c>
      <c r="E1357" t="s">
        <v>4584</v>
      </c>
      <c r="F1357" s="1">
        <v>-3.73E-2</v>
      </c>
      <c r="G1357" s="1">
        <v>2.8999999999999998E-3</v>
      </c>
      <c r="H1357" t="s">
        <v>53</v>
      </c>
      <c r="I1357" t="s">
        <v>4585</v>
      </c>
    </row>
    <row r="1358" spans="1:9" x14ac:dyDescent="0.3">
      <c r="A1358">
        <v>1419</v>
      </c>
      <c r="B1358" t="s">
        <v>12</v>
      </c>
      <c r="C1358" t="s">
        <v>4610</v>
      </c>
      <c r="D1358" s="4">
        <v>24.11</v>
      </c>
      <c r="E1358" t="s">
        <v>4611</v>
      </c>
      <c r="F1358" s="1">
        <v>-6.3E-2</v>
      </c>
      <c r="G1358" s="1">
        <v>1.1999999999999999E-3</v>
      </c>
      <c r="H1358" t="s">
        <v>53</v>
      </c>
      <c r="I1358" t="s">
        <v>4612</v>
      </c>
    </row>
    <row r="1359" spans="1:9" x14ac:dyDescent="0.3">
      <c r="A1359">
        <v>1484</v>
      </c>
      <c r="B1359" t="s">
        <v>280</v>
      </c>
      <c r="C1359" t="s">
        <v>4818</v>
      </c>
      <c r="D1359" s="4">
        <v>19.600000000000001</v>
      </c>
      <c r="E1359" t="s">
        <v>4819</v>
      </c>
      <c r="F1359" s="1">
        <v>-2.9000000000000001E-2</v>
      </c>
      <c r="G1359" s="1">
        <v>6.0000000000000001E-3</v>
      </c>
      <c r="H1359" t="s">
        <v>53</v>
      </c>
      <c r="I1359" t="s">
        <v>4820</v>
      </c>
    </row>
    <row r="1360" spans="1:9" x14ac:dyDescent="0.3">
      <c r="A1360">
        <v>1486</v>
      </c>
      <c r="B1360" t="s">
        <v>3230</v>
      </c>
      <c r="C1360" t="s">
        <v>4824</v>
      </c>
      <c r="D1360" s="4">
        <v>19.510000000000002</v>
      </c>
      <c r="E1360" t="s">
        <v>4825</v>
      </c>
      <c r="F1360" s="1">
        <v>-8.0799999999999997E-2</v>
      </c>
      <c r="G1360" s="1">
        <v>4.0000000000000001E-3</v>
      </c>
      <c r="H1360" t="s">
        <v>53</v>
      </c>
      <c r="I1360" t="s">
        <v>4826</v>
      </c>
    </row>
    <row r="1361" spans="1:9" x14ac:dyDescent="0.3">
      <c r="A1361">
        <v>1491</v>
      </c>
      <c r="B1361" t="s">
        <v>2087</v>
      </c>
      <c r="C1361" t="s">
        <v>4839</v>
      </c>
      <c r="D1361" s="4">
        <v>18.899999999999999</v>
      </c>
      <c r="E1361" t="s">
        <v>4840</v>
      </c>
      <c r="F1361" s="1">
        <v>1.49E-2</v>
      </c>
      <c r="G1361" s="1">
        <v>5.0000000000000001E-3</v>
      </c>
      <c r="H1361" t="s">
        <v>53</v>
      </c>
      <c r="I1361" t="s">
        <v>4841</v>
      </c>
    </row>
    <row r="1362" spans="1:9" x14ac:dyDescent="0.3">
      <c r="A1362">
        <v>1506</v>
      </c>
      <c r="B1362" t="s">
        <v>24</v>
      </c>
      <c r="C1362" t="s">
        <v>4885</v>
      </c>
      <c r="D1362" s="4">
        <v>18</v>
      </c>
      <c r="E1362" t="s">
        <v>4886</v>
      </c>
      <c r="F1362" s="1">
        <v>-3.1099999999999999E-2</v>
      </c>
      <c r="G1362" s="1">
        <v>3.0000000000000001E-3</v>
      </c>
      <c r="H1362" t="s">
        <v>53</v>
      </c>
      <c r="I1362" t="s">
        <v>4887</v>
      </c>
    </row>
    <row r="1363" spans="1:9" x14ac:dyDescent="0.3">
      <c r="A1363">
        <v>1534</v>
      </c>
      <c r="B1363" t="s">
        <v>1348</v>
      </c>
      <c r="C1363" t="s">
        <v>4967</v>
      </c>
      <c r="D1363" s="4">
        <v>16.670000000000002</v>
      </c>
      <c r="E1363" t="s">
        <v>4968</v>
      </c>
      <c r="F1363" t="s">
        <v>662</v>
      </c>
      <c r="G1363" s="1">
        <v>6.7999999999999996E-3</v>
      </c>
      <c r="H1363" t="s">
        <v>53</v>
      </c>
      <c r="I1363" t="s">
        <v>4969</v>
      </c>
    </row>
    <row r="1364" spans="1:9" x14ac:dyDescent="0.3">
      <c r="A1364">
        <v>1544</v>
      </c>
      <c r="B1364" t="s">
        <v>1340</v>
      </c>
      <c r="C1364" t="s">
        <v>4999</v>
      </c>
      <c r="D1364" s="4">
        <v>16</v>
      </c>
      <c r="E1364" t="s">
        <v>5000</v>
      </c>
      <c r="F1364" s="1">
        <v>-8.8200000000000001E-2</v>
      </c>
      <c r="G1364" s="1">
        <v>3.5000000000000001E-3</v>
      </c>
      <c r="H1364" t="s">
        <v>53</v>
      </c>
      <c r="I1364" t="s">
        <v>5001</v>
      </c>
    </row>
    <row r="1365" spans="1:9" x14ac:dyDescent="0.3">
      <c r="A1365">
        <v>1629</v>
      </c>
      <c r="B1365" t="s">
        <v>618</v>
      </c>
      <c r="C1365" t="s">
        <v>5269</v>
      </c>
      <c r="D1365" s="4">
        <v>10.07</v>
      </c>
      <c r="E1365" t="s">
        <v>5270</v>
      </c>
      <c r="F1365" s="1">
        <v>-6.0499999999999998E-2</v>
      </c>
      <c r="G1365" s="1">
        <v>1.5E-3</v>
      </c>
      <c r="H1365" t="s">
        <v>53</v>
      </c>
      <c r="I1365" t="s">
        <v>5271</v>
      </c>
    </row>
    <row r="1366" spans="1:9" x14ac:dyDescent="0.3">
      <c r="A1366">
        <v>1710</v>
      </c>
      <c r="B1366" t="s">
        <v>2370</v>
      </c>
      <c r="C1366" t="s">
        <v>5516</v>
      </c>
      <c r="D1366" s="4">
        <v>6.74</v>
      </c>
      <c r="E1366" t="s">
        <v>5517</v>
      </c>
      <c r="F1366" s="1">
        <v>-8.1000000000000003E-2</v>
      </c>
      <c r="G1366" s="1">
        <v>8.3000000000000001E-3</v>
      </c>
      <c r="H1366" t="s">
        <v>53</v>
      </c>
      <c r="I1366" t="s">
        <v>5518</v>
      </c>
    </row>
    <row r="1367" spans="1:9" x14ac:dyDescent="0.3">
      <c r="A1367">
        <v>1727</v>
      </c>
      <c r="B1367" t="s">
        <v>1025</v>
      </c>
      <c r="C1367" t="s">
        <v>5570</v>
      </c>
      <c r="D1367" s="4">
        <v>6.1</v>
      </c>
      <c r="E1367" t="s">
        <v>5571</v>
      </c>
      <c r="F1367" s="1">
        <v>-4.6600000000000003E-2</v>
      </c>
      <c r="G1367" s="1">
        <v>1.9E-3</v>
      </c>
      <c r="H1367" t="s">
        <v>53</v>
      </c>
      <c r="I1367" t="s">
        <v>5572</v>
      </c>
    </row>
    <row r="1368" spans="1:9" x14ac:dyDescent="0.3">
      <c r="A1368">
        <v>1728</v>
      </c>
      <c r="B1368" t="s">
        <v>780</v>
      </c>
      <c r="C1368" t="s">
        <v>5573</v>
      </c>
      <c r="D1368" s="4">
        <v>6.07</v>
      </c>
      <c r="E1368" t="s">
        <v>5574</v>
      </c>
      <c r="F1368" s="1">
        <v>-9.9199999999999997E-2</v>
      </c>
      <c r="G1368" s="1">
        <v>8.5000000000000006E-3</v>
      </c>
      <c r="H1368" t="s">
        <v>53</v>
      </c>
      <c r="I1368" t="s">
        <v>5575</v>
      </c>
    </row>
    <row r="1369" spans="1:9" x14ac:dyDescent="0.3">
      <c r="A1369">
        <v>1832</v>
      </c>
      <c r="B1369" t="s">
        <v>7</v>
      </c>
      <c r="C1369" t="s">
        <v>5889</v>
      </c>
      <c r="D1369" s="4">
        <v>2.78</v>
      </c>
      <c r="E1369" t="s">
        <v>5890</v>
      </c>
      <c r="F1369" t="s">
        <v>662</v>
      </c>
      <c r="G1369" s="1">
        <v>1.1999999999999999E-3</v>
      </c>
      <c r="H1369" t="s">
        <v>53</v>
      </c>
      <c r="I1369" t="s">
        <v>5891</v>
      </c>
    </row>
    <row r="1370" spans="1:9" x14ac:dyDescent="0.3">
      <c r="A1370">
        <v>1841</v>
      </c>
      <c r="B1370" t="s">
        <v>280</v>
      </c>
      <c r="C1370" t="s">
        <v>5917</v>
      </c>
      <c r="D1370" s="4">
        <v>2.4500000000000002</v>
      </c>
      <c r="E1370" t="s">
        <v>5918</v>
      </c>
      <c r="F1370" s="1">
        <v>-9.2100000000000001E-2</v>
      </c>
      <c r="G1370" s="1">
        <v>7.7000000000000002E-3</v>
      </c>
      <c r="H1370" t="s">
        <v>53</v>
      </c>
      <c r="I1370" t="s">
        <v>5919</v>
      </c>
    </row>
    <row r="1371" spans="1:9" x14ac:dyDescent="0.3">
      <c r="A1371">
        <v>1845</v>
      </c>
      <c r="B1371" t="s">
        <v>1842</v>
      </c>
      <c r="C1371" t="s">
        <v>5928</v>
      </c>
      <c r="D1371" s="4">
        <v>2.35</v>
      </c>
      <c r="E1371" t="s">
        <v>5929</v>
      </c>
      <c r="F1371" t="s">
        <v>662</v>
      </c>
      <c r="G1371" s="1">
        <v>4.4000000000000003E-3</v>
      </c>
      <c r="H1371" t="s">
        <v>53</v>
      </c>
      <c r="I1371" t="s">
        <v>5930</v>
      </c>
    </row>
    <row r="1372" spans="1:9" x14ac:dyDescent="0.3">
      <c r="A1372">
        <v>68</v>
      </c>
      <c r="B1372" t="s">
        <v>16</v>
      </c>
      <c r="C1372" t="s">
        <v>244</v>
      </c>
      <c r="D1372" s="4">
        <f>13.79*1000</f>
        <v>13790</v>
      </c>
      <c r="E1372" t="s">
        <v>245</v>
      </c>
      <c r="F1372" s="1">
        <v>-0.18629999999999999</v>
      </c>
      <c r="G1372" s="1">
        <v>6.9999999999999999E-4</v>
      </c>
      <c r="H1372" t="s">
        <v>246</v>
      </c>
      <c r="I1372" t="s">
        <v>247</v>
      </c>
    </row>
    <row r="1373" spans="1:9" x14ac:dyDescent="0.3">
      <c r="A1373">
        <v>90</v>
      </c>
      <c r="B1373" t="s">
        <v>12</v>
      </c>
      <c r="C1373" t="s">
        <v>323</v>
      </c>
      <c r="D1373" s="4">
        <f>9.96*1000</f>
        <v>9960</v>
      </c>
      <c r="E1373" t="s">
        <v>324</v>
      </c>
      <c r="F1373" s="1">
        <v>-0.1918</v>
      </c>
      <c r="G1373" s="1">
        <v>2.3999999999999998E-3</v>
      </c>
      <c r="H1373" t="s">
        <v>246</v>
      </c>
      <c r="I1373" t="s">
        <v>325</v>
      </c>
    </row>
    <row r="1374" spans="1:9" x14ac:dyDescent="0.3">
      <c r="A1374">
        <v>148</v>
      </c>
      <c r="B1374" t="s">
        <v>12</v>
      </c>
      <c r="C1374" t="s">
        <v>522</v>
      </c>
      <c r="D1374" s="4">
        <f>5.53*1000</f>
        <v>5530</v>
      </c>
      <c r="E1374" t="s">
        <v>523</v>
      </c>
      <c r="F1374" s="1">
        <v>-8.7800000000000003E-2</v>
      </c>
      <c r="G1374" s="1">
        <v>1.8E-3</v>
      </c>
      <c r="H1374" t="s">
        <v>246</v>
      </c>
      <c r="I1374" t="s">
        <v>524</v>
      </c>
    </row>
    <row r="1375" spans="1:9" x14ac:dyDescent="0.3">
      <c r="A1375">
        <v>260</v>
      </c>
      <c r="B1375" t="s">
        <v>7</v>
      </c>
      <c r="C1375" t="s">
        <v>891</v>
      </c>
      <c r="D1375" s="4">
        <f>2.18*1000</f>
        <v>2180</v>
      </c>
      <c r="E1375" t="s">
        <v>889</v>
      </c>
      <c r="F1375" s="1">
        <v>-8.4699999999999998E-2</v>
      </c>
      <c r="G1375" s="1">
        <v>1.5E-3</v>
      </c>
      <c r="H1375" t="s">
        <v>246</v>
      </c>
      <c r="I1375" t="s">
        <v>892</v>
      </c>
    </row>
    <row r="1376" spans="1:9" x14ac:dyDescent="0.3">
      <c r="A1376">
        <v>510</v>
      </c>
      <c r="B1376" t="s">
        <v>16</v>
      </c>
      <c r="C1376" t="s">
        <v>1658</v>
      </c>
      <c r="D1376" s="4">
        <v>609.76</v>
      </c>
      <c r="E1376" t="s">
        <v>1659</v>
      </c>
      <c r="F1376" s="1">
        <v>-0.18970000000000001</v>
      </c>
      <c r="G1376" s="1">
        <v>1.5E-3</v>
      </c>
      <c r="H1376" t="s">
        <v>246</v>
      </c>
      <c r="I1376" t="s">
        <v>1660</v>
      </c>
    </row>
    <row r="1377" spans="1:9" x14ac:dyDescent="0.3">
      <c r="A1377">
        <v>534</v>
      </c>
      <c r="B1377" t="s">
        <v>16</v>
      </c>
      <c r="C1377" t="s">
        <v>1740</v>
      </c>
      <c r="D1377" s="4">
        <v>538.33000000000004</v>
      </c>
      <c r="E1377" t="s">
        <v>1741</v>
      </c>
      <c r="F1377" s="1">
        <v>-8.4599999999999995E-2</v>
      </c>
      <c r="G1377" s="1">
        <v>1.6000000000000001E-3</v>
      </c>
      <c r="H1377" t="s">
        <v>246</v>
      </c>
      <c r="I1377" t="s">
        <v>1742</v>
      </c>
    </row>
    <row r="1378" spans="1:9" x14ac:dyDescent="0.3">
      <c r="A1378">
        <v>639</v>
      </c>
      <c r="B1378" t="s">
        <v>12</v>
      </c>
      <c r="C1378" t="s">
        <v>2097</v>
      </c>
      <c r="D1378" s="4">
        <v>363.04</v>
      </c>
      <c r="E1378" t="s">
        <v>2098</v>
      </c>
      <c r="F1378" s="1">
        <v>-0.1719</v>
      </c>
      <c r="G1378" s="1">
        <v>5.9999999999999995E-4</v>
      </c>
      <c r="H1378" t="s">
        <v>246</v>
      </c>
      <c r="I1378" t="s">
        <v>2099</v>
      </c>
    </row>
    <row r="1379" spans="1:9" x14ac:dyDescent="0.3">
      <c r="A1379">
        <v>678</v>
      </c>
      <c r="B1379" t="s">
        <v>280</v>
      </c>
      <c r="C1379" t="s">
        <v>2219</v>
      </c>
      <c r="D1379" s="4">
        <v>310.36</v>
      </c>
      <c r="E1379" t="s">
        <v>2220</v>
      </c>
      <c r="F1379" s="1">
        <v>-0.1341</v>
      </c>
      <c r="G1379" s="1">
        <v>7.1000000000000004E-3</v>
      </c>
      <c r="H1379" t="s">
        <v>246</v>
      </c>
      <c r="I1379" t="s">
        <v>2221</v>
      </c>
    </row>
    <row r="1380" spans="1:9" x14ac:dyDescent="0.3">
      <c r="A1380">
        <v>912</v>
      </c>
      <c r="B1380" t="s">
        <v>1687</v>
      </c>
      <c r="C1380" t="s">
        <v>2976</v>
      </c>
      <c r="D1380" s="4">
        <v>130.09</v>
      </c>
      <c r="E1380" t="s">
        <v>2977</v>
      </c>
      <c r="F1380" s="1">
        <v>-0.20039999999999999</v>
      </c>
      <c r="G1380" s="1">
        <v>8.5000000000000006E-3</v>
      </c>
      <c r="H1380" t="s">
        <v>246</v>
      </c>
      <c r="I1380" t="s">
        <v>2978</v>
      </c>
    </row>
    <row r="1381" spans="1:9" x14ac:dyDescent="0.3">
      <c r="A1381">
        <v>949</v>
      </c>
      <c r="B1381" t="s">
        <v>24</v>
      </c>
      <c r="C1381" t="s">
        <v>3093</v>
      </c>
      <c r="D1381" s="4">
        <v>119.51</v>
      </c>
      <c r="E1381" t="s">
        <v>3094</v>
      </c>
      <c r="F1381" s="1">
        <v>-0.13589999999999999</v>
      </c>
      <c r="G1381" s="1">
        <v>3.5000000000000001E-3</v>
      </c>
      <c r="H1381" t="s">
        <v>246</v>
      </c>
      <c r="I1381" t="s">
        <v>3095</v>
      </c>
    </row>
    <row r="1382" spans="1:9" x14ac:dyDescent="0.3">
      <c r="A1382">
        <v>962</v>
      </c>
      <c r="B1382" t="s">
        <v>2709</v>
      </c>
      <c r="C1382" t="s">
        <v>3136</v>
      </c>
      <c r="D1382" s="4">
        <v>115.08</v>
      </c>
      <c r="E1382" t="s">
        <v>3137</v>
      </c>
      <c r="F1382" s="1">
        <v>-0.1804</v>
      </c>
      <c r="G1382" s="1">
        <v>3.0000000000000001E-3</v>
      </c>
      <c r="H1382" t="s">
        <v>246</v>
      </c>
      <c r="I1382" t="s">
        <v>3138</v>
      </c>
    </row>
    <row r="1383" spans="1:9" x14ac:dyDescent="0.3">
      <c r="A1383">
        <v>1863</v>
      </c>
      <c r="B1383" t="s">
        <v>280</v>
      </c>
      <c r="C1383" t="s">
        <v>5982</v>
      </c>
      <c r="D1383" s="4">
        <v>1.68</v>
      </c>
      <c r="E1383" t="s">
        <v>5979</v>
      </c>
      <c r="F1383" s="1">
        <v>-0.19220000000000001</v>
      </c>
      <c r="G1383" s="1">
        <v>9.4999999999999998E-3</v>
      </c>
      <c r="H1383" t="s">
        <v>246</v>
      </c>
      <c r="I1383" t="s">
        <v>5983</v>
      </c>
    </row>
    <row r="1384" spans="1:9" x14ac:dyDescent="0.3">
      <c r="A1384">
        <v>42</v>
      </c>
      <c r="B1384" t="s">
        <v>16</v>
      </c>
      <c r="C1384" t="s">
        <v>154</v>
      </c>
      <c r="D1384" s="4">
        <f>25.6*1000</f>
        <v>25600</v>
      </c>
      <c r="E1384" t="s">
        <v>155</v>
      </c>
      <c r="F1384" s="1">
        <v>-4.9599999999999998E-2</v>
      </c>
      <c r="G1384" s="1">
        <v>6.9999999999999999E-4</v>
      </c>
      <c r="H1384" t="s">
        <v>156</v>
      </c>
      <c r="I1384" t="s">
        <v>157</v>
      </c>
    </row>
    <row r="1385" spans="1:9" x14ac:dyDescent="0.3">
      <c r="A1385">
        <v>63</v>
      </c>
      <c r="B1385" t="s">
        <v>12</v>
      </c>
      <c r="C1385" t="s">
        <v>226</v>
      </c>
      <c r="D1385" s="4">
        <f>14.83*1000</f>
        <v>14830</v>
      </c>
      <c r="E1385" t="s">
        <v>227</v>
      </c>
      <c r="F1385" s="1">
        <v>-7.22E-2</v>
      </c>
      <c r="G1385" s="1">
        <v>2.3999999999999998E-3</v>
      </c>
      <c r="H1385" t="s">
        <v>156</v>
      </c>
      <c r="I1385" t="s">
        <v>228</v>
      </c>
    </row>
    <row r="1386" spans="1:9" x14ac:dyDescent="0.3">
      <c r="A1386">
        <v>103</v>
      </c>
      <c r="B1386" t="s">
        <v>12</v>
      </c>
      <c r="C1386" t="s">
        <v>366</v>
      </c>
      <c r="D1386" s="4">
        <f>8.38*1000</f>
        <v>8380</v>
      </c>
      <c r="E1386" t="s">
        <v>367</v>
      </c>
      <c r="F1386" s="1">
        <v>-5.0599999999999999E-2</v>
      </c>
      <c r="G1386" s="1">
        <v>1.8E-3</v>
      </c>
      <c r="H1386" t="s">
        <v>156</v>
      </c>
      <c r="I1386" t="s">
        <v>368</v>
      </c>
    </row>
    <row r="1387" spans="1:9" x14ac:dyDescent="0.3">
      <c r="A1387">
        <v>184</v>
      </c>
      <c r="B1387" t="s">
        <v>7</v>
      </c>
      <c r="C1387" t="s">
        <v>643</v>
      </c>
      <c r="D1387" s="4">
        <f>4.05*1000</f>
        <v>4050</v>
      </c>
      <c r="E1387" t="s">
        <v>644</v>
      </c>
      <c r="F1387" s="1">
        <v>-4.9299999999999997E-2</v>
      </c>
      <c r="G1387" s="1">
        <v>1.5E-3</v>
      </c>
      <c r="H1387" t="s">
        <v>156</v>
      </c>
      <c r="I1387" t="s">
        <v>645</v>
      </c>
    </row>
    <row r="1388" spans="1:9" x14ac:dyDescent="0.3">
      <c r="A1388">
        <v>252</v>
      </c>
      <c r="B1388" t="s">
        <v>863</v>
      </c>
      <c r="C1388" t="s">
        <v>864</v>
      </c>
      <c r="D1388" s="4">
        <f>2.33*1000</f>
        <v>2330</v>
      </c>
      <c r="E1388" t="s">
        <v>865</v>
      </c>
      <c r="F1388" s="1">
        <v>-4.1000000000000002E-2</v>
      </c>
      <c r="G1388" s="1">
        <v>2.5000000000000001E-3</v>
      </c>
      <c r="H1388" t="s">
        <v>156</v>
      </c>
      <c r="I1388" t="s">
        <v>866</v>
      </c>
    </row>
    <row r="1389" spans="1:9" x14ac:dyDescent="0.3">
      <c r="A1389">
        <v>332</v>
      </c>
      <c r="B1389" t="s">
        <v>16</v>
      </c>
      <c r="C1389" t="s">
        <v>1107</v>
      </c>
      <c r="D1389" s="4">
        <f>1.35*1000</f>
        <v>1350</v>
      </c>
      <c r="E1389" t="s">
        <v>1105</v>
      </c>
      <c r="F1389" s="1">
        <v>-7.0800000000000002E-2</v>
      </c>
      <c r="G1389" s="1">
        <v>1.5E-3</v>
      </c>
      <c r="H1389" t="s">
        <v>156</v>
      </c>
      <c r="I1389" t="s">
        <v>1108</v>
      </c>
    </row>
    <row r="1390" spans="1:9" x14ac:dyDescent="0.3">
      <c r="A1390">
        <v>343</v>
      </c>
      <c r="B1390" t="s">
        <v>16</v>
      </c>
      <c r="C1390" t="s">
        <v>1139</v>
      </c>
      <c r="D1390" s="4">
        <f>1.24*1000</f>
        <v>1240</v>
      </c>
      <c r="E1390" t="s">
        <v>1140</v>
      </c>
      <c r="F1390" s="1">
        <v>-4.9099999999999998E-2</v>
      </c>
      <c r="G1390" s="1">
        <v>1.5E-3</v>
      </c>
      <c r="H1390" t="s">
        <v>156</v>
      </c>
      <c r="I1390" t="s">
        <v>1141</v>
      </c>
    </row>
    <row r="1391" spans="1:9" x14ac:dyDescent="0.3">
      <c r="A1391">
        <v>522</v>
      </c>
      <c r="B1391" t="s">
        <v>24</v>
      </c>
      <c r="C1391" t="s">
        <v>1699</v>
      </c>
      <c r="D1391" s="4">
        <v>558.19000000000005</v>
      </c>
      <c r="E1391" t="s">
        <v>1700</v>
      </c>
      <c r="F1391" s="1">
        <v>-3.0099999999999998E-2</v>
      </c>
      <c r="G1391" s="1">
        <v>3.8999999999999998E-3</v>
      </c>
      <c r="H1391" t="s">
        <v>156</v>
      </c>
      <c r="I1391" t="s">
        <v>1701</v>
      </c>
    </row>
    <row r="1392" spans="1:9" x14ac:dyDescent="0.3">
      <c r="A1392">
        <v>609</v>
      </c>
      <c r="B1392" t="s">
        <v>12</v>
      </c>
      <c r="C1392" t="s">
        <v>1995</v>
      </c>
      <c r="D1392" s="4">
        <v>400.29</v>
      </c>
      <c r="E1392" t="s">
        <v>1996</v>
      </c>
      <c r="F1392" s="1">
        <v>-4.58E-2</v>
      </c>
      <c r="G1392" s="1">
        <v>5.9999999999999995E-4</v>
      </c>
      <c r="H1392" t="s">
        <v>156</v>
      </c>
      <c r="I1392" t="s">
        <v>1997</v>
      </c>
    </row>
    <row r="1393" spans="1:9" x14ac:dyDescent="0.3">
      <c r="A1393">
        <v>701</v>
      </c>
      <c r="B1393" t="s">
        <v>24</v>
      </c>
      <c r="C1393" t="s">
        <v>2297</v>
      </c>
      <c r="D1393" s="4">
        <v>273.98</v>
      </c>
      <c r="E1393" t="s">
        <v>2298</v>
      </c>
      <c r="F1393" s="1">
        <v>-6.0900000000000003E-2</v>
      </c>
      <c r="G1393" s="1">
        <v>3.5000000000000001E-3</v>
      </c>
      <c r="H1393" t="s">
        <v>156</v>
      </c>
      <c r="I1393" t="s">
        <v>2299</v>
      </c>
    </row>
    <row r="1394" spans="1:9" x14ac:dyDescent="0.3">
      <c r="A1394">
        <v>744</v>
      </c>
      <c r="B1394" t="s">
        <v>280</v>
      </c>
      <c r="C1394" t="s">
        <v>2439</v>
      </c>
      <c r="D1394" s="4">
        <v>227.25</v>
      </c>
      <c r="E1394" t="s">
        <v>2440</v>
      </c>
      <c r="F1394" s="1">
        <v>-2.93E-2</v>
      </c>
      <c r="G1394" s="1">
        <v>7.1999999999999998E-3</v>
      </c>
      <c r="H1394" t="s">
        <v>156</v>
      </c>
      <c r="I1394" t="s">
        <v>2441</v>
      </c>
    </row>
    <row r="1395" spans="1:9" x14ac:dyDescent="0.3">
      <c r="A1395">
        <v>807</v>
      </c>
      <c r="B1395" t="s">
        <v>2103</v>
      </c>
      <c r="C1395" t="s">
        <v>2639</v>
      </c>
      <c r="D1395" s="4">
        <v>185.08</v>
      </c>
      <c r="E1395" t="s">
        <v>2640</v>
      </c>
      <c r="F1395" s="1">
        <v>-4.87E-2</v>
      </c>
      <c r="G1395" s="1">
        <v>7.9000000000000008E-3</v>
      </c>
      <c r="H1395" t="s">
        <v>156</v>
      </c>
      <c r="I1395" t="s">
        <v>2641</v>
      </c>
    </row>
    <row r="1396" spans="1:9" x14ac:dyDescent="0.3">
      <c r="A1396">
        <v>864</v>
      </c>
      <c r="B1396" t="s">
        <v>12</v>
      </c>
      <c r="C1396" t="s">
        <v>2823</v>
      </c>
      <c r="D1396" s="4">
        <v>149.18</v>
      </c>
      <c r="E1396" t="s">
        <v>2824</v>
      </c>
      <c r="F1396" s="1">
        <v>-2.06E-2</v>
      </c>
      <c r="G1396" s="1">
        <v>2E-3</v>
      </c>
      <c r="H1396" t="s">
        <v>156</v>
      </c>
      <c r="I1396" t="s">
        <v>2825</v>
      </c>
    </row>
    <row r="1397" spans="1:9" x14ac:dyDescent="0.3">
      <c r="A1397">
        <v>1496</v>
      </c>
      <c r="B1397" t="s">
        <v>1340</v>
      </c>
      <c r="C1397" t="s">
        <v>4854</v>
      </c>
      <c r="D1397" s="4">
        <v>18.649999999999999</v>
      </c>
      <c r="E1397" t="s">
        <v>4855</v>
      </c>
      <c r="F1397" s="1">
        <v>-4.2599999999999999E-2</v>
      </c>
      <c r="G1397" s="1">
        <v>6.1000000000000004E-3</v>
      </c>
      <c r="H1397" t="s">
        <v>156</v>
      </c>
      <c r="I1397" t="s">
        <v>4856</v>
      </c>
    </row>
    <row r="1398" spans="1:9" x14ac:dyDescent="0.3">
      <c r="A1398">
        <v>1868</v>
      </c>
      <c r="B1398" t="s">
        <v>863</v>
      </c>
      <c r="C1398" t="s">
        <v>5999</v>
      </c>
      <c r="D1398" s="4">
        <v>1.38</v>
      </c>
      <c r="E1398" t="s">
        <v>6000</v>
      </c>
      <c r="F1398" t="s">
        <v>662</v>
      </c>
      <c r="G1398" s="1">
        <v>2.5000000000000001E-3</v>
      </c>
      <c r="H1398" t="s">
        <v>156</v>
      </c>
      <c r="I1398" t="s">
        <v>6001</v>
      </c>
    </row>
    <row r="1399" spans="1:9" x14ac:dyDescent="0.3">
      <c r="A1399">
        <v>1919</v>
      </c>
      <c r="B1399" t="s">
        <v>1182</v>
      </c>
      <c r="C1399" t="s">
        <v>6150</v>
      </c>
      <c r="D1399" s="4" t="s">
        <v>662</v>
      </c>
      <c r="E1399" t="s">
        <v>662</v>
      </c>
      <c r="F1399" s="1">
        <v>1.1999999999999999E-3</v>
      </c>
      <c r="G1399" s="1">
        <v>6.0000000000000001E-3</v>
      </c>
      <c r="H1399" t="s">
        <v>19</v>
      </c>
      <c r="I1399" t="s">
        <v>6151</v>
      </c>
    </row>
    <row r="1400" spans="1:9" x14ac:dyDescent="0.3">
      <c r="A1400">
        <v>1926</v>
      </c>
      <c r="B1400" t="s">
        <v>2353</v>
      </c>
      <c r="C1400" t="s">
        <v>6163</v>
      </c>
      <c r="D1400" s="4" t="s">
        <v>662</v>
      </c>
      <c r="E1400" t="s">
        <v>662</v>
      </c>
      <c r="F1400" s="1">
        <v>-0.98670000000000002</v>
      </c>
      <c r="G1400" s="1">
        <v>1.6799999999999999E-2</v>
      </c>
      <c r="H1400" t="s">
        <v>19</v>
      </c>
      <c r="I1400" t="s">
        <v>6164</v>
      </c>
    </row>
    <row r="1401" spans="1:9" x14ac:dyDescent="0.3">
      <c r="A1401">
        <v>1931</v>
      </c>
      <c r="B1401" t="s">
        <v>6113</v>
      </c>
      <c r="C1401" t="s">
        <v>6173</v>
      </c>
      <c r="D1401" s="4" t="s">
        <v>662</v>
      </c>
      <c r="E1401" t="s">
        <v>662</v>
      </c>
      <c r="F1401" s="1">
        <v>1.6E-2</v>
      </c>
      <c r="G1401" s="1">
        <v>3.5999999999999999E-3</v>
      </c>
      <c r="H1401" t="s">
        <v>19</v>
      </c>
      <c r="I1401" t="s">
        <v>6174</v>
      </c>
    </row>
    <row r="1402" spans="1:9" x14ac:dyDescent="0.3">
      <c r="A1402">
        <v>1933</v>
      </c>
      <c r="B1402" t="s">
        <v>5707</v>
      </c>
      <c r="C1402" t="s">
        <v>6178</v>
      </c>
      <c r="D1402" s="4" t="s">
        <v>662</v>
      </c>
      <c r="E1402" t="s">
        <v>662</v>
      </c>
      <c r="F1402" s="1">
        <v>-2.2100000000000002E-2</v>
      </c>
      <c r="G1402" s="1">
        <v>5.4999999999999997E-3</v>
      </c>
      <c r="H1402" t="s">
        <v>19</v>
      </c>
      <c r="I1402" t="s">
        <v>6179</v>
      </c>
    </row>
    <row r="1403" spans="1:9" x14ac:dyDescent="0.3">
      <c r="A1403">
        <v>2</v>
      </c>
      <c r="B1403" t="s">
        <v>16</v>
      </c>
      <c r="C1403" t="s">
        <v>17</v>
      </c>
      <c r="D1403" s="4">
        <f>276.07*1000</f>
        <v>276070</v>
      </c>
      <c r="E1403" t="s">
        <v>18</v>
      </c>
      <c r="F1403" s="1">
        <v>-5.5899999999999998E-2</v>
      </c>
      <c r="G1403" s="1">
        <v>2.9999999999999997E-4</v>
      </c>
      <c r="H1403" t="s">
        <v>19</v>
      </c>
      <c r="I1403" t="s">
        <v>20</v>
      </c>
    </row>
    <row r="1404" spans="1:9" x14ac:dyDescent="0.3">
      <c r="A1404">
        <v>13</v>
      </c>
      <c r="B1404" t="s">
        <v>16</v>
      </c>
      <c r="C1404" t="s">
        <v>58</v>
      </c>
      <c r="D1404" s="4">
        <f>64.45*1000</f>
        <v>64450</v>
      </c>
      <c r="E1404" t="s">
        <v>59</v>
      </c>
      <c r="F1404" s="1">
        <v>-1.5299999999999999E-2</v>
      </c>
      <c r="G1404" s="1">
        <v>5.9999999999999995E-4</v>
      </c>
      <c r="H1404" t="s">
        <v>19</v>
      </c>
      <c r="I1404" t="s">
        <v>60</v>
      </c>
    </row>
    <row r="1405" spans="1:9" x14ac:dyDescent="0.3">
      <c r="A1405">
        <v>25</v>
      </c>
      <c r="B1405" t="s">
        <v>12</v>
      </c>
      <c r="C1405" t="s">
        <v>99</v>
      </c>
      <c r="D1405" s="4">
        <f>42.94*1000</f>
        <v>42940</v>
      </c>
      <c r="E1405" t="s">
        <v>100</v>
      </c>
      <c r="F1405" s="1">
        <v>-5.5500000000000001E-2</v>
      </c>
      <c r="G1405" s="1">
        <v>2.9999999999999997E-4</v>
      </c>
      <c r="H1405" t="s">
        <v>19</v>
      </c>
      <c r="I1405" t="s">
        <v>101</v>
      </c>
    </row>
    <row r="1406" spans="1:9" x14ac:dyDescent="0.3">
      <c r="A1406">
        <v>40</v>
      </c>
      <c r="B1406" t="s">
        <v>12</v>
      </c>
      <c r="C1406" t="s">
        <v>148</v>
      </c>
      <c r="D1406" s="4">
        <f>28.11*1000</f>
        <v>28110</v>
      </c>
      <c r="E1406" t="s">
        <v>149</v>
      </c>
      <c r="F1406" s="1">
        <v>-2.3099999999999999E-2</v>
      </c>
      <c r="G1406" s="1">
        <v>1.5E-3</v>
      </c>
      <c r="H1406" t="s">
        <v>19</v>
      </c>
      <c r="I1406" t="s">
        <v>150</v>
      </c>
    </row>
    <row r="1407" spans="1:9" x14ac:dyDescent="0.3">
      <c r="A1407">
        <v>45</v>
      </c>
      <c r="B1407" t="s">
        <v>12</v>
      </c>
      <c r="C1407" t="s">
        <v>165</v>
      </c>
      <c r="D1407" s="4">
        <f>23.8*1000</f>
        <v>23800</v>
      </c>
      <c r="E1407" t="s">
        <v>166</v>
      </c>
      <c r="F1407" s="1">
        <v>-4.9099999999999998E-2</v>
      </c>
      <c r="G1407" s="1">
        <v>1.5E-3</v>
      </c>
      <c r="H1407" t="s">
        <v>19</v>
      </c>
      <c r="I1407" t="s">
        <v>167</v>
      </c>
    </row>
    <row r="1408" spans="1:9" x14ac:dyDescent="0.3">
      <c r="A1408">
        <v>46</v>
      </c>
      <c r="B1408" t="s">
        <v>12</v>
      </c>
      <c r="C1408" t="s">
        <v>168</v>
      </c>
      <c r="D1408" s="4">
        <f>22.4*1000</f>
        <v>22400</v>
      </c>
      <c r="E1408" t="s">
        <v>169</v>
      </c>
      <c r="F1408" s="1">
        <v>5.0000000000000001E-3</v>
      </c>
      <c r="G1408" s="1">
        <v>8.0000000000000004E-4</v>
      </c>
      <c r="H1408" t="s">
        <v>19</v>
      </c>
      <c r="I1408" t="s">
        <v>170</v>
      </c>
    </row>
    <row r="1409" spans="1:9" x14ac:dyDescent="0.3">
      <c r="A1409">
        <v>47</v>
      </c>
      <c r="B1409" t="s">
        <v>12</v>
      </c>
      <c r="C1409" t="s">
        <v>171</v>
      </c>
      <c r="D1409" s="4">
        <f>22.33*1000</f>
        <v>22330</v>
      </c>
      <c r="E1409" t="s">
        <v>172</v>
      </c>
      <c r="F1409" s="1">
        <v>-6.13E-2</v>
      </c>
      <c r="G1409" s="1">
        <v>1.5E-3</v>
      </c>
      <c r="H1409" t="s">
        <v>19</v>
      </c>
      <c r="I1409" t="s">
        <v>173</v>
      </c>
    </row>
    <row r="1410" spans="1:9" x14ac:dyDescent="0.3">
      <c r="A1410">
        <v>48</v>
      </c>
      <c r="B1410" t="s">
        <v>116</v>
      </c>
      <c r="C1410" t="s">
        <v>174</v>
      </c>
      <c r="D1410" s="4">
        <f>22.1*1000</f>
        <v>22100</v>
      </c>
      <c r="E1410" t="s">
        <v>175</v>
      </c>
      <c r="F1410" s="1">
        <v>-5.45E-2</v>
      </c>
      <c r="G1410" s="1">
        <v>2.9999999999999997E-4</v>
      </c>
      <c r="H1410" t="s">
        <v>19</v>
      </c>
      <c r="I1410" t="s">
        <v>176</v>
      </c>
    </row>
    <row r="1411" spans="1:9" x14ac:dyDescent="0.3">
      <c r="A1411">
        <v>67</v>
      </c>
      <c r="B1411" t="s">
        <v>240</v>
      </c>
      <c r="C1411" t="s">
        <v>241</v>
      </c>
      <c r="D1411" s="4">
        <f>14.31*1000</f>
        <v>14310</v>
      </c>
      <c r="E1411" t="s">
        <v>242</v>
      </c>
      <c r="F1411" s="1">
        <v>-4.07E-2</v>
      </c>
      <c r="G1411" s="1">
        <v>1.9E-3</v>
      </c>
      <c r="H1411" t="s">
        <v>19</v>
      </c>
      <c r="I1411" t="s">
        <v>243</v>
      </c>
    </row>
    <row r="1412" spans="1:9" x14ac:dyDescent="0.3">
      <c r="A1412">
        <v>81</v>
      </c>
      <c r="B1412" t="s">
        <v>12</v>
      </c>
      <c r="C1412" t="s">
        <v>292</v>
      </c>
      <c r="D1412" s="4">
        <f>12.43*1000</f>
        <v>12430</v>
      </c>
      <c r="E1412" t="s">
        <v>293</v>
      </c>
      <c r="F1412" s="1">
        <v>-0.14180000000000001</v>
      </c>
      <c r="G1412" s="1">
        <v>1.5E-3</v>
      </c>
      <c r="H1412" t="s">
        <v>19</v>
      </c>
      <c r="I1412" t="s">
        <v>294</v>
      </c>
    </row>
    <row r="1413" spans="1:9" x14ac:dyDescent="0.3">
      <c r="A1413">
        <v>84</v>
      </c>
      <c r="B1413" t="s">
        <v>12</v>
      </c>
      <c r="C1413" t="s">
        <v>304</v>
      </c>
      <c r="D1413" s="4">
        <f>11.83*1000</f>
        <v>11830</v>
      </c>
      <c r="E1413" t="s">
        <v>305</v>
      </c>
      <c r="F1413" s="1">
        <v>-5.4199999999999998E-2</v>
      </c>
      <c r="G1413" s="1">
        <v>2E-3</v>
      </c>
      <c r="H1413" t="s">
        <v>19</v>
      </c>
      <c r="I1413" t="s">
        <v>306</v>
      </c>
    </row>
    <row r="1414" spans="1:9" x14ac:dyDescent="0.3">
      <c r="A1414">
        <v>121</v>
      </c>
      <c r="B1414" t="s">
        <v>272</v>
      </c>
      <c r="C1414" t="s">
        <v>428</v>
      </c>
      <c r="D1414" s="4">
        <f>6.89*1000</f>
        <v>6890</v>
      </c>
      <c r="E1414" t="s">
        <v>429</v>
      </c>
      <c r="F1414" s="1">
        <v>-3.9600000000000003E-2</v>
      </c>
      <c r="G1414" s="1">
        <v>4.7000000000000002E-3</v>
      </c>
      <c r="H1414" t="s">
        <v>19</v>
      </c>
      <c r="I1414" t="s">
        <v>430</v>
      </c>
    </row>
    <row r="1415" spans="1:9" x14ac:dyDescent="0.3">
      <c r="A1415">
        <v>125</v>
      </c>
      <c r="B1415" t="s">
        <v>440</v>
      </c>
      <c r="C1415" t="s">
        <v>441</v>
      </c>
      <c r="D1415" s="4">
        <f>6.81*1000</f>
        <v>6810</v>
      </c>
      <c r="E1415" t="s">
        <v>442</v>
      </c>
      <c r="F1415" s="1">
        <v>1.67E-2</v>
      </c>
      <c r="G1415" s="1">
        <v>2.8E-3</v>
      </c>
      <c r="H1415" t="s">
        <v>19</v>
      </c>
      <c r="I1415" t="s">
        <v>443</v>
      </c>
    </row>
    <row r="1416" spans="1:9" x14ac:dyDescent="0.3">
      <c r="A1416">
        <v>139</v>
      </c>
      <c r="B1416" t="s">
        <v>16</v>
      </c>
      <c r="C1416" t="s">
        <v>490</v>
      </c>
      <c r="D1416" s="4">
        <f>5.98*1000</f>
        <v>5980</v>
      </c>
      <c r="E1416" t="s">
        <v>491</v>
      </c>
      <c r="F1416" s="1">
        <v>-6.08E-2</v>
      </c>
      <c r="G1416" s="1">
        <v>8.9999999999999998E-4</v>
      </c>
      <c r="H1416" t="s">
        <v>19</v>
      </c>
      <c r="I1416" t="s">
        <v>492</v>
      </c>
    </row>
    <row r="1417" spans="1:9" x14ac:dyDescent="0.3">
      <c r="A1417">
        <v>143</v>
      </c>
      <c r="B1417" t="s">
        <v>240</v>
      </c>
      <c r="C1417" t="s">
        <v>504</v>
      </c>
      <c r="D1417" s="4">
        <f>5.78*1000</f>
        <v>5780</v>
      </c>
      <c r="E1417" t="s">
        <v>505</v>
      </c>
      <c r="F1417" s="1">
        <v>-4.36E-2</v>
      </c>
      <c r="G1417" s="1">
        <v>1.1000000000000001E-3</v>
      </c>
      <c r="H1417" t="s">
        <v>19</v>
      </c>
      <c r="I1417" t="s">
        <v>506</v>
      </c>
    </row>
    <row r="1418" spans="1:9" x14ac:dyDescent="0.3">
      <c r="A1418">
        <v>144</v>
      </c>
      <c r="B1418" t="s">
        <v>7</v>
      </c>
      <c r="C1418" t="s">
        <v>507</v>
      </c>
      <c r="D1418" s="4">
        <f>5.74*1000</f>
        <v>5740</v>
      </c>
      <c r="E1418" t="s">
        <v>508</v>
      </c>
      <c r="F1418" s="1">
        <v>-3.3500000000000002E-2</v>
      </c>
      <c r="G1418" s="1">
        <v>2.9999999999999997E-4</v>
      </c>
      <c r="H1418" t="s">
        <v>19</v>
      </c>
      <c r="I1418" t="s">
        <v>509</v>
      </c>
    </row>
    <row r="1419" spans="1:9" x14ac:dyDescent="0.3">
      <c r="A1419">
        <v>178</v>
      </c>
      <c r="B1419" t="s">
        <v>460</v>
      </c>
      <c r="C1419" t="s">
        <v>625</v>
      </c>
      <c r="D1419" s="4">
        <f>4.29*1000</f>
        <v>4290</v>
      </c>
      <c r="E1419" t="s">
        <v>626</v>
      </c>
      <c r="F1419" s="1">
        <v>-9.0700000000000003E-2</v>
      </c>
      <c r="G1419" s="1">
        <v>2.0999999999999999E-3</v>
      </c>
      <c r="H1419" t="s">
        <v>19</v>
      </c>
      <c r="I1419" t="s">
        <v>627</v>
      </c>
    </row>
    <row r="1420" spans="1:9" x14ac:dyDescent="0.3">
      <c r="A1420">
        <v>185</v>
      </c>
      <c r="B1420" t="s">
        <v>12</v>
      </c>
      <c r="C1420" t="s">
        <v>646</v>
      </c>
      <c r="D1420" s="4">
        <f>4.05*1000</f>
        <v>4050</v>
      </c>
      <c r="E1420" t="s">
        <v>644</v>
      </c>
      <c r="F1420" s="1">
        <v>-4.7699999999999999E-2</v>
      </c>
      <c r="G1420" s="1">
        <v>2.5000000000000001E-3</v>
      </c>
      <c r="H1420" t="s">
        <v>19</v>
      </c>
      <c r="I1420" t="s">
        <v>647</v>
      </c>
    </row>
    <row r="1421" spans="1:9" x14ac:dyDescent="0.3">
      <c r="A1421">
        <v>192</v>
      </c>
      <c r="B1421" t="s">
        <v>12</v>
      </c>
      <c r="C1421" t="s">
        <v>668</v>
      </c>
      <c r="D1421" s="4">
        <f>3.82*1000</f>
        <v>3820</v>
      </c>
      <c r="E1421" t="s">
        <v>669</v>
      </c>
      <c r="F1421" s="1">
        <v>-3.9399999999999998E-2</v>
      </c>
      <c r="G1421" s="1">
        <v>2.5000000000000001E-3</v>
      </c>
      <c r="H1421" t="s">
        <v>19</v>
      </c>
      <c r="I1421" t="s">
        <v>670</v>
      </c>
    </row>
    <row r="1422" spans="1:9" x14ac:dyDescent="0.3">
      <c r="A1422">
        <v>199</v>
      </c>
      <c r="B1422" t="s">
        <v>12</v>
      </c>
      <c r="C1422" t="s">
        <v>690</v>
      </c>
      <c r="D1422" s="4">
        <f>3.69*1000</f>
        <v>3690</v>
      </c>
      <c r="E1422" t="s">
        <v>691</v>
      </c>
      <c r="F1422" s="1">
        <v>-3.6499999999999998E-2</v>
      </c>
      <c r="G1422" s="1">
        <v>1E-3</v>
      </c>
      <c r="H1422" t="s">
        <v>19</v>
      </c>
      <c r="I1422" t="s">
        <v>692</v>
      </c>
    </row>
    <row r="1423" spans="1:9" x14ac:dyDescent="0.3">
      <c r="A1423">
        <v>215</v>
      </c>
      <c r="B1423" t="s">
        <v>618</v>
      </c>
      <c r="C1423" t="s">
        <v>744</v>
      </c>
      <c r="D1423" s="4">
        <f>3.22*1000</f>
        <v>3220</v>
      </c>
      <c r="E1423" t="s">
        <v>742</v>
      </c>
      <c r="F1423" s="1">
        <v>-3.39E-2</v>
      </c>
      <c r="G1423" s="1">
        <v>1E-3</v>
      </c>
      <c r="H1423" t="s">
        <v>19</v>
      </c>
      <c r="I1423" t="s">
        <v>745</v>
      </c>
    </row>
    <row r="1424" spans="1:9" x14ac:dyDescent="0.3">
      <c r="A1424">
        <v>236</v>
      </c>
      <c r="B1424" t="s">
        <v>24</v>
      </c>
      <c r="C1424" t="s">
        <v>813</v>
      </c>
      <c r="D1424" s="4">
        <f>2.65*1000</f>
        <v>2650</v>
      </c>
      <c r="E1424" t="s">
        <v>814</v>
      </c>
      <c r="F1424" s="1">
        <v>-4.41E-2</v>
      </c>
      <c r="G1424" s="1">
        <v>4.0000000000000002E-4</v>
      </c>
      <c r="H1424" t="s">
        <v>19</v>
      </c>
      <c r="I1424" t="s">
        <v>815</v>
      </c>
    </row>
    <row r="1425" spans="1:9" x14ac:dyDescent="0.3">
      <c r="A1425">
        <v>285</v>
      </c>
      <c r="B1425" t="s">
        <v>863</v>
      </c>
      <c r="C1425" t="s">
        <v>970</v>
      </c>
      <c r="D1425" s="4">
        <f>1.79*1000</f>
        <v>1790</v>
      </c>
      <c r="E1425" t="s">
        <v>966</v>
      </c>
      <c r="F1425" s="1">
        <v>-4.2799999999999998E-2</v>
      </c>
      <c r="G1425" s="1">
        <v>1.5E-3</v>
      </c>
      <c r="H1425" t="s">
        <v>19</v>
      </c>
      <c r="I1425" t="s">
        <v>971</v>
      </c>
    </row>
    <row r="1426" spans="1:9" x14ac:dyDescent="0.3">
      <c r="A1426">
        <v>294</v>
      </c>
      <c r="B1426" t="s">
        <v>12</v>
      </c>
      <c r="C1426" t="s">
        <v>999</v>
      </c>
      <c r="D1426" s="4">
        <f>1.7*1000</f>
        <v>1700</v>
      </c>
      <c r="E1426" t="s">
        <v>1000</v>
      </c>
      <c r="F1426" s="1">
        <v>-5.1200000000000002E-2</v>
      </c>
      <c r="G1426" s="1">
        <v>2E-3</v>
      </c>
      <c r="H1426" t="s">
        <v>19</v>
      </c>
      <c r="I1426" t="s">
        <v>1001</v>
      </c>
    </row>
    <row r="1427" spans="1:9" x14ac:dyDescent="0.3">
      <c r="A1427">
        <v>299</v>
      </c>
      <c r="B1427" t="s">
        <v>240</v>
      </c>
      <c r="C1427" t="s">
        <v>1014</v>
      </c>
      <c r="D1427" s="4">
        <f>1.65*1000</f>
        <v>1650</v>
      </c>
      <c r="E1427" t="s">
        <v>1015</v>
      </c>
      <c r="F1427" s="1">
        <v>-3.9699999999999999E-2</v>
      </c>
      <c r="G1427" s="1">
        <v>1.1999999999999999E-3</v>
      </c>
      <c r="H1427" t="s">
        <v>19</v>
      </c>
      <c r="I1427" t="s">
        <v>1016</v>
      </c>
    </row>
    <row r="1428" spans="1:9" x14ac:dyDescent="0.3">
      <c r="A1428">
        <v>301</v>
      </c>
      <c r="B1428" t="s">
        <v>444</v>
      </c>
      <c r="C1428" t="s">
        <v>1020</v>
      </c>
      <c r="D1428" s="4">
        <f>1.62*1000</f>
        <v>1620</v>
      </c>
      <c r="E1428" t="s">
        <v>1018</v>
      </c>
      <c r="F1428" s="1">
        <v>-1.03E-2</v>
      </c>
      <c r="G1428" s="1">
        <v>3.7000000000000002E-3</v>
      </c>
      <c r="H1428" t="s">
        <v>19</v>
      </c>
      <c r="I1428" t="s">
        <v>1021</v>
      </c>
    </row>
    <row r="1429" spans="1:9" x14ac:dyDescent="0.3">
      <c r="A1429">
        <v>304</v>
      </c>
      <c r="B1429" t="s">
        <v>444</v>
      </c>
      <c r="C1429" t="s">
        <v>1029</v>
      </c>
      <c r="D1429" s="4">
        <f>1.58*1000</f>
        <v>1580</v>
      </c>
      <c r="E1429" t="s">
        <v>1030</v>
      </c>
      <c r="F1429" s="1">
        <v>-4.9599999999999998E-2</v>
      </c>
      <c r="G1429" s="1">
        <v>2.5000000000000001E-3</v>
      </c>
      <c r="H1429" t="s">
        <v>19</v>
      </c>
      <c r="I1429" t="s">
        <v>1031</v>
      </c>
    </row>
    <row r="1430" spans="1:9" x14ac:dyDescent="0.3">
      <c r="A1430">
        <v>311</v>
      </c>
      <c r="B1430" t="s">
        <v>280</v>
      </c>
      <c r="C1430" t="s">
        <v>1050</v>
      </c>
      <c r="D1430" s="4">
        <f>1.51*1000</f>
        <v>1510</v>
      </c>
      <c r="E1430" t="s">
        <v>1045</v>
      </c>
      <c r="F1430" s="1">
        <v>-0.2185</v>
      </c>
      <c r="G1430" s="1">
        <v>5.7000000000000002E-3</v>
      </c>
      <c r="H1430" t="s">
        <v>19</v>
      </c>
      <c r="I1430" t="s">
        <v>1051</v>
      </c>
    </row>
    <row r="1431" spans="1:9" x14ac:dyDescent="0.3">
      <c r="A1431">
        <v>313</v>
      </c>
      <c r="B1431" t="s">
        <v>24</v>
      </c>
      <c r="C1431" t="s">
        <v>1055</v>
      </c>
      <c r="D1431" s="4">
        <f>1.5*1000</f>
        <v>1500</v>
      </c>
      <c r="E1431" t="s">
        <v>1056</v>
      </c>
      <c r="F1431" s="1">
        <v>-5.8799999999999998E-2</v>
      </c>
      <c r="G1431" s="1">
        <v>6.4000000000000003E-3</v>
      </c>
      <c r="H1431" t="s">
        <v>19</v>
      </c>
      <c r="I1431" t="s">
        <v>1057</v>
      </c>
    </row>
    <row r="1432" spans="1:9" x14ac:dyDescent="0.3">
      <c r="A1432">
        <v>318</v>
      </c>
      <c r="B1432" t="s">
        <v>24</v>
      </c>
      <c r="C1432" t="s">
        <v>1068</v>
      </c>
      <c r="D1432" s="4">
        <f>1.44*1000</f>
        <v>1440</v>
      </c>
      <c r="E1432" t="s">
        <v>1069</v>
      </c>
      <c r="F1432" s="1">
        <v>-0.16850000000000001</v>
      </c>
      <c r="G1432" s="1">
        <v>6.1999999999999998E-3</v>
      </c>
      <c r="H1432" t="s">
        <v>19</v>
      </c>
      <c r="I1432" t="s">
        <v>1070</v>
      </c>
    </row>
    <row r="1433" spans="1:9" x14ac:dyDescent="0.3">
      <c r="A1433">
        <v>360</v>
      </c>
      <c r="B1433" t="s">
        <v>16</v>
      </c>
      <c r="C1433" t="s">
        <v>1188</v>
      </c>
      <c r="D1433" s="4">
        <f>1.17*1000</f>
        <v>1170</v>
      </c>
      <c r="E1433" t="s">
        <v>1178</v>
      </c>
      <c r="F1433" s="1">
        <v>-5.3999999999999999E-2</v>
      </c>
      <c r="G1433" s="1">
        <v>1E-3</v>
      </c>
      <c r="H1433" t="s">
        <v>19</v>
      </c>
      <c r="I1433" t="s">
        <v>1189</v>
      </c>
    </row>
    <row r="1434" spans="1:9" x14ac:dyDescent="0.3">
      <c r="A1434">
        <v>363</v>
      </c>
      <c r="B1434" t="s">
        <v>12</v>
      </c>
      <c r="C1434" t="s">
        <v>1195</v>
      </c>
      <c r="D1434" s="4">
        <f>1.16*1000</f>
        <v>1160</v>
      </c>
      <c r="E1434" t="s">
        <v>1191</v>
      </c>
      <c r="F1434" s="1">
        <v>-3.2899999999999999E-2</v>
      </c>
      <c r="G1434" s="1">
        <v>2E-3</v>
      </c>
      <c r="H1434" t="s">
        <v>19</v>
      </c>
      <c r="I1434" t="s">
        <v>1196</v>
      </c>
    </row>
    <row r="1435" spans="1:9" x14ac:dyDescent="0.3">
      <c r="A1435">
        <v>391</v>
      </c>
      <c r="B1435" t="s">
        <v>440</v>
      </c>
      <c r="C1435" t="s">
        <v>1271</v>
      </c>
      <c r="D1435" s="4">
        <f>1.01*1000</f>
        <v>1010</v>
      </c>
      <c r="E1435" t="s">
        <v>1272</v>
      </c>
      <c r="F1435" s="1">
        <v>2.0299999999999999E-2</v>
      </c>
      <c r="G1435" s="1">
        <v>2.8E-3</v>
      </c>
      <c r="H1435" t="s">
        <v>19</v>
      </c>
      <c r="I1435" t="s">
        <v>1273</v>
      </c>
    </row>
    <row r="1436" spans="1:9" x14ac:dyDescent="0.3">
      <c r="A1436">
        <v>394</v>
      </c>
      <c r="B1436" t="s">
        <v>7</v>
      </c>
      <c r="C1436" t="s">
        <v>1280</v>
      </c>
      <c r="D1436" s="4">
        <v>988.17</v>
      </c>
      <c r="E1436" t="s">
        <v>1281</v>
      </c>
      <c r="F1436" s="1">
        <v>-2.6200000000000001E-2</v>
      </c>
      <c r="G1436" s="1">
        <v>1.5E-3</v>
      </c>
      <c r="H1436" t="s">
        <v>19</v>
      </c>
      <c r="I1436" t="s">
        <v>1282</v>
      </c>
    </row>
    <row r="1437" spans="1:9" x14ac:dyDescent="0.3">
      <c r="A1437">
        <v>415</v>
      </c>
      <c r="B1437" t="s">
        <v>332</v>
      </c>
      <c r="C1437" t="s">
        <v>1356</v>
      </c>
      <c r="D1437" s="4">
        <v>903.91</v>
      </c>
      <c r="E1437" t="s">
        <v>1357</v>
      </c>
      <c r="F1437" s="1">
        <v>-4.5499999999999999E-2</v>
      </c>
      <c r="G1437" s="1">
        <v>2.0000000000000001E-4</v>
      </c>
      <c r="H1437" t="s">
        <v>19</v>
      </c>
      <c r="I1437" t="s">
        <v>1358</v>
      </c>
    </row>
    <row r="1438" spans="1:9" x14ac:dyDescent="0.3">
      <c r="A1438">
        <v>425</v>
      </c>
      <c r="B1438" t="s">
        <v>12</v>
      </c>
      <c r="C1438" t="s">
        <v>1388</v>
      </c>
      <c r="D1438" s="4">
        <v>870.79</v>
      </c>
      <c r="E1438" t="s">
        <v>1389</v>
      </c>
      <c r="F1438" s="1">
        <v>-4.8300000000000003E-2</v>
      </c>
      <c r="G1438" s="1">
        <v>2.9999999999999997E-4</v>
      </c>
      <c r="H1438" t="s">
        <v>19</v>
      </c>
      <c r="I1438" t="s">
        <v>1390</v>
      </c>
    </row>
    <row r="1439" spans="1:9" x14ac:dyDescent="0.3">
      <c r="A1439">
        <v>464</v>
      </c>
      <c r="B1439" t="s">
        <v>1340</v>
      </c>
      <c r="C1439" t="s">
        <v>1514</v>
      </c>
      <c r="D1439" s="4">
        <v>758.18</v>
      </c>
      <c r="E1439" t="s">
        <v>1515</v>
      </c>
      <c r="F1439" s="1">
        <v>6.0100000000000001E-2</v>
      </c>
      <c r="G1439" s="1">
        <v>2.7000000000000001E-3</v>
      </c>
      <c r="H1439" t="s">
        <v>19</v>
      </c>
      <c r="I1439" t="s">
        <v>1516</v>
      </c>
    </row>
    <row r="1440" spans="1:9" x14ac:dyDescent="0.3">
      <c r="A1440">
        <v>485</v>
      </c>
      <c r="B1440" t="s">
        <v>24</v>
      </c>
      <c r="C1440" t="s">
        <v>1579</v>
      </c>
      <c r="D1440" s="4">
        <v>687.75</v>
      </c>
      <c r="E1440" t="s">
        <v>1580</v>
      </c>
      <c r="F1440" s="1">
        <v>-4.7000000000000002E-3</v>
      </c>
      <c r="G1440" s="1">
        <v>5.3E-3</v>
      </c>
      <c r="H1440" t="s">
        <v>19</v>
      </c>
      <c r="I1440" t="s">
        <v>1581</v>
      </c>
    </row>
    <row r="1441" spans="1:9" x14ac:dyDescent="0.3">
      <c r="A1441">
        <v>491</v>
      </c>
      <c r="B1441" t="s">
        <v>486</v>
      </c>
      <c r="C1441" t="s">
        <v>1599</v>
      </c>
      <c r="D1441" s="4">
        <v>655.82</v>
      </c>
      <c r="E1441" t="s">
        <v>1600</v>
      </c>
      <c r="F1441" s="1">
        <v>-3.61E-2</v>
      </c>
      <c r="G1441" s="1">
        <v>4.3E-3</v>
      </c>
      <c r="H1441" t="s">
        <v>19</v>
      </c>
      <c r="I1441" t="s">
        <v>1601</v>
      </c>
    </row>
    <row r="1442" spans="1:9" x14ac:dyDescent="0.3">
      <c r="A1442">
        <v>533</v>
      </c>
      <c r="B1442" t="s">
        <v>12</v>
      </c>
      <c r="C1442" t="s">
        <v>1737</v>
      </c>
      <c r="D1442" s="4">
        <v>540.19000000000005</v>
      </c>
      <c r="E1442" t="s">
        <v>1738</v>
      </c>
      <c r="F1442" s="1">
        <v>-6.8000000000000005E-2</v>
      </c>
      <c r="G1442" s="1">
        <v>1E-3</v>
      </c>
      <c r="H1442" t="s">
        <v>19</v>
      </c>
      <c r="I1442" t="s">
        <v>1739</v>
      </c>
    </row>
    <row r="1443" spans="1:9" x14ac:dyDescent="0.3">
      <c r="A1443">
        <v>545</v>
      </c>
      <c r="B1443" t="s">
        <v>1687</v>
      </c>
      <c r="C1443" t="s">
        <v>1776</v>
      </c>
      <c r="D1443" s="4">
        <v>513.51</v>
      </c>
      <c r="E1443" t="s">
        <v>1777</v>
      </c>
      <c r="F1443" s="1">
        <v>-7.4899999999999994E-2</v>
      </c>
      <c r="G1443" s="1">
        <v>5.0000000000000001E-3</v>
      </c>
      <c r="H1443" t="s">
        <v>19</v>
      </c>
      <c r="I1443" t="s">
        <v>1778</v>
      </c>
    </row>
    <row r="1444" spans="1:9" x14ac:dyDescent="0.3">
      <c r="A1444">
        <v>550</v>
      </c>
      <c r="B1444" t="s">
        <v>12</v>
      </c>
      <c r="C1444" t="s">
        <v>1793</v>
      </c>
      <c r="D1444" s="4">
        <v>501.14</v>
      </c>
      <c r="E1444" t="s">
        <v>1794</v>
      </c>
      <c r="F1444" s="1">
        <v>-5.9900000000000002E-2</v>
      </c>
      <c r="G1444" s="1">
        <v>1.5E-3</v>
      </c>
      <c r="H1444" t="s">
        <v>19</v>
      </c>
      <c r="I1444" t="s">
        <v>1795</v>
      </c>
    </row>
    <row r="1445" spans="1:9" x14ac:dyDescent="0.3">
      <c r="A1445">
        <v>562</v>
      </c>
      <c r="B1445" t="s">
        <v>12</v>
      </c>
      <c r="C1445" t="s">
        <v>1831</v>
      </c>
      <c r="D1445" s="4">
        <v>479.34</v>
      </c>
      <c r="E1445" t="s">
        <v>1832</v>
      </c>
      <c r="F1445" s="1">
        <v>-6.4399999999999999E-2</v>
      </c>
      <c r="G1445" s="1">
        <v>8.9999999999999998E-4</v>
      </c>
      <c r="H1445" t="s">
        <v>19</v>
      </c>
      <c r="I1445" t="s">
        <v>1833</v>
      </c>
    </row>
    <row r="1446" spans="1:9" x14ac:dyDescent="0.3">
      <c r="A1446">
        <v>571</v>
      </c>
      <c r="B1446" t="s">
        <v>1864</v>
      </c>
      <c r="C1446" t="s">
        <v>1865</v>
      </c>
      <c r="D1446" s="4">
        <v>464.9</v>
      </c>
      <c r="E1446" t="s">
        <v>1866</v>
      </c>
      <c r="F1446" s="1">
        <v>-3.4099999999999998E-2</v>
      </c>
      <c r="G1446" s="1">
        <v>8.9999999999999998E-4</v>
      </c>
      <c r="H1446" t="s">
        <v>19</v>
      </c>
      <c r="I1446" t="s">
        <v>1867</v>
      </c>
    </row>
    <row r="1447" spans="1:9" x14ac:dyDescent="0.3">
      <c r="A1447">
        <v>579</v>
      </c>
      <c r="B1447" t="s">
        <v>1891</v>
      </c>
      <c r="C1447" t="s">
        <v>1892</v>
      </c>
      <c r="D1447" s="4">
        <v>438.77</v>
      </c>
      <c r="E1447" t="s">
        <v>1893</v>
      </c>
      <c r="F1447" s="1">
        <v>-3.0099999999999998E-2</v>
      </c>
      <c r="G1447" s="1">
        <v>4.7999999999999996E-3</v>
      </c>
      <c r="H1447" t="s">
        <v>19</v>
      </c>
      <c r="I1447" t="s">
        <v>1894</v>
      </c>
    </row>
    <row r="1448" spans="1:9" x14ac:dyDescent="0.3">
      <c r="A1448">
        <v>585</v>
      </c>
      <c r="B1448" t="s">
        <v>248</v>
      </c>
      <c r="C1448" t="s">
        <v>1911</v>
      </c>
      <c r="D1448" s="4">
        <v>434.02</v>
      </c>
      <c r="E1448" t="s">
        <v>1912</v>
      </c>
      <c r="F1448" s="1">
        <v>-4.6100000000000002E-2</v>
      </c>
      <c r="G1448" s="1">
        <v>6.9999999999999999E-4</v>
      </c>
      <c r="H1448" t="s">
        <v>19</v>
      </c>
      <c r="I1448" t="s">
        <v>1913</v>
      </c>
    </row>
    <row r="1449" spans="1:9" x14ac:dyDescent="0.3">
      <c r="A1449">
        <v>589</v>
      </c>
      <c r="B1449" t="s">
        <v>444</v>
      </c>
      <c r="C1449" t="s">
        <v>1925</v>
      </c>
      <c r="D1449" s="4">
        <v>428.29</v>
      </c>
      <c r="E1449" t="s">
        <v>1926</v>
      </c>
      <c r="F1449" s="1">
        <v>-7.4999999999999997E-3</v>
      </c>
      <c r="G1449" s="1">
        <v>3.7000000000000002E-3</v>
      </c>
      <c r="H1449" t="s">
        <v>19</v>
      </c>
      <c r="I1449" t="s">
        <v>1927</v>
      </c>
    </row>
    <row r="1450" spans="1:9" x14ac:dyDescent="0.3">
      <c r="A1450">
        <v>595</v>
      </c>
      <c r="B1450" t="s">
        <v>116</v>
      </c>
      <c r="C1450" t="s">
        <v>1943</v>
      </c>
      <c r="D1450" s="4">
        <v>416.6</v>
      </c>
      <c r="E1450" t="s">
        <v>1944</v>
      </c>
      <c r="F1450" s="1">
        <v>-4.0000000000000001E-3</v>
      </c>
      <c r="G1450" s="1">
        <v>2.5000000000000001E-3</v>
      </c>
      <c r="H1450" t="s">
        <v>19</v>
      </c>
      <c r="I1450" t="s">
        <v>1945</v>
      </c>
    </row>
    <row r="1451" spans="1:9" x14ac:dyDescent="0.3">
      <c r="A1451">
        <v>631</v>
      </c>
      <c r="B1451" t="s">
        <v>2070</v>
      </c>
      <c r="C1451" t="s">
        <v>2071</v>
      </c>
      <c r="D1451" s="4">
        <v>372.1</v>
      </c>
      <c r="E1451" t="s">
        <v>2072</v>
      </c>
      <c r="F1451" s="1">
        <v>-3.4799999999999998E-2</v>
      </c>
      <c r="G1451" s="1">
        <v>5.8999999999999999E-3</v>
      </c>
      <c r="H1451" t="s">
        <v>19</v>
      </c>
      <c r="I1451" t="s">
        <v>2073</v>
      </c>
    </row>
    <row r="1452" spans="1:9" x14ac:dyDescent="0.3">
      <c r="A1452">
        <v>662</v>
      </c>
      <c r="B1452" t="s">
        <v>1182</v>
      </c>
      <c r="C1452" t="s">
        <v>2172</v>
      </c>
      <c r="D1452" s="4">
        <v>329.17</v>
      </c>
      <c r="E1452" t="s">
        <v>2173</v>
      </c>
      <c r="F1452" s="1">
        <v>-3.1600000000000003E-2</v>
      </c>
      <c r="G1452" s="1">
        <v>2E-3</v>
      </c>
      <c r="H1452" t="s">
        <v>19</v>
      </c>
      <c r="I1452" t="s">
        <v>2174</v>
      </c>
    </row>
    <row r="1453" spans="1:9" x14ac:dyDescent="0.3">
      <c r="A1453">
        <v>693</v>
      </c>
      <c r="B1453" t="s">
        <v>2269</v>
      </c>
      <c r="C1453" t="s">
        <v>2270</v>
      </c>
      <c r="D1453" s="4">
        <v>285.81</v>
      </c>
      <c r="E1453" t="s">
        <v>2271</v>
      </c>
      <c r="F1453" s="1">
        <v>-0.35649999999999998</v>
      </c>
      <c r="G1453" s="1">
        <v>6.0000000000000001E-3</v>
      </c>
      <c r="H1453" t="s">
        <v>19</v>
      </c>
      <c r="I1453" t="s">
        <v>2272</v>
      </c>
    </row>
    <row r="1454" spans="1:9" x14ac:dyDescent="0.3">
      <c r="A1454">
        <v>753</v>
      </c>
      <c r="B1454" t="s">
        <v>863</v>
      </c>
      <c r="C1454" t="s">
        <v>2469</v>
      </c>
      <c r="D1454" s="4">
        <v>219.27</v>
      </c>
      <c r="E1454" t="s">
        <v>2470</v>
      </c>
      <c r="F1454" s="1">
        <v>-0.12130000000000001</v>
      </c>
      <c r="G1454" s="1">
        <v>2.8999999999999998E-3</v>
      </c>
      <c r="H1454" t="s">
        <v>19</v>
      </c>
      <c r="I1454" t="s">
        <v>2471</v>
      </c>
    </row>
    <row r="1455" spans="1:9" x14ac:dyDescent="0.3">
      <c r="A1455">
        <v>763</v>
      </c>
      <c r="B1455" t="s">
        <v>12</v>
      </c>
      <c r="C1455" t="s">
        <v>2502</v>
      </c>
      <c r="D1455" s="4">
        <v>211.68</v>
      </c>
      <c r="E1455" t="s">
        <v>2503</v>
      </c>
      <c r="F1455" s="1">
        <v>-1.2999999999999999E-3</v>
      </c>
      <c r="G1455" s="1">
        <v>2.5000000000000001E-3</v>
      </c>
      <c r="H1455" t="s">
        <v>19</v>
      </c>
      <c r="I1455" t="s">
        <v>2504</v>
      </c>
    </row>
    <row r="1456" spans="1:9" x14ac:dyDescent="0.3">
      <c r="A1456">
        <v>785</v>
      </c>
      <c r="B1456" t="s">
        <v>863</v>
      </c>
      <c r="C1456" t="s">
        <v>2571</v>
      </c>
      <c r="D1456" s="4">
        <v>198.91</v>
      </c>
      <c r="E1456" t="s">
        <v>2572</v>
      </c>
      <c r="F1456" s="1">
        <v>-4.7000000000000002E-3</v>
      </c>
      <c r="G1456" s="1">
        <v>2.8999999999999998E-3</v>
      </c>
      <c r="H1456" t="s">
        <v>19</v>
      </c>
      <c r="I1456" t="s">
        <v>2573</v>
      </c>
    </row>
    <row r="1457" spans="1:9" x14ac:dyDescent="0.3">
      <c r="A1457">
        <v>793</v>
      </c>
      <c r="B1457" t="s">
        <v>2595</v>
      </c>
      <c r="C1457" t="s">
        <v>2596</v>
      </c>
      <c r="D1457" s="4">
        <v>192.73</v>
      </c>
      <c r="E1457" t="s">
        <v>2597</v>
      </c>
      <c r="F1457" s="1">
        <v>-3.73E-2</v>
      </c>
      <c r="G1457" s="1">
        <v>5.8999999999999999E-3</v>
      </c>
      <c r="H1457" t="s">
        <v>19</v>
      </c>
      <c r="I1457" t="s">
        <v>2598</v>
      </c>
    </row>
    <row r="1458" spans="1:9" x14ac:dyDescent="0.3">
      <c r="A1458">
        <v>797</v>
      </c>
      <c r="B1458" t="s">
        <v>248</v>
      </c>
      <c r="C1458" t="s">
        <v>2609</v>
      </c>
      <c r="D1458" s="4">
        <v>191.78</v>
      </c>
      <c r="E1458" t="s">
        <v>2610</v>
      </c>
      <c r="F1458" s="1">
        <v>-0.13880000000000001</v>
      </c>
      <c r="G1458" s="1">
        <v>4.4999999999999997E-3</v>
      </c>
      <c r="H1458" t="s">
        <v>19</v>
      </c>
      <c r="I1458" t="s">
        <v>2611</v>
      </c>
    </row>
    <row r="1459" spans="1:9" x14ac:dyDescent="0.3">
      <c r="A1459">
        <v>798</v>
      </c>
      <c r="B1459" t="s">
        <v>1799</v>
      </c>
      <c r="C1459" t="s">
        <v>2612</v>
      </c>
      <c r="D1459" s="4">
        <v>191.65</v>
      </c>
      <c r="E1459" t="s">
        <v>2613</v>
      </c>
      <c r="F1459" s="1">
        <v>-0.24610000000000001</v>
      </c>
      <c r="G1459" s="1">
        <v>8.0000000000000002E-3</v>
      </c>
      <c r="H1459" t="s">
        <v>19</v>
      </c>
      <c r="I1459" t="s">
        <v>2614</v>
      </c>
    </row>
    <row r="1460" spans="1:9" x14ac:dyDescent="0.3">
      <c r="A1460">
        <v>800</v>
      </c>
      <c r="B1460" t="s">
        <v>444</v>
      </c>
      <c r="C1460" t="s">
        <v>2618</v>
      </c>
      <c r="D1460" s="4">
        <v>190.87</v>
      </c>
      <c r="E1460" t="s">
        <v>2619</v>
      </c>
      <c r="F1460" s="1">
        <v>-2.5999999999999999E-2</v>
      </c>
      <c r="G1460" s="1">
        <v>3.2000000000000002E-3</v>
      </c>
      <c r="H1460" t="s">
        <v>19</v>
      </c>
      <c r="I1460" t="s">
        <v>2620</v>
      </c>
    </row>
    <row r="1461" spans="1:9" x14ac:dyDescent="0.3">
      <c r="A1461">
        <v>808</v>
      </c>
      <c r="B1461" t="s">
        <v>7</v>
      </c>
      <c r="C1461" t="s">
        <v>2642</v>
      </c>
      <c r="D1461" s="4">
        <v>185.03</v>
      </c>
      <c r="E1461" t="s">
        <v>2643</v>
      </c>
      <c r="F1461" s="1">
        <v>-2.3E-2</v>
      </c>
      <c r="G1461" s="1">
        <v>7.0000000000000001E-3</v>
      </c>
      <c r="H1461" t="s">
        <v>19</v>
      </c>
      <c r="I1461" t="s">
        <v>2644</v>
      </c>
    </row>
    <row r="1462" spans="1:9" x14ac:dyDescent="0.3">
      <c r="A1462">
        <v>811</v>
      </c>
      <c r="B1462" t="s">
        <v>921</v>
      </c>
      <c r="C1462" t="s">
        <v>2652</v>
      </c>
      <c r="D1462" s="4">
        <v>182.59</v>
      </c>
      <c r="E1462" t="s">
        <v>2653</v>
      </c>
      <c r="F1462" s="1">
        <v>-8.6300000000000002E-2</v>
      </c>
      <c r="G1462" s="1">
        <v>4.7999999999999996E-3</v>
      </c>
      <c r="H1462" t="s">
        <v>19</v>
      </c>
      <c r="I1462" t="s">
        <v>2654</v>
      </c>
    </row>
    <row r="1463" spans="1:9" x14ac:dyDescent="0.3">
      <c r="A1463">
        <v>816</v>
      </c>
      <c r="B1463" t="s">
        <v>16</v>
      </c>
      <c r="C1463" t="s">
        <v>2668</v>
      </c>
      <c r="D1463" s="4">
        <v>177.94</v>
      </c>
      <c r="E1463" t="s">
        <v>2669</v>
      </c>
      <c r="F1463" s="1">
        <v>-7.1800000000000003E-2</v>
      </c>
      <c r="G1463" s="1">
        <v>1.2999999999999999E-3</v>
      </c>
      <c r="H1463" t="s">
        <v>19</v>
      </c>
      <c r="I1463" t="s">
        <v>2670</v>
      </c>
    </row>
    <row r="1464" spans="1:9" x14ac:dyDescent="0.3">
      <c r="A1464">
        <v>821</v>
      </c>
      <c r="B1464" t="s">
        <v>16</v>
      </c>
      <c r="C1464" t="s">
        <v>2683</v>
      </c>
      <c r="D1464" s="4">
        <v>176.04</v>
      </c>
      <c r="E1464" t="s">
        <v>2684</v>
      </c>
      <c r="F1464" s="1">
        <v>-0.13089999999999999</v>
      </c>
      <c r="G1464" s="1">
        <v>1.2999999999999999E-3</v>
      </c>
      <c r="H1464" t="s">
        <v>19</v>
      </c>
      <c r="I1464" t="s">
        <v>2685</v>
      </c>
    </row>
    <row r="1465" spans="1:9" x14ac:dyDescent="0.3">
      <c r="A1465">
        <v>822</v>
      </c>
      <c r="B1465" t="s">
        <v>486</v>
      </c>
      <c r="C1465" t="s">
        <v>2686</v>
      </c>
      <c r="D1465" s="4">
        <v>175.77</v>
      </c>
      <c r="E1465" t="s">
        <v>2687</v>
      </c>
      <c r="F1465" s="1">
        <v>-8.6E-3</v>
      </c>
      <c r="G1465" s="1">
        <v>2.7000000000000001E-3</v>
      </c>
      <c r="H1465" t="s">
        <v>19</v>
      </c>
      <c r="I1465" t="s">
        <v>2688</v>
      </c>
    </row>
    <row r="1466" spans="1:9" x14ac:dyDescent="0.3">
      <c r="A1466">
        <v>844</v>
      </c>
      <c r="B1466" t="s">
        <v>2757</v>
      </c>
      <c r="C1466" t="s">
        <v>2758</v>
      </c>
      <c r="D1466" s="4">
        <v>161.93</v>
      </c>
      <c r="E1466" t="s">
        <v>2759</v>
      </c>
      <c r="F1466" s="1">
        <v>6.7999999999999996E-3</v>
      </c>
      <c r="G1466" s="1">
        <v>5.0000000000000001E-3</v>
      </c>
      <c r="H1466" t="s">
        <v>19</v>
      </c>
      <c r="I1466" t="s">
        <v>2760</v>
      </c>
    </row>
    <row r="1467" spans="1:9" x14ac:dyDescent="0.3">
      <c r="A1467">
        <v>849</v>
      </c>
      <c r="B1467" t="s">
        <v>444</v>
      </c>
      <c r="C1467" t="s">
        <v>2777</v>
      </c>
      <c r="D1467" s="4">
        <v>159.13</v>
      </c>
      <c r="E1467" t="s">
        <v>2778</v>
      </c>
      <c r="F1467" s="1">
        <v>-2.0899999999999998E-2</v>
      </c>
      <c r="G1467" s="1">
        <v>2.2000000000000001E-3</v>
      </c>
      <c r="H1467" t="s">
        <v>19</v>
      </c>
      <c r="I1467" t="s">
        <v>2779</v>
      </c>
    </row>
    <row r="1468" spans="1:9" x14ac:dyDescent="0.3">
      <c r="A1468">
        <v>855</v>
      </c>
      <c r="B1468" t="s">
        <v>1182</v>
      </c>
      <c r="C1468" t="s">
        <v>2796</v>
      </c>
      <c r="D1468" s="4">
        <v>155.02000000000001</v>
      </c>
      <c r="E1468" t="s">
        <v>2797</v>
      </c>
      <c r="F1468" s="1">
        <v>-1.4E-3</v>
      </c>
      <c r="G1468" s="1">
        <v>3.5000000000000001E-3</v>
      </c>
      <c r="H1468" t="s">
        <v>19</v>
      </c>
      <c r="I1468" t="s">
        <v>2798</v>
      </c>
    </row>
    <row r="1469" spans="1:9" x14ac:dyDescent="0.3">
      <c r="A1469">
        <v>856</v>
      </c>
      <c r="B1469" t="s">
        <v>460</v>
      </c>
      <c r="C1469" t="s">
        <v>2799</v>
      </c>
      <c r="D1469" s="4">
        <v>154.03</v>
      </c>
      <c r="E1469" t="s">
        <v>2800</v>
      </c>
      <c r="F1469" s="1">
        <v>-7.7999999999999996E-3</v>
      </c>
      <c r="G1469" s="1">
        <v>2.8999999999999998E-3</v>
      </c>
      <c r="H1469" t="s">
        <v>19</v>
      </c>
      <c r="I1469" t="s">
        <v>2801</v>
      </c>
    </row>
    <row r="1470" spans="1:9" x14ac:dyDescent="0.3">
      <c r="A1470">
        <v>857</v>
      </c>
      <c r="B1470" t="s">
        <v>440</v>
      </c>
      <c r="C1470" t="s">
        <v>2802</v>
      </c>
      <c r="D1470" s="4">
        <v>153.71</v>
      </c>
      <c r="E1470" t="s">
        <v>2803</v>
      </c>
      <c r="F1470" s="1">
        <v>-2.92E-2</v>
      </c>
      <c r="G1470" s="1">
        <v>2.8E-3</v>
      </c>
      <c r="H1470" t="s">
        <v>19</v>
      </c>
      <c r="I1470" t="s">
        <v>2804</v>
      </c>
    </row>
    <row r="1471" spans="1:9" x14ac:dyDescent="0.3">
      <c r="A1471">
        <v>878</v>
      </c>
      <c r="B1471" t="s">
        <v>921</v>
      </c>
      <c r="C1471" t="s">
        <v>2866</v>
      </c>
      <c r="D1471" s="4">
        <v>142.66</v>
      </c>
      <c r="E1471" t="s">
        <v>2867</v>
      </c>
      <c r="F1471" s="1">
        <v>-0.16</v>
      </c>
      <c r="G1471" s="1">
        <v>8.0000000000000002E-3</v>
      </c>
      <c r="H1471" t="s">
        <v>19</v>
      </c>
      <c r="I1471" t="s">
        <v>2868</v>
      </c>
    </row>
    <row r="1472" spans="1:9" x14ac:dyDescent="0.3">
      <c r="A1472">
        <v>882</v>
      </c>
      <c r="B1472" t="s">
        <v>517</v>
      </c>
      <c r="C1472" t="s">
        <v>2878</v>
      </c>
      <c r="D1472" s="4">
        <v>142</v>
      </c>
      <c r="E1472" t="s">
        <v>2879</v>
      </c>
      <c r="F1472" s="1">
        <v>-6.1499999999999999E-2</v>
      </c>
      <c r="G1472" s="1">
        <v>7.0000000000000001E-3</v>
      </c>
      <c r="H1472" t="s">
        <v>19</v>
      </c>
      <c r="I1472" t="s">
        <v>2880</v>
      </c>
    </row>
    <row r="1473" spans="1:9" x14ac:dyDescent="0.3">
      <c r="A1473">
        <v>890</v>
      </c>
      <c r="B1473" t="s">
        <v>979</v>
      </c>
      <c r="C1473" t="s">
        <v>2903</v>
      </c>
      <c r="D1473" s="4">
        <v>139.63999999999999</v>
      </c>
      <c r="E1473" t="s">
        <v>2904</v>
      </c>
      <c r="F1473" s="1">
        <v>-2.6499999999999999E-2</v>
      </c>
      <c r="G1473" s="1">
        <v>8.8000000000000005E-3</v>
      </c>
      <c r="H1473" t="s">
        <v>19</v>
      </c>
      <c r="I1473" t="s">
        <v>2905</v>
      </c>
    </row>
    <row r="1474" spans="1:9" x14ac:dyDescent="0.3">
      <c r="A1474">
        <v>898</v>
      </c>
      <c r="B1474" t="s">
        <v>1340</v>
      </c>
      <c r="C1474" t="s">
        <v>2928</v>
      </c>
      <c r="D1474" s="4">
        <v>136.57</v>
      </c>
      <c r="E1474" t="s">
        <v>2929</v>
      </c>
      <c r="F1474" s="1">
        <v>-1.2500000000000001E-2</v>
      </c>
      <c r="G1474" s="1">
        <v>2.8999999999999998E-3</v>
      </c>
      <c r="H1474" t="s">
        <v>19</v>
      </c>
      <c r="I1474" t="s">
        <v>2930</v>
      </c>
    </row>
    <row r="1475" spans="1:9" x14ac:dyDescent="0.3">
      <c r="A1475">
        <v>899</v>
      </c>
      <c r="B1475" t="s">
        <v>2931</v>
      </c>
      <c r="C1475" t="s">
        <v>2932</v>
      </c>
      <c r="D1475" s="4">
        <v>136.53</v>
      </c>
      <c r="E1475" t="s">
        <v>2933</v>
      </c>
      <c r="F1475" s="1">
        <v>-4.5699999999999998E-2</v>
      </c>
      <c r="G1475" s="1">
        <v>9.9000000000000008E-3</v>
      </c>
      <c r="H1475" t="s">
        <v>19</v>
      </c>
      <c r="I1475" t="s">
        <v>2934</v>
      </c>
    </row>
    <row r="1476" spans="1:9" x14ac:dyDescent="0.3">
      <c r="A1476">
        <v>902</v>
      </c>
      <c r="B1476" t="s">
        <v>16</v>
      </c>
      <c r="C1476" t="s">
        <v>2941</v>
      </c>
      <c r="D1476" s="4">
        <v>135.5</v>
      </c>
      <c r="E1476" t="s">
        <v>2942</v>
      </c>
      <c r="F1476" s="1">
        <v>-4.2200000000000001E-2</v>
      </c>
      <c r="G1476" s="1">
        <v>1.9E-3</v>
      </c>
      <c r="H1476" t="s">
        <v>19</v>
      </c>
      <c r="I1476" t="s">
        <v>2943</v>
      </c>
    </row>
    <row r="1477" spans="1:9" x14ac:dyDescent="0.3">
      <c r="A1477">
        <v>924</v>
      </c>
      <c r="B1477" t="s">
        <v>24</v>
      </c>
      <c r="C1477" t="s">
        <v>3015</v>
      </c>
      <c r="D1477" s="4">
        <v>128.55000000000001</v>
      </c>
      <c r="E1477" t="s">
        <v>3016</v>
      </c>
      <c r="F1477" s="1">
        <v>-7.9500000000000001E-2</v>
      </c>
      <c r="G1477" s="1">
        <v>7.4999999999999997E-3</v>
      </c>
      <c r="H1477" t="s">
        <v>19</v>
      </c>
      <c r="I1477" t="s">
        <v>3017</v>
      </c>
    </row>
    <row r="1478" spans="1:9" x14ac:dyDescent="0.3">
      <c r="A1478">
        <v>929</v>
      </c>
      <c r="B1478" t="s">
        <v>12</v>
      </c>
      <c r="C1478" t="s">
        <v>3030</v>
      </c>
      <c r="D1478" s="4">
        <v>125.73</v>
      </c>
      <c r="E1478" t="s">
        <v>3031</v>
      </c>
      <c r="F1478" s="1">
        <v>-8.3599999999999994E-2</v>
      </c>
      <c r="G1478" s="1">
        <v>3.0000000000000001E-3</v>
      </c>
      <c r="H1478" t="s">
        <v>19</v>
      </c>
      <c r="I1478" t="s">
        <v>3032</v>
      </c>
    </row>
    <row r="1479" spans="1:9" x14ac:dyDescent="0.3">
      <c r="A1479">
        <v>940</v>
      </c>
      <c r="B1479" t="s">
        <v>517</v>
      </c>
      <c r="C1479" t="s">
        <v>3066</v>
      </c>
      <c r="D1479" s="4">
        <v>123.72</v>
      </c>
      <c r="E1479" t="s">
        <v>3067</v>
      </c>
      <c r="F1479" s="1">
        <v>2.3199999999999998E-2</v>
      </c>
      <c r="G1479" s="1">
        <v>5.1999999999999998E-3</v>
      </c>
      <c r="H1479" t="s">
        <v>19</v>
      </c>
      <c r="I1479" t="s">
        <v>3068</v>
      </c>
    </row>
    <row r="1480" spans="1:9" x14ac:dyDescent="0.3">
      <c r="A1480">
        <v>942</v>
      </c>
      <c r="B1480" t="s">
        <v>280</v>
      </c>
      <c r="C1480" t="s">
        <v>3072</v>
      </c>
      <c r="D1480" s="4">
        <v>123.03</v>
      </c>
      <c r="E1480" t="s">
        <v>3073</v>
      </c>
      <c r="F1480" s="1">
        <v>-4.4200000000000003E-2</v>
      </c>
      <c r="G1480" s="1">
        <v>6.0000000000000001E-3</v>
      </c>
      <c r="H1480" t="s">
        <v>19</v>
      </c>
      <c r="I1480" t="s">
        <v>3074</v>
      </c>
    </row>
    <row r="1481" spans="1:9" x14ac:dyDescent="0.3">
      <c r="A1481">
        <v>959</v>
      </c>
      <c r="B1481" t="s">
        <v>272</v>
      </c>
      <c r="C1481" t="s">
        <v>3126</v>
      </c>
      <c r="D1481" s="4">
        <v>116.5</v>
      </c>
      <c r="E1481" t="s">
        <v>3127</v>
      </c>
      <c r="F1481" s="1">
        <v>-0.26540000000000002</v>
      </c>
      <c r="G1481" s="1">
        <v>7.4999999999999997E-3</v>
      </c>
      <c r="H1481" t="s">
        <v>19</v>
      </c>
      <c r="I1481" t="s">
        <v>3128</v>
      </c>
    </row>
    <row r="1482" spans="1:9" x14ac:dyDescent="0.3">
      <c r="A1482">
        <v>963</v>
      </c>
      <c r="B1482" t="s">
        <v>24</v>
      </c>
      <c r="C1482" t="s">
        <v>3139</v>
      </c>
      <c r="D1482" s="4">
        <v>114.44</v>
      </c>
      <c r="E1482" t="s">
        <v>3140</v>
      </c>
      <c r="F1482" s="1">
        <v>-0.109</v>
      </c>
      <c r="G1482" s="1">
        <v>6.0000000000000001E-3</v>
      </c>
      <c r="H1482" t="s">
        <v>19</v>
      </c>
      <c r="I1482" t="s">
        <v>3141</v>
      </c>
    </row>
    <row r="1483" spans="1:9" x14ac:dyDescent="0.3">
      <c r="A1483">
        <v>982</v>
      </c>
      <c r="B1483" t="s">
        <v>3198</v>
      </c>
      <c r="C1483" t="s">
        <v>3199</v>
      </c>
      <c r="D1483" s="4">
        <v>107.16</v>
      </c>
      <c r="E1483" t="s">
        <v>3200</v>
      </c>
      <c r="F1483" s="1">
        <v>-3.0000000000000001E-3</v>
      </c>
      <c r="G1483" s="1">
        <v>1.1000000000000001E-3</v>
      </c>
      <c r="H1483" t="s">
        <v>19</v>
      </c>
      <c r="I1483" t="s">
        <v>3201</v>
      </c>
    </row>
    <row r="1484" spans="1:9" x14ac:dyDescent="0.3">
      <c r="A1484">
        <v>998</v>
      </c>
      <c r="B1484" t="s">
        <v>1348</v>
      </c>
      <c r="C1484" t="s">
        <v>3253</v>
      </c>
      <c r="D1484" s="4">
        <v>100.61</v>
      </c>
      <c r="E1484" t="s">
        <v>3254</v>
      </c>
      <c r="F1484" s="1">
        <v>-0.1077</v>
      </c>
      <c r="G1484" s="1">
        <v>3.3999999999999998E-3</v>
      </c>
      <c r="H1484" t="s">
        <v>19</v>
      </c>
      <c r="I1484" t="s">
        <v>3255</v>
      </c>
    </row>
    <row r="1485" spans="1:9" x14ac:dyDescent="0.3">
      <c r="A1485">
        <v>1003</v>
      </c>
      <c r="B1485" t="s">
        <v>440</v>
      </c>
      <c r="C1485" t="s">
        <v>3268</v>
      </c>
      <c r="D1485" s="4">
        <v>98.27</v>
      </c>
      <c r="E1485" t="s">
        <v>3269</v>
      </c>
      <c r="F1485" s="1">
        <v>-3.1800000000000002E-2</v>
      </c>
      <c r="G1485" s="1">
        <v>2.8E-3</v>
      </c>
      <c r="H1485" t="s">
        <v>19</v>
      </c>
      <c r="I1485" t="s">
        <v>3270</v>
      </c>
    </row>
    <row r="1486" spans="1:9" x14ac:dyDescent="0.3">
      <c r="A1486">
        <v>1006</v>
      </c>
      <c r="B1486" t="s">
        <v>440</v>
      </c>
      <c r="C1486" t="s">
        <v>3278</v>
      </c>
      <c r="D1486" s="4">
        <v>97.07</v>
      </c>
      <c r="E1486" t="s">
        <v>3279</v>
      </c>
      <c r="F1486" s="1">
        <v>-3.4599999999999999E-2</v>
      </c>
      <c r="G1486" s="1">
        <v>1.1999999999999999E-3</v>
      </c>
      <c r="H1486" t="s">
        <v>19</v>
      </c>
      <c r="I1486" t="s">
        <v>3280</v>
      </c>
    </row>
    <row r="1487" spans="1:9" x14ac:dyDescent="0.3">
      <c r="A1487">
        <v>1007</v>
      </c>
      <c r="B1487" t="s">
        <v>3281</v>
      </c>
      <c r="C1487" t="s">
        <v>3282</v>
      </c>
      <c r="D1487" s="4">
        <v>97.04</v>
      </c>
      <c r="E1487" t="s">
        <v>3283</v>
      </c>
      <c r="F1487" t="s">
        <v>662</v>
      </c>
      <c r="G1487" s="1">
        <v>6.4999999999999997E-3</v>
      </c>
      <c r="H1487" t="s">
        <v>19</v>
      </c>
      <c r="I1487" t="s">
        <v>3284</v>
      </c>
    </row>
    <row r="1488" spans="1:9" x14ac:dyDescent="0.3">
      <c r="A1488">
        <v>1042</v>
      </c>
      <c r="B1488" t="s">
        <v>7</v>
      </c>
      <c r="C1488" t="s">
        <v>3391</v>
      </c>
      <c r="D1488" s="4">
        <v>88.45</v>
      </c>
      <c r="E1488" t="s">
        <v>3392</v>
      </c>
      <c r="F1488" s="1">
        <v>-3.6799999999999999E-2</v>
      </c>
      <c r="G1488" s="1">
        <v>1.1999999999999999E-3</v>
      </c>
      <c r="H1488" t="s">
        <v>19</v>
      </c>
      <c r="I1488" t="s">
        <v>3393</v>
      </c>
    </row>
    <row r="1489" spans="1:9" x14ac:dyDescent="0.3">
      <c r="A1489">
        <v>1058</v>
      </c>
      <c r="B1489" t="s">
        <v>3223</v>
      </c>
      <c r="C1489" t="s">
        <v>3445</v>
      </c>
      <c r="D1489" s="4">
        <v>83.32</v>
      </c>
      <c r="E1489" t="s">
        <v>3446</v>
      </c>
      <c r="F1489" s="1">
        <v>-2.1499999999999998E-2</v>
      </c>
      <c r="G1489" s="1">
        <v>3.0000000000000001E-3</v>
      </c>
      <c r="H1489" t="s">
        <v>19</v>
      </c>
      <c r="I1489" t="s">
        <v>3447</v>
      </c>
    </row>
    <row r="1490" spans="1:9" x14ac:dyDescent="0.3">
      <c r="A1490">
        <v>1072</v>
      </c>
      <c r="B1490" t="s">
        <v>2475</v>
      </c>
      <c r="C1490" t="s">
        <v>3490</v>
      </c>
      <c r="D1490" s="4">
        <v>80.239999999999995</v>
      </c>
      <c r="E1490" t="s">
        <v>3491</v>
      </c>
      <c r="F1490" s="1">
        <v>-0.1416</v>
      </c>
      <c r="G1490" s="1">
        <v>4.8999999999999998E-3</v>
      </c>
      <c r="H1490" t="s">
        <v>19</v>
      </c>
      <c r="I1490" t="s">
        <v>3492</v>
      </c>
    </row>
    <row r="1491" spans="1:9" x14ac:dyDescent="0.3">
      <c r="A1491">
        <v>1074</v>
      </c>
      <c r="B1491" t="s">
        <v>2595</v>
      </c>
      <c r="C1491" t="s">
        <v>3496</v>
      </c>
      <c r="D1491" s="4">
        <v>79</v>
      </c>
      <c r="E1491" t="s">
        <v>3497</v>
      </c>
      <c r="F1491" s="1">
        <v>-0.15620000000000001</v>
      </c>
      <c r="G1491" s="1">
        <v>6.8999999999999999E-3</v>
      </c>
      <c r="H1491" t="s">
        <v>19</v>
      </c>
      <c r="I1491" t="s">
        <v>3498</v>
      </c>
    </row>
    <row r="1492" spans="1:9" x14ac:dyDescent="0.3">
      <c r="A1492">
        <v>1102</v>
      </c>
      <c r="B1492" t="s">
        <v>3588</v>
      </c>
      <c r="C1492" t="s">
        <v>3589</v>
      </c>
      <c r="D1492" s="4">
        <v>72.86</v>
      </c>
      <c r="E1492" t="s">
        <v>3590</v>
      </c>
      <c r="F1492" s="1">
        <v>-0.1239</v>
      </c>
      <c r="G1492" s="1">
        <v>8.9999999999999993E-3</v>
      </c>
      <c r="H1492" t="s">
        <v>19</v>
      </c>
      <c r="I1492" t="s">
        <v>3591</v>
      </c>
    </row>
    <row r="1493" spans="1:9" x14ac:dyDescent="0.3">
      <c r="A1493">
        <v>1122</v>
      </c>
      <c r="B1493" t="s">
        <v>24</v>
      </c>
      <c r="C1493" t="s">
        <v>3655</v>
      </c>
      <c r="D1493" s="4">
        <v>68.400000000000006</v>
      </c>
      <c r="E1493" t="s">
        <v>3656</v>
      </c>
      <c r="F1493" s="1">
        <v>-0.1061</v>
      </c>
      <c r="G1493" s="1">
        <v>6.4999999999999997E-3</v>
      </c>
      <c r="H1493" t="s">
        <v>19</v>
      </c>
      <c r="I1493" t="s">
        <v>3657</v>
      </c>
    </row>
    <row r="1494" spans="1:9" x14ac:dyDescent="0.3">
      <c r="A1494">
        <v>1132</v>
      </c>
      <c r="B1494" t="s">
        <v>1289</v>
      </c>
      <c r="C1494" t="s">
        <v>3687</v>
      </c>
      <c r="D1494" s="4">
        <v>65.349999999999994</v>
      </c>
      <c r="E1494" t="s">
        <v>3688</v>
      </c>
      <c r="F1494" s="1">
        <v>-0.1245</v>
      </c>
      <c r="G1494" s="1">
        <v>1.0800000000000001E-2</v>
      </c>
      <c r="H1494" t="s">
        <v>19</v>
      </c>
      <c r="I1494" t="s">
        <v>3689</v>
      </c>
    </row>
    <row r="1495" spans="1:9" x14ac:dyDescent="0.3">
      <c r="A1495">
        <v>1142</v>
      </c>
      <c r="B1495" t="s">
        <v>486</v>
      </c>
      <c r="C1495" t="s">
        <v>3716</v>
      </c>
      <c r="D1495" s="4">
        <v>61.91</v>
      </c>
      <c r="E1495" t="s">
        <v>3717</v>
      </c>
      <c r="F1495" s="1">
        <v>-0.1817</v>
      </c>
      <c r="G1495" s="1">
        <v>7.4999999999999997E-3</v>
      </c>
      <c r="H1495" t="s">
        <v>19</v>
      </c>
      <c r="I1495" t="s">
        <v>3718</v>
      </c>
    </row>
    <row r="1496" spans="1:9" x14ac:dyDescent="0.3">
      <c r="A1496">
        <v>1146</v>
      </c>
      <c r="B1496" t="s">
        <v>3728</v>
      </c>
      <c r="C1496" t="s">
        <v>3729</v>
      </c>
      <c r="D1496" s="4">
        <v>61.51</v>
      </c>
      <c r="E1496" t="s">
        <v>3730</v>
      </c>
      <c r="F1496" t="s">
        <v>662</v>
      </c>
      <c r="G1496" s="1">
        <v>9.7000000000000003E-3</v>
      </c>
      <c r="H1496" t="s">
        <v>19</v>
      </c>
      <c r="I1496" t="s">
        <v>3731</v>
      </c>
    </row>
    <row r="1497" spans="1:9" x14ac:dyDescent="0.3">
      <c r="A1497">
        <v>1147</v>
      </c>
      <c r="B1497" t="s">
        <v>2595</v>
      </c>
      <c r="C1497" t="s">
        <v>3732</v>
      </c>
      <c r="D1497" s="4">
        <v>61.43</v>
      </c>
      <c r="E1497" t="s">
        <v>3733</v>
      </c>
      <c r="F1497" t="s">
        <v>662</v>
      </c>
      <c r="G1497" s="1">
        <v>6.8999999999999999E-3</v>
      </c>
      <c r="H1497" t="s">
        <v>19</v>
      </c>
      <c r="I1497" t="s">
        <v>3734</v>
      </c>
    </row>
    <row r="1498" spans="1:9" x14ac:dyDescent="0.3">
      <c r="A1498">
        <v>1187</v>
      </c>
      <c r="B1498" t="s">
        <v>272</v>
      </c>
      <c r="C1498" t="s">
        <v>3865</v>
      </c>
      <c r="D1498" s="4">
        <v>52.4</v>
      </c>
      <c r="E1498" t="s">
        <v>3863</v>
      </c>
      <c r="F1498" s="1">
        <v>2.47E-2</v>
      </c>
      <c r="G1498" s="1">
        <v>2.8999999999999998E-3</v>
      </c>
      <c r="H1498" t="s">
        <v>19</v>
      </c>
      <c r="I1498" t="s">
        <v>3866</v>
      </c>
    </row>
    <row r="1499" spans="1:9" x14ac:dyDescent="0.3">
      <c r="A1499">
        <v>1202</v>
      </c>
      <c r="B1499" t="s">
        <v>280</v>
      </c>
      <c r="C1499" t="s">
        <v>3912</v>
      </c>
      <c r="D1499" s="4">
        <v>49.44</v>
      </c>
      <c r="E1499" t="s">
        <v>3913</v>
      </c>
      <c r="F1499" s="1">
        <v>-2.5899999999999999E-2</v>
      </c>
      <c r="G1499" s="1">
        <v>6.0000000000000001E-3</v>
      </c>
      <c r="H1499" t="s">
        <v>19</v>
      </c>
      <c r="I1499" t="s">
        <v>3914</v>
      </c>
    </row>
    <row r="1500" spans="1:9" x14ac:dyDescent="0.3">
      <c r="A1500">
        <v>1204</v>
      </c>
      <c r="B1500" t="s">
        <v>16</v>
      </c>
      <c r="C1500" t="s">
        <v>3918</v>
      </c>
      <c r="D1500" s="4">
        <v>49.28</v>
      </c>
      <c r="E1500" t="s">
        <v>3919</v>
      </c>
      <c r="F1500" s="1">
        <v>-2.3E-3</v>
      </c>
      <c r="G1500" s="1">
        <v>1.2999999999999999E-3</v>
      </c>
      <c r="H1500" t="s">
        <v>19</v>
      </c>
      <c r="I1500" t="s">
        <v>3920</v>
      </c>
    </row>
    <row r="1501" spans="1:9" x14ac:dyDescent="0.3">
      <c r="A1501">
        <v>1212</v>
      </c>
      <c r="B1501" t="s">
        <v>16</v>
      </c>
      <c r="C1501" t="s">
        <v>3942</v>
      </c>
      <c r="D1501" s="4">
        <v>48.19</v>
      </c>
      <c r="E1501" t="s">
        <v>3943</v>
      </c>
      <c r="F1501" s="1">
        <v>-9.3899999999999997E-2</v>
      </c>
      <c r="G1501" s="1">
        <v>1.2999999999999999E-3</v>
      </c>
      <c r="H1501" t="s">
        <v>19</v>
      </c>
      <c r="I1501" t="s">
        <v>3944</v>
      </c>
    </row>
    <row r="1502" spans="1:9" x14ac:dyDescent="0.3">
      <c r="A1502">
        <v>1223</v>
      </c>
      <c r="B1502" t="s">
        <v>280</v>
      </c>
      <c r="C1502" t="s">
        <v>3975</v>
      </c>
      <c r="D1502" s="4">
        <v>46.67</v>
      </c>
      <c r="E1502" t="s">
        <v>3976</v>
      </c>
      <c r="F1502" s="1">
        <v>-2.8000000000000001E-2</v>
      </c>
      <c r="G1502" s="1">
        <v>8.5000000000000006E-3</v>
      </c>
      <c r="H1502" t="s">
        <v>19</v>
      </c>
      <c r="I1502" t="s">
        <v>3977</v>
      </c>
    </row>
    <row r="1503" spans="1:9" x14ac:dyDescent="0.3">
      <c r="A1503">
        <v>1225</v>
      </c>
      <c r="B1503" t="s">
        <v>3982</v>
      </c>
      <c r="C1503" t="s">
        <v>3983</v>
      </c>
      <c r="D1503" s="4">
        <v>46.53</v>
      </c>
      <c r="E1503" t="s">
        <v>3984</v>
      </c>
      <c r="F1503" s="1">
        <v>1.7500000000000002E-2</v>
      </c>
      <c r="G1503" s="1">
        <v>6.4999999999999997E-3</v>
      </c>
      <c r="H1503" t="s">
        <v>19</v>
      </c>
      <c r="I1503" t="s">
        <v>3985</v>
      </c>
    </row>
    <row r="1504" spans="1:9" x14ac:dyDescent="0.3">
      <c r="A1504">
        <v>1236</v>
      </c>
      <c r="B1504" t="s">
        <v>3230</v>
      </c>
      <c r="C1504" t="s">
        <v>4018</v>
      </c>
      <c r="D1504" s="4">
        <v>44.05</v>
      </c>
      <c r="E1504" t="s">
        <v>4019</v>
      </c>
      <c r="F1504" s="1">
        <v>-2.3599999999999999E-2</v>
      </c>
      <c r="G1504" s="1">
        <v>6.4999999999999997E-3</v>
      </c>
      <c r="H1504" t="s">
        <v>19</v>
      </c>
      <c r="I1504" t="s">
        <v>4020</v>
      </c>
    </row>
    <row r="1505" spans="1:9" x14ac:dyDescent="0.3">
      <c r="A1505">
        <v>1247</v>
      </c>
      <c r="B1505" t="s">
        <v>517</v>
      </c>
      <c r="C1505" t="s">
        <v>4053</v>
      </c>
      <c r="D1505" s="4">
        <v>42.61</v>
      </c>
      <c r="E1505" t="s">
        <v>4054</v>
      </c>
      <c r="F1505" s="1">
        <v>-3.32E-2</v>
      </c>
      <c r="G1505" s="1">
        <v>5.1999999999999998E-3</v>
      </c>
      <c r="H1505" t="s">
        <v>19</v>
      </c>
      <c r="I1505" t="s">
        <v>4055</v>
      </c>
    </row>
    <row r="1506" spans="1:9" x14ac:dyDescent="0.3">
      <c r="A1506">
        <v>1275</v>
      </c>
      <c r="B1506" t="s">
        <v>4144</v>
      </c>
      <c r="C1506" t="s">
        <v>4145</v>
      </c>
      <c r="D1506" s="4">
        <v>38.590000000000003</v>
      </c>
      <c r="E1506" t="s">
        <v>4146</v>
      </c>
      <c r="F1506" s="1">
        <v>-2.06E-2</v>
      </c>
      <c r="G1506" s="1">
        <v>4.8999999999999998E-3</v>
      </c>
      <c r="H1506" t="s">
        <v>19</v>
      </c>
      <c r="I1506" t="s">
        <v>4147</v>
      </c>
    </row>
    <row r="1507" spans="1:9" x14ac:dyDescent="0.3">
      <c r="A1507">
        <v>1295</v>
      </c>
      <c r="B1507" t="s">
        <v>4144</v>
      </c>
      <c r="C1507" t="s">
        <v>4212</v>
      </c>
      <c r="D1507" s="4">
        <v>36.770000000000003</v>
      </c>
      <c r="E1507" t="s">
        <v>4213</v>
      </c>
      <c r="F1507" s="1">
        <v>-2.41E-2</v>
      </c>
      <c r="G1507" s="1">
        <v>7.4999999999999997E-3</v>
      </c>
      <c r="H1507" t="s">
        <v>19</v>
      </c>
      <c r="I1507" t="s">
        <v>4214</v>
      </c>
    </row>
    <row r="1508" spans="1:9" x14ac:dyDescent="0.3">
      <c r="A1508">
        <v>1309</v>
      </c>
      <c r="B1508" t="s">
        <v>2475</v>
      </c>
      <c r="C1508" t="s">
        <v>4256</v>
      </c>
      <c r="D1508" s="4">
        <v>35.19</v>
      </c>
      <c r="E1508" t="s">
        <v>4257</v>
      </c>
      <c r="F1508" s="1">
        <v>8.6E-3</v>
      </c>
      <c r="G1508" s="1">
        <v>3.8999999999999998E-3</v>
      </c>
      <c r="H1508" t="s">
        <v>19</v>
      </c>
      <c r="I1508" t="s">
        <v>4258</v>
      </c>
    </row>
    <row r="1509" spans="1:9" x14ac:dyDescent="0.3">
      <c r="A1509">
        <v>1323</v>
      </c>
      <c r="B1509" t="s">
        <v>2475</v>
      </c>
      <c r="C1509" t="s">
        <v>4304</v>
      </c>
      <c r="D1509" s="4">
        <v>33.64</v>
      </c>
      <c r="E1509" t="s">
        <v>4305</v>
      </c>
      <c r="F1509" t="s">
        <v>662</v>
      </c>
      <c r="G1509" s="1">
        <v>6.4999999999999997E-3</v>
      </c>
      <c r="H1509" t="s">
        <v>19</v>
      </c>
      <c r="I1509" t="s">
        <v>4306</v>
      </c>
    </row>
    <row r="1510" spans="1:9" x14ac:dyDescent="0.3">
      <c r="A1510">
        <v>1336</v>
      </c>
      <c r="B1510" t="s">
        <v>1289</v>
      </c>
      <c r="C1510" t="s">
        <v>4347</v>
      </c>
      <c r="D1510" s="4">
        <v>31.82</v>
      </c>
      <c r="E1510" t="s">
        <v>4348</v>
      </c>
      <c r="F1510" s="1">
        <v>1.03E-2</v>
      </c>
      <c r="G1510" s="1">
        <v>6.6E-3</v>
      </c>
      <c r="H1510" t="s">
        <v>19</v>
      </c>
      <c r="I1510" t="s">
        <v>4349</v>
      </c>
    </row>
    <row r="1511" spans="1:9" x14ac:dyDescent="0.3">
      <c r="A1511">
        <v>1343</v>
      </c>
      <c r="B1511" t="s">
        <v>4370</v>
      </c>
      <c r="C1511" t="s">
        <v>4371</v>
      </c>
      <c r="D1511" s="4">
        <v>31.43</v>
      </c>
      <c r="E1511" t="s">
        <v>4372</v>
      </c>
      <c r="F1511" s="1">
        <v>-5.3699999999999998E-2</v>
      </c>
      <c r="G1511" s="1">
        <v>6.4999999999999997E-3</v>
      </c>
      <c r="H1511" t="s">
        <v>19</v>
      </c>
      <c r="I1511" t="s">
        <v>4373</v>
      </c>
    </row>
    <row r="1512" spans="1:9" x14ac:dyDescent="0.3">
      <c r="A1512">
        <v>1386</v>
      </c>
      <c r="B1512" t="s">
        <v>979</v>
      </c>
      <c r="C1512" t="s">
        <v>4505</v>
      </c>
      <c r="D1512" s="4">
        <v>26.52</v>
      </c>
      <c r="E1512" t="s">
        <v>4506</v>
      </c>
      <c r="F1512" s="1">
        <v>-0.24060000000000001</v>
      </c>
      <c r="G1512" s="1">
        <v>6.4999999999999997E-3</v>
      </c>
      <c r="H1512" t="s">
        <v>19</v>
      </c>
      <c r="I1512" t="s">
        <v>4507</v>
      </c>
    </row>
    <row r="1513" spans="1:9" x14ac:dyDescent="0.3">
      <c r="A1513">
        <v>1387</v>
      </c>
      <c r="B1513" t="s">
        <v>2951</v>
      </c>
      <c r="C1513" t="s">
        <v>4508</v>
      </c>
      <c r="D1513" s="4">
        <v>26.45</v>
      </c>
      <c r="E1513" t="s">
        <v>4509</v>
      </c>
      <c r="F1513" s="1">
        <v>1.47E-2</v>
      </c>
      <c r="G1513" s="1">
        <v>3.5000000000000001E-3</v>
      </c>
      <c r="H1513" t="s">
        <v>19</v>
      </c>
      <c r="I1513" t="s">
        <v>4510</v>
      </c>
    </row>
    <row r="1514" spans="1:9" x14ac:dyDescent="0.3">
      <c r="A1514">
        <v>1388</v>
      </c>
      <c r="B1514" t="s">
        <v>979</v>
      </c>
      <c r="C1514" t="s">
        <v>4511</v>
      </c>
      <c r="D1514" s="4">
        <v>26.41</v>
      </c>
      <c r="E1514" t="s">
        <v>4512</v>
      </c>
      <c r="F1514" s="1">
        <v>-0.12039999999999999</v>
      </c>
      <c r="G1514" s="1">
        <v>0.01</v>
      </c>
      <c r="H1514" t="s">
        <v>19</v>
      </c>
      <c r="I1514" t="s">
        <v>4513</v>
      </c>
    </row>
    <row r="1515" spans="1:9" x14ac:dyDescent="0.3">
      <c r="A1515">
        <v>1391</v>
      </c>
      <c r="B1515" t="s">
        <v>3223</v>
      </c>
      <c r="C1515" t="s">
        <v>4520</v>
      </c>
      <c r="D1515" s="4">
        <v>26.03</v>
      </c>
      <c r="E1515" t="s">
        <v>4521</v>
      </c>
      <c r="F1515" s="1">
        <v>1.6000000000000001E-3</v>
      </c>
      <c r="G1515" s="1">
        <v>3.0000000000000001E-3</v>
      </c>
      <c r="H1515" t="s">
        <v>19</v>
      </c>
      <c r="I1515" t="s">
        <v>4522</v>
      </c>
    </row>
    <row r="1516" spans="1:9" x14ac:dyDescent="0.3">
      <c r="A1516">
        <v>1404</v>
      </c>
      <c r="B1516" t="s">
        <v>4559</v>
      </c>
      <c r="C1516" t="s">
        <v>4560</v>
      </c>
      <c r="D1516" s="4">
        <v>25.26</v>
      </c>
      <c r="E1516" t="s">
        <v>4561</v>
      </c>
      <c r="F1516" s="1">
        <v>-5.4899999999999997E-2</v>
      </c>
      <c r="G1516" s="1">
        <v>7.4999999999999997E-3</v>
      </c>
      <c r="H1516" t="s">
        <v>19</v>
      </c>
      <c r="I1516" t="s">
        <v>4562</v>
      </c>
    </row>
    <row r="1517" spans="1:9" x14ac:dyDescent="0.3">
      <c r="A1517">
        <v>1418</v>
      </c>
      <c r="B1517" t="s">
        <v>280</v>
      </c>
      <c r="C1517" t="s">
        <v>4607</v>
      </c>
      <c r="D1517" s="4">
        <v>24.13</v>
      </c>
      <c r="E1517" t="s">
        <v>4608</v>
      </c>
      <c r="F1517" s="1">
        <v>-2.3800000000000002E-2</v>
      </c>
      <c r="G1517" s="1">
        <v>6.0000000000000001E-3</v>
      </c>
      <c r="H1517" t="s">
        <v>19</v>
      </c>
      <c r="I1517" t="s">
        <v>4609</v>
      </c>
    </row>
    <row r="1518" spans="1:9" x14ac:dyDescent="0.3">
      <c r="A1518">
        <v>1430</v>
      </c>
      <c r="B1518" t="s">
        <v>1150</v>
      </c>
      <c r="C1518" t="s">
        <v>4646</v>
      </c>
      <c r="D1518" s="4">
        <v>23.27</v>
      </c>
      <c r="E1518" t="s">
        <v>4647</v>
      </c>
      <c r="F1518" s="1">
        <v>-0.20469999999999999</v>
      </c>
      <c r="G1518" s="1">
        <v>4.4999999999999997E-3</v>
      </c>
      <c r="H1518" t="s">
        <v>19</v>
      </c>
      <c r="I1518" t="s">
        <v>4648</v>
      </c>
    </row>
    <row r="1519" spans="1:9" x14ac:dyDescent="0.3">
      <c r="A1519">
        <v>1431</v>
      </c>
      <c r="B1519" t="s">
        <v>280</v>
      </c>
      <c r="C1519" t="s">
        <v>4649</v>
      </c>
      <c r="D1519" s="4">
        <v>23.13</v>
      </c>
      <c r="E1519" t="s">
        <v>4650</v>
      </c>
      <c r="F1519" s="1">
        <v>-4.9399999999999999E-2</v>
      </c>
      <c r="G1519" s="1">
        <v>7.0000000000000001E-3</v>
      </c>
      <c r="H1519" t="s">
        <v>19</v>
      </c>
      <c r="I1519" t="s">
        <v>4651</v>
      </c>
    </row>
    <row r="1520" spans="1:9" x14ac:dyDescent="0.3">
      <c r="A1520">
        <v>1437</v>
      </c>
      <c r="B1520" t="s">
        <v>2070</v>
      </c>
      <c r="C1520" t="s">
        <v>4670</v>
      </c>
      <c r="D1520" s="4">
        <v>22.8</v>
      </c>
      <c r="E1520" t="s">
        <v>4668</v>
      </c>
      <c r="F1520" s="1">
        <v>-4.4900000000000002E-2</v>
      </c>
      <c r="G1520" s="1">
        <v>6.4000000000000003E-3</v>
      </c>
      <c r="H1520" t="s">
        <v>19</v>
      </c>
      <c r="I1520" t="s">
        <v>4671</v>
      </c>
    </row>
    <row r="1521" spans="1:9" x14ac:dyDescent="0.3">
      <c r="A1521">
        <v>1445</v>
      </c>
      <c r="B1521" t="s">
        <v>2087</v>
      </c>
      <c r="C1521" t="s">
        <v>4695</v>
      </c>
      <c r="D1521" s="4">
        <v>22.39</v>
      </c>
      <c r="E1521" t="s">
        <v>4696</v>
      </c>
      <c r="F1521" s="1">
        <v>-0.19139999999999999</v>
      </c>
      <c r="G1521" s="1">
        <v>2.8999999999999998E-3</v>
      </c>
      <c r="H1521" t="s">
        <v>19</v>
      </c>
      <c r="I1521" t="s">
        <v>4697</v>
      </c>
    </row>
    <row r="1522" spans="1:9" x14ac:dyDescent="0.3">
      <c r="A1522">
        <v>1453</v>
      </c>
      <c r="B1522" t="s">
        <v>2378</v>
      </c>
      <c r="C1522" t="s">
        <v>4720</v>
      </c>
      <c r="D1522" s="4">
        <v>21.83</v>
      </c>
      <c r="E1522" t="s">
        <v>4721</v>
      </c>
      <c r="F1522" s="1">
        <v>-3.4500000000000003E-2</v>
      </c>
      <c r="G1522" s="1">
        <v>3.3999999999999998E-3</v>
      </c>
      <c r="H1522" t="s">
        <v>19</v>
      </c>
      <c r="I1522" t="s">
        <v>4722</v>
      </c>
    </row>
    <row r="1523" spans="1:9" x14ac:dyDescent="0.3">
      <c r="A1523">
        <v>1456</v>
      </c>
      <c r="B1523" t="s">
        <v>444</v>
      </c>
      <c r="C1523" t="s">
        <v>4730</v>
      </c>
      <c r="D1523" s="4">
        <v>21.55</v>
      </c>
      <c r="E1523" t="s">
        <v>4731</v>
      </c>
      <c r="F1523" s="1">
        <v>-7.3000000000000001E-3</v>
      </c>
      <c r="G1523" s="1">
        <v>3.7000000000000002E-3</v>
      </c>
      <c r="H1523" t="s">
        <v>19</v>
      </c>
      <c r="I1523" t="s">
        <v>4732</v>
      </c>
    </row>
    <row r="1524" spans="1:9" x14ac:dyDescent="0.3">
      <c r="A1524">
        <v>1529</v>
      </c>
      <c r="B1524" t="s">
        <v>4559</v>
      </c>
      <c r="C1524" t="s">
        <v>4952</v>
      </c>
      <c r="D1524" s="4">
        <v>17</v>
      </c>
      <c r="E1524" t="s">
        <v>4953</v>
      </c>
      <c r="F1524" s="1">
        <v>-3.4000000000000002E-2</v>
      </c>
      <c r="G1524" s="1">
        <v>7.4999999999999997E-3</v>
      </c>
      <c r="H1524" t="s">
        <v>19</v>
      </c>
      <c r="I1524" t="s">
        <v>4954</v>
      </c>
    </row>
    <row r="1525" spans="1:9" x14ac:dyDescent="0.3">
      <c r="A1525">
        <v>1542</v>
      </c>
      <c r="B1525" t="s">
        <v>3230</v>
      </c>
      <c r="C1525" t="s">
        <v>4993</v>
      </c>
      <c r="D1525" s="4">
        <v>16.04</v>
      </c>
      <c r="E1525" t="s">
        <v>4994</v>
      </c>
      <c r="F1525" s="1">
        <v>-3.8899999999999997E-2</v>
      </c>
      <c r="G1525" s="1">
        <v>3.5000000000000001E-3</v>
      </c>
      <c r="H1525" t="s">
        <v>19</v>
      </c>
      <c r="I1525" t="s">
        <v>4995</v>
      </c>
    </row>
    <row r="1526" spans="1:9" x14ac:dyDescent="0.3">
      <c r="A1526">
        <v>1556</v>
      </c>
      <c r="B1526" t="s">
        <v>1799</v>
      </c>
      <c r="C1526" t="s">
        <v>5034</v>
      </c>
      <c r="D1526" s="4">
        <v>15.53</v>
      </c>
      <c r="E1526" t="s">
        <v>5035</v>
      </c>
      <c r="F1526" s="1">
        <v>-4.8300000000000003E-2</v>
      </c>
      <c r="G1526" s="1">
        <v>8.3999999999999995E-3</v>
      </c>
      <c r="H1526" t="s">
        <v>19</v>
      </c>
      <c r="I1526" t="s">
        <v>5036</v>
      </c>
    </row>
    <row r="1527" spans="1:9" x14ac:dyDescent="0.3">
      <c r="A1527">
        <v>1575</v>
      </c>
      <c r="B1527" t="s">
        <v>486</v>
      </c>
      <c r="C1527" t="s">
        <v>5094</v>
      </c>
      <c r="D1527" s="4">
        <v>13.44</v>
      </c>
      <c r="E1527" t="s">
        <v>5095</v>
      </c>
      <c r="F1527" s="1">
        <v>-0.2104</v>
      </c>
      <c r="G1527" s="1">
        <v>4.4999999999999997E-3</v>
      </c>
      <c r="H1527" t="s">
        <v>19</v>
      </c>
      <c r="I1527" t="s">
        <v>5096</v>
      </c>
    </row>
    <row r="1528" spans="1:9" x14ac:dyDescent="0.3">
      <c r="A1528">
        <v>1601</v>
      </c>
      <c r="B1528" t="s">
        <v>1799</v>
      </c>
      <c r="C1528" t="s">
        <v>5179</v>
      </c>
      <c r="D1528" s="4">
        <v>11.95</v>
      </c>
      <c r="E1528" t="s">
        <v>5180</v>
      </c>
      <c r="F1528" s="1">
        <v>-5.4300000000000001E-2</v>
      </c>
      <c r="G1528" s="1">
        <v>7.9000000000000008E-3</v>
      </c>
      <c r="H1528" t="s">
        <v>19</v>
      </c>
      <c r="I1528" t="s">
        <v>5181</v>
      </c>
    </row>
    <row r="1529" spans="1:9" x14ac:dyDescent="0.3">
      <c r="A1529">
        <v>1610</v>
      </c>
      <c r="B1529" t="s">
        <v>5207</v>
      </c>
      <c r="C1529" t="s">
        <v>5208</v>
      </c>
      <c r="D1529" s="4">
        <v>11.31</v>
      </c>
      <c r="E1529" t="s">
        <v>5209</v>
      </c>
      <c r="F1529" s="1">
        <v>-1.6E-2</v>
      </c>
      <c r="G1529" s="1">
        <v>5.4999999999999997E-3</v>
      </c>
      <c r="H1529" t="s">
        <v>19</v>
      </c>
      <c r="I1529" t="s">
        <v>5210</v>
      </c>
    </row>
    <row r="1530" spans="1:9" x14ac:dyDescent="0.3">
      <c r="A1530">
        <v>1613</v>
      </c>
      <c r="B1530" t="s">
        <v>5217</v>
      </c>
      <c r="C1530" t="s">
        <v>5218</v>
      </c>
      <c r="D1530" s="4">
        <v>10.98</v>
      </c>
      <c r="E1530" t="s">
        <v>5219</v>
      </c>
      <c r="F1530" s="1">
        <v>-7.9000000000000001E-2</v>
      </c>
      <c r="G1530" s="1">
        <v>8.9999999999999993E-3</v>
      </c>
      <c r="H1530" t="s">
        <v>19</v>
      </c>
      <c r="I1530" t="s">
        <v>5220</v>
      </c>
    </row>
    <row r="1531" spans="1:9" x14ac:dyDescent="0.3">
      <c r="A1531">
        <v>1631</v>
      </c>
      <c r="B1531" t="s">
        <v>5275</v>
      </c>
      <c r="C1531" t="s">
        <v>5276</v>
      </c>
      <c r="D1531" s="4">
        <v>10.050000000000001</v>
      </c>
      <c r="E1531" t="s">
        <v>5273</v>
      </c>
      <c r="F1531" s="1">
        <v>-0.1106</v>
      </c>
      <c r="G1531" s="1">
        <v>8.9999999999999993E-3</v>
      </c>
      <c r="H1531" t="s">
        <v>19</v>
      </c>
      <c r="I1531" t="s">
        <v>5277</v>
      </c>
    </row>
    <row r="1532" spans="1:9" x14ac:dyDescent="0.3">
      <c r="A1532">
        <v>1639</v>
      </c>
      <c r="B1532" t="s">
        <v>964</v>
      </c>
      <c r="C1532" t="s">
        <v>5299</v>
      </c>
      <c r="D1532" s="4">
        <v>9.7100000000000009</v>
      </c>
      <c r="E1532" t="s">
        <v>5300</v>
      </c>
      <c r="F1532" s="1">
        <v>-2.8500000000000001E-2</v>
      </c>
      <c r="G1532" s="1">
        <v>3.8999999999999998E-3</v>
      </c>
      <c r="H1532" t="s">
        <v>19</v>
      </c>
      <c r="I1532" t="s">
        <v>5301</v>
      </c>
    </row>
    <row r="1533" spans="1:9" x14ac:dyDescent="0.3">
      <c r="A1533">
        <v>1641</v>
      </c>
      <c r="B1533" t="s">
        <v>5305</v>
      </c>
      <c r="C1533" t="s">
        <v>5306</v>
      </c>
      <c r="D1533" s="4">
        <v>9.57</v>
      </c>
      <c r="E1533" t="s">
        <v>5307</v>
      </c>
      <c r="F1533" s="1">
        <v>-0.25740000000000002</v>
      </c>
      <c r="G1533" s="1">
        <v>0.01</v>
      </c>
      <c r="H1533" t="s">
        <v>19</v>
      </c>
      <c r="I1533" t="s">
        <v>5308</v>
      </c>
    </row>
    <row r="1534" spans="1:9" x14ac:dyDescent="0.3">
      <c r="A1534">
        <v>1650</v>
      </c>
      <c r="B1534" t="s">
        <v>1904</v>
      </c>
      <c r="C1534" t="s">
        <v>5333</v>
      </c>
      <c r="D1534" s="4">
        <v>9.2100000000000009</v>
      </c>
      <c r="E1534" t="s">
        <v>5334</v>
      </c>
      <c r="F1534" t="s">
        <v>662</v>
      </c>
      <c r="G1534" s="1">
        <v>6.0000000000000001E-3</v>
      </c>
      <c r="H1534" t="s">
        <v>19</v>
      </c>
      <c r="I1534" t="s">
        <v>5335</v>
      </c>
    </row>
    <row r="1535" spans="1:9" x14ac:dyDescent="0.3">
      <c r="A1535">
        <v>1669</v>
      </c>
      <c r="B1535" t="s">
        <v>5393</v>
      </c>
      <c r="C1535" t="s">
        <v>5394</v>
      </c>
      <c r="D1535" s="4">
        <v>8.25</v>
      </c>
      <c r="E1535" t="s">
        <v>5395</v>
      </c>
      <c r="F1535" s="1">
        <v>-0.1739</v>
      </c>
      <c r="G1535" s="1">
        <v>8.5000000000000006E-3</v>
      </c>
      <c r="H1535" t="s">
        <v>19</v>
      </c>
      <c r="I1535" t="s">
        <v>5396</v>
      </c>
    </row>
    <row r="1536" spans="1:9" x14ac:dyDescent="0.3">
      <c r="A1536">
        <v>1678</v>
      </c>
      <c r="B1536" t="s">
        <v>941</v>
      </c>
      <c r="C1536" t="s">
        <v>5422</v>
      </c>
      <c r="D1536" s="4">
        <v>7.76</v>
      </c>
      <c r="E1536" t="s">
        <v>5420</v>
      </c>
      <c r="F1536" s="1">
        <v>-7.5499999999999998E-2</v>
      </c>
      <c r="G1536" s="1">
        <v>7.0000000000000001E-3</v>
      </c>
      <c r="H1536" t="s">
        <v>19</v>
      </c>
      <c r="I1536" t="s">
        <v>5423</v>
      </c>
    </row>
    <row r="1537" spans="1:9" x14ac:dyDescent="0.3">
      <c r="A1537">
        <v>1690</v>
      </c>
      <c r="B1537" t="s">
        <v>4705</v>
      </c>
      <c r="C1537" t="s">
        <v>5456</v>
      </c>
      <c r="D1537" s="4">
        <v>7.45</v>
      </c>
      <c r="E1537" t="s">
        <v>5457</v>
      </c>
      <c r="F1537" s="1">
        <v>-0.23830000000000001</v>
      </c>
      <c r="G1537" s="1">
        <v>6.4000000000000003E-3</v>
      </c>
      <c r="H1537" t="s">
        <v>19</v>
      </c>
      <c r="I1537" t="s">
        <v>5458</v>
      </c>
    </row>
    <row r="1538" spans="1:9" x14ac:dyDescent="0.3">
      <c r="A1538">
        <v>1704</v>
      </c>
      <c r="B1538" t="s">
        <v>4705</v>
      </c>
      <c r="C1538" t="s">
        <v>5498</v>
      </c>
      <c r="D1538" s="4">
        <v>6.89</v>
      </c>
      <c r="E1538" t="s">
        <v>5499</v>
      </c>
      <c r="F1538" s="1">
        <v>-8.4099999999999994E-2</v>
      </c>
      <c r="G1538" s="1">
        <v>5.8999999999999999E-3</v>
      </c>
      <c r="H1538" t="s">
        <v>19</v>
      </c>
      <c r="I1538" t="s">
        <v>5500</v>
      </c>
    </row>
    <row r="1539" spans="1:9" x14ac:dyDescent="0.3">
      <c r="A1539">
        <v>1708</v>
      </c>
      <c r="B1539" t="s">
        <v>863</v>
      </c>
      <c r="C1539" t="s">
        <v>5510</v>
      </c>
      <c r="D1539" s="4">
        <v>6.75</v>
      </c>
      <c r="E1539" t="s">
        <v>5511</v>
      </c>
      <c r="F1539" s="1">
        <v>-4.4200000000000003E-2</v>
      </c>
      <c r="G1539" s="1">
        <v>2.8999999999999998E-3</v>
      </c>
      <c r="H1539" t="s">
        <v>19</v>
      </c>
      <c r="I1539" t="s">
        <v>5512</v>
      </c>
    </row>
    <row r="1540" spans="1:9" x14ac:dyDescent="0.3">
      <c r="A1540">
        <v>1709</v>
      </c>
      <c r="B1540" t="s">
        <v>5513</v>
      </c>
      <c r="C1540" t="s">
        <v>5514</v>
      </c>
      <c r="D1540" s="4">
        <v>6.75</v>
      </c>
      <c r="E1540" t="s">
        <v>5511</v>
      </c>
      <c r="F1540" t="s">
        <v>662</v>
      </c>
      <c r="G1540" s="1">
        <v>0.01</v>
      </c>
      <c r="H1540" t="s">
        <v>19</v>
      </c>
      <c r="I1540" t="s">
        <v>5515</v>
      </c>
    </row>
    <row r="1541" spans="1:9" x14ac:dyDescent="0.3">
      <c r="A1541">
        <v>1732</v>
      </c>
      <c r="B1541" t="s">
        <v>12</v>
      </c>
      <c r="C1541" t="s">
        <v>5583</v>
      </c>
      <c r="D1541" s="4">
        <v>6</v>
      </c>
      <c r="E1541" t="s">
        <v>5584</v>
      </c>
      <c r="F1541" t="s">
        <v>662</v>
      </c>
      <c r="G1541" s="1">
        <v>1.8E-3</v>
      </c>
      <c r="H1541" t="s">
        <v>19</v>
      </c>
      <c r="I1541" t="s">
        <v>5585</v>
      </c>
    </row>
    <row r="1542" spans="1:9" x14ac:dyDescent="0.3">
      <c r="A1542">
        <v>1740</v>
      </c>
      <c r="B1542" t="s">
        <v>460</v>
      </c>
      <c r="C1542" t="s">
        <v>5609</v>
      </c>
      <c r="D1542" s="4">
        <v>5.63</v>
      </c>
      <c r="E1542" t="s">
        <v>5610</v>
      </c>
      <c r="F1542" s="1">
        <v>-5.9900000000000002E-2</v>
      </c>
      <c r="G1542" s="1">
        <v>5.8999999999999999E-3</v>
      </c>
      <c r="H1542" t="s">
        <v>19</v>
      </c>
      <c r="I1542" t="s">
        <v>5611</v>
      </c>
    </row>
    <row r="1543" spans="1:9" x14ac:dyDescent="0.3">
      <c r="A1543">
        <v>1772</v>
      </c>
      <c r="B1543" t="s">
        <v>12</v>
      </c>
      <c r="C1543" t="s">
        <v>5704</v>
      </c>
      <c r="D1543" s="4">
        <v>4.59</v>
      </c>
      <c r="E1543" t="s">
        <v>5705</v>
      </c>
      <c r="F1543" t="s">
        <v>662</v>
      </c>
      <c r="G1543" s="1">
        <v>6.0000000000000001E-3</v>
      </c>
      <c r="H1543" t="s">
        <v>19</v>
      </c>
      <c r="I1543" t="s">
        <v>5706</v>
      </c>
    </row>
    <row r="1544" spans="1:9" x14ac:dyDescent="0.3">
      <c r="A1544">
        <v>1779</v>
      </c>
      <c r="B1544" t="s">
        <v>5378</v>
      </c>
      <c r="C1544" t="s">
        <v>5726</v>
      </c>
      <c r="D1544" s="4">
        <v>4.2300000000000004</v>
      </c>
      <c r="E1544" t="s">
        <v>5727</v>
      </c>
      <c r="F1544" s="1">
        <v>-9.0700000000000003E-2</v>
      </c>
      <c r="G1544" s="1">
        <v>4.8999999999999998E-3</v>
      </c>
      <c r="H1544" t="s">
        <v>19</v>
      </c>
      <c r="I1544" t="s">
        <v>5728</v>
      </c>
    </row>
    <row r="1545" spans="1:9" x14ac:dyDescent="0.3">
      <c r="A1545">
        <v>1781</v>
      </c>
      <c r="B1545" t="s">
        <v>941</v>
      </c>
      <c r="C1545" t="s">
        <v>5732</v>
      </c>
      <c r="D1545" s="4">
        <v>4.18</v>
      </c>
      <c r="E1545" t="s">
        <v>5733</v>
      </c>
      <c r="F1545" s="1">
        <v>-4.1200000000000001E-2</v>
      </c>
      <c r="G1545" s="1">
        <v>6.0000000000000001E-3</v>
      </c>
      <c r="H1545" t="s">
        <v>19</v>
      </c>
      <c r="I1545" t="s">
        <v>5734</v>
      </c>
    </row>
    <row r="1546" spans="1:9" x14ac:dyDescent="0.3">
      <c r="A1546">
        <v>1787</v>
      </c>
      <c r="B1546" t="s">
        <v>1856</v>
      </c>
      <c r="C1546" t="s">
        <v>5750</v>
      </c>
      <c r="D1546" s="4">
        <v>4</v>
      </c>
      <c r="E1546" t="s">
        <v>5751</v>
      </c>
      <c r="F1546" s="1">
        <v>-3.9100000000000003E-2</v>
      </c>
      <c r="G1546" s="1">
        <v>4.4999999999999997E-3</v>
      </c>
      <c r="H1546" t="s">
        <v>19</v>
      </c>
      <c r="I1546" t="s">
        <v>5752</v>
      </c>
    </row>
    <row r="1547" spans="1:9" x14ac:dyDescent="0.3">
      <c r="A1547">
        <v>1793</v>
      </c>
      <c r="B1547" t="s">
        <v>588</v>
      </c>
      <c r="C1547" t="s">
        <v>5767</v>
      </c>
      <c r="D1547" s="4">
        <v>3.8</v>
      </c>
      <c r="E1547" t="s">
        <v>5768</v>
      </c>
      <c r="F1547" s="1">
        <v>-0.26569999999999999</v>
      </c>
      <c r="G1547" s="1">
        <v>5.0000000000000001E-3</v>
      </c>
      <c r="H1547" t="s">
        <v>19</v>
      </c>
      <c r="I1547" t="s">
        <v>5769</v>
      </c>
    </row>
    <row r="1548" spans="1:9" x14ac:dyDescent="0.3">
      <c r="A1548">
        <v>1796</v>
      </c>
      <c r="B1548" t="s">
        <v>588</v>
      </c>
      <c r="C1548" t="s">
        <v>5776</v>
      </c>
      <c r="D1548" s="4">
        <v>3.71</v>
      </c>
      <c r="E1548" t="s">
        <v>5777</v>
      </c>
      <c r="F1548" s="1">
        <v>-0.29470000000000002</v>
      </c>
      <c r="G1548" s="1">
        <v>5.0000000000000001E-3</v>
      </c>
      <c r="H1548" t="s">
        <v>19</v>
      </c>
      <c r="I1548" t="s">
        <v>5778</v>
      </c>
    </row>
    <row r="1549" spans="1:9" x14ac:dyDescent="0.3">
      <c r="A1549">
        <v>1828</v>
      </c>
      <c r="B1549" t="s">
        <v>5876</v>
      </c>
      <c r="C1549" t="s">
        <v>5877</v>
      </c>
      <c r="D1549" s="4">
        <v>2.85</v>
      </c>
      <c r="E1549" t="s">
        <v>5874</v>
      </c>
      <c r="F1549" t="s">
        <v>662</v>
      </c>
      <c r="G1549" s="1">
        <v>7.0000000000000001E-3</v>
      </c>
      <c r="H1549" t="s">
        <v>19</v>
      </c>
      <c r="I1549" t="s">
        <v>5878</v>
      </c>
    </row>
    <row r="1550" spans="1:9" x14ac:dyDescent="0.3">
      <c r="A1550">
        <v>1851</v>
      </c>
      <c r="B1550" t="s">
        <v>2353</v>
      </c>
      <c r="C1550" t="s">
        <v>5946</v>
      </c>
      <c r="D1550" s="4">
        <v>2.12</v>
      </c>
      <c r="E1550" t="s">
        <v>5947</v>
      </c>
      <c r="F1550" s="1">
        <v>-0.3836</v>
      </c>
      <c r="G1550" s="1">
        <v>7.4999999999999997E-3</v>
      </c>
      <c r="H1550" t="s">
        <v>19</v>
      </c>
      <c r="I1550" t="s">
        <v>5948</v>
      </c>
    </row>
    <row r="1551" spans="1:9" x14ac:dyDescent="0.3">
      <c r="A1551">
        <v>1855</v>
      </c>
      <c r="B1551" t="s">
        <v>272</v>
      </c>
      <c r="C1551" t="s">
        <v>5957</v>
      </c>
      <c r="D1551" s="4">
        <v>1.85</v>
      </c>
      <c r="E1551" t="s">
        <v>5958</v>
      </c>
      <c r="F1551" s="1">
        <v>-6.4600000000000005E-2</v>
      </c>
      <c r="G1551" s="1">
        <v>4.8999999999999998E-3</v>
      </c>
      <c r="H1551" t="s">
        <v>19</v>
      </c>
      <c r="I1551" t="s">
        <v>5959</v>
      </c>
    </row>
    <row r="1552" spans="1:9" x14ac:dyDescent="0.3">
      <c r="A1552">
        <v>1858</v>
      </c>
      <c r="B1552" t="s">
        <v>5378</v>
      </c>
      <c r="C1552" t="s">
        <v>5967</v>
      </c>
      <c r="D1552" s="4">
        <v>1.81</v>
      </c>
      <c r="E1552" t="s">
        <v>5968</v>
      </c>
      <c r="F1552" s="1">
        <v>-0.19400000000000001</v>
      </c>
      <c r="G1552" s="1">
        <v>6.0000000000000001E-3</v>
      </c>
      <c r="H1552" t="s">
        <v>19</v>
      </c>
      <c r="I1552" t="s">
        <v>5969</v>
      </c>
    </row>
    <row r="1553" spans="1:9" x14ac:dyDescent="0.3">
      <c r="A1553">
        <v>1859</v>
      </c>
      <c r="B1553" t="s">
        <v>1687</v>
      </c>
      <c r="C1553" t="s">
        <v>5970</v>
      </c>
      <c r="D1553" s="4">
        <v>1.76</v>
      </c>
      <c r="E1553" t="s">
        <v>5971</v>
      </c>
      <c r="F1553" t="s">
        <v>662</v>
      </c>
      <c r="G1553" s="1">
        <v>5.0000000000000001E-3</v>
      </c>
      <c r="H1553" t="s">
        <v>19</v>
      </c>
      <c r="I1553" t="s">
        <v>5972</v>
      </c>
    </row>
    <row r="1554" spans="1:9" x14ac:dyDescent="0.3">
      <c r="A1554">
        <v>1864</v>
      </c>
      <c r="B1554" t="s">
        <v>1398</v>
      </c>
      <c r="C1554" t="s">
        <v>5984</v>
      </c>
      <c r="D1554" s="4">
        <v>1.63</v>
      </c>
      <c r="E1554" t="s">
        <v>5985</v>
      </c>
      <c r="F1554" t="s">
        <v>662</v>
      </c>
      <c r="G1554" s="1">
        <v>6.8999999999999999E-3</v>
      </c>
      <c r="H1554" t="s">
        <v>19</v>
      </c>
      <c r="I1554" t="s">
        <v>5986</v>
      </c>
    </row>
    <row r="1555" spans="1:9" x14ac:dyDescent="0.3">
      <c r="A1555">
        <v>1874</v>
      </c>
      <c r="B1555" t="s">
        <v>6020</v>
      </c>
      <c r="C1555" t="s">
        <v>6021</v>
      </c>
      <c r="D1555" s="4">
        <v>1.19</v>
      </c>
      <c r="E1555" t="s">
        <v>6017</v>
      </c>
      <c r="F1555" t="s">
        <v>662</v>
      </c>
      <c r="G1555" s="1">
        <v>2.8999999999999998E-3</v>
      </c>
      <c r="H1555" t="s">
        <v>19</v>
      </c>
      <c r="I1555" t="s">
        <v>6022</v>
      </c>
    </row>
    <row r="1556" spans="1:9" x14ac:dyDescent="0.3">
      <c r="A1556">
        <v>1881</v>
      </c>
      <c r="B1556" t="s">
        <v>280</v>
      </c>
      <c r="C1556" t="s">
        <v>6042</v>
      </c>
      <c r="D1556" s="4">
        <f>966.54*0.001</f>
        <v>0.96653999999999995</v>
      </c>
      <c r="E1556" t="s">
        <v>6043</v>
      </c>
      <c r="F1556" s="1">
        <v>-8.7099999999999997E-2</v>
      </c>
      <c r="G1556" s="1">
        <v>8.5000000000000006E-3</v>
      </c>
      <c r="H1556" t="s">
        <v>19</v>
      </c>
      <c r="I1556" t="s">
        <v>6044</v>
      </c>
    </row>
    <row r="1557" spans="1:9" x14ac:dyDescent="0.3">
      <c r="A1557">
        <v>1925</v>
      </c>
      <c r="B1557" t="s">
        <v>2353</v>
      </c>
      <c r="C1557" t="s">
        <v>6161</v>
      </c>
      <c r="D1557" s="4" t="s">
        <v>662</v>
      </c>
      <c r="E1557" t="s">
        <v>662</v>
      </c>
      <c r="F1557" s="1">
        <v>5.7000000000000002E-3</v>
      </c>
      <c r="G1557" s="1">
        <v>1.6899999999999998E-2</v>
      </c>
      <c r="H1557" t="s">
        <v>302</v>
      </c>
      <c r="I1557" t="s">
        <v>6162</v>
      </c>
    </row>
    <row r="1558" spans="1:9" x14ac:dyDescent="0.3">
      <c r="A1558">
        <v>83</v>
      </c>
      <c r="B1558" t="s">
        <v>12</v>
      </c>
      <c r="C1558" t="s">
        <v>300</v>
      </c>
      <c r="D1558" s="4">
        <f>12.13*1000</f>
        <v>12130</v>
      </c>
      <c r="E1558" t="s">
        <v>301</v>
      </c>
      <c r="F1558" s="1">
        <v>-6.13E-2</v>
      </c>
      <c r="G1558" s="1">
        <v>4.0000000000000002E-4</v>
      </c>
      <c r="H1558" t="s">
        <v>302</v>
      </c>
      <c r="I1558" t="s">
        <v>303</v>
      </c>
    </row>
    <row r="1559" spans="1:9" x14ac:dyDescent="0.3">
      <c r="A1559">
        <v>273</v>
      </c>
      <c r="B1559" t="s">
        <v>12</v>
      </c>
      <c r="C1559" t="s">
        <v>932</v>
      </c>
      <c r="D1559" s="4">
        <f>1.93*1000</f>
        <v>1930</v>
      </c>
      <c r="E1559" t="s">
        <v>933</v>
      </c>
      <c r="F1559" s="1">
        <v>-0.1011</v>
      </c>
      <c r="G1559" s="1">
        <v>4.0000000000000002E-4</v>
      </c>
      <c r="H1559" t="s">
        <v>302</v>
      </c>
      <c r="I1559" t="s">
        <v>934</v>
      </c>
    </row>
    <row r="1560" spans="1:9" x14ac:dyDescent="0.3">
      <c r="A1560">
        <v>745</v>
      </c>
      <c r="B1560" t="s">
        <v>280</v>
      </c>
      <c r="C1560" t="s">
        <v>2442</v>
      </c>
      <c r="D1560" s="4">
        <v>225.14</v>
      </c>
      <c r="E1560" t="s">
        <v>2443</v>
      </c>
      <c r="F1560" s="1">
        <v>-0.13550000000000001</v>
      </c>
      <c r="G1560" s="1">
        <v>6.3E-3</v>
      </c>
      <c r="H1560" t="s">
        <v>302</v>
      </c>
      <c r="I1560" t="s">
        <v>2444</v>
      </c>
    </row>
    <row r="1561" spans="1:9" x14ac:dyDescent="0.3">
      <c r="A1561">
        <v>814</v>
      </c>
      <c r="B1561" t="s">
        <v>863</v>
      </c>
      <c r="C1561" t="s">
        <v>2662</v>
      </c>
      <c r="D1561" s="4">
        <v>178.53</v>
      </c>
      <c r="E1561" t="s">
        <v>2663</v>
      </c>
      <c r="F1561" s="1">
        <v>-0.21149999999999999</v>
      </c>
      <c r="G1561" s="1">
        <v>4.4999999999999997E-3</v>
      </c>
      <c r="H1561" t="s">
        <v>302</v>
      </c>
      <c r="I1561" t="s">
        <v>2664</v>
      </c>
    </row>
    <row r="1562" spans="1:9" x14ac:dyDescent="0.3">
      <c r="A1562">
        <v>1298</v>
      </c>
      <c r="B1562" t="s">
        <v>941</v>
      </c>
      <c r="C1562" t="s">
        <v>4221</v>
      </c>
      <c r="D1562" s="4">
        <v>36.33</v>
      </c>
      <c r="E1562" t="s">
        <v>4222</v>
      </c>
      <c r="F1562" s="1">
        <v>-3.8100000000000002E-2</v>
      </c>
      <c r="G1562" s="1">
        <v>6.0000000000000001E-3</v>
      </c>
      <c r="H1562" t="s">
        <v>302</v>
      </c>
      <c r="I1562" t="s">
        <v>4223</v>
      </c>
    </row>
    <row r="1563" spans="1:9" x14ac:dyDescent="0.3">
      <c r="A1563">
        <v>1683</v>
      </c>
      <c r="B1563" t="s">
        <v>5435</v>
      </c>
      <c r="C1563" t="s">
        <v>5436</v>
      </c>
      <c r="D1563" s="4">
        <v>7.7</v>
      </c>
      <c r="E1563" t="s">
        <v>5431</v>
      </c>
      <c r="F1563" s="1">
        <v>-0.40570000000000001</v>
      </c>
      <c r="G1563" s="1">
        <v>7.4999999999999997E-3</v>
      </c>
      <c r="H1563" t="s">
        <v>302</v>
      </c>
      <c r="I1563" t="s">
        <v>5437</v>
      </c>
    </row>
    <row r="1564" spans="1:9" x14ac:dyDescent="0.3">
      <c r="A1564">
        <v>1775</v>
      </c>
      <c r="B1564" t="s">
        <v>440</v>
      </c>
      <c r="C1564" t="s">
        <v>5714</v>
      </c>
      <c r="D1564" s="4">
        <v>4.5</v>
      </c>
      <c r="E1564" t="s">
        <v>5715</v>
      </c>
      <c r="F1564" s="1">
        <v>-0.18290000000000001</v>
      </c>
      <c r="G1564" s="1">
        <v>5.4999999999999997E-3</v>
      </c>
      <c r="H1564" t="s">
        <v>302</v>
      </c>
      <c r="I1564" t="s">
        <v>5716</v>
      </c>
    </row>
    <row r="1565" spans="1:9" x14ac:dyDescent="0.3">
      <c r="A1565">
        <v>1809</v>
      </c>
      <c r="B1565" t="s">
        <v>5217</v>
      </c>
      <c r="C1565" t="s">
        <v>5819</v>
      </c>
      <c r="D1565" s="4">
        <v>3.41</v>
      </c>
      <c r="E1565" t="s">
        <v>5820</v>
      </c>
      <c r="F1565" s="1">
        <v>-0.2001</v>
      </c>
      <c r="G1565" s="1">
        <v>8.9999999999999993E-3</v>
      </c>
      <c r="H1565" t="s">
        <v>302</v>
      </c>
      <c r="I1565" t="s">
        <v>5821</v>
      </c>
    </row>
    <row r="1566" spans="1:9" x14ac:dyDescent="0.3">
      <c r="A1566">
        <v>59</v>
      </c>
      <c r="B1566" t="s">
        <v>12</v>
      </c>
      <c r="C1566" t="s">
        <v>212</v>
      </c>
      <c r="D1566" s="4">
        <f>15.7*1000</f>
        <v>15700</v>
      </c>
      <c r="E1566" t="s">
        <v>213</v>
      </c>
      <c r="F1566" s="1">
        <v>2.35E-2</v>
      </c>
      <c r="G1566" s="1">
        <v>1.5E-3</v>
      </c>
      <c r="H1566" t="s">
        <v>214</v>
      </c>
      <c r="I1566" t="s">
        <v>215</v>
      </c>
    </row>
    <row r="1567" spans="1:9" x14ac:dyDescent="0.3">
      <c r="A1567">
        <v>86</v>
      </c>
      <c r="B1567" t="s">
        <v>12</v>
      </c>
      <c r="C1567" t="s">
        <v>310</v>
      </c>
      <c r="D1567" s="4">
        <f>11.6*1000</f>
        <v>11600</v>
      </c>
      <c r="E1567" t="s">
        <v>311</v>
      </c>
      <c r="F1567" s="1">
        <v>-2.0999999999999999E-3</v>
      </c>
      <c r="G1567" s="1">
        <v>4.0000000000000002E-4</v>
      </c>
      <c r="H1567" t="s">
        <v>214</v>
      </c>
      <c r="I1567" t="s">
        <v>312</v>
      </c>
    </row>
    <row r="1568" spans="1:9" x14ac:dyDescent="0.3">
      <c r="A1568">
        <v>450</v>
      </c>
      <c r="B1568" t="s">
        <v>12</v>
      </c>
      <c r="C1568" t="s">
        <v>1468</v>
      </c>
      <c r="D1568" s="4">
        <v>798.5</v>
      </c>
      <c r="E1568" t="s">
        <v>1469</v>
      </c>
      <c r="F1568" s="1">
        <v>3.5999999999999999E-3</v>
      </c>
      <c r="G1568" s="1">
        <v>4.0000000000000002E-4</v>
      </c>
      <c r="H1568" t="s">
        <v>214</v>
      </c>
      <c r="I1568" t="s">
        <v>1470</v>
      </c>
    </row>
    <row r="1569" spans="1:9" x14ac:dyDescent="0.3">
      <c r="A1569">
        <v>539</v>
      </c>
      <c r="B1569" t="s">
        <v>440</v>
      </c>
      <c r="C1569" t="s">
        <v>1757</v>
      </c>
      <c r="D1569" s="4">
        <v>524.51</v>
      </c>
      <c r="E1569" t="s">
        <v>1758</v>
      </c>
      <c r="F1569" s="1">
        <v>1.6400000000000001E-2</v>
      </c>
      <c r="G1569" s="1">
        <v>3.8E-3</v>
      </c>
      <c r="H1569" t="s">
        <v>214</v>
      </c>
      <c r="I1569" t="s">
        <v>1759</v>
      </c>
    </row>
    <row r="1570" spans="1:9" x14ac:dyDescent="0.3">
      <c r="A1570">
        <v>556</v>
      </c>
      <c r="B1570" t="s">
        <v>16</v>
      </c>
      <c r="C1570" t="s">
        <v>1812</v>
      </c>
      <c r="D1570" s="4">
        <v>492.53</v>
      </c>
      <c r="E1570" t="s">
        <v>1813</v>
      </c>
      <c r="F1570" s="1">
        <v>-1.18E-2</v>
      </c>
      <c r="G1570" s="1">
        <v>1.4E-3</v>
      </c>
      <c r="H1570" t="s">
        <v>214</v>
      </c>
      <c r="I1570" t="s">
        <v>1814</v>
      </c>
    </row>
    <row r="1571" spans="1:9" x14ac:dyDescent="0.3">
      <c r="A1571">
        <v>712</v>
      </c>
      <c r="B1571" t="s">
        <v>7</v>
      </c>
      <c r="C1571" t="s">
        <v>2330</v>
      </c>
      <c r="D1571" s="4">
        <v>258.07</v>
      </c>
      <c r="E1571" t="s">
        <v>2331</v>
      </c>
      <c r="F1571" s="1">
        <v>-6.1999999999999998E-3</v>
      </c>
      <c r="G1571" s="1">
        <v>1.1999999999999999E-3</v>
      </c>
      <c r="H1571" t="s">
        <v>214</v>
      </c>
      <c r="I1571" t="s">
        <v>2332</v>
      </c>
    </row>
    <row r="1572" spans="1:9" x14ac:dyDescent="0.3">
      <c r="A1572">
        <v>755</v>
      </c>
      <c r="B1572" t="s">
        <v>2475</v>
      </c>
      <c r="C1572" t="s">
        <v>2476</v>
      </c>
      <c r="D1572" s="4">
        <v>217.91</v>
      </c>
      <c r="E1572" t="s">
        <v>2477</v>
      </c>
      <c r="F1572" s="1">
        <v>-6.4899999999999999E-2</v>
      </c>
      <c r="G1572" s="1">
        <v>4.8999999999999998E-3</v>
      </c>
      <c r="H1572" t="s">
        <v>214</v>
      </c>
      <c r="I1572" t="s">
        <v>2478</v>
      </c>
    </row>
    <row r="1573" spans="1:9" x14ac:dyDescent="0.3">
      <c r="A1573">
        <v>852</v>
      </c>
      <c r="B1573" t="s">
        <v>280</v>
      </c>
      <c r="C1573" t="s">
        <v>2786</v>
      </c>
      <c r="D1573" s="4">
        <v>156.63999999999999</v>
      </c>
      <c r="E1573" t="s">
        <v>2787</v>
      </c>
      <c r="F1573" s="1">
        <v>-5.8999999999999999E-3</v>
      </c>
      <c r="G1573" s="1">
        <v>7.0000000000000001E-3</v>
      </c>
      <c r="H1573" t="s">
        <v>214</v>
      </c>
      <c r="I1573" t="s">
        <v>2788</v>
      </c>
    </row>
    <row r="1574" spans="1:9" x14ac:dyDescent="0.3">
      <c r="A1574">
        <v>1031</v>
      </c>
      <c r="B1574" t="s">
        <v>1025</v>
      </c>
      <c r="C1574" t="s">
        <v>3357</v>
      </c>
      <c r="D1574" s="4">
        <v>91.81</v>
      </c>
      <c r="E1574" t="s">
        <v>3358</v>
      </c>
      <c r="F1574" s="1">
        <v>-1.3899999999999999E-2</v>
      </c>
      <c r="G1574" s="1">
        <v>1.5E-3</v>
      </c>
      <c r="H1574" t="s">
        <v>214</v>
      </c>
      <c r="I1574" t="s">
        <v>3359</v>
      </c>
    </row>
    <row r="1575" spans="1:9" x14ac:dyDescent="0.3">
      <c r="A1575">
        <v>1176</v>
      </c>
      <c r="B1575" t="s">
        <v>3829</v>
      </c>
      <c r="C1575" t="s">
        <v>3830</v>
      </c>
      <c r="D1575" s="4">
        <v>55.36</v>
      </c>
      <c r="E1575" t="s">
        <v>3831</v>
      </c>
      <c r="F1575" s="1">
        <v>1.11E-2</v>
      </c>
      <c r="G1575" s="1">
        <v>8.5000000000000006E-3</v>
      </c>
      <c r="H1575" t="s">
        <v>214</v>
      </c>
      <c r="I1575" t="s">
        <v>3832</v>
      </c>
    </row>
    <row r="1576" spans="1:9" x14ac:dyDescent="0.3">
      <c r="A1576">
        <v>1220</v>
      </c>
      <c r="B1576" t="s">
        <v>1289</v>
      </c>
      <c r="C1576" t="s">
        <v>3966</v>
      </c>
      <c r="D1576" s="4">
        <v>47.27</v>
      </c>
      <c r="E1576" t="s">
        <v>3967</v>
      </c>
      <c r="F1576" s="1">
        <v>-8.6999999999999994E-3</v>
      </c>
      <c r="G1576" s="1">
        <v>9.1000000000000004E-3</v>
      </c>
      <c r="H1576" t="s">
        <v>214</v>
      </c>
      <c r="I1576" t="s">
        <v>3968</v>
      </c>
    </row>
    <row r="1577" spans="1:9" x14ac:dyDescent="0.3">
      <c r="A1577">
        <v>1244</v>
      </c>
      <c r="B1577" t="s">
        <v>12</v>
      </c>
      <c r="C1577" t="s">
        <v>4043</v>
      </c>
      <c r="D1577" s="4">
        <v>43.05</v>
      </c>
      <c r="E1577" t="s">
        <v>4044</v>
      </c>
      <c r="F1577" s="1">
        <v>-1.15E-2</v>
      </c>
      <c r="G1577" s="1">
        <v>2.5000000000000001E-3</v>
      </c>
      <c r="H1577" t="s">
        <v>214</v>
      </c>
      <c r="I1577" t="s">
        <v>4045</v>
      </c>
    </row>
    <row r="1578" spans="1:9" x14ac:dyDescent="0.3">
      <c r="A1578">
        <v>1447</v>
      </c>
      <c r="B1578" t="s">
        <v>4701</v>
      </c>
      <c r="C1578" t="s">
        <v>4702</v>
      </c>
      <c r="D1578" s="4">
        <v>22.33</v>
      </c>
      <c r="E1578" t="s">
        <v>4703</v>
      </c>
      <c r="F1578" t="s">
        <v>662</v>
      </c>
      <c r="G1578" s="1">
        <v>8.6999999999999994E-3</v>
      </c>
      <c r="H1578" t="s">
        <v>214</v>
      </c>
      <c r="I1578" t="s">
        <v>4704</v>
      </c>
    </row>
    <row r="1579" spans="1:9" x14ac:dyDescent="0.3">
      <c r="A1579">
        <v>1741</v>
      </c>
      <c r="B1579" t="s">
        <v>979</v>
      </c>
      <c r="C1579" t="s">
        <v>5612</v>
      </c>
      <c r="D1579" s="4">
        <v>5.58</v>
      </c>
      <c r="E1579" t="s">
        <v>5613</v>
      </c>
      <c r="F1579" s="1">
        <v>3.3999999999999998E-3</v>
      </c>
      <c r="G1579" s="1">
        <v>7.4999999999999997E-3</v>
      </c>
      <c r="H1579" t="s">
        <v>214</v>
      </c>
      <c r="I1579" t="s">
        <v>5614</v>
      </c>
    </row>
    <row r="1580" spans="1:9" x14ac:dyDescent="0.3">
      <c r="A1580">
        <v>1815</v>
      </c>
      <c r="B1580" t="s">
        <v>5836</v>
      </c>
      <c r="C1580" t="s">
        <v>5837</v>
      </c>
      <c r="D1580" s="4">
        <v>3.21</v>
      </c>
      <c r="E1580" t="s">
        <v>5838</v>
      </c>
      <c r="F1580" s="1">
        <v>-1.0699999999999999E-2</v>
      </c>
      <c r="G1580" s="1">
        <v>4.8999999999999998E-3</v>
      </c>
      <c r="H1580" t="s">
        <v>214</v>
      </c>
      <c r="I1580" t="s">
        <v>5839</v>
      </c>
    </row>
    <row r="1581" spans="1:9" x14ac:dyDescent="0.3">
      <c r="A1581">
        <v>1918</v>
      </c>
      <c r="B1581" t="s">
        <v>1182</v>
      </c>
      <c r="C1581" t="s">
        <v>6148</v>
      </c>
      <c r="D1581" s="4" t="s">
        <v>662</v>
      </c>
      <c r="E1581" t="s">
        <v>662</v>
      </c>
      <c r="F1581" s="1">
        <v>-3.7000000000000002E-3</v>
      </c>
      <c r="G1581" s="1">
        <v>6.0000000000000001E-3</v>
      </c>
      <c r="H1581" t="s">
        <v>848</v>
      </c>
      <c r="I1581" t="s">
        <v>6149</v>
      </c>
    </row>
    <row r="1582" spans="1:9" x14ac:dyDescent="0.3">
      <c r="A1582">
        <v>247</v>
      </c>
      <c r="B1582" t="s">
        <v>12</v>
      </c>
      <c r="C1582" t="s">
        <v>846</v>
      </c>
      <c r="D1582" s="4">
        <f>2.43*1000</f>
        <v>2430</v>
      </c>
      <c r="E1582" t="s">
        <v>847</v>
      </c>
      <c r="F1582" s="1">
        <v>-5.6000000000000001E-2</v>
      </c>
      <c r="G1582" s="1">
        <v>4.1999999999999997E-3</v>
      </c>
      <c r="H1582" t="s">
        <v>848</v>
      </c>
      <c r="I1582" t="s">
        <v>849</v>
      </c>
    </row>
    <row r="1583" spans="1:9" x14ac:dyDescent="0.3">
      <c r="A1583">
        <v>379</v>
      </c>
      <c r="B1583" t="s">
        <v>7</v>
      </c>
      <c r="C1583" t="s">
        <v>1242</v>
      </c>
      <c r="D1583" s="4">
        <f>1.06*1000</f>
        <v>1060</v>
      </c>
      <c r="E1583" t="s">
        <v>1236</v>
      </c>
      <c r="F1583" s="1">
        <v>-8.9800000000000005E-2</v>
      </c>
      <c r="G1583" s="1">
        <v>3.5000000000000001E-3</v>
      </c>
      <c r="H1583" t="s">
        <v>848</v>
      </c>
      <c r="I1583" t="s">
        <v>1243</v>
      </c>
    </row>
    <row r="1584" spans="1:9" x14ac:dyDescent="0.3">
      <c r="A1584">
        <v>493</v>
      </c>
      <c r="B1584" t="s">
        <v>24</v>
      </c>
      <c r="C1584" t="s">
        <v>1605</v>
      </c>
      <c r="D1584" s="4">
        <v>643.5</v>
      </c>
      <c r="E1584" t="s">
        <v>1606</v>
      </c>
      <c r="F1584" s="1">
        <v>-5.2200000000000003E-2</v>
      </c>
      <c r="G1584" s="1">
        <v>6.1000000000000004E-3</v>
      </c>
      <c r="H1584" t="s">
        <v>848</v>
      </c>
      <c r="I1584" t="s">
        <v>1607</v>
      </c>
    </row>
    <row r="1585" spans="1:9" x14ac:dyDescent="0.3">
      <c r="A1585">
        <v>1115</v>
      </c>
      <c r="B1585" t="s">
        <v>3630</v>
      </c>
      <c r="C1585" t="s">
        <v>3631</v>
      </c>
      <c r="D1585" s="4">
        <v>70.11</v>
      </c>
      <c r="E1585" t="s">
        <v>3632</v>
      </c>
      <c r="F1585" s="1">
        <v>-6.8099999999999994E-2</v>
      </c>
      <c r="G1585" s="1">
        <v>6.0000000000000001E-3</v>
      </c>
      <c r="H1585" t="s">
        <v>3633</v>
      </c>
      <c r="I1585" t="s">
        <v>3634</v>
      </c>
    </row>
    <row r="1586" spans="1:9" x14ac:dyDescent="0.3">
      <c r="A1586">
        <v>532</v>
      </c>
      <c r="B1586" t="s">
        <v>272</v>
      </c>
      <c r="C1586" t="s">
        <v>1733</v>
      </c>
      <c r="D1586" s="4">
        <v>541.73</v>
      </c>
      <c r="E1586" t="s">
        <v>1734</v>
      </c>
      <c r="F1586" s="1">
        <v>-7.4000000000000003E-3</v>
      </c>
      <c r="G1586" s="1">
        <v>0.1007</v>
      </c>
      <c r="H1586" t="s">
        <v>1735</v>
      </c>
      <c r="I1586" t="s">
        <v>1736</v>
      </c>
    </row>
    <row r="1587" spans="1:9" x14ac:dyDescent="0.3">
      <c r="A1587">
        <v>1171</v>
      </c>
      <c r="B1587" t="s">
        <v>2564</v>
      </c>
      <c r="C1587" t="s">
        <v>3812</v>
      </c>
      <c r="D1587" s="4">
        <v>56.09</v>
      </c>
      <c r="E1587" t="s">
        <v>3813</v>
      </c>
      <c r="F1587" s="1">
        <v>-8.9999999999999993E-3</v>
      </c>
      <c r="G1587" s="1">
        <v>8.5000000000000006E-3</v>
      </c>
      <c r="H1587" t="s">
        <v>1735</v>
      </c>
      <c r="I1587" t="s">
        <v>3814</v>
      </c>
    </row>
    <row r="1588" spans="1:9" x14ac:dyDescent="0.3">
      <c r="A1588">
        <v>219</v>
      </c>
      <c r="B1588" t="s">
        <v>24</v>
      </c>
      <c r="C1588" t="s">
        <v>756</v>
      </c>
      <c r="D1588" s="4">
        <f>3.11*1000</f>
        <v>3110</v>
      </c>
      <c r="E1588" t="s">
        <v>757</v>
      </c>
      <c r="F1588" s="1">
        <v>-5.3900000000000003E-2</v>
      </c>
      <c r="G1588" s="1">
        <v>3.5000000000000001E-3</v>
      </c>
      <c r="H1588" t="s">
        <v>758</v>
      </c>
      <c r="I1588" t="s">
        <v>759</v>
      </c>
    </row>
    <row r="1589" spans="1:9" x14ac:dyDescent="0.3">
      <c r="A1589">
        <v>670</v>
      </c>
      <c r="B1589" t="s">
        <v>280</v>
      </c>
      <c r="C1589" t="s">
        <v>2196</v>
      </c>
      <c r="D1589" s="4">
        <v>321.52999999999997</v>
      </c>
      <c r="E1589" t="s">
        <v>2194</v>
      </c>
      <c r="F1589" s="1">
        <v>-3.8800000000000001E-2</v>
      </c>
      <c r="G1589" s="1">
        <v>6.0000000000000001E-3</v>
      </c>
      <c r="H1589" t="s">
        <v>758</v>
      </c>
      <c r="I1589" t="s">
        <v>2197</v>
      </c>
    </row>
    <row r="1590" spans="1:9" x14ac:dyDescent="0.3">
      <c r="A1590">
        <v>1118</v>
      </c>
      <c r="B1590" t="s">
        <v>1115</v>
      </c>
      <c r="C1590" t="s">
        <v>3641</v>
      </c>
      <c r="D1590" s="4">
        <v>69.069999999999993</v>
      </c>
      <c r="E1590" t="s">
        <v>3642</v>
      </c>
      <c r="F1590" s="1">
        <v>-0.13880000000000001</v>
      </c>
      <c r="G1590" s="1">
        <v>5.7999999999999996E-3</v>
      </c>
      <c r="H1590" t="s">
        <v>3643</v>
      </c>
      <c r="I1590" t="s">
        <v>3644</v>
      </c>
    </row>
    <row r="1591" spans="1:9" x14ac:dyDescent="0.3">
      <c r="A1591">
        <v>1949</v>
      </c>
      <c r="B1591" t="s">
        <v>5707</v>
      </c>
      <c r="C1591" t="s">
        <v>6211</v>
      </c>
      <c r="D1591" s="4" t="s">
        <v>662</v>
      </c>
      <c r="E1591" t="s">
        <v>662</v>
      </c>
      <c r="F1591" s="1">
        <v>-0.18779999999999999</v>
      </c>
      <c r="G1591" s="1">
        <v>7.9000000000000008E-3</v>
      </c>
      <c r="H1591" t="s">
        <v>358</v>
      </c>
      <c r="I1591" t="s">
        <v>6212</v>
      </c>
    </row>
    <row r="1592" spans="1:9" x14ac:dyDescent="0.3">
      <c r="A1592">
        <v>100</v>
      </c>
      <c r="B1592" t="s">
        <v>12</v>
      </c>
      <c r="C1592" t="s">
        <v>356</v>
      </c>
      <c r="D1592" s="4">
        <f>8.56*1000</f>
        <v>8560</v>
      </c>
      <c r="E1592" t="s">
        <v>357</v>
      </c>
      <c r="F1592" s="1">
        <v>-0.19</v>
      </c>
      <c r="G1592" s="1">
        <v>4.4999999999999997E-3</v>
      </c>
      <c r="H1592" t="s">
        <v>358</v>
      </c>
      <c r="I1592" t="s">
        <v>359</v>
      </c>
    </row>
    <row r="1593" spans="1:9" x14ac:dyDescent="0.3">
      <c r="A1593">
        <v>149</v>
      </c>
      <c r="B1593" t="s">
        <v>7</v>
      </c>
      <c r="C1593" t="s">
        <v>525</v>
      </c>
      <c r="D1593" s="4">
        <f>5.52*1000</f>
        <v>5520</v>
      </c>
      <c r="E1593" t="s">
        <v>526</v>
      </c>
      <c r="F1593" s="1">
        <v>-0.27300000000000002</v>
      </c>
      <c r="G1593" s="1">
        <v>3.5000000000000001E-3</v>
      </c>
      <c r="H1593" t="s">
        <v>358</v>
      </c>
      <c r="I1593" t="s">
        <v>527</v>
      </c>
    </row>
    <row r="1594" spans="1:9" x14ac:dyDescent="0.3">
      <c r="A1594">
        <v>310</v>
      </c>
      <c r="B1594" t="s">
        <v>280</v>
      </c>
      <c r="C1594" t="s">
        <v>1048</v>
      </c>
      <c r="D1594" s="4">
        <f>1.51*1000</f>
        <v>1510</v>
      </c>
      <c r="E1594" t="s">
        <v>1045</v>
      </c>
      <c r="F1594" s="1">
        <v>-0.12429999999999999</v>
      </c>
      <c r="G1594" s="1">
        <v>5.4999999999999997E-3</v>
      </c>
      <c r="H1594" t="s">
        <v>358</v>
      </c>
      <c r="I1594" t="s">
        <v>1049</v>
      </c>
    </row>
    <row r="1595" spans="1:9" x14ac:dyDescent="0.3">
      <c r="A1595">
        <v>741</v>
      </c>
      <c r="B1595" t="s">
        <v>24</v>
      </c>
      <c r="C1595" t="s">
        <v>2430</v>
      </c>
      <c r="D1595" s="4">
        <v>229.15</v>
      </c>
      <c r="E1595" t="s">
        <v>2431</v>
      </c>
      <c r="F1595" s="1">
        <v>-0.21340000000000001</v>
      </c>
      <c r="G1595" s="1">
        <v>5.8999999999999999E-3</v>
      </c>
      <c r="H1595" t="s">
        <v>358</v>
      </c>
      <c r="I1595" t="s">
        <v>2432</v>
      </c>
    </row>
    <row r="1596" spans="1:9" x14ac:dyDescent="0.3">
      <c r="A1596">
        <v>874</v>
      </c>
      <c r="B1596" t="s">
        <v>517</v>
      </c>
      <c r="C1596" t="s">
        <v>2854</v>
      </c>
      <c r="D1596" s="4">
        <v>143.61000000000001</v>
      </c>
      <c r="E1596" t="s">
        <v>2855</v>
      </c>
      <c r="F1596" s="1">
        <v>-0.26329999999999998</v>
      </c>
      <c r="G1596" s="1">
        <v>5.0000000000000001E-3</v>
      </c>
      <c r="H1596" t="s">
        <v>358</v>
      </c>
      <c r="I1596" t="s">
        <v>2856</v>
      </c>
    </row>
    <row r="1597" spans="1:9" x14ac:dyDescent="0.3">
      <c r="A1597">
        <v>577</v>
      </c>
      <c r="B1597" t="s">
        <v>7</v>
      </c>
      <c r="C1597" t="s">
        <v>1884</v>
      </c>
      <c r="D1597" s="4">
        <v>448.79</v>
      </c>
      <c r="E1597" t="s">
        <v>1885</v>
      </c>
      <c r="F1597" s="1">
        <v>-0.1764</v>
      </c>
      <c r="G1597" s="1">
        <v>3.5000000000000001E-3</v>
      </c>
      <c r="H1597" t="s">
        <v>1886</v>
      </c>
      <c r="I1597" t="s">
        <v>1887</v>
      </c>
    </row>
    <row r="1598" spans="1:9" x14ac:dyDescent="0.3">
      <c r="A1598">
        <v>1374</v>
      </c>
      <c r="B1598" t="s">
        <v>280</v>
      </c>
      <c r="C1598" t="s">
        <v>4468</v>
      </c>
      <c r="D1598" s="4">
        <v>27.74</v>
      </c>
      <c r="E1598" t="s">
        <v>4469</v>
      </c>
      <c r="F1598" s="1">
        <v>-9.1600000000000001E-2</v>
      </c>
      <c r="G1598" s="1">
        <v>6.0000000000000001E-3</v>
      </c>
      <c r="H1598" t="s">
        <v>1886</v>
      </c>
      <c r="I1598" t="s">
        <v>4470</v>
      </c>
    </row>
    <row r="1599" spans="1:9" x14ac:dyDescent="0.3">
      <c r="A1599">
        <v>629</v>
      </c>
      <c r="B1599" t="s">
        <v>12</v>
      </c>
      <c r="C1599" t="s">
        <v>2063</v>
      </c>
      <c r="D1599" s="4">
        <v>377.96</v>
      </c>
      <c r="E1599" t="s">
        <v>2064</v>
      </c>
      <c r="F1599" s="1">
        <v>-0.16159999999999999</v>
      </c>
      <c r="G1599" s="1">
        <v>4.0000000000000001E-3</v>
      </c>
      <c r="H1599" t="s">
        <v>2065</v>
      </c>
      <c r="I1599" t="s">
        <v>2066</v>
      </c>
    </row>
    <row r="1600" spans="1:9" x14ac:dyDescent="0.3">
      <c r="A1600">
        <v>1530</v>
      </c>
      <c r="B1600" t="s">
        <v>280</v>
      </c>
      <c r="C1600" t="s">
        <v>4955</v>
      </c>
      <c r="D1600" s="4">
        <v>16.940000000000001</v>
      </c>
      <c r="E1600" t="s">
        <v>4956</v>
      </c>
      <c r="F1600" s="1">
        <v>-7.9399999999999998E-2</v>
      </c>
      <c r="G1600" s="1">
        <v>6.4999999999999997E-3</v>
      </c>
      <c r="H1600" t="s">
        <v>2065</v>
      </c>
      <c r="I1600" t="s">
        <v>4957</v>
      </c>
    </row>
    <row r="1601" spans="1:9" x14ac:dyDescent="0.3">
      <c r="A1601">
        <v>1853</v>
      </c>
      <c r="B1601" t="s">
        <v>588</v>
      </c>
      <c r="C1601" t="s">
        <v>5952</v>
      </c>
      <c r="D1601" s="4">
        <v>1.88</v>
      </c>
      <c r="E1601" t="s">
        <v>5953</v>
      </c>
      <c r="F1601" t="s">
        <v>662</v>
      </c>
      <c r="G1601" s="1">
        <v>6.4999999999999997E-3</v>
      </c>
      <c r="H1601" t="s">
        <v>2065</v>
      </c>
      <c r="I1601" t="s">
        <v>5954</v>
      </c>
    </row>
    <row r="1602" spans="1:9" x14ac:dyDescent="0.3">
      <c r="A1602">
        <v>1092</v>
      </c>
      <c r="B1602" t="s">
        <v>588</v>
      </c>
      <c r="C1602" t="s">
        <v>3556</v>
      </c>
      <c r="D1602" s="4">
        <v>76.14</v>
      </c>
      <c r="E1602" t="s">
        <v>3557</v>
      </c>
      <c r="F1602" s="1">
        <v>-0.39739999999999998</v>
      </c>
      <c r="G1602" s="1">
        <v>6.4999999999999997E-3</v>
      </c>
      <c r="H1602" t="s">
        <v>3558</v>
      </c>
      <c r="I1602" t="s">
        <v>3559</v>
      </c>
    </row>
    <row r="1603" spans="1:9" x14ac:dyDescent="0.3">
      <c r="A1603">
        <v>1149</v>
      </c>
      <c r="B1603" t="s">
        <v>3738</v>
      </c>
      <c r="C1603" t="s">
        <v>3739</v>
      </c>
      <c r="D1603" s="4">
        <v>60.89</v>
      </c>
      <c r="E1603" t="s">
        <v>3740</v>
      </c>
      <c r="F1603" s="1">
        <v>-0.25409999999999999</v>
      </c>
      <c r="G1603" s="1">
        <v>4.8999999999999998E-3</v>
      </c>
      <c r="H1603" t="s">
        <v>3558</v>
      </c>
      <c r="I1603" t="s">
        <v>3741</v>
      </c>
    </row>
    <row r="1604" spans="1:9" x14ac:dyDescent="0.3">
      <c r="A1604">
        <v>1260</v>
      </c>
      <c r="B1604" t="s">
        <v>2709</v>
      </c>
      <c r="C1604" t="s">
        <v>4092</v>
      </c>
      <c r="D1604" s="4">
        <v>41.17</v>
      </c>
      <c r="E1604" t="s">
        <v>4093</v>
      </c>
      <c r="F1604" s="1">
        <v>-0.10299999999999999</v>
      </c>
      <c r="G1604" s="1">
        <v>5.4999999999999997E-3</v>
      </c>
      <c r="H1604" t="s">
        <v>3558</v>
      </c>
      <c r="I1604" t="s">
        <v>4094</v>
      </c>
    </row>
    <row r="1605" spans="1:9" x14ac:dyDescent="0.3">
      <c r="A1605">
        <v>1401</v>
      </c>
      <c r="B1605" t="s">
        <v>7</v>
      </c>
      <c r="C1605" t="s">
        <v>4550</v>
      </c>
      <c r="D1605" s="4">
        <v>25.37</v>
      </c>
      <c r="E1605" t="s">
        <v>4551</v>
      </c>
      <c r="F1605" s="1">
        <v>-0.1065</v>
      </c>
      <c r="G1605" s="1">
        <v>4.4999999999999997E-3</v>
      </c>
      <c r="H1605" t="s">
        <v>3558</v>
      </c>
      <c r="I1605" t="s">
        <v>4552</v>
      </c>
    </row>
    <row r="1606" spans="1:9" x14ac:dyDescent="0.3">
      <c r="A1606">
        <v>1428</v>
      </c>
      <c r="B1606" t="s">
        <v>1289</v>
      </c>
      <c r="C1606" t="s">
        <v>4640</v>
      </c>
      <c r="D1606" s="4">
        <v>23.46</v>
      </c>
      <c r="E1606" t="s">
        <v>4638</v>
      </c>
      <c r="F1606" s="1">
        <v>-0.15759999999999999</v>
      </c>
      <c r="G1606" s="1">
        <v>8.0999999999999996E-3</v>
      </c>
      <c r="H1606" t="s">
        <v>3558</v>
      </c>
      <c r="I1606" t="s">
        <v>4641</v>
      </c>
    </row>
    <row r="1607" spans="1:9" x14ac:dyDescent="0.3">
      <c r="A1607">
        <v>1582</v>
      </c>
      <c r="B1607" t="s">
        <v>5116</v>
      </c>
      <c r="C1607" t="s">
        <v>5117</v>
      </c>
      <c r="D1607" s="4">
        <v>13.09</v>
      </c>
      <c r="E1607" t="s">
        <v>5118</v>
      </c>
      <c r="F1607" s="1">
        <v>-0.2208</v>
      </c>
      <c r="G1607" s="1">
        <v>1.01E-2</v>
      </c>
      <c r="H1607" t="s">
        <v>3558</v>
      </c>
      <c r="I1607" t="s">
        <v>5119</v>
      </c>
    </row>
    <row r="1608" spans="1:9" x14ac:dyDescent="0.3">
      <c r="A1608">
        <v>1764</v>
      </c>
      <c r="B1608" t="s">
        <v>588</v>
      </c>
      <c r="C1608" t="s">
        <v>5680</v>
      </c>
      <c r="D1608" s="4">
        <v>4.83</v>
      </c>
      <c r="E1608" t="s">
        <v>5681</v>
      </c>
      <c r="F1608" s="1">
        <v>-0.23100000000000001</v>
      </c>
      <c r="G1608" s="1">
        <v>5.0000000000000001E-3</v>
      </c>
      <c r="H1608" t="s">
        <v>3558</v>
      </c>
      <c r="I1608" t="s">
        <v>5682</v>
      </c>
    </row>
    <row r="1609" spans="1:9" x14ac:dyDescent="0.3">
      <c r="A1609">
        <v>397</v>
      </c>
      <c r="B1609" t="s">
        <v>1289</v>
      </c>
      <c r="C1609" t="s">
        <v>1290</v>
      </c>
      <c r="D1609" s="4">
        <v>972.51</v>
      </c>
      <c r="E1609" t="s">
        <v>1291</v>
      </c>
      <c r="F1609" s="1">
        <v>-0.27039999999999997</v>
      </c>
      <c r="G1609" s="1">
        <v>7.3000000000000001E-3</v>
      </c>
      <c r="H1609" t="s">
        <v>1292</v>
      </c>
      <c r="I1609" t="s">
        <v>1293</v>
      </c>
    </row>
    <row r="1610" spans="1:9" x14ac:dyDescent="0.3">
      <c r="A1610">
        <v>1735</v>
      </c>
      <c r="B1610" t="s">
        <v>921</v>
      </c>
      <c r="C1610" t="s">
        <v>5593</v>
      </c>
      <c r="D1610" s="4">
        <v>5.89</v>
      </c>
      <c r="E1610" t="s">
        <v>5594</v>
      </c>
      <c r="F1610" s="1">
        <v>-0.30609999999999998</v>
      </c>
      <c r="G1610" s="1">
        <v>7.4999999999999997E-3</v>
      </c>
      <c r="H1610" t="s">
        <v>1292</v>
      </c>
      <c r="I1610" t="s">
        <v>5595</v>
      </c>
    </row>
    <row r="1611" spans="1:9" x14ac:dyDescent="0.3">
      <c r="A1611">
        <v>408</v>
      </c>
      <c r="B1611" t="s">
        <v>12</v>
      </c>
      <c r="C1611" t="s">
        <v>1330</v>
      </c>
      <c r="D1611" s="4">
        <v>928.25</v>
      </c>
      <c r="E1611" t="s">
        <v>1331</v>
      </c>
      <c r="F1611" s="1">
        <v>-7.3899999999999993E-2</v>
      </c>
      <c r="G1611" s="1">
        <v>4.1000000000000003E-3</v>
      </c>
      <c r="H1611" t="s">
        <v>1332</v>
      </c>
      <c r="I1611" t="s">
        <v>1333</v>
      </c>
    </row>
    <row r="1612" spans="1:9" x14ac:dyDescent="0.3">
      <c r="A1612">
        <v>646</v>
      </c>
      <c r="B1612" t="s">
        <v>7</v>
      </c>
      <c r="C1612" t="s">
        <v>2120</v>
      </c>
      <c r="D1612" s="4">
        <v>347.44</v>
      </c>
      <c r="E1612" t="s">
        <v>2121</v>
      </c>
      <c r="F1612" s="1">
        <v>-0.1072</v>
      </c>
      <c r="G1612" s="1">
        <v>3.5000000000000001E-3</v>
      </c>
      <c r="H1612" t="s">
        <v>1332</v>
      </c>
      <c r="I1612" t="s">
        <v>2122</v>
      </c>
    </row>
    <row r="1613" spans="1:9" x14ac:dyDescent="0.3">
      <c r="A1613">
        <v>80</v>
      </c>
      <c r="B1613" t="s">
        <v>7</v>
      </c>
      <c r="C1613" t="s">
        <v>288</v>
      </c>
      <c r="D1613" s="4">
        <f>12.63*1000</f>
        <v>12630</v>
      </c>
      <c r="E1613" t="s">
        <v>289</v>
      </c>
      <c r="F1613" s="1">
        <v>-0.1187</v>
      </c>
      <c r="G1613" s="1">
        <v>1.1999999999999999E-3</v>
      </c>
      <c r="H1613" t="s">
        <v>290</v>
      </c>
      <c r="I1613" t="s">
        <v>291</v>
      </c>
    </row>
    <row r="1614" spans="1:9" x14ac:dyDescent="0.3">
      <c r="A1614">
        <v>191</v>
      </c>
      <c r="B1614" t="s">
        <v>16</v>
      </c>
      <c r="C1614" t="s">
        <v>665</v>
      </c>
      <c r="D1614" s="4">
        <f>3.83*1000</f>
        <v>3830</v>
      </c>
      <c r="E1614" t="s">
        <v>666</v>
      </c>
      <c r="F1614" s="1">
        <v>-0.1414</v>
      </c>
      <c r="G1614" s="1">
        <v>1E-3</v>
      </c>
      <c r="H1614" t="s">
        <v>290</v>
      </c>
      <c r="I1614" t="s">
        <v>667</v>
      </c>
    </row>
    <row r="1615" spans="1:9" x14ac:dyDescent="0.3">
      <c r="A1615">
        <v>458</v>
      </c>
      <c r="B1615" t="s">
        <v>460</v>
      </c>
      <c r="C1615" t="s">
        <v>1494</v>
      </c>
      <c r="D1615" s="4">
        <v>778.26</v>
      </c>
      <c r="E1615" t="s">
        <v>1495</v>
      </c>
      <c r="F1615" s="1">
        <v>-0.1409</v>
      </c>
      <c r="G1615" s="1">
        <v>8.0000000000000004E-4</v>
      </c>
      <c r="H1615" t="s">
        <v>290</v>
      </c>
      <c r="I1615" t="s">
        <v>1496</v>
      </c>
    </row>
    <row r="1616" spans="1:9" x14ac:dyDescent="0.3">
      <c r="A1616">
        <v>1256</v>
      </c>
      <c r="B1616" t="s">
        <v>24</v>
      </c>
      <c r="C1616" t="s">
        <v>4081</v>
      </c>
      <c r="D1616" s="4">
        <v>41.37</v>
      </c>
      <c r="E1616" t="s">
        <v>4082</v>
      </c>
      <c r="F1616" s="1">
        <v>-0.10929999999999999</v>
      </c>
      <c r="G1616" s="1">
        <v>4.0000000000000001E-3</v>
      </c>
      <c r="H1616" t="s">
        <v>290</v>
      </c>
      <c r="I1616" t="s">
        <v>4083</v>
      </c>
    </row>
    <row r="1617" spans="1:9" x14ac:dyDescent="0.3">
      <c r="A1617">
        <v>1371</v>
      </c>
      <c r="B1617" t="s">
        <v>24</v>
      </c>
      <c r="C1617" t="s">
        <v>4459</v>
      </c>
      <c r="D1617" s="4">
        <v>28.13</v>
      </c>
      <c r="E1617" t="s">
        <v>4460</v>
      </c>
      <c r="F1617" s="1">
        <v>-4.4200000000000003E-2</v>
      </c>
      <c r="G1617" s="1">
        <v>2.8999999999999998E-3</v>
      </c>
      <c r="H1617" t="s">
        <v>290</v>
      </c>
      <c r="I1617" t="s">
        <v>4461</v>
      </c>
    </row>
    <row r="1618" spans="1:9" x14ac:dyDescent="0.3">
      <c r="A1618">
        <v>1513</v>
      </c>
      <c r="B1618" t="s">
        <v>839</v>
      </c>
      <c r="C1618" t="s">
        <v>4906</v>
      </c>
      <c r="D1618" s="4">
        <v>17.72</v>
      </c>
      <c r="E1618" t="s">
        <v>4907</v>
      </c>
      <c r="F1618" s="1">
        <v>-0.15029999999999999</v>
      </c>
      <c r="G1618" s="1">
        <v>4.0000000000000001E-3</v>
      </c>
      <c r="H1618" t="s">
        <v>290</v>
      </c>
      <c r="I1618" t="s">
        <v>4908</v>
      </c>
    </row>
    <row r="1619" spans="1:9" x14ac:dyDescent="0.3">
      <c r="A1619">
        <v>718</v>
      </c>
      <c r="B1619" t="s">
        <v>24</v>
      </c>
      <c r="C1619" t="s">
        <v>2349</v>
      </c>
      <c r="D1619" s="4">
        <v>250.66</v>
      </c>
      <c r="E1619" t="s">
        <v>2350</v>
      </c>
      <c r="F1619" s="1">
        <v>-6.88E-2</v>
      </c>
      <c r="G1619" s="1">
        <v>6.0000000000000001E-3</v>
      </c>
      <c r="H1619" t="s">
        <v>2351</v>
      </c>
      <c r="I1619" t="s">
        <v>2352</v>
      </c>
    </row>
    <row r="1620" spans="1:9" x14ac:dyDescent="0.3">
      <c r="A1620">
        <v>1922</v>
      </c>
      <c r="B1620" t="s">
        <v>588</v>
      </c>
      <c r="C1620" t="s">
        <v>6155</v>
      </c>
      <c r="D1620" s="4" t="s">
        <v>662</v>
      </c>
      <c r="E1620" t="s">
        <v>662</v>
      </c>
      <c r="F1620" s="2">
        <v>0</v>
      </c>
      <c r="G1620" s="1">
        <v>4.4999999999999997E-3</v>
      </c>
      <c r="H1620" t="s">
        <v>4581</v>
      </c>
      <c r="I1620" t="s">
        <v>6156</v>
      </c>
    </row>
    <row r="1621" spans="1:9" x14ac:dyDescent="0.3">
      <c r="A1621">
        <v>1410</v>
      </c>
      <c r="B1621" t="s">
        <v>964</v>
      </c>
      <c r="C1621" t="s">
        <v>4579</v>
      </c>
      <c r="D1621" s="4">
        <v>24.87</v>
      </c>
      <c r="E1621" t="s">
        <v>4580</v>
      </c>
      <c r="F1621" s="1">
        <v>-4.87E-2</v>
      </c>
      <c r="G1621" s="1">
        <v>4.4000000000000003E-3</v>
      </c>
      <c r="H1621" t="s">
        <v>4581</v>
      </c>
      <c r="I1621" t="s">
        <v>4582</v>
      </c>
    </row>
    <row r="1622" spans="1:9" x14ac:dyDescent="0.3">
      <c r="A1622">
        <v>1617</v>
      </c>
      <c r="B1622" t="s">
        <v>1289</v>
      </c>
      <c r="C1622" t="s">
        <v>5230</v>
      </c>
      <c r="D1622" s="4">
        <v>10.84</v>
      </c>
      <c r="E1622" t="s">
        <v>5231</v>
      </c>
      <c r="F1622" s="1">
        <v>-0.1065</v>
      </c>
      <c r="G1622" s="1">
        <v>9.9000000000000008E-3</v>
      </c>
      <c r="H1622" t="s">
        <v>4581</v>
      </c>
      <c r="I1622" t="s">
        <v>5232</v>
      </c>
    </row>
    <row r="1623" spans="1:9" x14ac:dyDescent="0.3">
      <c r="A1623">
        <v>1671</v>
      </c>
      <c r="B1623" t="s">
        <v>921</v>
      </c>
      <c r="C1623" t="s">
        <v>5400</v>
      </c>
      <c r="D1623" s="4">
        <v>8.16</v>
      </c>
      <c r="E1623" t="s">
        <v>5401</v>
      </c>
      <c r="F1623" t="s">
        <v>662</v>
      </c>
      <c r="G1623" s="1">
        <v>7.4999999999999997E-3</v>
      </c>
      <c r="H1623" t="s">
        <v>4581</v>
      </c>
      <c r="I1623" t="s">
        <v>5402</v>
      </c>
    </row>
    <row r="1624" spans="1:9" x14ac:dyDescent="0.3">
      <c r="A1624">
        <v>1827</v>
      </c>
      <c r="B1624" t="s">
        <v>5378</v>
      </c>
      <c r="C1624" t="s">
        <v>5873</v>
      </c>
      <c r="D1624" s="4">
        <v>2.85</v>
      </c>
      <c r="E1624" t="s">
        <v>5874</v>
      </c>
      <c r="F1624" s="1">
        <v>-0.19600000000000001</v>
      </c>
      <c r="G1624" s="1">
        <v>4.8999999999999998E-3</v>
      </c>
      <c r="H1624" t="s">
        <v>4581</v>
      </c>
      <c r="I1624" t="s">
        <v>5875</v>
      </c>
    </row>
    <row r="1625" spans="1:9" x14ac:dyDescent="0.3">
      <c r="A1625">
        <v>50</v>
      </c>
      <c r="B1625" t="s">
        <v>7</v>
      </c>
      <c r="C1625" t="s">
        <v>181</v>
      </c>
      <c r="D1625" s="4">
        <f>20.49*1000</f>
        <v>20490</v>
      </c>
      <c r="E1625" t="s">
        <v>182</v>
      </c>
      <c r="F1625" s="1">
        <v>-6.59E-2</v>
      </c>
      <c r="G1625" s="1">
        <v>1.1999999999999999E-3</v>
      </c>
      <c r="H1625" t="s">
        <v>183</v>
      </c>
      <c r="I1625" t="s">
        <v>184</v>
      </c>
    </row>
    <row r="1626" spans="1:9" x14ac:dyDescent="0.3">
      <c r="A1626">
        <v>132</v>
      </c>
      <c r="B1626" t="s">
        <v>16</v>
      </c>
      <c r="C1626" t="s">
        <v>468</v>
      </c>
      <c r="D1626" s="4">
        <f>6.35*1000</f>
        <v>6350</v>
      </c>
      <c r="E1626" t="s">
        <v>469</v>
      </c>
      <c r="F1626" s="1">
        <v>-9.5600000000000004E-2</v>
      </c>
      <c r="G1626" s="1">
        <v>1E-3</v>
      </c>
      <c r="H1626" t="s">
        <v>183</v>
      </c>
      <c r="I1626" t="s">
        <v>470</v>
      </c>
    </row>
    <row r="1627" spans="1:9" x14ac:dyDescent="0.3">
      <c r="A1627">
        <v>297</v>
      </c>
      <c r="B1627" t="s">
        <v>280</v>
      </c>
      <c r="C1627" t="s">
        <v>1008</v>
      </c>
      <c r="D1627" s="4">
        <f>1.69*1000</f>
        <v>1690</v>
      </c>
      <c r="E1627" t="s">
        <v>1005</v>
      </c>
      <c r="F1627" s="1">
        <v>-0.10349999999999999</v>
      </c>
      <c r="G1627" s="1">
        <v>6.3E-3</v>
      </c>
      <c r="H1627" t="s">
        <v>183</v>
      </c>
      <c r="I1627" t="s">
        <v>1009</v>
      </c>
    </row>
    <row r="1628" spans="1:9" x14ac:dyDescent="0.3">
      <c r="A1628">
        <v>306</v>
      </c>
      <c r="B1628" t="s">
        <v>460</v>
      </c>
      <c r="C1628" t="s">
        <v>1035</v>
      </c>
      <c r="D1628" s="4">
        <f>1.56*1000</f>
        <v>1560</v>
      </c>
      <c r="E1628" t="s">
        <v>1033</v>
      </c>
      <c r="F1628" s="1">
        <v>-9.4700000000000006E-2</v>
      </c>
      <c r="G1628" s="1">
        <v>8.0000000000000004E-4</v>
      </c>
      <c r="H1628" t="s">
        <v>183</v>
      </c>
      <c r="I1628" t="s">
        <v>1036</v>
      </c>
    </row>
    <row r="1629" spans="1:9" x14ac:dyDescent="0.3">
      <c r="A1629">
        <v>326</v>
      </c>
      <c r="B1629" t="s">
        <v>12</v>
      </c>
      <c r="C1629" t="s">
        <v>1089</v>
      </c>
      <c r="D1629" s="4">
        <f>1.4*1000</f>
        <v>1400</v>
      </c>
      <c r="E1629" t="s">
        <v>1090</v>
      </c>
      <c r="F1629" s="1">
        <v>-0.1028</v>
      </c>
      <c r="G1629" s="1">
        <v>4.3E-3</v>
      </c>
      <c r="H1629" t="s">
        <v>183</v>
      </c>
      <c r="I1629" t="s">
        <v>1091</v>
      </c>
    </row>
    <row r="1630" spans="1:9" x14ac:dyDescent="0.3">
      <c r="A1630">
        <v>592</v>
      </c>
      <c r="B1630" t="s">
        <v>24</v>
      </c>
      <c r="C1630" t="s">
        <v>1934</v>
      </c>
      <c r="D1630" s="4">
        <v>425.18</v>
      </c>
      <c r="E1630" t="s">
        <v>1935</v>
      </c>
      <c r="F1630" s="1">
        <v>-7.8700000000000006E-2</v>
      </c>
      <c r="G1630" s="1">
        <v>4.0000000000000001E-3</v>
      </c>
      <c r="H1630" t="s">
        <v>183</v>
      </c>
      <c r="I1630" t="s">
        <v>1936</v>
      </c>
    </row>
    <row r="1631" spans="1:9" x14ac:dyDescent="0.3">
      <c r="A1631">
        <v>939</v>
      </c>
      <c r="B1631" t="s">
        <v>24</v>
      </c>
      <c r="C1631" t="s">
        <v>3063</v>
      </c>
      <c r="D1631" s="4">
        <v>124.29</v>
      </c>
      <c r="E1631" t="s">
        <v>3064</v>
      </c>
      <c r="F1631" s="1">
        <v>-0.1633</v>
      </c>
      <c r="G1631" s="1">
        <v>6.0000000000000001E-3</v>
      </c>
      <c r="H1631" t="s">
        <v>183</v>
      </c>
      <c r="I1631" t="s">
        <v>3065</v>
      </c>
    </row>
    <row r="1632" spans="1:9" x14ac:dyDescent="0.3">
      <c r="A1632">
        <v>1234</v>
      </c>
      <c r="B1632" t="s">
        <v>24</v>
      </c>
      <c r="C1632" t="s">
        <v>4011</v>
      </c>
      <c r="D1632" s="4">
        <v>44.39</v>
      </c>
      <c r="E1632" t="s">
        <v>4012</v>
      </c>
      <c r="F1632" s="1">
        <v>-0.127</v>
      </c>
      <c r="G1632" s="1">
        <v>2.8999999999999998E-3</v>
      </c>
      <c r="H1632" t="s">
        <v>183</v>
      </c>
      <c r="I1632" t="s">
        <v>4013</v>
      </c>
    </row>
    <row r="1633" spans="1:9" x14ac:dyDescent="0.3">
      <c r="A1633">
        <v>1397</v>
      </c>
      <c r="B1633" t="s">
        <v>12</v>
      </c>
      <c r="C1633" t="s">
        <v>4538</v>
      </c>
      <c r="D1633" s="4">
        <v>25.68</v>
      </c>
      <c r="E1633" t="s">
        <v>4539</v>
      </c>
      <c r="F1633" s="1">
        <v>-7.5899999999999995E-2</v>
      </c>
      <c r="G1633" s="1">
        <v>1.8E-3</v>
      </c>
      <c r="H1633" t="s">
        <v>183</v>
      </c>
      <c r="I1633" t="s">
        <v>4540</v>
      </c>
    </row>
    <row r="1634" spans="1:9" x14ac:dyDescent="0.3">
      <c r="A1634">
        <v>1469</v>
      </c>
      <c r="B1634" t="s">
        <v>839</v>
      </c>
      <c r="C1634" t="s">
        <v>4771</v>
      </c>
      <c r="D1634" s="4">
        <v>20.69</v>
      </c>
      <c r="E1634" t="s">
        <v>4772</v>
      </c>
      <c r="F1634" s="1">
        <v>-0.10589999999999999</v>
      </c>
      <c r="G1634" s="1">
        <v>4.0000000000000001E-3</v>
      </c>
      <c r="H1634" t="s">
        <v>183</v>
      </c>
      <c r="I1634" t="s">
        <v>4773</v>
      </c>
    </row>
    <row r="1635" spans="1:9" x14ac:dyDescent="0.3">
      <c r="A1635">
        <v>64</v>
      </c>
      <c r="B1635" t="s">
        <v>7</v>
      </c>
      <c r="C1635" t="s">
        <v>229</v>
      </c>
      <c r="D1635" s="4">
        <f>14.57*1000</f>
        <v>14570</v>
      </c>
      <c r="E1635" t="s">
        <v>230</v>
      </c>
      <c r="F1635" s="1">
        <v>8.1100000000000005E-2</v>
      </c>
      <c r="G1635" s="1">
        <v>1.1999999999999999E-3</v>
      </c>
      <c r="H1635" t="s">
        <v>231</v>
      </c>
      <c r="I1635" t="s">
        <v>232</v>
      </c>
    </row>
    <row r="1636" spans="1:9" x14ac:dyDescent="0.3">
      <c r="A1636">
        <v>128</v>
      </c>
      <c r="B1636" t="s">
        <v>16</v>
      </c>
      <c r="C1636" t="s">
        <v>453</v>
      </c>
      <c r="D1636" s="4">
        <f>6.55*1000</f>
        <v>6550</v>
      </c>
      <c r="E1636" t="s">
        <v>454</v>
      </c>
      <c r="F1636" s="1">
        <v>7.0499999999999993E-2</v>
      </c>
      <c r="G1636" s="1">
        <v>1E-3</v>
      </c>
      <c r="H1636" t="s">
        <v>231</v>
      </c>
      <c r="I1636" t="s">
        <v>455</v>
      </c>
    </row>
    <row r="1637" spans="1:9" x14ac:dyDescent="0.3">
      <c r="A1637">
        <v>405</v>
      </c>
      <c r="B1637" t="s">
        <v>460</v>
      </c>
      <c r="C1637" t="s">
        <v>1319</v>
      </c>
      <c r="D1637" s="4">
        <v>939.41</v>
      </c>
      <c r="E1637" t="s">
        <v>1320</v>
      </c>
      <c r="F1637" s="1">
        <v>6.9699999999999998E-2</v>
      </c>
      <c r="G1637" s="1">
        <v>8.0000000000000004E-4</v>
      </c>
      <c r="H1637" t="s">
        <v>231</v>
      </c>
      <c r="I1637" t="s">
        <v>1321</v>
      </c>
    </row>
    <row r="1638" spans="1:9" x14ac:dyDescent="0.3">
      <c r="A1638">
        <v>438</v>
      </c>
      <c r="B1638" t="s">
        <v>12</v>
      </c>
      <c r="C1638" t="s">
        <v>1430</v>
      </c>
      <c r="D1638" s="4">
        <v>827.46</v>
      </c>
      <c r="E1638" t="s">
        <v>1431</v>
      </c>
      <c r="F1638" s="1">
        <v>0.10589999999999999</v>
      </c>
      <c r="G1638" s="1">
        <v>4.3E-3</v>
      </c>
      <c r="H1638" t="s">
        <v>231</v>
      </c>
      <c r="I1638" t="s">
        <v>1432</v>
      </c>
    </row>
    <row r="1639" spans="1:9" x14ac:dyDescent="0.3">
      <c r="A1639">
        <v>553</v>
      </c>
      <c r="B1639" t="s">
        <v>24</v>
      </c>
      <c r="C1639" t="s">
        <v>1803</v>
      </c>
      <c r="D1639" s="4">
        <v>494.2</v>
      </c>
      <c r="E1639" t="s">
        <v>1804</v>
      </c>
      <c r="F1639" s="1">
        <v>9.5899999999999999E-2</v>
      </c>
      <c r="G1639" s="1">
        <v>4.0000000000000001E-3</v>
      </c>
      <c r="H1639" t="s">
        <v>231</v>
      </c>
      <c r="I1639" t="s">
        <v>1805</v>
      </c>
    </row>
    <row r="1640" spans="1:9" x14ac:dyDescent="0.3">
      <c r="A1640">
        <v>671</v>
      </c>
      <c r="B1640" t="s">
        <v>280</v>
      </c>
      <c r="C1640" t="s">
        <v>2198</v>
      </c>
      <c r="D1640" s="4">
        <v>318.45</v>
      </c>
      <c r="E1640" t="s">
        <v>2199</v>
      </c>
      <c r="F1640" s="1">
        <v>7.9000000000000001E-2</v>
      </c>
      <c r="G1640" s="1">
        <v>6.3E-3</v>
      </c>
      <c r="H1640" t="s">
        <v>231</v>
      </c>
      <c r="I1640" t="s">
        <v>2200</v>
      </c>
    </row>
    <row r="1641" spans="1:9" x14ac:dyDescent="0.3">
      <c r="A1641">
        <v>913</v>
      </c>
      <c r="B1641" t="s">
        <v>24</v>
      </c>
      <c r="C1641" t="s">
        <v>2979</v>
      </c>
      <c r="D1641" s="4">
        <v>130.03</v>
      </c>
      <c r="E1641" t="s">
        <v>2980</v>
      </c>
      <c r="F1641" s="1">
        <v>4.2099999999999999E-2</v>
      </c>
      <c r="G1641" s="1">
        <v>6.3E-3</v>
      </c>
      <c r="H1641" t="s">
        <v>231</v>
      </c>
      <c r="I1641" t="s">
        <v>2981</v>
      </c>
    </row>
    <row r="1642" spans="1:9" x14ac:dyDescent="0.3">
      <c r="A1642">
        <v>1000</v>
      </c>
      <c r="B1642" t="s">
        <v>24</v>
      </c>
      <c r="C1642" t="s">
        <v>3259</v>
      </c>
      <c r="D1642" s="4">
        <v>99.78</v>
      </c>
      <c r="E1642" t="s">
        <v>3260</v>
      </c>
      <c r="F1642" s="1">
        <v>-7.7299999999999994E-2</v>
      </c>
      <c r="G1642" s="1">
        <v>6.0000000000000001E-3</v>
      </c>
      <c r="H1642" t="s">
        <v>231</v>
      </c>
      <c r="I1642" t="s">
        <v>3261</v>
      </c>
    </row>
    <row r="1643" spans="1:9" x14ac:dyDescent="0.3">
      <c r="A1643">
        <v>1201</v>
      </c>
      <c r="B1643" t="s">
        <v>24</v>
      </c>
      <c r="C1643" t="s">
        <v>3909</v>
      </c>
      <c r="D1643" s="4">
        <v>49.64</v>
      </c>
      <c r="E1643" t="s">
        <v>3910</v>
      </c>
      <c r="F1643" s="1">
        <v>1.14E-2</v>
      </c>
      <c r="G1643" s="1">
        <v>2.8999999999999998E-3</v>
      </c>
      <c r="H1643" t="s">
        <v>231</v>
      </c>
      <c r="I1643" t="s">
        <v>3911</v>
      </c>
    </row>
    <row r="1644" spans="1:9" x14ac:dyDescent="0.3">
      <c r="A1644">
        <v>1413</v>
      </c>
      <c r="B1644" t="s">
        <v>839</v>
      </c>
      <c r="C1644" t="s">
        <v>4590</v>
      </c>
      <c r="D1644" s="4">
        <v>24.65</v>
      </c>
      <c r="E1644" t="s">
        <v>4591</v>
      </c>
      <c r="F1644" s="1">
        <v>7.5600000000000001E-2</v>
      </c>
      <c r="G1644" s="1">
        <v>4.0000000000000001E-3</v>
      </c>
      <c r="H1644" t="s">
        <v>231</v>
      </c>
      <c r="I1644" t="s">
        <v>4592</v>
      </c>
    </row>
    <row r="1645" spans="1:9" x14ac:dyDescent="0.3">
      <c r="A1645">
        <v>1522</v>
      </c>
      <c r="B1645" t="s">
        <v>12</v>
      </c>
      <c r="C1645" t="s">
        <v>4932</v>
      </c>
      <c r="D1645" s="4">
        <v>17.11</v>
      </c>
      <c r="E1645" t="s">
        <v>4933</v>
      </c>
      <c r="F1645" s="1">
        <v>5.8400000000000001E-2</v>
      </c>
      <c r="G1645" s="1">
        <v>1.8E-3</v>
      </c>
      <c r="H1645" t="s">
        <v>231</v>
      </c>
      <c r="I1645" t="s">
        <v>4934</v>
      </c>
    </row>
    <row r="1646" spans="1:9" x14ac:dyDescent="0.3">
      <c r="A1646">
        <v>1893</v>
      </c>
      <c r="B1646" t="s">
        <v>6083</v>
      </c>
      <c r="C1646" t="s">
        <v>6084</v>
      </c>
      <c r="D1646" s="4">
        <f>476.1*0.001</f>
        <v>0.47610000000000002</v>
      </c>
      <c r="E1646" t="s">
        <v>6085</v>
      </c>
      <c r="F1646" t="s">
        <v>662</v>
      </c>
      <c r="G1646" s="1">
        <v>7.4999999999999997E-3</v>
      </c>
      <c r="H1646" t="s">
        <v>6086</v>
      </c>
      <c r="I1646" t="s">
        <v>6087</v>
      </c>
    </row>
    <row r="1647" spans="1:9" x14ac:dyDescent="0.3">
      <c r="A1647">
        <v>34</v>
      </c>
      <c r="B1647" t="s">
        <v>7</v>
      </c>
      <c r="C1647" t="s">
        <v>129</v>
      </c>
      <c r="D1647" s="4">
        <f>31.33*1000</f>
        <v>31330</v>
      </c>
      <c r="E1647" t="s">
        <v>130</v>
      </c>
      <c r="F1647" s="1">
        <v>0.1021</v>
      </c>
      <c r="G1647" s="1">
        <v>1.1999999999999999E-3</v>
      </c>
      <c r="H1647" t="s">
        <v>131</v>
      </c>
      <c r="I1647" t="s">
        <v>132</v>
      </c>
    </row>
    <row r="1648" spans="1:9" x14ac:dyDescent="0.3">
      <c r="A1648">
        <v>124</v>
      </c>
      <c r="B1648" t="s">
        <v>16</v>
      </c>
      <c r="C1648" t="s">
        <v>437</v>
      </c>
      <c r="D1648" s="4">
        <f>6.83*1000</f>
        <v>6830</v>
      </c>
      <c r="E1648" t="s">
        <v>438</v>
      </c>
      <c r="F1648" s="1">
        <v>7.6700000000000004E-2</v>
      </c>
      <c r="G1648" s="1">
        <v>1E-3</v>
      </c>
      <c r="H1648" t="s">
        <v>131</v>
      </c>
      <c r="I1648" t="s">
        <v>439</v>
      </c>
    </row>
    <row r="1649" spans="1:9" x14ac:dyDescent="0.3">
      <c r="A1649">
        <v>227</v>
      </c>
      <c r="B1649" t="s">
        <v>12</v>
      </c>
      <c r="C1649" t="s">
        <v>784</v>
      </c>
      <c r="D1649" s="4">
        <f>2.85*1000</f>
        <v>2850</v>
      </c>
      <c r="E1649" t="s">
        <v>785</v>
      </c>
      <c r="F1649" s="1">
        <v>7.2800000000000004E-2</v>
      </c>
      <c r="G1649" s="1">
        <v>4.1999999999999997E-3</v>
      </c>
      <c r="H1649" t="s">
        <v>131</v>
      </c>
      <c r="I1649" t="s">
        <v>786</v>
      </c>
    </row>
    <row r="1650" spans="1:9" x14ac:dyDescent="0.3">
      <c r="A1650">
        <v>361</v>
      </c>
      <c r="B1650" t="s">
        <v>460</v>
      </c>
      <c r="C1650" t="s">
        <v>1190</v>
      </c>
      <c r="D1650" s="4">
        <f>1.16*1000</f>
        <v>1160</v>
      </c>
      <c r="E1650" t="s">
        <v>1191</v>
      </c>
      <c r="F1650" s="1">
        <v>7.7700000000000005E-2</v>
      </c>
      <c r="G1650" s="1">
        <v>8.0000000000000004E-4</v>
      </c>
      <c r="H1650" t="s">
        <v>131</v>
      </c>
      <c r="I1650" t="s">
        <v>1192</v>
      </c>
    </row>
    <row r="1651" spans="1:9" x14ac:dyDescent="0.3">
      <c r="A1651">
        <v>373</v>
      </c>
      <c r="B1651" t="s">
        <v>280</v>
      </c>
      <c r="C1651" t="s">
        <v>1224</v>
      </c>
      <c r="D1651" s="4">
        <f>1.09*1000</f>
        <v>1090</v>
      </c>
      <c r="E1651" t="s">
        <v>1225</v>
      </c>
      <c r="F1651" s="1">
        <v>2.5899999999999999E-2</v>
      </c>
      <c r="G1651" s="1">
        <v>6.0000000000000001E-3</v>
      </c>
      <c r="H1651" t="s">
        <v>131</v>
      </c>
      <c r="I1651" t="s">
        <v>1226</v>
      </c>
    </row>
    <row r="1652" spans="1:9" x14ac:dyDescent="0.3">
      <c r="A1652">
        <v>551</v>
      </c>
      <c r="B1652" t="s">
        <v>280</v>
      </c>
      <c r="C1652" t="s">
        <v>1796</v>
      </c>
      <c r="D1652" s="4">
        <v>498.01</v>
      </c>
      <c r="E1652" t="s">
        <v>1797</v>
      </c>
      <c r="F1652" s="1">
        <v>4.4999999999999997E-3</v>
      </c>
      <c r="G1652" s="1">
        <v>6.4000000000000003E-3</v>
      </c>
      <c r="H1652" t="s">
        <v>131</v>
      </c>
      <c r="I1652" t="s">
        <v>1798</v>
      </c>
    </row>
    <row r="1653" spans="1:9" x14ac:dyDescent="0.3">
      <c r="A1653">
        <v>644</v>
      </c>
      <c r="B1653" t="s">
        <v>24</v>
      </c>
      <c r="C1653" t="s">
        <v>2114</v>
      </c>
      <c r="D1653" s="4">
        <v>350.74</v>
      </c>
      <c r="E1653" t="s">
        <v>2115</v>
      </c>
      <c r="F1653" s="1">
        <v>7.0099999999999996E-2</v>
      </c>
      <c r="G1653" s="1">
        <v>4.0000000000000001E-3</v>
      </c>
      <c r="H1653" t="s">
        <v>131</v>
      </c>
      <c r="I1653" t="s">
        <v>2116</v>
      </c>
    </row>
    <row r="1654" spans="1:9" x14ac:dyDescent="0.3">
      <c r="A1654">
        <v>865</v>
      </c>
      <c r="B1654" t="s">
        <v>24</v>
      </c>
      <c r="C1654" t="s">
        <v>2826</v>
      </c>
      <c r="D1654" s="4">
        <v>148.69999999999999</v>
      </c>
      <c r="E1654" t="s">
        <v>2827</v>
      </c>
      <c r="F1654" s="1">
        <v>-2.52E-2</v>
      </c>
      <c r="G1654" s="1">
        <v>6.0000000000000001E-3</v>
      </c>
      <c r="H1654" t="s">
        <v>131</v>
      </c>
      <c r="I1654" t="s">
        <v>2828</v>
      </c>
    </row>
    <row r="1655" spans="1:9" x14ac:dyDescent="0.3">
      <c r="A1655">
        <v>956</v>
      </c>
      <c r="B1655" t="s">
        <v>24</v>
      </c>
      <c r="C1655" t="s">
        <v>3117</v>
      </c>
      <c r="D1655" s="4">
        <v>117.05</v>
      </c>
      <c r="E1655" t="s">
        <v>3118</v>
      </c>
      <c r="F1655" s="1">
        <v>-0.1134</v>
      </c>
      <c r="G1655" s="1">
        <v>2.8999999999999998E-3</v>
      </c>
      <c r="H1655" t="s">
        <v>131</v>
      </c>
      <c r="I1655" t="s">
        <v>3119</v>
      </c>
    </row>
    <row r="1656" spans="1:9" x14ac:dyDescent="0.3">
      <c r="A1656">
        <v>1382</v>
      </c>
      <c r="B1656" t="s">
        <v>941</v>
      </c>
      <c r="C1656" t="s">
        <v>4492</v>
      </c>
      <c r="D1656" s="4">
        <v>26.93</v>
      </c>
      <c r="E1656" t="s">
        <v>4493</v>
      </c>
      <c r="F1656" s="1">
        <v>-5.0799999999999998E-2</v>
      </c>
      <c r="G1656" s="1">
        <v>7.4999999999999997E-3</v>
      </c>
      <c r="H1656" t="s">
        <v>131</v>
      </c>
      <c r="I1656" t="s">
        <v>4494</v>
      </c>
    </row>
    <row r="1657" spans="1:9" x14ac:dyDescent="0.3">
      <c r="A1657">
        <v>1462</v>
      </c>
      <c r="B1657" t="s">
        <v>839</v>
      </c>
      <c r="C1657" t="s">
        <v>4748</v>
      </c>
      <c r="D1657" s="4">
        <v>21.13</v>
      </c>
      <c r="E1657" t="s">
        <v>4749</v>
      </c>
      <c r="F1657" s="1">
        <v>6.2E-2</v>
      </c>
      <c r="G1657" s="1">
        <v>4.0000000000000001E-3</v>
      </c>
      <c r="H1657" t="s">
        <v>131</v>
      </c>
      <c r="I1657" t="s">
        <v>4750</v>
      </c>
    </row>
    <row r="1658" spans="1:9" x14ac:dyDescent="0.3">
      <c r="A1658">
        <v>248</v>
      </c>
      <c r="B1658" t="s">
        <v>272</v>
      </c>
      <c r="C1658" t="s">
        <v>850</v>
      </c>
      <c r="D1658" s="4">
        <f>2.43*1000</f>
        <v>2430</v>
      </c>
      <c r="E1658" t="s">
        <v>847</v>
      </c>
      <c r="F1658" s="1">
        <v>-2.5999999999999999E-2</v>
      </c>
      <c r="G1658" s="1">
        <v>3.5000000000000001E-3</v>
      </c>
      <c r="H1658" t="s">
        <v>851</v>
      </c>
      <c r="I1658" t="s">
        <v>852</v>
      </c>
    </row>
    <row r="1659" spans="1:9" x14ac:dyDescent="0.3">
      <c r="A1659">
        <v>883</v>
      </c>
      <c r="B1659" t="s">
        <v>7</v>
      </c>
      <c r="C1659" t="s">
        <v>2881</v>
      </c>
      <c r="D1659" s="4">
        <v>141.82</v>
      </c>
      <c r="E1659" t="s">
        <v>2882</v>
      </c>
      <c r="F1659" s="1">
        <v>-8.1500000000000003E-2</v>
      </c>
      <c r="G1659" s="1">
        <v>3.5000000000000001E-3</v>
      </c>
      <c r="H1659" t="s">
        <v>851</v>
      </c>
      <c r="I1659" t="s">
        <v>2883</v>
      </c>
    </row>
    <row r="1660" spans="1:9" x14ac:dyDescent="0.3">
      <c r="A1660">
        <v>1420</v>
      </c>
      <c r="B1660" t="s">
        <v>24</v>
      </c>
      <c r="C1660" t="s">
        <v>4613</v>
      </c>
      <c r="D1660" s="4">
        <v>23.87</v>
      </c>
      <c r="E1660" t="s">
        <v>4614</v>
      </c>
      <c r="F1660" s="1">
        <v>-7.6999999999999999E-2</v>
      </c>
      <c r="G1660" s="1">
        <v>6.3E-3</v>
      </c>
      <c r="H1660" t="s">
        <v>851</v>
      </c>
      <c r="I1660" t="s">
        <v>4615</v>
      </c>
    </row>
    <row r="1661" spans="1:9" x14ac:dyDescent="0.3">
      <c r="A1661">
        <v>23</v>
      </c>
      <c r="B1661" t="s">
        <v>7</v>
      </c>
      <c r="C1661" t="s">
        <v>92</v>
      </c>
      <c r="D1661" s="4">
        <f>45.5*1000</f>
        <v>45500</v>
      </c>
      <c r="E1661" t="s">
        <v>93</v>
      </c>
      <c r="F1661" s="1">
        <v>-4.1799999999999997E-2</v>
      </c>
      <c r="G1661" s="1">
        <v>1.1999999999999999E-3</v>
      </c>
      <c r="H1661" t="s">
        <v>94</v>
      </c>
      <c r="I1661" t="s">
        <v>95</v>
      </c>
    </row>
    <row r="1662" spans="1:9" x14ac:dyDescent="0.3">
      <c r="A1662">
        <v>85</v>
      </c>
      <c r="B1662" t="s">
        <v>16</v>
      </c>
      <c r="C1662" t="s">
        <v>307</v>
      </c>
      <c r="D1662" s="4">
        <f>11.73*1000</f>
        <v>11730</v>
      </c>
      <c r="E1662" t="s">
        <v>308</v>
      </c>
      <c r="F1662" s="1">
        <v>-4.9399999999999999E-2</v>
      </c>
      <c r="G1662" s="1">
        <v>1E-3</v>
      </c>
      <c r="H1662" t="s">
        <v>94</v>
      </c>
      <c r="I1662" t="s">
        <v>309</v>
      </c>
    </row>
    <row r="1663" spans="1:9" x14ac:dyDescent="0.3">
      <c r="A1663">
        <v>201</v>
      </c>
      <c r="B1663" t="s">
        <v>7</v>
      </c>
      <c r="C1663" t="s">
        <v>697</v>
      </c>
      <c r="D1663" s="4">
        <f>3.61*1000</f>
        <v>3610</v>
      </c>
      <c r="E1663" t="s">
        <v>698</v>
      </c>
      <c r="F1663" s="1">
        <v>-1.8499999999999999E-2</v>
      </c>
      <c r="G1663" s="1">
        <v>3.5000000000000001E-3</v>
      </c>
      <c r="H1663" t="s">
        <v>94</v>
      </c>
      <c r="I1663" t="s">
        <v>699</v>
      </c>
    </row>
    <row r="1664" spans="1:9" x14ac:dyDescent="0.3">
      <c r="A1664">
        <v>241</v>
      </c>
      <c r="B1664" t="s">
        <v>12</v>
      </c>
      <c r="C1664" t="s">
        <v>828</v>
      </c>
      <c r="D1664" s="4">
        <f>2.53*1000</f>
        <v>2530</v>
      </c>
      <c r="E1664" t="s">
        <v>829</v>
      </c>
      <c r="F1664" s="1">
        <v>-4.6100000000000002E-2</v>
      </c>
      <c r="G1664" s="1">
        <v>4.1999999999999997E-3</v>
      </c>
      <c r="H1664" t="s">
        <v>94</v>
      </c>
      <c r="I1664" t="s">
        <v>830</v>
      </c>
    </row>
    <row r="1665" spans="1:9" x14ac:dyDescent="0.3">
      <c r="A1665">
        <v>242</v>
      </c>
      <c r="B1665" t="s">
        <v>12</v>
      </c>
      <c r="C1665" t="s">
        <v>831</v>
      </c>
      <c r="D1665" s="4">
        <f>2.51*1000</f>
        <v>2510</v>
      </c>
      <c r="E1665" t="s">
        <v>832</v>
      </c>
      <c r="F1665" s="1">
        <v>-6.9000000000000006E-2</v>
      </c>
      <c r="G1665" s="1">
        <v>4.1999999999999997E-3</v>
      </c>
      <c r="H1665" t="s">
        <v>94</v>
      </c>
      <c r="I1665" t="s">
        <v>833</v>
      </c>
    </row>
    <row r="1666" spans="1:9" x14ac:dyDescent="0.3">
      <c r="A1666">
        <v>277</v>
      </c>
      <c r="B1666" t="s">
        <v>460</v>
      </c>
      <c r="C1666" t="s">
        <v>944</v>
      </c>
      <c r="D1666" s="4">
        <f>1.89*1000</f>
        <v>1890</v>
      </c>
      <c r="E1666" t="s">
        <v>945</v>
      </c>
      <c r="F1666" s="1">
        <v>-5.0099999999999999E-2</v>
      </c>
      <c r="G1666" s="1">
        <v>8.0000000000000004E-4</v>
      </c>
      <c r="H1666" t="s">
        <v>94</v>
      </c>
      <c r="I1666" t="s">
        <v>946</v>
      </c>
    </row>
    <row r="1667" spans="1:9" x14ac:dyDescent="0.3">
      <c r="A1667">
        <v>316</v>
      </c>
      <c r="B1667" t="s">
        <v>280</v>
      </c>
      <c r="C1667" t="s">
        <v>1062</v>
      </c>
      <c r="D1667" s="4">
        <f>1.49*1000</f>
        <v>1490</v>
      </c>
      <c r="E1667" t="s">
        <v>1063</v>
      </c>
      <c r="F1667" s="1">
        <v>-5.2900000000000003E-2</v>
      </c>
      <c r="G1667" s="1">
        <v>6.1999999999999998E-3</v>
      </c>
      <c r="H1667" t="s">
        <v>94</v>
      </c>
      <c r="I1667" t="s">
        <v>1064</v>
      </c>
    </row>
    <row r="1668" spans="1:9" x14ac:dyDescent="0.3">
      <c r="A1668">
        <v>544</v>
      </c>
      <c r="B1668" t="s">
        <v>24</v>
      </c>
      <c r="C1668" t="s">
        <v>1773</v>
      </c>
      <c r="D1668" s="4">
        <v>514.91</v>
      </c>
      <c r="E1668" t="s">
        <v>1774</v>
      </c>
      <c r="F1668" s="1">
        <v>-4.1500000000000002E-2</v>
      </c>
      <c r="G1668" s="1">
        <v>4.0000000000000001E-3</v>
      </c>
      <c r="H1668" t="s">
        <v>94</v>
      </c>
      <c r="I1668" t="s">
        <v>1775</v>
      </c>
    </row>
    <row r="1669" spans="1:9" x14ac:dyDescent="0.3">
      <c r="A1669">
        <v>559</v>
      </c>
      <c r="B1669" t="s">
        <v>24</v>
      </c>
      <c r="C1669" t="s">
        <v>1822</v>
      </c>
      <c r="D1669" s="4">
        <v>483.53</v>
      </c>
      <c r="E1669" t="s">
        <v>1823</v>
      </c>
      <c r="F1669" s="1">
        <v>-5.6800000000000003E-2</v>
      </c>
      <c r="G1669" s="1">
        <v>1.24E-2</v>
      </c>
      <c r="H1669" t="s">
        <v>94</v>
      </c>
      <c r="I1669" t="s">
        <v>1824</v>
      </c>
    </row>
    <row r="1670" spans="1:9" x14ac:dyDescent="0.3">
      <c r="A1670">
        <v>1004</v>
      </c>
      <c r="B1670" t="s">
        <v>24</v>
      </c>
      <c r="C1670" t="s">
        <v>3271</v>
      </c>
      <c r="D1670" s="4">
        <v>98.16</v>
      </c>
      <c r="E1670" t="s">
        <v>3272</v>
      </c>
      <c r="F1670" s="1">
        <v>-0.14749999999999999</v>
      </c>
      <c r="G1670" s="1">
        <v>6.0000000000000001E-3</v>
      </c>
      <c r="H1670" t="s">
        <v>94</v>
      </c>
      <c r="I1670" t="s">
        <v>3273</v>
      </c>
    </row>
    <row r="1671" spans="1:9" x14ac:dyDescent="0.3">
      <c r="A1671">
        <v>1218</v>
      </c>
      <c r="B1671" t="s">
        <v>24</v>
      </c>
      <c r="C1671" t="s">
        <v>3961</v>
      </c>
      <c r="D1671" s="4">
        <v>47.46</v>
      </c>
      <c r="E1671" t="s">
        <v>3962</v>
      </c>
      <c r="F1671" s="1">
        <v>-4.0599999999999997E-2</v>
      </c>
      <c r="G1671" s="1">
        <v>2.8999999999999998E-3</v>
      </c>
      <c r="H1671" t="s">
        <v>94</v>
      </c>
      <c r="I1671" t="s">
        <v>3963</v>
      </c>
    </row>
    <row r="1672" spans="1:9" x14ac:dyDescent="0.3">
      <c r="A1672">
        <v>1361</v>
      </c>
      <c r="B1672" t="s">
        <v>839</v>
      </c>
      <c r="C1672" t="s">
        <v>4429</v>
      </c>
      <c r="D1672" s="4">
        <v>28.98</v>
      </c>
      <c r="E1672" t="s">
        <v>4427</v>
      </c>
      <c r="F1672" s="1">
        <v>-6.1600000000000002E-2</v>
      </c>
      <c r="G1672" s="1">
        <v>4.0000000000000001E-3</v>
      </c>
      <c r="H1672" t="s">
        <v>94</v>
      </c>
      <c r="I1672" t="s">
        <v>4430</v>
      </c>
    </row>
    <row r="1673" spans="1:9" x14ac:dyDescent="0.3">
      <c r="A1673">
        <v>1637</v>
      </c>
      <c r="B1673" t="s">
        <v>12</v>
      </c>
      <c r="C1673" t="s">
        <v>5293</v>
      </c>
      <c r="D1673" s="4">
        <v>9.82</v>
      </c>
      <c r="E1673" t="s">
        <v>5294</v>
      </c>
      <c r="F1673" s="1">
        <v>-3.2300000000000002E-2</v>
      </c>
      <c r="G1673" s="1">
        <v>1.8E-3</v>
      </c>
      <c r="H1673" t="s">
        <v>94</v>
      </c>
      <c r="I1673" t="s">
        <v>5295</v>
      </c>
    </row>
    <row r="1674" spans="1:9" x14ac:dyDescent="0.3">
      <c r="A1674">
        <v>1674</v>
      </c>
      <c r="B1674" t="s">
        <v>280</v>
      </c>
      <c r="C1674" t="s">
        <v>5409</v>
      </c>
      <c r="D1674" s="4">
        <v>7.87</v>
      </c>
      <c r="E1674" t="s">
        <v>5410</v>
      </c>
      <c r="F1674" s="1">
        <v>6.0499999999999998E-2</v>
      </c>
      <c r="G1674" s="1">
        <v>6.0000000000000001E-3</v>
      </c>
      <c r="H1674" t="s">
        <v>5411</v>
      </c>
      <c r="I1674" t="s">
        <v>5412</v>
      </c>
    </row>
    <row r="1675" spans="1:9" x14ac:dyDescent="0.3">
      <c r="A1675">
        <v>29</v>
      </c>
      <c r="B1675" t="s">
        <v>7</v>
      </c>
      <c r="C1675" t="s">
        <v>112</v>
      </c>
      <c r="D1675" s="4">
        <f>33.96*1000</f>
        <v>33960</v>
      </c>
      <c r="E1675" t="s">
        <v>113</v>
      </c>
      <c r="F1675" s="1">
        <v>-8.8999999999999999E-3</v>
      </c>
      <c r="G1675" s="1">
        <v>1.1999999999999999E-3</v>
      </c>
      <c r="H1675" t="s">
        <v>114</v>
      </c>
      <c r="I1675" t="s">
        <v>115</v>
      </c>
    </row>
    <row r="1676" spans="1:9" x14ac:dyDescent="0.3">
      <c r="A1676">
        <v>57</v>
      </c>
      <c r="B1676" t="s">
        <v>16</v>
      </c>
      <c r="C1676" t="s">
        <v>205</v>
      </c>
      <c r="D1676" s="4">
        <f>15.91*1000</f>
        <v>15910</v>
      </c>
      <c r="E1676" t="s">
        <v>206</v>
      </c>
      <c r="F1676" s="1">
        <v>-4.7300000000000002E-2</v>
      </c>
      <c r="G1676" s="1">
        <v>1E-3</v>
      </c>
      <c r="H1676" t="s">
        <v>114</v>
      </c>
      <c r="I1676" t="s">
        <v>207</v>
      </c>
    </row>
    <row r="1677" spans="1:9" x14ac:dyDescent="0.3">
      <c r="A1677">
        <v>224</v>
      </c>
      <c r="B1677" t="s">
        <v>12</v>
      </c>
      <c r="C1677" t="s">
        <v>774</v>
      </c>
      <c r="D1677" s="4">
        <f>2.95*1000</f>
        <v>2950</v>
      </c>
      <c r="E1677" t="s">
        <v>775</v>
      </c>
      <c r="F1677" s="1">
        <v>-3.6999999999999998E-2</v>
      </c>
      <c r="G1677" s="1">
        <v>4.3E-3</v>
      </c>
      <c r="H1677" t="s">
        <v>114</v>
      </c>
      <c r="I1677" t="s">
        <v>776</v>
      </c>
    </row>
    <row r="1678" spans="1:9" x14ac:dyDescent="0.3">
      <c r="A1678">
        <v>229</v>
      </c>
      <c r="B1678" t="s">
        <v>460</v>
      </c>
      <c r="C1678" t="s">
        <v>791</v>
      </c>
      <c r="D1678" s="4">
        <f>2.77*1000</f>
        <v>2770</v>
      </c>
      <c r="E1678" t="s">
        <v>792</v>
      </c>
      <c r="F1678" s="1">
        <v>-4.8899999999999999E-2</v>
      </c>
      <c r="G1678" s="1">
        <v>8.0000000000000004E-4</v>
      </c>
      <c r="H1678" t="s">
        <v>114</v>
      </c>
      <c r="I1678" t="s">
        <v>793</v>
      </c>
    </row>
    <row r="1679" spans="1:9" x14ac:dyDescent="0.3">
      <c r="A1679">
        <v>321</v>
      </c>
      <c r="B1679" t="s">
        <v>280</v>
      </c>
      <c r="C1679" t="s">
        <v>1075</v>
      </c>
      <c r="D1679" s="4">
        <f>1.43*1000</f>
        <v>1430</v>
      </c>
      <c r="E1679" t="s">
        <v>1076</v>
      </c>
      <c r="F1679" s="1">
        <v>-8.7300000000000003E-2</v>
      </c>
      <c r="G1679" s="1">
        <v>6.1000000000000004E-3</v>
      </c>
      <c r="H1679" t="s">
        <v>114</v>
      </c>
      <c r="I1679" t="s">
        <v>1077</v>
      </c>
    </row>
    <row r="1680" spans="1:9" x14ac:dyDescent="0.3">
      <c r="A1680">
        <v>409</v>
      </c>
      <c r="B1680" t="s">
        <v>24</v>
      </c>
      <c r="C1680" t="s">
        <v>1334</v>
      </c>
      <c r="D1680" s="4">
        <v>927.53</v>
      </c>
      <c r="E1680" t="s">
        <v>1335</v>
      </c>
      <c r="F1680" s="1">
        <v>-3.9199999999999999E-2</v>
      </c>
      <c r="G1680" s="1">
        <v>4.0000000000000001E-3</v>
      </c>
      <c r="H1680" t="s">
        <v>114</v>
      </c>
      <c r="I1680" t="s">
        <v>1336</v>
      </c>
    </row>
    <row r="1681" spans="1:9" x14ac:dyDescent="0.3">
      <c r="A1681">
        <v>605</v>
      </c>
      <c r="B1681" t="s">
        <v>24</v>
      </c>
      <c r="C1681" t="s">
        <v>1981</v>
      </c>
      <c r="D1681" s="4">
        <v>405.44</v>
      </c>
      <c r="E1681" t="s">
        <v>1982</v>
      </c>
      <c r="F1681" s="1">
        <v>-0.1462</v>
      </c>
      <c r="G1681" s="1">
        <v>2.8999999999999998E-3</v>
      </c>
      <c r="H1681" t="s">
        <v>114</v>
      </c>
      <c r="I1681" t="s">
        <v>1983</v>
      </c>
    </row>
    <row r="1682" spans="1:9" x14ac:dyDescent="0.3">
      <c r="A1682">
        <v>665</v>
      </c>
      <c r="B1682" t="s">
        <v>24</v>
      </c>
      <c r="C1682" t="s">
        <v>2181</v>
      </c>
      <c r="D1682" s="4">
        <v>323.33999999999997</v>
      </c>
      <c r="E1682" t="s">
        <v>2182</v>
      </c>
      <c r="F1682" s="1">
        <v>-0.215</v>
      </c>
      <c r="G1682" s="1">
        <v>6.0000000000000001E-3</v>
      </c>
      <c r="H1682" t="s">
        <v>114</v>
      </c>
      <c r="I1682" t="s">
        <v>2183</v>
      </c>
    </row>
    <row r="1683" spans="1:9" x14ac:dyDescent="0.3">
      <c r="A1683">
        <v>1105</v>
      </c>
      <c r="B1683" t="s">
        <v>1025</v>
      </c>
      <c r="C1683" t="s">
        <v>3599</v>
      </c>
      <c r="D1683" s="4">
        <v>72.3</v>
      </c>
      <c r="E1683" t="s">
        <v>3600</v>
      </c>
      <c r="F1683" s="1">
        <v>-0.29420000000000002</v>
      </c>
      <c r="G1683" s="1">
        <v>4.1999999999999997E-3</v>
      </c>
      <c r="H1683" t="s">
        <v>114</v>
      </c>
      <c r="I1683" t="s">
        <v>3601</v>
      </c>
    </row>
    <row r="1684" spans="1:9" x14ac:dyDescent="0.3">
      <c r="A1684">
        <v>1243</v>
      </c>
      <c r="B1684" t="s">
        <v>839</v>
      </c>
      <c r="C1684" t="s">
        <v>4040</v>
      </c>
      <c r="D1684" s="4">
        <v>43.22</v>
      </c>
      <c r="E1684" t="s">
        <v>4041</v>
      </c>
      <c r="F1684" s="1">
        <v>-4.5499999999999999E-2</v>
      </c>
      <c r="G1684" s="1">
        <v>4.0000000000000001E-3</v>
      </c>
      <c r="H1684" t="s">
        <v>114</v>
      </c>
      <c r="I1684" t="s">
        <v>4042</v>
      </c>
    </row>
    <row r="1685" spans="1:9" x14ac:dyDescent="0.3">
      <c r="A1685">
        <v>1264</v>
      </c>
      <c r="B1685" t="s">
        <v>1842</v>
      </c>
      <c r="C1685" t="s">
        <v>4106</v>
      </c>
      <c r="D1685" s="4">
        <v>40.5</v>
      </c>
      <c r="E1685" t="s">
        <v>4107</v>
      </c>
      <c r="F1685" s="1">
        <v>-3.49E-2</v>
      </c>
      <c r="G1685" s="1">
        <v>5.0000000000000001E-3</v>
      </c>
      <c r="H1685" t="s">
        <v>114</v>
      </c>
      <c r="I1685" t="s">
        <v>4108</v>
      </c>
    </row>
    <row r="1686" spans="1:9" x14ac:dyDescent="0.3">
      <c r="A1686">
        <v>1276</v>
      </c>
      <c r="B1686" t="s">
        <v>12</v>
      </c>
      <c r="C1686" t="s">
        <v>4148</v>
      </c>
      <c r="D1686" s="4">
        <v>38.57</v>
      </c>
      <c r="E1686" t="s">
        <v>4149</v>
      </c>
      <c r="F1686" s="1">
        <v>-6.4299999999999996E-2</v>
      </c>
      <c r="G1686" s="1">
        <v>1.8E-3</v>
      </c>
      <c r="H1686" t="s">
        <v>114</v>
      </c>
      <c r="I1686" t="s">
        <v>4150</v>
      </c>
    </row>
    <row r="1687" spans="1:9" x14ac:dyDescent="0.3">
      <c r="A1687">
        <v>105</v>
      </c>
      <c r="B1687" t="s">
        <v>12</v>
      </c>
      <c r="C1687" t="s">
        <v>372</v>
      </c>
      <c r="D1687" s="4">
        <f>8.1*1000</f>
        <v>8100</v>
      </c>
      <c r="E1687" t="s">
        <v>373</v>
      </c>
      <c r="F1687" s="1">
        <v>-8.5599999999999996E-2</v>
      </c>
      <c r="G1687" s="1">
        <v>4.1000000000000003E-3</v>
      </c>
      <c r="H1687" t="s">
        <v>374</v>
      </c>
      <c r="I1687" t="s">
        <v>375</v>
      </c>
    </row>
    <row r="1688" spans="1:9" x14ac:dyDescent="0.3">
      <c r="A1688">
        <v>1270</v>
      </c>
      <c r="B1688" t="s">
        <v>12</v>
      </c>
      <c r="C1688" t="s">
        <v>4124</v>
      </c>
      <c r="D1688" s="4">
        <v>39.39</v>
      </c>
      <c r="E1688" t="s">
        <v>4125</v>
      </c>
      <c r="F1688" s="1">
        <v>-4.5999999999999999E-2</v>
      </c>
      <c r="G1688" s="1">
        <v>1.8E-3</v>
      </c>
      <c r="H1688" t="s">
        <v>4126</v>
      </c>
      <c r="I1688" t="s">
        <v>4127</v>
      </c>
    </row>
    <row r="1689" spans="1:9" x14ac:dyDescent="0.3">
      <c r="A1689">
        <v>530</v>
      </c>
      <c r="B1689" t="s">
        <v>7</v>
      </c>
      <c r="C1689" t="s">
        <v>1726</v>
      </c>
      <c r="D1689" s="4">
        <v>543.66</v>
      </c>
      <c r="E1689" t="s">
        <v>1727</v>
      </c>
      <c r="F1689" s="1">
        <v>-0.1784</v>
      </c>
      <c r="G1689" s="1">
        <v>3.5000000000000001E-3</v>
      </c>
      <c r="H1689" t="s">
        <v>1728</v>
      </c>
      <c r="I1689" t="s">
        <v>1729</v>
      </c>
    </row>
    <row r="1690" spans="1:9" x14ac:dyDescent="0.3">
      <c r="A1690">
        <v>350</v>
      </c>
      <c r="B1690" t="s">
        <v>12</v>
      </c>
      <c r="C1690" t="s">
        <v>1160</v>
      </c>
      <c r="D1690" s="4">
        <f>1.21*1000</f>
        <v>1210</v>
      </c>
      <c r="E1690" t="s">
        <v>1152</v>
      </c>
      <c r="F1690" s="1">
        <v>-3.9800000000000002E-2</v>
      </c>
      <c r="G1690" s="1">
        <v>4.1999999999999997E-3</v>
      </c>
      <c r="H1690" t="s">
        <v>1161</v>
      </c>
      <c r="I1690" t="s">
        <v>1162</v>
      </c>
    </row>
    <row r="1691" spans="1:9" x14ac:dyDescent="0.3">
      <c r="A1691">
        <v>975</v>
      </c>
      <c r="B1691" t="s">
        <v>7</v>
      </c>
      <c r="C1691" t="s">
        <v>3177</v>
      </c>
      <c r="D1691" s="4">
        <v>109.98</v>
      </c>
      <c r="E1691" t="s">
        <v>3178</v>
      </c>
      <c r="F1691" s="1">
        <v>-0.15440000000000001</v>
      </c>
      <c r="G1691" s="1">
        <v>3.5000000000000001E-3</v>
      </c>
      <c r="H1691" t="s">
        <v>1161</v>
      </c>
      <c r="I1691" t="s">
        <v>3179</v>
      </c>
    </row>
    <row r="1692" spans="1:9" x14ac:dyDescent="0.3">
      <c r="A1692">
        <v>1651</v>
      </c>
      <c r="B1692" t="s">
        <v>1289</v>
      </c>
      <c r="C1692" t="s">
        <v>5336</v>
      </c>
      <c r="D1692" s="4">
        <v>9.09</v>
      </c>
      <c r="E1692" t="s">
        <v>5337</v>
      </c>
      <c r="F1692" s="1">
        <v>-9.9199999999999997E-2</v>
      </c>
      <c r="G1692" s="1">
        <v>9.9000000000000008E-3</v>
      </c>
      <c r="H1692" t="s">
        <v>5338</v>
      </c>
      <c r="I1692" t="s">
        <v>5339</v>
      </c>
    </row>
    <row r="1693" spans="1:9" x14ac:dyDescent="0.3">
      <c r="A1693">
        <v>1762</v>
      </c>
      <c r="B1693" t="s">
        <v>588</v>
      </c>
      <c r="C1693" t="s">
        <v>5674</v>
      </c>
      <c r="D1693" s="4">
        <v>4.95</v>
      </c>
      <c r="E1693" t="s">
        <v>5675</v>
      </c>
      <c r="F1693" s="1">
        <v>-0.19259999999999999</v>
      </c>
      <c r="G1693" s="1">
        <v>1.0699999999999999E-2</v>
      </c>
      <c r="H1693" t="s">
        <v>5338</v>
      </c>
      <c r="I1693" t="s">
        <v>5676</v>
      </c>
    </row>
    <row r="1694" spans="1:9" x14ac:dyDescent="0.3">
      <c r="A1694">
        <v>353</v>
      </c>
      <c r="B1694" t="s">
        <v>24</v>
      </c>
      <c r="C1694" t="s">
        <v>1168</v>
      </c>
      <c r="D1694" s="4">
        <f>1.2*1000</f>
        <v>1200</v>
      </c>
      <c r="E1694" t="s">
        <v>1164</v>
      </c>
      <c r="F1694" s="1">
        <v>-0.1234</v>
      </c>
      <c r="G1694" s="1">
        <v>5.4999999999999997E-3</v>
      </c>
      <c r="H1694" t="s">
        <v>1169</v>
      </c>
      <c r="I1694" t="s">
        <v>1170</v>
      </c>
    </row>
    <row r="1695" spans="1:9" x14ac:dyDescent="0.3">
      <c r="A1695">
        <v>235</v>
      </c>
      <c r="B1695" t="s">
        <v>12</v>
      </c>
      <c r="C1695" t="s">
        <v>809</v>
      </c>
      <c r="D1695" s="4">
        <f>2.68*1000</f>
        <v>2680</v>
      </c>
      <c r="E1695" t="s">
        <v>810</v>
      </c>
      <c r="F1695" s="1">
        <v>-2.8899999999999999E-2</v>
      </c>
      <c r="G1695" s="1">
        <v>4.1000000000000003E-3</v>
      </c>
      <c r="H1695" t="s">
        <v>811</v>
      </c>
      <c r="I1695" t="s">
        <v>812</v>
      </c>
    </row>
    <row r="1696" spans="1:9" x14ac:dyDescent="0.3">
      <c r="A1696">
        <v>264</v>
      </c>
      <c r="B1696" t="s">
        <v>7</v>
      </c>
      <c r="C1696" t="s">
        <v>902</v>
      </c>
      <c r="D1696" s="4">
        <f>2.12*1000</f>
        <v>2120</v>
      </c>
      <c r="E1696" t="s">
        <v>903</v>
      </c>
      <c r="F1696" s="1">
        <v>-5.1700000000000003E-2</v>
      </c>
      <c r="G1696" s="1">
        <v>3.5000000000000001E-3</v>
      </c>
      <c r="H1696" t="s">
        <v>811</v>
      </c>
      <c r="I1696" t="s">
        <v>904</v>
      </c>
    </row>
    <row r="1697" spans="1:9" x14ac:dyDescent="0.3">
      <c r="A1697">
        <v>1086</v>
      </c>
      <c r="B1697" t="s">
        <v>3537</v>
      </c>
      <c r="C1697" t="s">
        <v>3538</v>
      </c>
      <c r="D1697" s="4">
        <v>76.86</v>
      </c>
      <c r="E1697" t="s">
        <v>3539</v>
      </c>
      <c r="F1697" s="1">
        <v>-3.9699999999999999E-2</v>
      </c>
      <c r="G1697" s="1">
        <v>3.0000000000000001E-3</v>
      </c>
      <c r="H1697" t="s">
        <v>811</v>
      </c>
      <c r="I1697" t="s">
        <v>3540</v>
      </c>
    </row>
    <row r="1698" spans="1:9" x14ac:dyDescent="0.3">
      <c r="A1698">
        <v>587</v>
      </c>
      <c r="B1698" t="s">
        <v>941</v>
      </c>
      <c r="C1698" t="s">
        <v>1917</v>
      </c>
      <c r="D1698" s="4">
        <v>432.13</v>
      </c>
      <c r="E1698" t="s">
        <v>1918</v>
      </c>
      <c r="F1698" s="1">
        <v>1.8200000000000001E-2</v>
      </c>
      <c r="G1698" s="1">
        <v>6.0000000000000001E-3</v>
      </c>
      <c r="H1698" t="s">
        <v>1919</v>
      </c>
      <c r="I1698" t="s">
        <v>1920</v>
      </c>
    </row>
    <row r="1699" spans="1:9" x14ac:dyDescent="0.3">
      <c r="A1699">
        <v>1907</v>
      </c>
      <c r="B1699" t="s">
        <v>6113</v>
      </c>
      <c r="C1699" t="s">
        <v>6125</v>
      </c>
      <c r="D1699" s="4" t="s">
        <v>662</v>
      </c>
      <c r="E1699" t="s">
        <v>662</v>
      </c>
      <c r="F1699" s="1">
        <v>-0.13930000000000001</v>
      </c>
      <c r="G1699" s="1">
        <v>5.7999999999999996E-3</v>
      </c>
      <c r="H1699" t="s">
        <v>199</v>
      </c>
      <c r="I1699" t="s">
        <v>6126</v>
      </c>
    </row>
    <row r="1700" spans="1:9" x14ac:dyDescent="0.3">
      <c r="A1700">
        <v>55</v>
      </c>
      <c r="B1700" t="s">
        <v>7</v>
      </c>
      <c r="C1700" t="s">
        <v>197</v>
      </c>
      <c r="D1700" s="4">
        <f>17.08*1000</f>
        <v>17080</v>
      </c>
      <c r="E1700" t="s">
        <v>198</v>
      </c>
      <c r="F1700" s="1">
        <v>-2.7199999999999998E-2</v>
      </c>
      <c r="G1700" s="1">
        <v>1.1999999999999999E-3</v>
      </c>
      <c r="H1700" t="s">
        <v>199</v>
      </c>
      <c r="I1700" t="s">
        <v>200</v>
      </c>
    </row>
    <row r="1701" spans="1:9" x14ac:dyDescent="0.3">
      <c r="A1701">
        <v>166</v>
      </c>
      <c r="B1701" t="s">
        <v>16</v>
      </c>
      <c r="C1701" t="s">
        <v>582</v>
      </c>
      <c r="D1701" s="4">
        <f>4.89*1000</f>
        <v>4890</v>
      </c>
      <c r="E1701" t="s">
        <v>583</v>
      </c>
      <c r="F1701" s="1">
        <v>-4.4499999999999998E-2</v>
      </c>
      <c r="G1701" s="1">
        <v>1E-3</v>
      </c>
      <c r="H1701" t="s">
        <v>199</v>
      </c>
      <c r="I1701" t="s">
        <v>584</v>
      </c>
    </row>
    <row r="1702" spans="1:9" x14ac:dyDescent="0.3">
      <c r="A1702">
        <v>284</v>
      </c>
      <c r="B1702" t="s">
        <v>280</v>
      </c>
      <c r="C1702" t="s">
        <v>968</v>
      </c>
      <c r="D1702" s="4">
        <f>1.79*1000</f>
        <v>1790</v>
      </c>
      <c r="E1702" t="s">
        <v>966</v>
      </c>
      <c r="F1702" s="1">
        <v>-5.04E-2</v>
      </c>
      <c r="G1702" s="1">
        <v>6.4000000000000003E-3</v>
      </c>
      <c r="H1702" t="s">
        <v>199</v>
      </c>
      <c r="I1702" t="s">
        <v>969</v>
      </c>
    </row>
    <row r="1703" spans="1:9" x14ac:dyDescent="0.3">
      <c r="A1703">
        <v>300</v>
      </c>
      <c r="B1703" t="s">
        <v>12</v>
      </c>
      <c r="C1703" t="s">
        <v>1017</v>
      </c>
      <c r="D1703" s="4">
        <f>1.62*1000</f>
        <v>1620</v>
      </c>
      <c r="E1703" t="s">
        <v>1018</v>
      </c>
      <c r="F1703" s="1">
        <v>-6.4799999999999996E-2</v>
      </c>
      <c r="G1703" s="1">
        <v>4.1999999999999997E-3</v>
      </c>
      <c r="H1703" t="s">
        <v>199</v>
      </c>
      <c r="I1703" t="s">
        <v>1019</v>
      </c>
    </row>
    <row r="1704" spans="1:9" x14ac:dyDescent="0.3">
      <c r="A1704">
        <v>427</v>
      </c>
      <c r="B1704" t="s">
        <v>460</v>
      </c>
      <c r="C1704" t="s">
        <v>1395</v>
      </c>
      <c r="D1704" s="4">
        <v>863.95</v>
      </c>
      <c r="E1704" t="s">
        <v>1396</v>
      </c>
      <c r="F1704" s="1">
        <v>-4.4400000000000002E-2</v>
      </c>
      <c r="G1704" s="1">
        <v>8.0000000000000004E-4</v>
      </c>
      <c r="H1704" t="s">
        <v>199</v>
      </c>
      <c r="I1704" t="s">
        <v>1397</v>
      </c>
    </row>
    <row r="1705" spans="1:9" x14ac:dyDescent="0.3">
      <c r="A1705">
        <v>561</v>
      </c>
      <c r="B1705" t="s">
        <v>24</v>
      </c>
      <c r="C1705" t="s">
        <v>1828</v>
      </c>
      <c r="D1705" s="4">
        <v>479.75</v>
      </c>
      <c r="E1705" t="s">
        <v>1829</v>
      </c>
      <c r="F1705" s="1">
        <v>-3.9399999999999998E-2</v>
      </c>
      <c r="G1705" s="1">
        <v>4.0000000000000001E-3</v>
      </c>
      <c r="H1705" t="s">
        <v>199</v>
      </c>
      <c r="I1705" t="s">
        <v>1830</v>
      </c>
    </row>
    <row r="1706" spans="1:9" x14ac:dyDescent="0.3">
      <c r="A1706">
        <v>733</v>
      </c>
      <c r="B1706" t="s">
        <v>280</v>
      </c>
      <c r="C1706" t="s">
        <v>2402</v>
      </c>
      <c r="D1706" s="4">
        <v>236.3</v>
      </c>
      <c r="E1706" t="s">
        <v>2403</v>
      </c>
      <c r="F1706" s="1">
        <v>-5.1900000000000002E-2</v>
      </c>
      <c r="G1706" s="1">
        <v>7.0000000000000001E-3</v>
      </c>
      <c r="H1706" t="s">
        <v>199</v>
      </c>
      <c r="I1706" t="s">
        <v>2404</v>
      </c>
    </row>
    <row r="1707" spans="1:9" x14ac:dyDescent="0.3">
      <c r="A1707">
        <v>742</v>
      </c>
      <c r="B1707" t="s">
        <v>24</v>
      </c>
      <c r="C1707" t="s">
        <v>2433</v>
      </c>
      <c r="D1707" s="4">
        <v>228.89</v>
      </c>
      <c r="E1707" t="s">
        <v>2434</v>
      </c>
      <c r="F1707" s="1">
        <v>-7.3499999999999996E-2</v>
      </c>
      <c r="G1707" s="1">
        <v>6.0000000000000001E-3</v>
      </c>
      <c r="H1707" t="s">
        <v>199</v>
      </c>
      <c r="I1707" t="s">
        <v>2435</v>
      </c>
    </row>
    <row r="1708" spans="1:9" x14ac:dyDescent="0.3">
      <c r="A1708">
        <v>976</v>
      </c>
      <c r="B1708" t="s">
        <v>24</v>
      </c>
      <c r="C1708" t="s">
        <v>3180</v>
      </c>
      <c r="D1708" s="4">
        <v>109.68</v>
      </c>
      <c r="E1708" t="s">
        <v>3181</v>
      </c>
      <c r="F1708" s="1">
        <v>-4.6699999999999998E-2</v>
      </c>
      <c r="G1708" s="1">
        <v>2.8999999999999998E-3</v>
      </c>
      <c r="H1708" t="s">
        <v>199</v>
      </c>
      <c r="I1708" t="s">
        <v>3182</v>
      </c>
    </row>
    <row r="1709" spans="1:9" x14ac:dyDescent="0.3">
      <c r="A1709">
        <v>1516</v>
      </c>
      <c r="B1709" t="s">
        <v>839</v>
      </c>
      <c r="C1709" t="s">
        <v>4914</v>
      </c>
      <c r="D1709" s="4">
        <v>17.54</v>
      </c>
      <c r="E1709" t="s">
        <v>4915</v>
      </c>
      <c r="F1709" s="1">
        <v>-3.85E-2</v>
      </c>
      <c r="G1709" s="1">
        <v>4.0000000000000001E-3</v>
      </c>
      <c r="H1709" t="s">
        <v>199</v>
      </c>
      <c r="I1709" t="s">
        <v>4916</v>
      </c>
    </row>
    <row r="1710" spans="1:9" x14ac:dyDescent="0.3">
      <c r="A1710">
        <v>1930</v>
      </c>
      <c r="B1710" t="s">
        <v>6113</v>
      </c>
      <c r="C1710" t="s">
        <v>6171</v>
      </c>
      <c r="D1710" s="4" t="s">
        <v>662</v>
      </c>
      <c r="E1710" t="s">
        <v>662</v>
      </c>
      <c r="F1710" s="1">
        <v>-2.7900000000000001E-2</v>
      </c>
      <c r="G1710" s="1">
        <v>4.5999999999999999E-3</v>
      </c>
      <c r="H1710" t="s">
        <v>83</v>
      </c>
      <c r="I1710" t="s">
        <v>6172</v>
      </c>
    </row>
    <row r="1711" spans="1:9" x14ac:dyDescent="0.3">
      <c r="A1711">
        <v>20</v>
      </c>
      <c r="B1711" t="s">
        <v>16</v>
      </c>
      <c r="C1711" t="s">
        <v>81</v>
      </c>
      <c r="D1711" s="4">
        <f>49.2*1000</f>
        <v>49200</v>
      </c>
      <c r="E1711" t="s">
        <v>82</v>
      </c>
      <c r="F1711" s="1">
        <v>-5.9499999999999997E-2</v>
      </c>
      <c r="G1711" s="1">
        <v>1E-3</v>
      </c>
      <c r="H1711" t="s">
        <v>83</v>
      </c>
      <c r="I1711" t="s">
        <v>84</v>
      </c>
    </row>
    <row r="1712" spans="1:9" x14ac:dyDescent="0.3">
      <c r="A1712">
        <v>22</v>
      </c>
      <c r="B1712" t="s">
        <v>7</v>
      </c>
      <c r="C1712" t="s">
        <v>89</v>
      </c>
      <c r="D1712" s="4">
        <f>45.86*1000</f>
        <v>45860</v>
      </c>
      <c r="E1712" t="s">
        <v>90</v>
      </c>
      <c r="F1712" s="1">
        <v>-2.7300000000000001E-2</v>
      </c>
      <c r="G1712" s="1">
        <v>1.1999999999999999E-3</v>
      </c>
      <c r="H1712" t="s">
        <v>83</v>
      </c>
      <c r="I1712" t="s">
        <v>91</v>
      </c>
    </row>
    <row r="1713" spans="1:9" x14ac:dyDescent="0.3">
      <c r="A1713">
        <v>101</v>
      </c>
      <c r="B1713" t="s">
        <v>12</v>
      </c>
      <c r="C1713" t="s">
        <v>360</v>
      </c>
      <c r="D1713" s="4">
        <f>8.48*1000</f>
        <v>8480</v>
      </c>
      <c r="E1713" t="s">
        <v>361</v>
      </c>
      <c r="F1713" s="1">
        <v>-7.3099999999999998E-2</v>
      </c>
      <c r="G1713" s="1">
        <v>4.3E-3</v>
      </c>
      <c r="H1713" t="s">
        <v>83</v>
      </c>
      <c r="I1713" t="s">
        <v>362</v>
      </c>
    </row>
    <row r="1714" spans="1:9" x14ac:dyDescent="0.3">
      <c r="A1714">
        <v>130</v>
      </c>
      <c r="B1714" t="s">
        <v>460</v>
      </c>
      <c r="C1714" t="s">
        <v>461</v>
      </c>
      <c r="D1714" s="4">
        <f>6.4*1000</f>
        <v>6400</v>
      </c>
      <c r="E1714" t="s">
        <v>462</v>
      </c>
      <c r="F1714" s="1">
        <v>-5.9400000000000001E-2</v>
      </c>
      <c r="G1714" s="1">
        <v>8.0000000000000004E-4</v>
      </c>
      <c r="H1714" t="s">
        <v>83</v>
      </c>
      <c r="I1714" t="s">
        <v>463</v>
      </c>
    </row>
    <row r="1715" spans="1:9" x14ac:dyDescent="0.3">
      <c r="A1715">
        <v>205</v>
      </c>
      <c r="B1715" t="s">
        <v>280</v>
      </c>
      <c r="C1715" t="s">
        <v>710</v>
      </c>
      <c r="D1715" s="4">
        <f>3.44*1000</f>
        <v>3440</v>
      </c>
      <c r="E1715" t="s">
        <v>711</v>
      </c>
      <c r="F1715" s="1">
        <v>-0.1075</v>
      </c>
      <c r="G1715" s="1">
        <v>5.7000000000000002E-3</v>
      </c>
      <c r="H1715" t="s">
        <v>83</v>
      </c>
      <c r="I1715" t="s">
        <v>712</v>
      </c>
    </row>
    <row r="1716" spans="1:9" x14ac:dyDescent="0.3">
      <c r="A1716">
        <v>239</v>
      </c>
      <c r="B1716" t="s">
        <v>24</v>
      </c>
      <c r="C1716" t="s">
        <v>822</v>
      </c>
      <c r="D1716" s="4">
        <f>2.6*1000</f>
        <v>2600</v>
      </c>
      <c r="E1716" t="s">
        <v>823</v>
      </c>
      <c r="F1716" s="1">
        <v>-5.7000000000000002E-2</v>
      </c>
      <c r="G1716" s="1">
        <v>4.0000000000000001E-3</v>
      </c>
      <c r="H1716" t="s">
        <v>83</v>
      </c>
      <c r="I1716" t="s">
        <v>824</v>
      </c>
    </row>
    <row r="1717" spans="1:9" x14ac:dyDescent="0.3">
      <c r="A1717">
        <v>307</v>
      </c>
      <c r="B1717" t="s">
        <v>280</v>
      </c>
      <c r="C1717" t="s">
        <v>1037</v>
      </c>
      <c r="D1717" s="4">
        <f>1.55*1000</f>
        <v>1550</v>
      </c>
      <c r="E1717" t="s">
        <v>1038</v>
      </c>
      <c r="F1717" s="1">
        <v>-0.1363</v>
      </c>
      <c r="G1717" s="1">
        <v>6.1000000000000004E-3</v>
      </c>
      <c r="H1717" t="s">
        <v>83</v>
      </c>
      <c r="I1717" t="s">
        <v>1039</v>
      </c>
    </row>
    <row r="1718" spans="1:9" x14ac:dyDescent="0.3">
      <c r="A1718">
        <v>506</v>
      </c>
      <c r="B1718" t="s">
        <v>7</v>
      </c>
      <c r="C1718" t="s">
        <v>1645</v>
      </c>
      <c r="D1718" s="4">
        <v>619.76</v>
      </c>
      <c r="E1718" t="s">
        <v>1646</v>
      </c>
      <c r="F1718" s="1">
        <v>-0.1381</v>
      </c>
      <c r="G1718" s="1">
        <v>3.5000000000000001E-3</v>
      </c>
      <c r="H1718" t="s">
        <v>83</v>
      </c>
      <c r="I1718" t="s">
        <v>1647</v>
      </c>
    </row>
    <row r="1719" spans="1:9" x14ac:dyDescent="0.3">
      <c r="A1719">
        <v>568</v>
      </c>
      <c r="B1719" t="s">
        <v>24</v>
      </c>
      <c r="C1719" t="s">
        <v>1853</v>
      </c>
      <c r="D1719" s="4">
        <v>471.5</v>
      </c>
      <c r="E1719" t="s">
        <v>1854</v>
      </c>
      <c r="F1719" s="1">
        <v>-4.0599999999999997E-2</v>
      </c>
      <c r="G1719" s="1">
        <v>2.8999999999999998E-3</v>
      </c>
      <c r="H1719" t="s">
        <v>83</v>
      </c>
      <c r="I1719" t="s">
        <v>1855</v>
      </c>
    </row>
    <row r="1720" spans="1:9" x14ac:dyDescent="0.3">
      <c r="A1720">
        <v>643</v>
      </c>
      <c r="B1720" t="s">
        <v>2110</v>
      </c>
      <c r="C1720" t="s">
        <v>2111</v>
      </c>
      <c r="D1720" s="4">
        <v>352.61</v>
      </c>
      <c r="E1720" t="s">
        <v>2112</v>
      </c>
      <c r="F1720" s="1">
        <v>-8.5599999999999996E-2</v>
      </c>
      <c r="G1720" s="1">
        <v>1.11E-2</v>
      </c>
      <c r="H1720" t="s">
        <v>83</v>
      </c>
      <c r="I1720" t="s">
        <v>2113</v>
      </c>
    </row>
    <row r="1721" spans="1:9" x14ac:dyDescent="0.3">
      <c r="A1721">
        <v>692</v>
      </c>
      <c r="B1721" t="s">
        <v>24</v>
      </c>
      <c r="C1721" t="s">
        <v>2266</v>
      </c>
      <c r="D1721" s="4">
        <v>290.60000000000002</v>
      </c>
      <c r="E1721" t="s">
        <v>2267</v>
      </c>
      <c r="F1721" s="1">
        <v>-0.19139999999999999</v>
      </c>
      <c r="G1721" s="1">
        <v>6.0000000000000001E-3</v>
      </c>
      <c r="H1721" t="s">
        <v>83</v>
      </c>
      <c r="I1721" t="s">
        <v>2268</v>
      </c>
    </row>
    <row r="1722" spans="1:9" x14ac:dyDescent="0.3">
      <c r="A1722">
        <v>771</v>
      </c>
      <c r="B1722" t="s">
        <v>7</v>
      </c>
      <c r="C1722" t="s">
        <v>2526</v>
      </c>
      <c r="D1722" s="4">
        <v>208.08</v>
      </c>
      <c r="E1722" t="s">
        <v>2527</v>
      </c>
      <c r="F1722" s="1">
        <v>-0.3332</v>
      </c>
      <c r="G1722" s="1">
        <v>4.4999999999999997E-3</v>
      </c>
      <c r="H1722" t="s">
        <v>83</v>
      </c>
      <c r="I1722" t="s">
        <v>2528</v>
      </c>
    </row>
    <row r="1723" spans="1:9" x14ac:dyDescent="0.3">
      <c r="A1723">
        <v>889</v>
      </c>
      <c r="B1723" t="s">
        <v>12</v>
      </c>
      <c r="C1723" t="s">
        <v>2900</v>
      </c>
      <c r="D1723" s="4">
        <v>139.66999999999999</v>
      </c>
      <c r="E1723" t="s">
        <v>2901</v>
      </c>
      <c r="F1723" s="1">
        <v>-9.0499999999999997E-2</v>
      </c>
      <c r="G1723" s="1">
        <v>1.8E-3</v>
      </c>
      <c r="H1723" t="s">
        <v>83</v>
      </c>
      <c r="I1723" t="s">
        <v>2902</v>
      </c>
    </row>
    <row r="1724" spans="1:9" x14ac:dyDescent="0.3">
      <c r="A1724">
        <v>1107</v>
      </c>
      <c r="B1724" t="s">
        <v>839</v>
      </c>
      <c r="C1724" t="s">
        <v>3605</v>
      </c>
      <c r="D1724" s="4">
        <v>71.95</v>
      </c>
      <c r="E1724" t="s">
        <v>3606</v>
      </c>
      <c r="F1724" s="1">
        <v>-7.9500000000000001E-2</v>
      </c>
      <c r="G1724" s="1">
        <v>4.0000000000000001E-3</v>
      </c>
      <c r="H1724" t="s">
        <v>83</v>
      </c>
      <c r="I1724" t="s">
        <v>3607</v>
      </c>
    </row>
    <row r="1725" spans="1:9" x14ac:dyDescent="0.3">
      <c r="A1725">
        <v>1211</v>
      </c>
      <c r="B1725" t="s">
        <v>24</v>
      </c>
      <c r="C1725" t="s">
        <v>3939</v>
      </c>
      <c r="D1725" s="4">
        <v>48.41</v>
      </c>
      <c r="E1725" t="s">
        <v>3940</v>
      </c>
      <c r="F1725" s="1">
        <v>-0.1125</v>
      </c>
      <c r="G1725" s="1">
        <v>6.3E-3</v>
      </c>
      <c r="H1725" t="s">
        <v>83</v>
      </c>
      <c r="I1725" t="s">
        <v>3941</v>
      </c>
    </row>
    <row r="1726" spans="1:9" x14ac:dyDescent="0.3">
      <c r="A1726">
        <v>1769</v>
      </c>
      <c r="B1726" t="s">
        <v>5695</v>
      </c>
      <c r="C1726" t="s">
        <v>5696</v>
      </c>
      <c r="D1726" s="4">
        <v>4.66</v>
      </c>
      <c r="E1726" t="s">
        <v>5697</v>
      </c>
      <c r="F1726" s="1">
        <v>-0.36349999999999999</v>
      </c>
      <c r="G1726" s="1">
        <v>7.4999999999999997E-3</v>
      </c>
      <c r="H1726" t="s">
        <v>83</v>
      </c>
      <c r="I1726" t="s">
        <v>5698</v>
      </c>
    </row>
    <row r="1727" spans="1:9" x14ac:dyDescent="0.3">
      <c r="A1727">
        <v>1880</v>
      </c>
      <c r="B1727" t="s">
        <v>5885</v>
      </c>
      <c r="C1727" t="s">
        <v>6040</v>
      </c>
      <c r="D1727" s="4">
        <v>1.02</v>
      </c>
      <c r="E1727" t="s">
        <v>6037</v>
      </c>
      <c r="F1727" s="1">
        <v>-0.13689999999999999</v>
      </c>
      <c r="G1727" s="1">
        <v>2.8999999999999998E-3</v>
      </c>
      <c r="H1727" t="s">
        <v>83</v>
      </c>
      <c r="I1727" t="s">
        <v>6041</v>
      </c>
    </row>
    <row r="1728" spans="1:9" x14ac:dyDescent="0.3">
      <c r="A1728">
        <v>159</v>
      </c>
      <c r="B1728" t="s">
        <v>486</v>
      </c>
      <c r="C1728" t="s">
        <v>559</v>
      </c>
      <c r="D1728" s="4">
        <f>5.09*1000</f>
        <v>5090</v>
      </c>
      <c r="E1728" t="s">
        <v>560</v>
      </c>
      <c r="F1728" s="1">
        <v>-3.5999999999999997E-2</v>
      </c>
      <c r="G1728" s="1">
        <v>4.7000000000000002E-3</v>
      </c>
      <c r="H1728" t="s">
        <v>561</v>
      </c>
      <c r="I1728" t="s">
        <v>562</v>
      </c>
    </row>
    <row r="1729" spans="1:9" x14ac:dyDescent="0.3">
      <c r="A1729">
        <v>457</v>
      </c>
      <c r="B1729" t="s">
        <v>12</v>
      </c>
      <c r="C1729" t="s">
        <v>1491</v>
      </c>
      <c r="D1729" s="4">
        <v>783.84</v>
      </c>
      <c r="E1729" t="s">
        <v>1492</v>
      </c>
      <c r="F1729" s="1">
        <v>5.9999999999999995E-4</v>
      </c>
      <c r="G1729" s="1">
        <v>3.0000000000000001E-3</v>
      </c>
      <c r="H1729" t="s">
        <v>561</v>
      </c>
      <c r="I1729" t="s">
        <v>1493</v>
      </c>
    </row>
    <row r="1730" spans="1:9" x14ac:dyDescent="0.3">
      <c r="A1730">
        <v>1222</v>
      </c>
      <c r="B1730" t="s">
        <v>7</v>
      </c>
      <c r="C1730" t="s">
        <v>3972</v>
      </c>
      <c r="D1730" s="4">
        <v>46.79</v>
      </c>
      <c r="E1730" t="s">
        <v>3973</v>
      </c>
      <c r="F1730" s="1">
        <v>-0.14399999999999999</v>
      </c>
      <c r="G1730" s="1">
        <v>4.4999999999999997E-3</v>
      </c>
      <c r="H1730" t="s">
        <v>561</v>
      </c>
      <c r="I1730" t="s">
        <v>3974</v>
      </c>
    </row>
    <row r="1731" spans="1:9" x14ac:dyDescent="0.3">
      <c r="A1731">
        <v>588</v>
      </c>
      <c r="B1731" t="s">
        <v>7</v>
      </c>
      <c r="C1731" t="s">
        <v>1921</v>
      </c>
      <c r="D1731" s="4">
        <v>430.25</v>
      </c>
      <c r="E1731" t="s">
        <v>1922</v>
      </c>
      <c r="F1731" s="1">
        <v>-4.4400000000000002E-2</v>
      </c>
      <c r="G1731" s="1">
        <v>3.5000000000000001E-3</v>
      </c>
      <c r="H1731" t="s">
        <v>1923</v>
      </c>
      <c r="I1731" t="s">
        <v>1924</v>
      </c>
    </row>
    <row r="1732" spans="1:9" x14ac:dyDescent="0.3">
      <c r="A1732">
        <v>1009</v>
      </c>
      <c r="B1732" t="s">
        <v>12</v>
      </c>
      <c r="C1732" t="s">
        <v>3289</v>
      </c>
      <c r="D1732" s="4">
        <v>95.98</v>
      </c>
      <c r="E1732" t="s">
        <v>3290</v>
      </c>
      <c r="F1732" s="1">
        <v>-1.2999999999999999E-3</v>
      </c>
      <c r="G1732" s="1">
        <v>4.1999999999999997E-3</v>
      </c>
      <c r="H1732" t="s">
        <v>1923</v>
      </c>
      <c r="I1732" t="s">
        <v>3291</v>
      </c>
    </row>
    <row r="1733" spans="1:9" x14ac:dyDescent="0.3">
      <c r="A1733">
        <v>106</v>
      </c>
      <c r="B1733" t="s">
        <v>280</v>
      </c>
      <c r="C1733" t="s">
        <v>376</v>
      </c>
      <c r="D1733" s="4">
        <f>8.04*1000</f>
        <v>8039.9999999999991</v>
      </c>
      <c r="E1733" t="s">
        <v>377</v>
      </c>
      <c r="F1733" s="1">
        <v>-0.23480000000000001</v>
      </c>
      <c r="G1733" s="1">
        <v>5.1000000000000004E-3</v>
      </c>
      <c r="H1733" t="s">
        <v>378</v>
      </c>
      <c r="I1733" t="s">
        <v>379</v>
      </c>
    </row>
    <row r="1734" spans="1:9" x14ac:dyDescent="0.3">
      <c r="A1734">
        <v>470</v>
      </c>
      <c r="B1734" t="s">
        <v>24</v>
      </c>
      <c r="C1734" t="s">
        <v>1532</v>
      </c>
      <c r="D1734" s="4">
        <v>735.24</v>
      </c>
      <c r="E1734" t="s">
        <v>1533</v>
      </c>
      <c r="F1734" s="1">
        <v>-0.2767</v>
      </c>
      <c r="G1734" s="1">
        <v>6.0000000000000001E-3</v>
      </c>
      <c r="H1734" t="s">
        <v>378</v>
      </c>
      <c r="I1734" t="s">
        <v>1534</v>
      </c>
    </row>
    <row r="1735" spans="1:9" x14ac:dyDescent="0.3">
      <c r="A1735">
        <v>1267</v>
      </c>
      <c r="B1735" t="s">
        <v>7</v>
      </c>
      <c r="C1735" t="s">
        <v>4115</v>
      </c>
      <c r="D1735" s="4">
        <v>39.85</v>
      </c>
      <c r="E1735" t="s">
        <v>4116</v>
      </c>
      <c r="F1735" s="1">
        <v>-0.30890000000000001</v>
      </c>
      <c r="G1735" s="1">
        <v>3.5000000000000001E-3</v>
      </c>
      <c r="H1735" t="s">
        <v>378</v>
      </c>
      <c r="I1735" t="s">
        <v>4117</v>
      </c>
    </row>
    <row r="1736" spans="1:9" x14ac:dyDescent="0.3">
      <c r="A1736">
        <v>1950</v>
      </c>
      <c r="B1736" t="s">
        <v>5707</v>
      </c>
      <c r="C1736" t="s">
        <v>6213</v>
      </c>
      <c r="D1736" s="4" t="s">
        <v>662</v>
      </c>
      <c r="E1736" t="s">
        <v>662</v>
      </c>
      <c r="F1736" s="1">
        <v>-0.34310000000000002</v>
      </c>
      <c r="G1736" s="1">
        <v>7.9000000000000008E-3</v>
      </c>
      <c r="H1736" t="s">
        <v>4191</v>
      </c>
      <c r="I1736" t="s">
        <v>6214</v>
      </c>
    </row>
    <row r="1737" spans="1:9" x14ac:dyDescent="0.3">
      <c r="A1737">
        <v>1288</v>
      </c>
      <c r="B1737" t="s">
        <v>921</v>
      </c>
      <c r="C1737" t="s">
        <v>4189</v>
      </c>
      <c r="D1737" s="4">
        <v>37.32</v>
      </c>
      <c r="E1737" t="s">
        <v>4190</v>
      </c>
      <c r="F1737" s="1">
        <v>-0.28110000000000002</v>
      </c>
      <c r="G1737" s="1">
        <v>6.7999999999999996E-3</v>
      </c>
      <c r="H1737" t="s">
        <v>4191</v>
      </c>
      <c r="I1737" t="s">
        <v>4192</v>
      </c>
    </row>
    <row r="1738" spans="1:9" x14ac:dyDescent="0.3">
      <c r="A1738">
        <v>312</v>
      </c>
      <c r="B1738" t="s">
        <v>12</v>
      </c>
      <c r="C1738" t="s">
        <v>1052</v>
      </c>
      <c r="D1738" s="4">
        <f>1.51*1000</f>
        <v>1510</v>
      </c>
      <c r="E1738" t="s">
        <v>1045</v>
      </c>
      <c r="F1738" s="1">
        <v>-3.8600000000000002E-2</v>
      </c>
      <c r="G1738" s="1">
        <v>1.4E-3</v>
      </c>
      <c r="H1738" t="s">
        <v>1053</v>
      </c>
      <c r="I1738" t="s">
        <v>1054</v>
      </c>
    </row>
    <row r="1739" spans="1:9" x14ac:dyDescent="0.3">
      <c r="A1739">
        <v>1421</v>
      </c>
      <c r="B1739" t="s">
        <v>332</v>
      </c>
      <c r="C1739" t="s">
        <v>4616</v>
      </c>
      <c r="D1739" s="4">
        <v>23.83</v>
      </c>
      <c r="E1739" t="s">
        <v>4617</v>
      </c>
      <c r="F1739" s="1">
        <v>-2.4299999999999999E-2</v>
      </c>
      <c r="G1739" s="1">
        <v>1.5E-3</v>
      </c>
      <c r="H1739" t="s">
        <v>1053</v>
      </c>
      <c r="I1739" t="s">
        <v>4618</v>
      </c>
    </row>
    <row r="1740" spans="1:9" x14ac:dyDescent="0.3">
      <c r="A1740">
        <v>107</v>
      </c>
      <c r="B1740" t="s">
        <v>7</v>
      </c>
      <c r="C1740" t="s">
        <v>380</v>
      </c>
      <c r="D1740" s="4">
        <f>7.95*1000</f>
        <v>7950</v>
      </c>
      <c r="E1740" t="s">
        <v>381</v>
      </c>
      <c r="F1740" s="1">
        <v>-6.1000000000000004E-3</v>
      </c>
      <c r="G1740" s="1">
        <v>1.1999999999999999E-3</v>
      </c>
      <c r="H1740" t="s">
        <v>382</v>
      </c>
      <c r="I1740" t="s">
        <v>383</v>
      </c>
    </row>
    <row r="1741" spans="1:9" x14ac:dyDescent="0.3">
      <c r="A1741">
        <v>189</v>
      </c>
      <c r="B1741" t="s">
        <v>16</v>
      </c>
      <c r="C1741" t="s">
        <v>657</v>
      </c>
      <c r="D1741" s="4">
        <f>3.91*1000</f>
        <v>3910</v>
      </c>
      <c r="E1741" t="s">
        <v>658</v>
      </c>
      <c r="F1741" s="1">
        <v>-1.3599999999999999E-2</v>
      </c>
      <c r="G1741" s="1">
        <v>1E-3</v>
      </c>
      <c r="H1741" t="s">
        <v>382</v>
      </c>
      <c r="I1741" t="s">
        <v>659</v>
      </c>
    </row>
    <row r="1742" spans="1:9" x14ac:dyDescent="0.3">
      <c r="A1742">
        <v>479</v>
      </c>
      <c r="B1742" t="s">
        <v>12</v>
      </c>
      <c r="C1742" t="s">
        <v>1560</v>
      </c>
      <c r="D1742" s="4">
        <v>710.08</v>
      </c>
      <c r="E1742" t="s">
        <v>1561</v>
      </c>
      <c r="F1742" s="1">
        <v>-1.3299999999999999E-2</v>
      </c>
      <c r="G1742" s="1">
        <v>4.3E-3</v>
      </c>
      <c r="H1742" t="s">
        <v>382</v>
      </c>
      <c r="I1742" t="s">
        <v>1562</v>
      </c>
    </row>
    <row r="1743" spans="1:9" x14ac:dyDescent="0.3">
      <c r="A1743">
        <v>543</v>
      </c>
      <c r="B1743" t="s">
        <v>460</v>
      </c>
      <c r="C1743" t="s">
        <v>1770</v>
      </c>
      <c r="D1743" s="4">
        <v>515.07000000000005</v>
      </c>
      <c r="E1743" t="s">
        <v>1771</v>
      </c>
      <c r="F1743" s="1">
        <v>-1.29E-2</v>
      </c>
      <c r="G1743" s="1">
        <v>8.0000000000000004E-4</v>
      </c>
      <c r="H1743" t="s">
        <v>382</v>
      </c>
      <c r="I1743" t="s">
        <v>1772</v>
      </c>
    </row>
    <row r="1744" spans="1:9" x14ac:dyDescent="0.3">
      <c r="A1744">
        <v>555</v>
      </c>
      <c r="B1744" t="s">
        <v>280</v>
      </c>
      <c r="C1744" t="s">
        <v>1809</v>
      </c>
      <c r="D1744" s="4">
        <v>492.72</v>
      </c>
      <c r="E1744" t="s">
        <v>1810</v>
      </c>
      <c r="F1744" s="1">
        <v>-2.2499999999999999E-2</v>
      </c>
      <c r="G1744" s="1">
        <v>6.7000000000000002E-3</v>
      </c>
      <c r="H1744" t="s">
        <v>382</v>
      </c>
      <c r="I1744" t="s">
        <v>1811</v>
      </c>
    </row>
    <row r="1745" spans="1:9" x14ac:dyDescent="0.3">
      <c r="A1745">
        <v>576</v>
      </c>
      <c r="B1745" t="s">
        <v>24</v>
      </c>
      <c r="C1745" t="s">
        <v>1881</v>
      </c>
      <c r="D1745" s="4">
        <v>455.97</v>
      </c>
      <c r="E1745" t="s">
        <v>1882</v>
      </c>
      <c r="F1745" s="1">
        <v>1.9E-3</v>
      </c>
      <c r="G1745" s="1">
        <v>4.0000000000000001E-3</v>
      </c>
      <c r="H1745" t="s">
        <v>382</v>
      </c>
      <c r="I1745" t="s">
        <v>1883</v>
      </c>
    </row>
    <row r="1746" spans="1:9" x14ac:dyDescent="0.3">
      <c r="A1746">
        <v>897</v>
      </c>
      <c r="B1746" t="s">
        <v>24</v>
      </c>
      <c r="C1746" t="s">
        <v>2925</v>
      </c>
      <c r="D1746" s="4">
        <v>136.66</v>
      </c>
      <c r="E1746" t="s">
        <v>2926</v>
      </c>
      <c r="F1746" s="1">
        <v>-5.0599999999999999E-2</v>
      </c>
      <c r="G1746" s="1">
        <v>6.0000000000000001E-3</v>
      </c>
      <c r="H1746" t="s">
        <v>382</v>
      </c>
      <c r="I1746" t="s">
        <v>2927</v>
      </c>
    </row>
    <row r="1747" spans="1:9" x14ac:dyDescent="0.3">
      <c r="A1747">
        <v>1450</v>
      </c>
      <c r="B1747" t="s">
        <v>24</v>
      </c>
      <c r="C1747" t="s">
        <v>4711</v>
      </c>
      <c r="D1747" s="4">
        <v>21.99</v>
      </c>
      <c r="E1747" t="s">
        <v>4712</v>
      </c>
      <c r="F1747" s="1">
        <v>-4.3E-3</v>
      </c>
      <c r="G1747" s="1">
        <v>2.8999999999999998E-3</v>
      </c>
      <c r="H1747" t="s">
        <v>382</v>
      </c>
      <c r="I1747" t="s">
        <v>4713</v>
      </c>
    </row>
    <row r="1748" spans="1:9" x14ac:dyDescent="0.3">
      <c r="A1748">
        <v>1528</v>
      </c>
      <c r="B1748" t="s">
        <v>839</v>
      </c>
      <c r="C1748" t="s">
        <v>4949</v>
      </c>
      <c r="D1748" s="4">
        <v>17.05</v>
      </c>
      <c r="E1748" t="s">
        <v>4950</v>
      </c>
      <c r="F1748" s="1">
        <v>-1.5100000000000001E-2</v>
      </c>
      <c r="G1748" s="1">
        <v>4.0000000000000001E-3</v>
      </c>
      <c r="H1748" t="s">
        <v>382</v>
      </c>
      <c r="I1748" t="s">
        <v>4951</v>
      </c>
    </row>
    <row r="1749" spans="1:9" x14ac:dyDescent="0.3">
      <c r="A1749">
        <v>1179</v>
      </c>
      <c r="B1749" t="s">
        <v>24</v>
      </c>
      <c r="C1749" t="s">
        <v>3840</v>
      </c>
      <c r="D1749" s="4">
        <v>54.38</v>
      </c>
      <c r="E1749" t="s">
        <v>3841</v>
      </c>
      <c r="F1749" s="1">
        <v>-0.1825</v>
      </c>
      <c r="G1749" s="1">
        <v>6.3E-3</v>
      </c>
      <c r="H1749" t="s">
        <v>3842</v>
      </c>
      <c r="I1749" t="s">
        <v>3843</v>
      </c>
    </row>
    <row r="1750" spans="1:9" x14ac:dyDescent="0.3">
      <c r="A1750">
        <v>1549</v>
      </c>
      <c r="B1750" t="s">
        <v>12</v>
      </c>
      <c r="C1750" t="s">
        <v>5014</v>
      </c>
      <c r="D1750" s="4">
        <v>15.71</v>
      </c>
      <c r="E1750" t="s">
        <v>5015</v>
      </c>
      <c r="F1750" s="1">
        <v>-0.15140000000000001</v>
      </c>
      <c r="G1750" s="1">
        <v>1.8E-3</v>
      </c>
      <c r="H1750" t="s">
        <v>3842</v>
      </c>
      <c r="I1750" t="s">
        <v>5016</v>
      </c>
    </row>
    <row r="1751" spans="1:9" x14ac:dyDescent="0.3">
      <c r="A1751">
        <v>272</v>
      </c>
      <c r="B1751" t="s">
        <v>7</v>
      </c>
      <c r="C1751" t="s">
        <v>928</v>
      </c>
      <c r="D1751" s="4">
        <f>1.94*1000</f>
        <v>1940</v>
      </c>
      <c r="E1751" t="s">
        <v>929</v>
      </c>
      <c r="F1751" s="1">
        <v>-3.6499999999999998E-2</v>
      </c>
      <c r="G1751" s="1">
        <v>3.5000000000000001E-3</v>
      </c>
      <c r="H1751" t="s">
        <v>930</v>
      </c>
      <c r="I1751" t="s">
        <v>931</v>
      </c>
    </row>
    <row r="1752" spans="1:9" x14ac:dyDescent="0.3">
      <c r="A1752">
        <v>813</v>
      </c>
      <c r="B1752" t="s">
        <v>486</v>
      </c>
      <c r="C1752" t="s">
        <v>2658</v>
      </c>
      <c r="D1752" s="4">
        <v>180.76</v>
      </c>
      <c r="E1752" t="s">
        <v>2659</v>
      </c>
      <c r="F1752" s="1">
        <v>-0.19070000000000001</v>
      </c>
      <c r="G1752" s="1">
        <v>5.0000000000000001E-3</v>
      </c>
      <c r="H1752" t="s">
        <v>2660</v>
      </c>
      <c r="I1752" t="s">
        <v>2661</v>
      </c>
    </row>
    <row r="1753" spans="1:9" x14ac:dyDescent="0.3">
      <c r="A1753">
        <v>1951</v>
      </c>
      <c r="B1753" t="s">
        <v>5707</v>
      </c>
      <c r="C1753" t="s">
        <v>6215</v>
      </c>
      <c r="D1753" s="4" t="s">
        <v>662</v>
      </c>
      <c r="E1753" t="s">
        <v>662</v>
      </c>
      <c r="F1753" s="1">
        <v>-4.2999999999999997E-2</v>
      </c>
      <c r="G1753" s="1">
        <v>2.01E-2</v>
      </c>
      <c r="H1753" t="s">
        <v>520</v>
      </c>
      <c r="I1753" t="s">
        <v>6216</v>
      </c>
    </row>
    <row r="1754" spans="1:9" x14ac:dyDescent="0.3">
      <c r="A1754">
        <v>147</v>
      </c>
      <c r="B1754" t="s">
        <v>517</v>
      </c>
      <c r="C1754" t="s">
        <v>518</v>
      </c>
      <c r="D1754" s="4">
        <f>5.62*1000</f>
        <v>5620</v>
      </c>
      <c r="E1754" t="s">
        <v>519</v>
      </c>
      <c r="F1754" s="1">
        <v>-2.3599999999999999E-2</v>
      </c>
      <c r="G1754" s="1">
        <v>8.9999999999999993E-3</v>
      </c>
      <c r="H1754" t="s">
        <v>520</v>
      </c>
      <c r="I1754" t="s">
        <v>521</v>
      </c>
    </row>
    <row r="1755" spans="1:9" x14ac:dyDescent="0.3">
      <c r="A1755">
        <v>387</v>
      </c>
      <c r="B1755" t="s">
        <v>486</v>
      </c>
      <c r="C1755" t="s">
        <v>1261</v>
      </c>
      <c r="D1755" s="4">
        <f>1.02*1000</f>
        <v>1020</v>
      </c>
      <c r="E1755" t="s">
        <v>1262</v>
      </c>
      <c r="F1755" s="1">
        <v>-9.4999999999999998E-3</v>
      </c>
      <c r="G1755" s="1">
        <v>4.5999999999999999E-3</v>
      </c>
      <c r="H1755" t="s">
        <v>520</v>
      </c>
      <c r="I1755" t="s">
        <v>1263</v>
      </c>
    </row>
    <row r="1756" spans="1:9" x14ac:dyDescent="0.3">
      <c r="A1756">
        <v>440</v>
      </c>
      <c r="B1756" t="s">
        <v>486</v>
      </c>
      <c r="C1756" t="s">
        <v>1436</v>
      </c>
      <c r="D1756" s="4">
        <v>825.53</v>
      </c>
      <c r="E1756" t="s">
        <v>1437</v>
      </c>
      <c r="F1756" s="1">
        <v>-3.27E-2</v>
      </c>
      <c r="G1756" s="1">
        <v>4.4999999999999997E-3</v>
      </c>
      <c r="H1756" t="s">
        <v>520</v>
      </c>
      <c r="I1756" t="s">
        <v>1438</v>
      </c>
    </row>
    <row r="1757" spans="1:9" x14ac:dyDescent="0.3">
      <c r="A1757">
        <v>573</v>
      </c>
      <c r="B1757" t="s">
        <v>1871</v>
      </c>
      <c r="C1757" t="s">
        <v>1872</v>
      </c>
      <c r="D1757" s="4">
        <v>462.54</v>
      </c>
      <c r="E1757" t="s">
        <v>1873</v>
      </c>
      <c r="F1757" s="1">
        <v>-1.54E-2</v>
      </c>
      <c r="G1757" s="1">
        <v>4.0000000000000001E-3</v>
      </c>
      <c r="H1757" t="s">
        <v>520</v>
      </c>
      <c r="I1757" t="s">
        <v>1874</v>
      </c>
    </row>
    <row r="1758" spans="1:9" x14ac:dyDescent="0.3">
      <c r="A1758">
        <v>783</v>
      </c>
      <c r="B1758" t="s">
        <v>2564</v>
      </c>
      <c r="C1758" t="s">
        <v>2565</v>
      </c>
      <c r="D1758" s="4">
        <v>200.17</v>
      </c>
      <c r="E1758" t="s">
        <v>2566</v>
      </c>
      <c r="F1758" s="1">
        <v>-2.3400000000000001E-2</v>
      </c>
      <c r="G1758" s="1">
        <v>8.5000000000000006E-3</v>
      </c>
      <c r="H1758" t="s">
        <v>520</v>
      </c>
      <c r="I1758" t="s">
        <v>2567</v>
      </c>
    </row>
    <row r="1759" spans="1:9" x14ac:dyDescent="0.3">
      <c r="A1759">
        <v>810</v>
      </c>
      <c r="B1759" t="s">
        <v>1856</v>
      </c>
      <c r="C1759" t="s">
        <v>2649</v>
      </c>
      <c r="D1759" s="4">
        <v>184.19</v>
      </c>
      <c r="E1759" t="s">
        <v>2650</v>
      </c>
      <c r="F1759" s="1">
        <v>-2.69E-2</v>
      </c>
      <c r="G1759" s="1">
        <v>9.4999999999999998E-3</v>
      </c>
      <c r="H1759" t="s">
        <v>520</v>
      </c>
      <c r="I1759" t="s">
        <v>2651</v>
      </c>
    </row>
    <row r="1760" spans="1:9" x14ac:dyDescent="0.3">
      <c r="A1760">
        <v>1068</v>
      </c>
      <c r="B1760" t="s">
        <v>2564</v>
      </c>
      <c r="C1760" t="s">
        <v>3477</v>
      </c>
      <c r="D1760" s="4">
        <v>81.62</v>
      </c>
      <c r="E1760" t="s">
        <v>3478</v>
      </c>
      <c r="F1760" s="1">
        <v>-2.1299999999999999E-2</v>
      </c>
      <c r="G1760" s="1">
        <v>8.0000000000000002E-3</v>
      </c>
      <c r="H1760" t="s">
        <v>520</v>
      </c>
      <c r="I1760" t="s">
        <v>3479</v>
      </c>
    </row>
    <row r="1761" spans="1:9" x14ac:dyDescent="0.3">
      <c r="A1761">
        <v>1101</v>
      </c>
      <c r="B1761" t="s">
        <v>517</v>
      </c>
      <c r="C1761" t="s">
        <v>3586</v>
      </c>
      <c r="D1761" s="4">
        <v>72.88</v>
      </c>
      <c r="E1761" t="s">
        <v>3584</v>
      </c>
      <c r="F1761" s="1">
        <v>-3.9300000000000002E-2</v>
      </c>
      <c r="G1761" s="1">
        <v>3.5000000000000001E-3</v>
      </c>
      <c r="H1761" t="s">
        <v>520</v>
      </c>
      <c r="I1761" t="s">
        <v>3587</v>
      </c>
    </row>
    <row r="1762" spans="1:9" x14ac:dyDescent="0.3">
      <c r="A1762">
        <v>1124</v>
      </c>
      <c r="B1762" t="s">
        <v>2564</v>
      </c>
      <c r="C1762" t="s">
        <v>3662</v>
      </c>
      <c r="D1762" s="4">
        <v>67.760000000000005</v>
      </c>
      <c r="E1762" t="s">
        <v>3663</v>
      </c>
      <c r="F1762" s="1">
        <v>-3.1E-2</v>
      </c>
      <c r="G1762" s="1">
        <v>7.4999999999999997E-3</v>
      </c>
      <c r="H1762" t="s">
        <v>520</v>
      </c>
      <c r="I1762" t="s">
        <v>3664</v>
      </c>
    </row>
    <row r="1763" spans="1:9" x14ac:dyDescent="0.3">
      <c r="A1763">
        <v>1200</v>
      </c>
      <c r="B1763" t="s">
        <v>2564</v>
      </c>
      <c r="C1763" t="s">
        <v>3906</v>
      </c>
      <c r="D1763" s="4">
        <v>49.65</v>
      </c>
      <c r="E1763" t="s">
        <v>3907</v>
      </c>
      <c r="F1763" s="1">
        <v>-3.0599999999999999E-2</v>
      </c>
      <c r="G1763" s="1">
        <v>7.4999999999999997E-3</v>
      </c>
      <c r="H1763" t="s">
        <v>520</v>
      </c>
      <c r="I1763" t="s">
        <v>3908</v>
      </c>
    </row>
    <row r="1764" spans="1:9" x14ac:dyDescent="0.3">
      <c r="A1764">
        <v>1307</v>
      </c>
      <c r="B1764" t="s">
        <v>2564</v>
      </c>
      <c r="C1764" t="s">
        <v>4250</v>
      </c>
      <c r="D1764" s="4">
        <v>35.270000000000003</v>
      </c>
      <c r="E1764" t="s">
        <v>4251</v>
      </c>
      <c r="F1764" s="1">
        <v>-2.1600000000000001E-2</v>
      </c>
      <c r="G1764" s="1">
        <v>7.4999999999999997E-3</v>
      </c>
      <c r="H1764" t="s">
        <v>520</v>
      </c>
      <c r="I1764" t="s">
        <v>4252</v>
      </c>
    </row>
    <row r="1765" spans="1:9" x14ac:dyDescent="0.3">
      <c r="A1765">
        <v>1415</v>
      </c>
      <c r="B1765" t="s">
        <v>4596</v>
      </c>
      <c r="C1765" t="s">
        <v>4597</v>
      </c>
      <c r="D1765" s="4">
        <v>24.46</v>
      </c>
      <c r="E1765" t="s">
        <v>4598</v>
      </c>
      <c r="F1765" s="1">
        <v>8.2600000000000007E-2</v>
      </c>
      <c r="G1765" s="1">
        <v>9.4999999999999998E-3</v>
      </c>
      <c r="H1765" t="s">
        <v>520</v>
      </c>
      <c r="I1765" t="s">
        <v>4599</v>
      </c>
    </row>
    <row r="1766" spans="1:9" x14ac:dyDescent="0.3">
      <c r="A1766">
        <v>1489</v>
      </c>
      <c r="B1766" t="s">
        <v>2564</v>
      </c>
      <c r="C1766" t="s">
        <v>4833</v>
      </c>
      <c r="D1766" s="4">
        <v>18.97</v>
      </c>
      <c r="E1766" t="s">
        <v>4834</v>
      </c>
      <c r="F1766" s="1">
        <v>-2.18E-2</v>
      </c>
      <c r="G1766" s="1">
        <v>8.5000000000000006E-3</v>
      </c>
      <c r="H1766" t="s">
        <v>520</v>
      </c>
      <c r="I1766" t="s">
        <v>4835</v>
      </c>
    </row>
    <row r="1767" spans="1:9" x14ac:dyDescent="0.3">
      <c r="A1767">
        <v>1605</v>
      </c>
      <c r="B1767" t="s">
        <v>1856</v>
      </c>
      <c r="C1767" t="s">
        <v>5193</v>
      </c>
      <c r="D1767" s="4">
        <v>11.62</v>
      </c>
      <c r="E1767" t="s">
        <v>5194</v>
      </c>
      <c r="F1767" s="1">
        <v>-1.06E-2</v>
      </c>
      <c r="G1767" s="1">
        <v>8.0000000000000002E-3</v>
      </c>
      <c r="H1767" t="s">
        <v>520</v>
      </c>
      <c r="I1767" t="s">
        <v>5195</v>
      </c>
    </row>
    <row r="1768" spans="1:9" x14ac:dyDescent="0.3">
      <c r="A1768">
        <v>891</v>
      </c>
      <c r="B1768" t="s">
        <v>7</v>
      </c>
      <c r="C1768" t="s">
        <v>2906</v>
      </c>
      <c r="D1768" s="4">
        <v>139.63999999999999</v>
      </c>
      <c r="E1768" t="s">
        <v>2904</v>
      </c>
      <c r="F1768" s="1">
        <v>-0.17949999999999999</v>
      </c>
      <c r="G1768" s="1">
        <v>4.4999999999999997E-3</v>
      </c>
      <c r="H1768" t="s">
        <v>2907</v>
      </c>
      <c r="I1768" t="s">
        <v>2908</v>
      </c>
    </row>
    <row r="1769" spans="1:9" x14ac:dyDescent="0.3">
      <c r="A1769">
        <v>348</v>
      </c>
      <c r="B1769" t="s">
        <v>12</v>
      </c>
      <c r="C1769" t="s">
        <v>1155</v>
      </c>
      <c r="D1769" s="4">
        <f>1.21*1000</f>
        <v>1210</v>
      </c>
      <c r="E1769" t="s">
        <v>1152</v>
      </c>
      <c r="F1769" s="1">
        <v>-0.10580000000000001</v>
      </c>
      <c r="G1769" s="1">
        <v>4.7999999999999996E-3</v>
      </c>
      <c r="H1769" t="s">
        <v>1156</v>
      </c>
      <c r="I1769" t="s">
        <v>1157</v>
      </c>
    </row>
    <row r="1770" spans="1:9" x14ac:dyDescent="0.3">
      <c r="A1770">
        <v>690</v>
      </c>
      <c r="B1770" t="s">
        <v>272</v>
      </c>
      <c r="C1770" t="s">
        <v>2259</v>
      </c>
      <c r="D1770" s="4">
        <v>291.81</v>
      </c>
      <c r="E1770" t="s">
        <v>2260</v>
      </c>
      <c r="F1770" s="1">
        <v>-0.10630000000000001</v>
      </c>
      <c r="G1770" s="1">
        <v>4.0000000000000001E-3</v>
      </c>
      <c r="H1770" t="s">
        <v>1156</v>
      </c>
      <c r="I1770" t="s">
        <v>2261</v>
      </c>
    </row>
    <row r="1771" spans="1:9" x14ac:dyDescent="0.3">
      <c r="A1771">
        <v>950</v>
      </c>
      <c r="B1771" t="s">
        <v>12</v>
      </c>
      <c r="C1771" t="s">
        <v>3096</v>
      </c>
      <c r="D1771" s="4">
        <v>119.4</v>
      </c>
      <c r="E1771" t="s">
        <v>3097</v>
      </c>
      <c r="F1771" s="1">
        <v>-1.01E-2</v>
      </c>
      <c r="G1771" s="1">
        <v>4.1000000000000003E-3</v>
      </c>
      <c r="H1771" t="s">
        <v>3098</v>
      </c>
      <c r="I1771" t="s">
        <v>3099</v>
      </c>
    </row>
    <row r="1772" spans="1:9" x14ac:dyDescent="0.3">
      <c r="A1772">
        <v>599</v>
      </c>
      <c r="B1772" t="s">
        <v>12</v>
      </c>
      <c r="C1772" t="s">
        <v>1958</v>
      </c>
      <c r="D1772" s="4">
        <v>413.87</v>
      </c>
      <c r="E1772" t="s">
        <v>1959</v>
      </c>
      <c r="F1772" s="1">
        <v>4.53E-2</v>
      </c>
      <c r="G1772" s="1">
        <v>4.1999999999999997E-3</v>
      </c>
      <c r="H1772" t="s">
        <v>1960</v>
      </c>
      <c r="I1772" t="s">
        <v>1961</v>
      </c>
    </row>
    <row r="1773" spans="1:9" x14ac:dyDescent="0.3">
      <c r="A1773">
        <v>186</v>
      </c>
      <c r="B1773" t="s">
        <v>7</v>
      </c>
      <c r="C1773" t="s">
        <v>648</v>
      </c>
      <c r="D1773" s="4">
        <f>4.05*1000</f>
        <v>4050</v>
      </c>
      <c r="E1773" t="s">
        <v>644</v>
      </c>
      <c r="F1773" s="1">
        <v>-4.2999999999999997E-2</v>
      </c>
      <c r="G1773" s="1">
        <v>3.5000000000000001E-3</v>
      </c>
      <c r="H1773" t="s">
        <v>649</v>
      </c>
      <c r="I1773" t="s">
        <v>650</v>
      </c>
    </row>
    <row r="1774" spans="1:9" x14ac:dyDescent="0.3">
      <c r="A1774">
        <v>560</v>
      </c>
      <c r="B1774" t="s">
        <v>280</v>
      </c>
      <c r="C1774" t="s">
        <v>1825</v>
      </c>
      <c r="D1774" s="4">
        <v>481.61</v>
      </c>
      <c r="E1774" t="s">
        <v>1826</v>
      </c>
      <c r="F1774" s="1">
        <v>-1E-3</v>
      </c>
      <c r="G1774" s="1">
        <v>6.0000000000000001E-3</v>
      </c>
      <c r="H1774" t="s">
        <v>649</v>
      </c>
      <c r="I1774" t="s">
        <v>1827</v>
      </c>
    </row>
    <row r="1775" spans="1:9" x14ac:dyDescent="0.3">
      <c r="A1775">
        <v>842</v>
      </c>
      <c r="B1775" t="s">
        <v>24</v>
      </c>
      <c r="C1775" t="s">
        <v>2751</v>
      </c>
      <c r="D1775" s="4">
        <v>162.94</v>
      </c>
      <c r="E1775" t="s">
        <v>2752</v>
      </c>
      <c r="F1775" s="1">
        <v>2.5000000000000001E-2</v>
      </c>
      <c r="G1775" s="1">
        <v>6.3E-3</v>
      </c>
      <c r="H1775" t="s">
        <v>649</v>
      </c>
      <c r="I1775" t="s">
        <v>2753</v>
      </c>
    </row>
    <row r="1776" spans="1:9" x14ac:dyDescent="0.3">
      <c r="A1776">
        <v>1395</v>
      </c>
      <c r="B1776" t="s">
        <v>979</v>
      </c>
      <c r="C1776" t="s">
        <v>4531</v>
      </c>
      <c r="D1776" s="4">
        <v>25.8</v>
      </c>
      <c r="E1776" t="s">
        <v>4532</v>
      </c>
      <c r="F1776" s="1">
        <v>-0.28220000000000001</v>
      </c>
      <c r="G1776" s="1">
        <v>7.9000000000000008E-3</v>
      </c>
      <c r="H1776" t="s">
        <v>4533</v>
      </c>
      <c r="I1776" t="s">
        <v>4534</v>
      </c>
    </row>
    <row r="1777" spans="1:9" x14ac:dyDescent="0.3">
      <c r="A1777">
        <v>1424</v>
      </c>
      <c r="B1777" t="s">
        <v>24</v>
      </c>
      <c r="C1777" t="s">
        <v>4627</v>
      </c>
      <c r="D1777" s="4">
        <v>23.64</v>
      </c>
      <c r="E1777" t="s">
        <v>4628</v>
      </c>
      <c r="F1777" s="1">
        <v>-0.18140000000000001</v>
      </c>
      <c r="G1777" s="1">
        <v>0</v>
      </c>
      <c r="H1777" t="s">
        <v>4533</v>
      </c>
      <c r="I1777" t="s">
        <v>4629</v>
      </c>
    </row>
    <row r="1778" spans="1:9" x14ac:dyDescent="0.3">
      <c r="A1778">
        <v>621</v>
      </c>
      <c r="B1778" t="s">
        <v>12</v>
      </c>
      <c r="C1778" t="s">
        <v>2035</v>
      </c>
      <c r="D1778" s="4">
        <v>382.04</v>
      </c>
      <c r="E1778" t="s">
        <v>2036</v>
      </c>
      <c r="F1778" s="1">
        <v>5.4999999999999997E-3</v>
      </c>
      <c r="G1778" s="1">
        <v>4.1999999999999997E-3</v>
      </c>
      <c r="H1778" t="s">
        <v>2037</v>
      </c>
      <c r="I1778" t="s">
        <v>2038</v>
      </c>
    </row>
    <row r="1779" spans="1:9" x14ac:dyDescent="0.3">
      <c r="A1779">
        <v>654</v>
      </c>
      <c r="B1779" t="s">
        <v>24</v>
      </c>
      <c r="C1779" t="s">
        <v>2146</v>
      </c>
      <c r="D1779" s="4">
        <v>337.96</v>
      </c>
      <c r="E1779" t="s">
        <v>2147</v>
      </c>
      <c r="F1779" s="1">
        <v>-2.86E-2</v>
      </c>
      <c r="G1779" s="1">
        <v>5.7999999999999996E-3</v>
      </c>
      <c r="H1779" t="s">
        <v>2037</v>
      </c>
      <c r="I1779" t="s">
        <v>2148</v>
      </c>
    </row>
    <row r="1780" spans="1:9" x14ac:dyDescent="0.3">
      <c r="A1780">
        <v>779</v>
      </c>
      <c r="B1780" t="s">
        <v>7</v>
      </c>
      <c r="C1780" t="s">
        <v>2551</v>
      </c>
      <c r="D1780" s="4">
        <v>202.22</v>
      </c>
      <c r="E1780" t="s">
        <v>2552</v>
      </c>
      <c r="F1780" s="1">
        <v>-0.1227</v>
      </c>
      <c r="G1780" s="1">
        <v>3.5000000000000001E-3</v>
      </c>
      <c r="H1780" t="s">
        <v>2037</v>
      </c>
      <c r="I1780" t="s">
        <v>2553</v>
      </c>
    </row>
    <row r="1781" spans="1:9" x14ac:dyDescent="0.3">
      <c r="A1781">
        <v>1538</v>
      </c>
      <c r="B1781" t="s">
        <v>280</v>
      </c>
      <c r="C1781" t="s">
        <v>4980</v>
      </c>
      <c r="D1781" s="4">
        <v>16.510000000000002</v>
      </c>
      <c r="E1781" t="s">
        <v>4981</v>
      </c>
      <c r="F1781" s="1">
        <v>-2.24E-2</v>
      </c>
      <c r="G1781" s="1">
        <v>6.0000000000000001E-3</v>
      </c>
      <c r="H1781" t="s">
        <v>2037</v>
      </c>
      <c r="I1781" t="s">
        <v>4982</v>
      </c>
    </row>
    <row r="1782" spans="1:9" x14ac:dyDescent="0.3">
      <c r="A1782">
        <v>1084</v>
      </c>
      <c r="B1782" t="s">
        <v>24</v>
      </c>
      <c r="C1782" t="s">
        <v>3529</v>
      </c>
      <c r="D1782" s="4">
        <v>77.02</v>
      </c>
      <c r="E1782" t="s">
        <v>3530</v>
      </c>
      <c r="F1782" s="1">
        <v>6.8999999999999999E-3</v>
      </c>
      <c r="G1782" s="1">
        <v>3.5000000000000001E-3</v>
      </c>
      <c r="H1782" t="s">
        <v>3531</v>
      </c>
      <c r="I1782" t="s">
        <v>3532</v>
      </c>
    </row>
    <row r="1783" spans="1:9" s="5" customFormat="1" x14ac:dyDescent="0.3">
      <c r="A1783" s="5">
        <v>21</v>
      </c>
      <c r="B1783" s="5" t="s">
        <v>16</v>
      </c>
      <c r="C1783" s="5" t="s">
        <v>85</v>
      </c>
      <c r="D1783" s="6">
        <f>45.92*1000</f>
        <v>45920</v>
      </c>
      <c r="E1783" s="5" t="s">
        <v>86</v>
      </c>
      <c r="F1783" s="7">
        <v>-2.1499999999999998E-2</v>
      </c>
      <c r="G1783" s="7">
        <v>1.1999999999999999E-3</v>
      </c>
      <c r="H1783" s="5" t="s">
        <v>87</v>
      </c>
      <c r="I1783" s="5" t="s">
        <v>88</v>
      </c>
    </row>
    <row r="1784" spans="1:9" x14ac:dyDescent="0.3">
      <c r="A1784">
        <v>120</v>
      </c>
      <c r="B1784" t="s">
        <v>12</v>
      </c>
      <c r="C1784" t="s">
        <v>425</v>
      </c>
      <c r="D1784" s="4">
        <f>6.96*1000</f>
        <v>6960</v>
      </c>
      <c r="E1784" t="s">
        <v>426</v>
      </c>
      <c r="F1784" s="1">
        <v>-2.7300000000000001E-2</v>
      </c>
      <c r="G1784" s="1">
        <v>4.1000000000000003E-3</v>
      </c>
      <c r="H1784" t="s">
        <v>87</v>
      </c>
      <c r="I1784" t="s">
        <v>427</v>
      </c>
    </row>
    <row r="1785" spans="1:9" x14ac:dyDescent="0.3">
      <c r="A1785">
        <v>137</v>
      </c>
      <c r="B1785" t="s">
        <v>7</v>
      </c>
      <c r="C1785" t="s">
        <v>483</v>
      </c>
      <c r="D1785" s="4">
        <f>6.03*1000</f>
        <v>6030</v>
      </c>
      <c r="E1785" t="s">
        <v>484</v>
      </c>
      <c r="F1785" s="1">
        <v>-1.1999999999999999E-3</v>
      </c>
      <c r="G1785" s="1">
        <v>1.1999999999999999E-3</v>
      </c>
      <c r="H1785" t="s">
        <v>87</v>
      </c>
      <c r="I1785" t="s">
        <v>485</v>
      </c>
    </row>
    <row r="1786" spans="1:9" x14ac:dyDescent="0.3">
      <c r="A1786">
        <v>262</v>
      </c>
      <c r="B1786" t="s">
        <v>460</v>
      </c>
      <c r="C1786" t="s">
        <v>896</v>
      </c>
      <c r="D1786" s="4">
        <f>2.15*1000</f>
        <v>2150</v>
      </c>
      <c r="E1786" t="s">
        <v>897</v>
      </c>
      <c r="F1786" s="1">
        <v>-2.1499999999999998E-2</v>
      </c>
      <c r="G1786" s="1">
        <v>8.9999999999999998E-4</v>
      </c>
      <c r="H1786" t="s">
        <v>87</v>
      </c>
      <c r="I1786" t="s">
        <v>898</v>
      </c>
    </row>
    <row r="1787" spans="1:9" x14ac:dyDescent="0.3">
      <c r="A1787">
        <v>366</v>
      </c>
      <c r="B1787" t="s">
        <v>12</v>
      </c>
      <c r="C1787" t="s">
        <v>1203</v>
      </c>
      <c r="D1787" s="4">
        <f>1.15*1000</f>
        <v>1150</v>
      </c>
      <c r="E1787" t="s">
        <v>1198</v>
      </c>
      <c r="F1787" s="1">
        <v>2.3400000000000001E-2</v>
      </c>
      <c r="G1787" s="1">
        <v>4.7999999999999996E-3</v>
      </c>
      <c r="H1787" t="s">
        <v>87</v>
      </c>
      <c r="I1787" t="s">
        <v>1204</v>
      </c>
    </row>
    <row r="1788" spans="1:9" x14ac:dyDescent="0.3">
      <c r="A1788">
        <v>853</v>
      </c>
      <c r="B1788" t="s">
        <v>24</v>
      </c>
      <c r="C1788" t="s">
        <v>2789</v>
      </c>
      <c r="D1788" s="4">
        <v>155.49</v>
      </c>
      <c r="E1788" t="s">
        <v>2790</v>
      </c>
      <c r="F1788" s="1">
        <v>7.1000000000000004E-3</v>
      </c>
      <c r="G1788" s="1">
        <v>4.0000000000000001E-3</v>
      </c>
      <c r="H1788" t="s">
        <v>87</v>
      </c>
      <c r="I1788" t="s">
        <v>2791</v>
      </c>
    </row>
    <row r="1789" spans="1:9" x14ac:dyDescent="0.3">
      <c r="A1789">
        <v>861</v>
      </c>
      <c r="B1789" t="s">
        <v>1891</v>
      </c>
      <c r="C1789" t="s">
        <v>2814</v>
      </c>
      <c r="D1789" s="4">
        <v>151.43</v>
      </c>
      <c r="E1789" t="s">
        <v>2815</v>
      </c>
      <c r="F1789" s="1">
        <v>-8.3999999999999995E-3</v>
      </c>
      <c r="G1789" s="1">
        <v>4.8999999999999998E-3</v>
      </c>
      <c r="H1789" t="s">
        <v>87</v>
      </c>
      <c r="I1789" t="s">
        <v>2816</v>
      </c>
    </row>
    <row r="1790" spans="1:9" x14ac:dyDescent="0.3">
      <c r="A1790">
        <v>909</v>
      </c>
      <c r="B1790" t="s">
        <v>24</v>
      </c>
      <c r="C1790" t="s">
        <v>2965</v>
      </c>
      <c r="D1790" s="4">
        <v>131.77000000000001</v>
      </c>
      <c r="E1790" t="s">
        <v>2966</v>
      </c>
      <c r="F1790" s="1">
        <v>-7.4000000000000003E-3</v>
      </c>
      <c r="G1790" s="1">
        <v>3.5000000000000001E-3</v>
      </c>
      <c r="H1790" t="s">
        <v>87</v>
      </c>
      <c r="I1790" t="s">
        <v>2967</v>
      </c>
    </row>
    <row r="1791" spans="1:9" x14ac:dyDescent="0.3">
      <c r="A1791">
        <v>925</v>
      </c>
      <c r="B1791" t="s">
        <v>979</v>
      </c>
      <c r="C1791" t="s">
        <v>3018</v>
      </c>
      <c r="D1791" s="4">
        <v>127.98</v>
      </c>
      <c r="E1791" t="s">
        <v>3019</v>
      </c>
      <c r="F1791" s="1">
        <v>-7.7600000000000002E-2</v>
      </c>
      <c r="G1791" s="1">
        <v>6.0000000000000001E-3</v>
      </c>
      <c r="H1791" t="s">
        <v>87</v>
      </c>
      <c r="I1791" t="s">
        <v>3020</v>
      </c>
    </row>
    <row r="1792" spans="1:9" x14ac:dyDescent="0.3">
      <c r="A1792">
        <v>1237</v>
      </c>
      <c r="B1792" t="s">
        <v>1864</v>
      </c>
      <c r="C1792" t="s">
        <v>4021</v>
      </c>
      <c r="D1792" s="4">
        <v>43.87</v>
      </c>
      <c r="E1792" t="s">
        <v>4022</v>
      </c>
      <c r="F1792" s="1">
        <v>-7.0099999999999996E-2</v>
      </c>
      <c r="G1792" s="1">
        <v>7.0000000000000001E-3</v>
      </c>
      <c r="H1792" t="s">
        <v>87</v>
      </c>
      <c r="I1792" t="s">
        <v>4023</v>
      </c>
    </row>
    <row r="1793" spans="1:9" x14ac:dyDescent="0.3">
      <c r="A1793">
        <v>1426</v>
      </c>
      <c r="B1793" t="s">
        <v>517</v>
      </c>
      <c r="C1793" t="s">
        <v>4633</v>
      </c>
      <c r="D1793" s="4">
        <v>23.49</v>
      </c>
      <c r="E1793" t="s">
        <v>4634</v>
      </c>
      <c r="F1793" s="1">
        <v>-9.9000000000000008E-3</v>
      </c>
      <c r="G1793" s="1">
        <v>6.7999999999999996E-3</v>
      </c>
      <c r="H1793" t="s">
        <v>87</v>
      </c>
      <c r="I1793" t="s">
        <v>4635</v>
      </c>
    </row>
    <row r="1794" spans="1:9" x14ac:dyDescent="0.3">
      <c r="A1794">
        <v>1466</v>
      </c>
      <c r="B1794" t="s">
        <v>3537</v>
      </c>
      <c r="C1794" t="s">
        <v>4762</v>
      </c>
      <c r="D1794" s="4">
        <v>20.82</v>
      </c>
      <c r="E1794" t="s">
        <v>4763</v>
      </c>
      <c r="F1794" s="1">
        <v>-3.9E-2</v>
      </c>
      <c r="G1794" s="1">
        <v>2.5000000000000001E-3</v>
      </c>
      <c r="H1794" t="s">
        <v>87</v>
      </c>
      <c r="I1794" t="s">
        <v>4764</v>
      </c>
    </row>
    <row r="1795" spans="1:9" x14ac:dyDescent="0.3">
      <c r="A1795">
        <v>1602</v>
      </c>
      <c r="B1795" t="s">
        <v>2709</v>
      </c>
      <c r="C1795" t="s">
        <v>5182</v>
      </c>
      <c r="D1795" s="4">
        <v>11.88</v>
      </c>
      <c r="E1795" t="s">
        <v>5183</v>
      </c>
      <c r="F1795" s="1">
        <v>-1.77E-2</v>
      </c>
      <c r="G1795" s="1">
        <v>6.4999999999999997E-3</v>
      </c>
      <c r="H1795" t="s">
        <v>87</v>
      </c>
      <c r="I1795" t="s">
        <v>5184</v>
      </c>
    </row>
    <row r="1796" spans="1:9" x14ac:dyDescent="0.3">
      <c r="A1796">
        <v>150</v>
      </c>
      <c r="B1796" t="s">
        <v>7</v>
      </c>
      <c r="C1796" t="s">
        <v>528</v>
      </c>
      <c r="D1796" s="4">
        <f>5.46*1000</f>
        <v>5460</v>
      </c>
      <c r="E1796" t="s">
        <v>529</v>
      </c>
      <c r="F1796" s="1">
        <v>2.0000000000000001E-4</v>
      </c>
      <c r="G1796" s="1">
        <v>3.5000000000000001E-3</v>
      </c>
      <c r="H1796" t="s">
        <v>530</v>
      </c>
      <c r="I1796" t="s">
        <v>531</v>
      </c>
    </row>
    <row r="1797" spans="1:9" x14ac:dyDescent="0.3">
      <c r="A1797">
        <v>320</v>
      </c>
      <c r="B1797" t="s">
        <v>12</v>
      </c>
      <c r="C1797" t="s">
        <v>1073</v>
      </c>
      <c r="D1797" s="4">
        <f>1.44*1000</f>
        <v>1440</v>
      </c>
      <c r="E1797" t="s">
        <v>1069</v>
      </c>
      <c r="F1797" s="1">
        <v>-4.2900000000000001E-2</v>
      </c>
      <c r="G1797" s="1">
        <v>4.1000000000000003E-3</v>
      </c>
      <c r="H1797" t="s">
        <v>530</v>
      </c>
      <c r="I1797" t="s">
        <v>1074</v>
      </c>
    </row>
    <row r="1798" spans="1:9" x14ac:dyDescent="0.3">
      <c r="A1798">
        <v>936</v>
      </c>
      <c r="B1798" t="s">
        <v>280</v>
      </c>
      <c r="C1798" t="s">
        <v>3052</v>
      </c>
      <c r="D1798" s="4">
        <v>124.64</v>
      </c>
      <c r="E1798" t="s">
        <v>3053</v>
      </c>
      <c r="F1798" s="1">
        <v>1.7399999999999999E-2</v>
      </c>
      <c r="G1798" s="1">
        <v>6.0000000000000001E-3</v>
      </c>
      <c r="H1798" t="s">
        <v>530</v>
      </c>
      <c r="I1798" t="s">
        <v>3054</v>
      </c>
    </row>
    <row r="1799" spans="1:9" x14ac:dyDescent="0.3">
      <c r="A1799">
        <v>1060</v>
      </c>
      <c r="B1799" t="s">
        <v>24</v>
      </c>
      <c r="C1799" t="s">
        <v>3452</v>
      </c>
      <c r="D1799" s="4">
        <v>82.91</v>
      </c>
      <c r="E1799" t="s">
        <v>3453</v>
      </c>
      <c r="F1799" s="1">
        <v>1.7000000000000001E-2</v>
      </c>
      <c r="G1799" s="1">
        <v>3.5000000000000001E-3</v>
      </c>
      <c r="H1799" t="s">
        <v>530</v>
      </c>
      <c r="I1799" t="s">
        <v>3454</v>
      </c>
    </row>
    <row r="1800" spans="1:9" x14ac:dyDescent="0.3">
      <c r="A1800">
        <v>127</v>
      </c>
      <c r="B1800" t="s">
        <v>116</v>
      </c>
      <c r="C1800" t="s">
        <v>449</v>
      </c>
      <c r="D1800" s="4">
        <f>6.62*1000</f>
        <v>6620</v>
      </c>
      <c r="E1800" t="s">
        <v>450</v>
      </c>
      <c r="F1800" s="1">
        <v>-9.9000000000000008E-3</v>
      </c>
      <c r="G1800" s="1">
        <v>6.9999999999999999E-4</v>
      </c>
      <c r="H1800" t="s">
        <v>451</v>
      </c>
      <c r="I1800" t="s">
        <v>452</v>
      </c>
    </row>
    <row r="1801" spans="1:9" x14ac:dyDescent="0.3">
      <c r="A1801">
        <v>232</v>
      </c>
      <c r="B1801" t="s">
        <v>12</v>
      </c>
      <c r="C1801" t="s">
        <v>799</v>
      </c>
      <c r="D1801" s="4">
        <f>2.72*1000</f>
        <v>2720</v>
      </c>
      <c r="E1801" t="s">
        <v>800</v>
      </c>
      <c r="F1801" s="1">
        <v>-2E-3</v>
      </c>
      <c r="G1801" s="1">
        <v>3.3E-3</v>
      </c>
      <c r="H1801" t="s">
        <v>451</v>
      </c>
      <c r="I1801" t="s">
        <v>801</v>
      </c>
    </row>
    <row r="1802" spans="1:9" x14ac:dyDescent="0.3">
      <c r="A1802">
        <v>244</v>
      </c>
      <c r="B1802" t="s">
        <v>12</v>
      </c>
      <c r="C1802" t="s">
        <v>836</v>
      </c>
      <c r="D1802" s="4">
        <f>2.47*1000</f>
        <v>2470</v>
      </c>
      <c r="E1802" t="s">
        <v>837</v>
      </c>
      <c r="F1802" s="1">
        <v>2.5000000000000001E-3</v>
      </c>
      <c r="G1802" s="1">
        <v>8.0000000000000004E-4</v>
      </c>
      <c r="H1802" t="s">
        <v>451</v>
      </c>
      <c r="I1802" t="s">
        <v>838</v>
      </c>
    </row>
    <row r="1803" spans="1:9" x14ac:dyDescent="0.3">
      <c r="A1803">
        <v>268</v>
      </c>
      <c r="B1803" t="s">
        <v>7</v>
      </c>
      <c r="C1803" t="s">
        <v>914</v>
      </c>
      <c r="D1803" s="4">
        <f>1.98*1000</f>
        <v>1980</v>
      </c>
      <c r="E1803" t="s">
        <v>915</v>
      </c>
      <c r="F1803" s="1">
        <v>1.01E-2</v>
      </c>
      <c r="G1803" s="1">
        <v>2.5000000000000001E-3</v>
      </c>
      <c r="H1803" t="s">
        <v>451</v>
      </c>
      <c r="I1803" t="s">
        <v>916</v>
      </c>
    </row>
    <row r="1804" spans="1:9" x14ac:dyDescent="0.3">
      <c r="A1804">
        <v>319</v>
      </c>
      <c r="B1804" t="s">
        <v>332</v>
      </c>
      <c r="C1804" t="s">
        <v>1071</v>
      </c>
      <c r="D1804" s="4">
        <f>1.44*1000</f>
        <v>1440</v>
      </c>
      <c r="E1804" t="s">
        <v>1069</v>
      </c>
      <c r="F1804" s="1">
        <v>5.9999999999999995E-4</v>
      </c>
      <c r="G1804" s="1">
        <v>1.1000000000000001E-3</v>
      </c>
      <c r="H1804" t="s">
        <v>451</v>
      </c>
      <c r="I1804" t="s">
        <v>1072</v>
      </c>
    </row>
    <row r="1805" spans="1:9" x14ac:dyDescent="0.3">
      <c r="A1805">
        <v>675</v>
      </c>
      <c r="B1805" t="s">
        <v>24</v>
      </c>
      <c r="C1805" t="s">
        <v>2210</v>
      </c>
      <c r="D1805" s="4">
        <v>315.8</v>
      </c>
      <c r="E1805" t="s">
        <v>2211</v>
      </c>
      <c r="F1805" s="1">
        <v>1.0999999999999999E-2</v>
      </c>
      <c r="G1805" s="1">
        <v>3.5000000000000001E-3</v>
      </c>
      <c r="H1805" t="s">
        <v>451</v>
      </c>
      <c r="I1805" t="s">
        <v>2212</v>
      </c>
    </row>
    <row r="1806" spans="1:9" x14ac:dyDescent="0.3">
      <c r="A1806">
        <v>740</v>
      </c>
      <c r="B1806" t="s">
        <v>280</v>
      </c>
      <c r="C1806" t="s">
        <v>2427</v>
      </c>
      <c r="D1806" s="4">
        <v>230.13</v>
      </c>
      <c r="E1806" t="s">
        <v>2428</v>
      </c>
      <c r="F1806" s="1">
        <v>6.9999999999999999E-4</v>
      </c>
      <c r="G1806" s="1">
        <v>5.0000000000000001E-3</v>
      </c>
      <c r="H1806" t="s">
        <v>451</v>
      </c>
      <c r="I1806" t="s">
        <v>2429</v>
      </c>
    </row>
    <row r="1807" spans="1:9" x14ac:dyDescent="0.3">
      <c r="A1807">
        <v>941</v>
      </c>
      <c r="B1807" t="s">
        <v>780</v>
      </c>
      <c r="C1807" t="s">
        <v>3069</v>
      </c>
      <c r="D1807" s="4">
        <v>123.64</v>
      </c>
      <c r="E1807" t="s">
        <v>3070</v>
      </c>
      <c r="F1807" s="1">
        <v>9.4999999999999998E-3</v>
      </c>
      <c r="G1807" s="1">
        <v>3.5000000000000001E-3</v>
      </c>
      <c r="H1807" t="s">
        <v>451</v>
      </c>
      <c r="I1807" t="s">
        <v>3071</v>
      </c>
    </row>
    <row r="1808" spans="1:9" x14ac:dyDescent="0.3">
      <c r="A1808">
        <v>1380</v>
      </c>
      <c r="B1808" t="s">
        <v>517</v>
      </c>
      <c r="C1808" t="s">
        <v>4485</v>
      </c>
      <c r="D1808" s="4">
        <v>27.09</v>
      </c>
      <c r="E1808" t="s">
        <v>4486</v>
      </c>
      <c r="F1808" s="1">
        <v>-1.6E-2</v>
      </c>
      <c r="G1808" s="1">
        <v>3.5000000000000001E-3</v>
      </c>
      <c r="H1808" t="s">
        <v>451</v>
      </c>
      <c r="I1808" t="s">
        <v>4487</v>
      </c>
    </row>
    <row r="1809" spans="1:9" x14ac:dyDescent="0.3">
      <c r="A1809">
        <v>1046</v>
      </c>
      <c r="B1809" t="s">
        <v>588</v>
      </c>
      <c r="C1809" t="s">
        <v>3405</v>
      </c>
      <c r="D1809" s="4">
        <v>87</v>
      </c>
      <c r="E1809" t="s">
        <v>3406</v>
      </c>
      <c r="F1809" s="1">
        <v>-0.1615</v>
      </c>
      <c r="G1809" s="1">
        <v>4.4999999999999997E-3</v>
      </c>
      <c r="H1809" t="s">
        <v>3407</v>
      </c>
      <c r="I1809" t="s">
        <v>3408</v>
      </c>
    </row>
    <row r="1810" spans="1:9" x14ac:dyDescent="0.3">
      <c r="A1810">
        <v>1905</v>
      </c>
      <c r="B1810" t="s">
        <v>6113</v>
      </c>
      <c r="C1810" t="s">
        <v>6121</v>
      </c>
      <c r="D1810" s="4" t="s">
        <v>662</v>
      </c>
      <c r="E1810" t="s">
        <v>662</v>
      </c>
      <c r="F1810" s="1">
        <v>-0.31659999999999999</v>
      </c>
      <c r="G1810" s="1">
        <v>5.7999999999999996E-3</v>
      </c>
      <c r="H1810" t="s">
        <v>876</v>
      </c>
      <c r="I1810" t="s">
        <v>6122</v>
      </c>
    </row>
    <row r="1811" spans="1:9" x14ac:dyDescent="0.3">
      <c r="A1811">
        <v>255</v>
      </c>
      <c r="B1811" t="s">
        <v>280</v>
      </c>
      <c r="C1811" t="s">
        <v>874</v>
      </c>
      <c r="D1811" s="4">
        <f>2.25*1000</f>
        <v>2250</v>
      </c>
      <c r="E1811" t="s">
        <v>875</v>
      </c>
      <c r="F1811" s="1">
        <v>-0.19689999999999999</v>
      </c>
      <c r="G1811" s="1">
        <v>6.0000000000000001E-3</v>
      </c>
      <c r="H1811" t="s">
        <v>876</v>
      </c>
      <c r="I1811" t="s">
        <v>877</v>
      </c>
    </row>
    <row r="1812" spans="1:9" x14ac:dyDescent="0.3">
      <c r="A1812">
        <v>476</v>
      </c>
      <c r="B1812" t="s">
        <v>517</v>
      </c>
      <c r="C1812" t="s">
        <v>1550</v>
      </c>
      <c r="D1812" s="4">
        <v>718.03</v>
      </c>
      <c r="E1812" t="s">
        <v>1551</v>
      </c>
      <c r="F1812" s="1">
        <v>-0.27810000000000001</v>
      </c>
      <c r="G1812" s="1">
        <v>5.4999999999999997E-3</v>
      </c>
      <c r="H1812" t="s">
        <v>876</v>
      </c>
      <c r="I1812" t="s">
        <v>1552</v>
      </c>
    </row>
    <row r="1813" spans="1:9" x14ac:dyDescent="0.3">
      <c r="A1813">
        <v>684</v>
      </c>
      <c r="B1813" t="s">
        <v>7</v>
      </c>
      <c r="C1813" t="s">
        <v>2239</v>
      </c>
      <c r="D1813" s="4">
        <v>303.5</v>
      </c>
      <c r="E1813" t="s">
        <v>2240</v>
      </c>
      <c r="F1813" s="1">
        <v>-0.22819999999999999</v>
      </c>
      <c r="G1813" s="1">
        <v>4.4999999999999997E-3</v>
      </c>
      <c r="H1813" t="s">
        <v>876</v>
      </c>
      <c r="I1813" t="s">
        <v>2241</v>
      </c>
    </row>
    <row r="1814" spans="1:9" x14ac:dyDescent="0.3">
      <c r="A1814">
        <v>1797</v>
      </c>
      <c r="B1814" t="s">
        <v>1289</v>
      </c>
      <c r="C1814" t="s">
        <v>5779</v>
      </c>
      <c r="D1814" s="4">
        <v>3.68</v>
      </c>
      <c r="E1814" t="s">
        <v>5780</v>
      </c>
      <c r="F1814" s="1">
        <v>-7.4999999999999997E-2</v>
      </c>
      <c r="G1814" s="1">
        <v>9.9000000000000008E-3</v>
      </c>
      <c r="H1814" t="s">
        <v>5781</v>
      </c>
      <c r="I1814" t="s">
        <v>5782</v>
      </c>
    </row>
    <row r="1815" spans="1:9" x14ac:dyDescent="0.3">
      <c r="A1815">
        <v>1900</v>
      </c>
      <c r="B1815" t="s">
        <v>5217</v>
      </c>
      <c r="C1815" t="s">
        <v>6108</v>
      </c>
      <c r="D1815" s="4" t="s">
        <v>662</v>
      </c>
      <c r="E1815" t="s">
        <v>662</v>
      </c>
      <c r="F1815" t="s">
        <v>662</v>
      </c>
      <c r="G1815" s="1">
        <v>8.9999999999999993E-3</v>
      </c>
      <c r="H1815" t="s">
        <v>4341</v>
      </c>
      <c r="I1815" t="s">
        <v>6109</v>
      </c>
    </row>
    <row r="1816" spans="1:9" x14ac:dyDescent="0.3">
      <c r="A1816">
        <v>1334</v>
      </c>
      <c r="B1816" t="s">
        <v>3982</v>
      </c>
      <c r="C1816" t="s">
        <v>4339</v>
      </c>
      <c r="D1816" s="4">
        <v>32.03</v>
      </c>
      <c r="E1816" t="s">
        <v>4340</v>
      </c>
      <c r="F1816" s="1">
        <v>-0.27329999999999999</v>
      </c>
      <c r="G1816" s="1">
        <v>6.7999999999999996E-3</v>
      </c>
      <c r="H1816" t="s">
        <v>4341</v>
      </c>
      <c r="I1816" t="s">
        <v>4342</v>
      </c>
    </row>
    <row r="1817" spans="1:9" x14ac:dyDescent="0.3">
      <c r="A1817">
        <v>99</v>
      </c>
      <c r="B1817" t="s">
        <v>12</v>
      </c>
      <c r="C1817" t="s">
        <v>352</v>
      </c>
      <c r="D1817" s="4">
        <f>8.83*1000</f>
        <v>8830</v>
      </c>
      <c r="E1817" t="s">
        <v>353</v>
      </c>
      <c r="F1817" s="1">
        <v>1.37E-2</v>
      </c>
      <c r="G1817" s="1">
        <v>4.3E-3</v>
      </c>
      <c r="H1817" t="s">
        <v>354</v>
      </c>
      <c r="I1817" t="s">
        <v>355</v>
      </c>
    </row>
    <row r="1818" spans="1:9" x14ac:dyDescent="0.3">
      <c r="A1818">
        <v>331</v>
      </c>
      <c r="B1818" t="s">
        <v>7</v>
      </c>
      <c r="C1818" t="s">
        <v>1104</v>
      </c>
      <c r="D1818" s="4">
        <f>1.35*1000</f>
        <v>1350</v>
      </c>
      <c r="E1818" t="s">
        <v>1105</v>
      </c>
      <c r="F1818" s="1">
        <v>-5.3100000000000001E-2</v>
      </c>
      <c r="G1818" s="1">
        <v>3.5000000000000001E-3</v>
      </c>
      <c r="H1818" t="s">
        <v>354</v>
      </c>
      <c r="I1818" t="s">
        <v>1106</v>
      </c>
    </row>
    <row r="1819" spans="1:9" x14ac:dyDescent="0.3">
      <c r="A1819">
        <v>460</v>
      </c>
      <c r="B1819" t="s">
        <v>24</v>
      </c>
      <c r="C1819" t="s">
        <v>1501</v>
      </c>
      <c r="D1819" s="4">
        <v>769.31</v>
      </c>
      <c r="E1819" t="s">
        <v>1502</v>
      </c>
      <c r="F1819" s="1">
        <v>-2.63E-2</v>
      </c>
      <c r="G1819" s="1">
        <v>5.5999999999999999E-3</v>
      </c>
      <c r="H1819" t="s">
        <v>354</v>
      </c>
      <c r="I1819" t="s">
        <v>1503</v>
      </c>
    </row>
    <row r="1820" spans="1:9" x14ac:dyDescent="0.3">
      <c r="A1820">
        <v>990</v>
      </c>
      <c r="B1820" t="s">
        <v>280</v>
      </c>
      <c r="C1820" t="s">
        <v>3227</v>
      </c>
      <c r="D1820" s="4">
        <v>102.96</v>
      </c>
      <c r="E1820" t="s">
        <v>3228</v>
      </c>
      <c r="F1820" s="1">
        <v>-3.8E-3</v>
      </c>
      <c r="G1820" s="1">
        <v>6.0000000000000001E-3</v>
      </c>
      <c r="H1820" t="s">
        <v>354</v>
      </c>
      <c r="I1820" t="s">
        <v>3229</v>
      </c>
    </row>
    <row r="1821" spans="1:9" x14ac:dyDescent="0.3">
      <c r="A1821">
        <v>1195</v>
      </c>
      <c r="B1821" t="s">
        <v>24</v>
      </c>
      <c r="C1821" t="s">
        <v>3890</v>
      </c>
      <c r="D1821" s="4">
        <v>50.8</v>
      </c>
      <c r="E1821" t="s">
        <v>3891</v>
      </c>
      <c r="F1821" s="1">
        <v>7.6E-3</v>
      </c>
      <c r="G1821" s="1">
        <v>0</v>
      </c>
      <c r="H1821" t="s">
        <v>354</v>
      </c>
      <c r="I1821" t="s">
        <v>3892</v>
      </c>
    </row>
    <row r="1822" spans="1:9" x14ac:dyDescent="0.3">
      <c r="A1822">
        <v>695</v>
      </c>
      <c r="B1822" t="s">
        <v>24</v>
      </c>
      <c r="C1822" t="s">
        <v>2277</v>
      </c>
      <c r="D1822" s="4">
        <v>283.63</v>
      </c>
      <c r="E1822" t="s">
        <v>2278</v>
      </c>
      <c r="F1822" s="1">
        <v>-0.26379999999999998</v>
      </c>
      <c r="G1822" s="1">
        <v>5.5999999999999999E-3</v>
      </c>
      <c r="H1822" t="s">
        <v>2279</v>
      </c>
      <c r="I1822" t="s">
        <v>2280</v>
      </c>
    </row>
    <row r="1823" spans="1:9" x14ac:dyDescent="0.3">
      <c r="A1823">
        <v>158</v>
      </c>
      <c r="B1823" t="s">
        <v>280</v>
      </c>
      <c r="C1823" t="s">
        <v>556</v>
      </c>
      <c r="D1823" s="4">
        <f>5.12*1000</f>
        <v>5120</v>
      </c>
      <c r="E1823" t="s">
        <v>553</v>
      </c>
      <c r="F1823" s="1">
        <v>-0.22220000000000001</v>
      </c>
      <c r="G1823" s="1">
        <v>6.0000000000000001E-3</v>
      </c>
      <c r="H1823" t="s">
        <v>557</v>
      </c>
      <c r="I1823" t="s">
        <v>558</v>
      </c>
    </row>
    <row r="1824" spans="1:9" x14ac:dyDescent="0.3">
      <c r="A1824">
        <v>419</v>
      </c>
      <c r="B1824" t="s">
        <v>440</v>
      </c>
      <c r="C1824" t="s">
        <v>1370</v>
      </c>
      <c r="D1824" s="4">
        <v>895.65</v>
      </c>
      <c r="E1824" t="s">
        <v>1371</v>
      </c>
      <c r="F1824" s="1">
        <v>-0.34320000000000001</v>
      </c>
      <c r="G1824" s="1">
        <v>4.4999999999999997E-3</v>
      </c>
      <c r="H1824" t="s">
        <v>557</v>
      </c>
      <c r="I1824" t="s">
        <v>1372</v>
      </c>
    </row>
    <row r="1825" spans="1:9" x14ac:dyDescent="0.3">
      <c r="A1825">
        <v>672</v>
      </c>
      <c r="B1825" t="s">
        <v>7</v>
      </c>
      <c r="C1825" t="s">
        <v>2201</v>
      </c>
      <c r="D1825" s="4">
        <v>317.11</v>
      </c>
      <c r="E1825" t="s">
        <v>2202</v>
      </c>
      <c r="F1825" s="1">
        <v>-0.2195</v>
      </c>
      <c r="G1825" s="1">
        <v>3.5000000000000001E-3</v>
      </c>
      <c r="H1825" t="s">
        <v>557</v>
      </c>
      <c r="I1825" t="s">
        <v>2203</v>
      </c>
    </row>
    <row r="1826" spans="1:9" x14ac:dyDescent="0.3">
      <c r="A1826">
        <v>1480</v>
      </c>
      <c r="B1826" t="s">
        <v>7</v>
      </c>
      <c r="C1826" t="s">
        <v>4805</v>
      </c>
      <c r="D1826" s="4">
        <v>20.16</v>
      </c>
      <c r="E1826" t="s">
        <v>4806</v>
      </c>
      <c r="F1826" s="1">
        <v>-8.0100000000000005E-2</v>
      </c>
      <c r="G1826" s="1">
        <v>4.4999999999999997E-3</v>
      </c>
      <c r="H1826" t="s">
        <v>4807</v>
      </c>
      <c r="I1826" t="s">
        <v>4808</v>
      </c>
    </row>
    <row r="1827" spans="1:9" x14ac:dyDescent="0.3">
      <c r="A1827">
        <v>327</v>
      </c>
      <c r="B1827" t="s">
        <v>941</v>
      </c>
      <c r="C1827" t="s">
        <v>1092</v>
      </c>
      <c r="D1827" s="4">
        <f>1.39*1000</f>
        <v>1390</v>
      </c>
      <c r="E1827" t="s">
        <v>1093</v>
      </c>
      <c r="F1827" s="1">
        <v>-8.09E-2</v>
      </c>
      <c r="G1827" s="1">
        <v>6.0000000000000001E-3</v>
      </c>
      <c r="H1827" t="s">
        <v>1094</v>
      </c>
      <c r="I1827" t="s">
        <v>1095</v>
      </c>
    </row>
    <row r="1828" spans="1:9" x14ac:dyDescent="0.3">
      <c r="A1828">
        <v>542</v>
      </c>
      <c r="B1828" t="s">
        <v>12</v>
      </c>
      <c r="C1828" t="s">
        <v>1766</v>
      </c>
      <c r="D1828" s="4">
        <v>518.36</v>
      </c>
      <c r="E1828" t="s">
        <v>1767</v>
      </c>
      <c r="F1828" s="1">
        <v>-5.6800000000000003E-2</v>
      </c>
      <c r="G1828" s="1">
        <v>4.1999999999999997E-3</v>
      </c>
      <c r="H1828" t="s">
        <v>1768</v>
      </c>
      <c r="I1828" t="s">
        <v>1769</v>
      </c>
    </row>
    <row r="1829" spans="1:9" x14ac:dyDescent="0.3">
      <c r="A1829">
        <v>1109</v>
      </c>
      <c r="B1829" t="s">
        <v>7</v>
      </c>
      <c r="C1829" t="s">
        <v>3611</v>
      </c>
      <c r="D1829" s="4">
        <v>71.47</v>
      </c>
      <c r="E1829" t="s">
        <v>3612</v>
      </c>
      <c r="F1829" s="1">
        <v>-7.3499999999999996E-2</v>
      </c>
      <c r="G1829" s="1">
        <v>3.5000000000000001E-3</v>
      </c>
      <c r="H1829" t="s">
        <v>1768</v>
      </c>
      <c r="I1829" t="s">
        <v>3613</v>
      </c>
    </row>
    <row r="1830" spans="1:9" x14ac:dyDescent="0.3">
      <c r="A1830">
        <v>296</v>
      </c>
      <c r="B1830" t="s">
        <v>12</v>
      </c>
      <c r="C1830" t="s">
        <v>1004</v>
      </c>
      <c r="D1830" s="4">
        <f>1.69*1000</f>
        <v>1690</v>
      </c>
      <c r="E1830" t="s">
        <v>1005</v>
      </c>
      <c r="F1830" s="1">
        <v>-2.86E-2</v>
      </c>
      <c r="G1830" s="1">
        <v>4.1999999999999997E-3</v>
      </c>
      <c r="H1830" t="s">
        <v>1006</v>
      </c>
      <c r="I1830" t="s">
        <v>1007</v>
      </c>
    </row>
    <row r="1831" spans="1:9" x14ac:dyDescent="0.3">
      <c r="A1831">
        <v>356</v>
      </c>
      <c r="B1831" t="s">
        <v>280</v>
      </c>
      <c r="C1831" t="s">
        <v>1177</v>
      </c>
      <c r="D1831" s="4">
        <f>1.17*1000</f>
        <v>1170</v>
      </c>
      <c r="E1831" t="s">
        <v>1178</v>
      </c>
      <c r="F1831" s="1">
        <v>-3.1600000000000003E-2</v>
      </c>
      <c r="G1831" s="1">
        <v>6.0000000000000001E-3</v>
      </c>
      <c r="H1831" t="s">
        <v>1006</v>
      </c>
      <c r="I1831" t="s">
        <v>1179</v>
      </c>
    </row>
    <row r="1832" spans="1:9" x14ac:dyDescent="0.3">
      <c r="A1832">
        <v>452</v>
      </c>
      <c r="B1832" t="s">
        <v>7</v>
      </c>
      <c r="C1832" t="s">
        <v>1475</v>
      </c>
      <c r="D1832" s="4">
        <v>792.91</v>
      </c>
      <c r="E1832" t="s">
        <v>1476</v>
      </c>
      <c r="F1832" s="1">
        <v>-6.5199999999999994E-2</v>
      </c>
      <c r="G1832" s="1">
        <v>3.5000000000000001E-3</v>
      </c>
      <c r="H1832" t="s">
        <v>1006</v>
      </c>
      <c r="I1832" t="s">
        <v>1477</v>
      </c>
    </row>
    <row r="1833" spans="1:9" x14ac:dyDescent="0.3">
      <c r="A1833">
        <v>1941</v>
      </c>
      <c r="B1833" t="s">
        <v>5707</v>
      </c>
      <c r="C1833" t="s">
        <v>6195</v>
      </c>
      <c r="D1833" s="4" t="s">
        <v>662</v>
      </c>
      <c r="E1833" t="s">
        <v>662</v>
      </c>
      <c r="F1833" s="1">
        <v>3.5700000000000003E-2</v>
      </c>
      <c r="G1833" s="1">
        <v>4.8999999999999998E-3</v>
      </c>
      <c r="H1833" t="s">
        <v>264</v>
      </c>
      <c r="I1833" t="s">
        <v>6196</v>
      </c>
    </row>
    <row r="1834" spans="1:9" x14ac:dyDescent="0.3">
      <c r="A1834">
        <v>73</v>
      </c>
      <c r="B1834" t="s">
        <v>7</v>
      </c>
      <c r="C1834" t="s">
        <v>262</v>
      </c>
      <c r="D1834" s="4">
        <f>13.09*1000</f>
        <v>13090</v>
      </c>
      <c r="E1834" t="s">
        <v>263</v>
      </c>
      <c r="F1834" s="1">
        <v>3.6900000000000002E-2</v>
      </c>
      <c r="G1834" s="1">
        <v>1.1999999999999999E-3</v>
      </c>
      <c r="H1834" t="s">
        <v>264</v>
      </c>
      <c r="I1834" t="s">
        <v>265</v>
      </c>
    </row>
    <row r="1835" spans="1:9" x14ac:dyDescent="0.3">
      <c r="A1835">
        <v>152</v>
      </c>
      <c r="B1835" t="s">
        <v>16</v>
      </c>
      <c r="C1835" t="s">
        <v>535</v>
      </c>
      <c r="D1835" s="4">
        <f>5.39*1000</f>
        <v>5390</v>
      </c>
      <c r="E1835" t="s">
        <v>536</v>
      </c>
      <c r="F1835" s="1">
        <v>3.49E-2</v>
      </c>
      <c r="G1835" s="1">
        <v>1E-3</v>
      </c>
      <c r="H1835" t="s">
        <v>264</v>
      </c>
      <c r="I1835" t="s">
        <v>537</v>
      </c>
    </row>
    <row r="1836" spans="1:9" x14ac:dyDescent="0.3">
      <c r="A1836">
        <v>352</v>
      </c>
      <c r="B1836" t="s">
        <v>460</v>
      </c>
      <c r="C1836" t="s">
        <v>1166</v>
      </c>
      <c r="D1836" s="4">
        <f>1.2*1000</f>
        <v>1200</v>
      </c>
      <c r="E1836" t="s">
        <v>1164</v>
      </c>
      <c r="F1836" s="1">
        <v>3.56E-2</v>
      </c>
      <c r="G1836" s="1">
        <v>8.0000000000000004E-4</v>
      </c>
      <c r="H1836" t="s">
        <v>264</v>
      </c>
      <c r="I1836" t="s">
        <v>1167</v>
      </c>
    </row>
    <row r="1837" spans="1:9" x14ac:dyDescent="0.3">
      <c r="A1837">
        <v>433</v>
      </c>
      <c r="B1837" t="s">
        <v>12</v>
      </c>
      <c r="C1837" t="s">
        <v>1415</v>
      </c>
      <c r="D1837" s="4">
        <v>837.04</v>
      </c>
      <c r="E1837" t="s">
        <v>1416</v>
      </c>
      <c r="F1837" s="1">
        <v>2.2599999999999999E-2</v>
      </c>
      <c r="G1837" s="1">
        <v>4.3E-3</v>
      </c>
      <c r="H1837" t="s">
        <v>264</v>
      </c>
      <c r="I1837" t="s">
        <v>1417</v>
      </c>
    </row>
    <row r="1838" spans="1:9" x14ac:dyDescent="0.3">
      <c r="A1838">
        <v>746</v>
      </c>
      <c r="B1838" t="s">
        <v>24</v>
      </c>
      <c r="C1838" t="s">
        <v>2445</v>
      </c>
      <c r="D1838" s="4">
        <v>224.09</v>
      </c>
      <c r="E1838" t="s">
        <v>2446</v>
      </c>
      <c r="F1838" s="1">
        <v>4.82E-2</v>
      </c>
      <c r="G1838" s="1">
        <v>4.0000000000000001E-3</v>
      </c>
      <c r="H1838" t="s">
        <v>264</v>
      </c>
      <c r="I1838" t="s">
        <v>2447</v>
      </c>
    </row>
    <row r="1839" spans="1:9" x14ac:dyDescent="0.3">
      <c r="A1839">
        <v>799</v>
      </c>
      <c r="B1839" t="s">
        <v>280</v>
      </c>
      <c r="C1839" t="s">
        <v>2615</v>
      </c>
      <c r="D1839" s="4">
        <v>191.52</v>
      </c>
      <c r="E1839" t="s">
        <v>2616</v>
      </c>
      <c r="F1839" s="1">
        <v>3.2399999999999998E-2</v>
      </c>
      <c r="G1839" s="1">
        <v>6.1999999999999998E-3</v>
      </c>
      <c r="H1839" t="s">
        <v>264</v>
      </c>
      <c r="I1839" t="s">
        <v>2617</v>
      </c>
    </row>
    <row r="1840" spans="1:9" x14ac:dyDescent="0.3">
      <c r="A1840">
        <v>1233</v>
      </c>
      <c r="B1840" t="s">
        <v>24</v>
      </c>
      <c r="C1840" t="s">
        <v>4008</v>
      </c>
      <c r="D1840" s="4">
        <v>44.66</v>
      </c>
      <c r="E1840" t="s">
        <v>4009</v>
      </c>
      <c r="F1840" s="1">
        <v>1.1900000000000001E-2</v>
      </c>
      <c r="G1840" s="1">
        <v>6.0000000000000001E-3</v>
      </c>
      <c r="H1840" t="s">
        <v>264</v>
      </c>
      <c r="I1840" t="s">
        <v>4010</v>
      </c>
    </row>
    <row r="1841" spans="1:9" x14ac:dyDescent="0.3">
      <c r="A1841">
        <v>1511</v>
      </c>
      <c r="B1841" t="s">
        <v>839</v>
      </c>
      <c r="C1841" t="s">
        <v>4900</v>
      </c>
      <c r="D1841" s="4">
        <v>17.87</v>
      </c>
      <c r="E1841" t="s">
        <v>4895</v>
      </c>
      <c r="F1841" s="1">
        <v>4.4699999999999997E-2</v>
      </c>
      <c r="G1841" s="1">
        <v>4.0000000000000001E-3</v>
      </c>
      <c r="H1841" t="s">
        <v>264</v>
      </c>
      <c r="I1841" t="s">
        <v>4901</v>
      </c>
    </row>
    <row r="1842" spans="1:9" x14ac:dyDescent="0.3">
      <c r="A1842">
        <v>278</v>
      </c>
      <c r="B1842" t="s">
        <v>24</v>
      </c>
      <c r="C1842" t="s">
        <v>947</v>
      </c>
      <c r="D1842" s="4">
        <f>1.87*1000</f>
        <v>1870</v>
      </c>
      <c r="E1842" t="s">
        <v>948</v>
      </c>
      <c r="F1842" s="1">
        <v>-7.0800000000000002E-2</v>
      </c>
      <c r="G1842" s="1">
        <v>6.0000000000000001E-3</v>
      </c>
      <c r="H1842" t="s">
        <v>949</v>
      </c>
      <c r="I1842" t="s">
        <v>950</v>
      </c>
    </row>
    <row r="1843" spans="1:9" x14ac:dyDescent="0.3">
      <c r="A1843">
        <v>324</v>
      </c>
      <c r="B1843" t="s">
        <v>280</v>
      </c>
      <c r="C1843" t="s">
        <v>1084</v>
      </c>
      <c r="D1843" s="4">
        <f>1.42*1000</f>
        <v>1420</v>
      </c>
      <c r="E1843" t="s">
        <v>1082</v>
      </c>
      <c r="F1843" s="1">
        <v>-6.4799999999999996E-2</v>
      </c>
      <c r="G1843" s="1">
        <v>5.4000000000000003E-3</v>
      </c>
      <c r="H1843" t="s">
        <v>949</v>
      </c>
      <c r="I1843" t="s">
        <v>1085</v>
      </c>
    </row>
    <row r="1844" spans="1:9" x14ac:dyDescent="0.3">
      <c r="A1844">
        <v>1318</v>
      </c>
      <c r="B1844" t="s">
        <v>12</v>
      </c>
      <c r="C1844" t="s">
        <v>4286</v>
      </c>
      <c r="D1844" s="4">
        <v>33.82</v>
      </c>
      <c r="E1844" t="s">
        <v>4287</v>
      </c>
      <c r="F1844" s="1">
        <v>0.14729999999999999</v>
      </c>
      <c r="G1844" s="1">
        <v>5.8999999999999999E-3</v>
      </c>
      <c r="H1844" t="s">
        <v>4288</v>
      </c>
      <c r="I1844" t="s">
        <v>4289</v>
      </c>
    </row>
    <row r="1845" spans="1:9" x14ac:dyDescent="0.3">
      <c r="A1845">
        <v>527</v>
      </c>
      <c r="B1845" t="s">
        <v>272</v>
      </c>
      <c r="C1845" t="s">
        <v>1716</v>
      </c>
      <c r="D1845" s="4">
        <v>550.02</v>
      </c>
      <c r="E1845" t="s">
        <v>1717</v>
      </c>
      <c r="F1845" s="1">
        <v>1.89E-2</v>
      </c>
      <c r="G1845" s="1">
        <v>6.6E-3</v>
      </c>
      <c r="H1845" t="s">
        <v>1718</v>
      </c>
      <c r="I1845" t="s">
        <v>1719</v>
      </c>
    </row>
    <row r="1846" spans="1:9" x14ac:dyDescent="0.3">
      <c r="A1846">
        <v>1801</v>
      </c>
      <c r="B1846" t="s">
        <v>486</v>
      </c>
      <c r="C1846" t="s">
        <v>5793</v>
      </c>
      <c r="D1846" s="4">
        <v>3.55</v>
      </c>
      <c r="E1846" t="s">
        <v>5794</v>
      </c>
      <c r="F1846" t="s">
        <v>662</v>
      </c>
      <c r="G1846" s="1">
        <v>5.0000000000000001E-3</v>
      </c>
      <c r="H1846" t="s">
        <v>1718</v>
      </c>
      <c r="I1846" t="s">
        <v>5795</v>
      </c>
    </row>
    <row r="1847" spans="1:9" x14ac:dyDescent="0.3">
      <c r="A1847">
        <v>1870</v>
      </c>
      <c r="B1847" t="s">
        <v>6005</v>
      </c>
      <c r="C1847" t="s">
        <v>6006</v>
      </c>
      <c r="D1847" s="4">
        <v>1.31</v>
      </c>
      <c r="E1847" t="s">
        <v>6007</v>
      </c>
      <c r="F1847" t="s">
        <v>662</v>
      </c>
      <c r="G1847" s="1">
        <v>7.7999999999999996E-3</v>
      </c>
      <c r="H1847" t="s">
        <v>6008</v>
      </c>
      <c r="I1847" t="s">
        <v>6009</v>
      </c>
    </row>
    <row r="1848" spans="1:9" x14ac:dyDescent="0.3">
      <c r="A1848">
        <v>1974</v>
      </c>
      <c r="B1848" t="s">
        <v>6113</v>
      </c>
      <c r="C1848" t="s">
        <v>6265</v>
      </c>
      <c r="D1848" s="4" t="s">
        <v>662</v>
      </c>
      <c r="E1848" t="s">
        <v>662</v>
      </c>
      <c r="F1848" s="1">
        <v>-0.18509999999999999</v>
      </c>
      <c r="G1848" s="1">
        <v>9.4999999999999998E-3</v>
      </c>
      <c r="H1848" t="s">
        <v>6266</v>
      </c>
      <c r="I1848" t="s">
        <v>6267</v>
      </c>
    </row>
    <row r="1849" spans="1:9" x14ac:dyDescent="0.3">
      <c r="A1849">
        <v>1962</v>
      </c>
      <c r="B1849" t="s">
        <v>6113</v>
      </c>
      <c r="C1849" t="s">
        <v>6240</v>
      </c>
      <c r="D1849" s="4" t="s">
        <v>662</v>
      </c>
      <c r="E1849" t="s">
        <v>662</v>
      </c>
      <c r="F1849" s="1">
        <v>6.2899999999999998E-2</v>
      </c>
      <c r="G1849" s="1">
        <v>9.4999999999999998E-3</v>
      </c>
      <c r="H1849" t="s">
        <v>3821</v>
      </c>
      <c r="I1849" t="s">
        <v>6241</v>
      </c>
    </row>
    <row r="1850" spans="1:9" x14ac:dyDescent="0.3">
      <c r="A1850">
        <v>1983</v>
      </c>
      <c r="B1850" t="s">
        <v>6113</v>
      </c>
      <c r="C1850" t="s">
        <v>6288</v>
      </c>
      <c r="D1850" s="4" t="s">
        <v>662</v>
      </c>
      <c r="E1850" t="s">
        <v>662</v>
      </c>
      <c r="F1850" s="1">
        <v>0.1174</v>
      </c>
      <c r="G1850" s="1">
        <v>9.4999999999999998E-3</v>
      </c>
      <c r="H1850" t="s">
        <v>3821</v>
      </c>
      <c r="I1850" t="s">
        <v>6289</v>
      </c>
    </row>
    <row r="1851" spans="1:9" x14ac:dyDescent="0.3">
      <c r="A1851">
        <v>1173</v>
      </c>
      <c r="B1851" t="s">
        <v>588</v>
      </c>
      <c r="C1851" t="s">
        <v>3819</v>
      </c>
      <c r="D1851" s="4">
        <v>55.81</v>
      </c>
      <c r="E1851" t="s">
        <v>3820</v>
      </c>
      <c r="F1851" s="1">
        <v>0.1648</v>
      </c>
      <c r="G1851" s="1">
        <v>1.0699999999999999E-2</v>
      </c>
      <c r="H1851" t="s">
        <v>3821</v>
      </c>
      <c r="I1851" t="s">
        <v>3822</v>
      </c>
    </row>
    <row r="1852" spans="1:9" x14ac:dyDescent="0.3">
      <c r="A1852">
        <v>910</v>
      </c>
      <c r="B1852" t="s">
        <v>588</v>
      </c>
      <c r="C1852" t="s">
        <v>2968</v>
      </c>
      <c r="D1852" s="4">
        <v>131.52000000000001</v>
      </c>
      <c r="E1852" t="s">
        <v>2969</v>
      </c>
      <c r="F1852" s="1">
        <v>1.04E-2</v>
      </c>
      <c r="G1852" s="1">
        <v>8.5000000000000006E-3</v>
      </c>
      <c r="H1852" t="s">
        <v>2970</v>
      </c>
      <c r="I1852" t="s">
        <v>2971</v>
      </c>
    </row>
    <row r="1853" spans="1:9" x14ac:dyDescent="0.3">
      <c r="A1853">
        <v>1975</v>
      </c>
      <c r="B1853" t="s">
        <v>6113</v>
      </c>
      <c r="C1853" t="s">
        <v>6268</v>
      </c>
      <c r="D1853" s="4" t="s">
        <v>662</v>
      </c>
      <c r="E1853" t="s">
        <v>662</v>
      </c>
      <c r="F1853" s="1">
        <v>3.2599999999999997E-2</v>
      </c>
      <c r="G1853" s="1">
        <v>9.4999999999999998E-3</v>
      </c>
      <c r="H1853" t="s">
        <v>6269</v>
      </c>
      <c r="I1853" t="s">
        <v>6270</v>
      </c>
    </row>
    <row r="1854" spans="1:9" x14ac:dyDescent="0.3">
      <c r="A1854">
        <v>1987</v>
      </c>
      <c r="B1854" t="s">
        <v>6113</v>
      </c>
      <c r="C1854" t="s">
        <v>6297</v>
      </c>
      <c r="D1854" s="4" t="s">
        <v>662</v>
      </c>
      <c r="E1854" t="s">
        <v>662</v>
      </c>
      <c r="F1854" s="1">
        <v>3.6499999999999998E-2</v>
      </c>
      <c r="G1854" s="1">
        <v>9.4999999999999998E-3</v>
      </c>
      <c r="H1854" t="s">
        <v>6298</v>
      </c>
      <c r="I1854" t="s">
        <v>6299</v>
      </c>
    </row>
    <row r="1855" spans="1:9" x14ac:dyDescent="0.3">
      <c r="A1855">
        <v>1988</v>
      </c>
      <c r="B1855" t="s">
        <v>6113</v>
      </c>
      <c r="C1855" t="s">
        <v>6300</v>
      </c>
      <c r="D1855" s="4" t="s">
        <v>662</v>
      </c>
      <c r="E1855" t="s">
        <v>662</v>
      </c>
      <c r="F1855" s="1">
        <v>1.9099999999999999E-2</v>
      </c>
      <c r="G1855" s="1">
        <v>9.4999999999999998E-3</v>
      </c>
      <c r="H1855" t="s">
        <v>6298</v>
      </c>
      <c r="I1855" t="s">
        <v>6301</v>
      </c>
    </row>
    <row r="1856" spans="1:9" x14ac:dyDescent="0.3">
      <c r="A1856">
        <v>1985</v>
      </c>
      <c r="B1856" t="s">
        <v>6113</v>
      </c>
      <c r="C1856" t="s">
        <v>6293</v>
      </c>
      <c r="D1856" s="4" t="s">
        <v>662</v>
      </c>
      <c r="E1856" t="s">
        <v>662</v>
      </c>
      <c r="F1856" s="1">
        <v>7.17E-2</v>
      </c>
      <c r="G1856" s="1">
        <v>9.4999999999999998E-3</v>
      </c>
      <c r="H1856" t="s">
        <v>4433</v>
      </c>
      <c r="I1856" t="s">
        <v>6294</v>
      </c>
    </row>
    <row r="1857" spans="1:9" x14ac:dyDescent="0.3">
      <c r="A1857">
        <v>1986</v>
      </c>
      <c r="B1857" t="s">
        <v>6113</v>
      </c>
      <c r="C1857" t="s">
        <v>6295</v>
      </c>
      <c r="D1857" s="4" t="s">
        <v>662</v>
      </c>
      <c r="E1857" t="s">
        <v>662</v>
      </c>
      <c r="F1857" s="1">
        <v>3.8100000000000002E-2</v>
      </c>
      <c r="G1857" s="1">
        <v>9.4999999999999998E-3</v>
      </c>
      <c r="H1857" t="s">
        <v>4433</v>
      </c>
      <c r="I1857" t="s">
        <v>6296</v>
      </c>
    </row>
    <row r="1858" spans="1:9" x14ac:dyDescent="0.3">
      <c r="A1858">
        <v>1362</v>
      </c>
      <c r="B1858" t="s">
        <v>588</v>
      </c>
      <c r="C1858" t="s">
        <v>4431</v>
      </c>
      <c r="D1858" s="4">
        <v>28.9</v>
      </c>
      <c r="E1858" t="s">
        <v>4432</v>
      </c>
      <c r="F1858" s="1">
        <v>0.113</v>
      </c>
      <c r="G1858" s="1">
        <v>1.0800000000000001E-2</v>
      </c>
      <c r="H1858" t="s">
        <v>4433</v>
      </c>
      <c r="I1858" t="s">
        <v>4434</v>
      </c>
    </row>
    <row r="1859" spans="1:9" x14ac:dyDescent="0.3">
      <c r="A1859">
        <v>1882</v>
      </c>
      <c r="B1859" t="s">
        <v>921</v>
      </c>
      <c r="C1859" t="s">
        <v>6045</v>
      </c>
      <c r="D1859" s="4">
        <f>964.28*0.001</f>
        <v>0.96428000000000003</v>
      </c>
      <c r="E1859" t="s">
        <v>6046</v>
      </c>
      <c r="F1859" s="1">
        <v>0.69420000000000004</v>
      </c>
      <c r="G1859" s="1">
        <v>9.4999999999999998E-3</v>
      </c>
      <c r="H1859" t="s">
        <v>6047</v>
      </c>
      <c r="I1859" t="s">
        <v>6048</v>
      </c>
    </row>
    <row r="1860" spans="1:9" x14ac:dyDescent="0.3">
      <c r="A1860">
        <v>1123</v>
      </c>
      <c r="B1860" t="s">
        <v>588</v>
      </c>
      <c r="C1860" t="s">
        <v>3658</v>
      </c>
      <c r="D1860" s="4">
        <v>68.03</v>
      </c>
      <c r="E1860" t="s">
        <v>3659</v>
      </c>
      <c r="F1860" s="1">
        <v>1.6799999999999999E-2</v>
      </c>
      <c r="G1860" s="1">
        <v>1.0999999999999999E-2</v>
      </c>
      <c r="H1860" t="s">
        <v>3660</v>
      </c>
      <c r="I1860" t="s">
        <v>3661</v>
      </c>
    </row>
    <row r="1861" spans="1:9" x14ac:dyDescent="0.3">
      <c r="A1861">
        <v>1178</v>
      </c>
      <c r="B1861" t="s">
        <v>588</v>
      </c>
      <c r="C1861" t="s">
        <v>3837</v>
      </c>
      <c r="D1861" s="4">
        <v>54.79</v>
      </c>
      <c r="E1861" t="s">
        <v>3838</v>
      </c>
      <c r="F1861" s="1">
        <v>-3.1399999999999997E-2</v>
      </c>
      <c r="G1861" s="1">
        <v>1.0699999999999999E-2</v>
      </c>
      <c r="H1861" t="s">
        <v>3660</v>
      </c>
      <c r="I1861" t="s">
        <v>3839</v>
      </c>
    </row>
    <row r="1862" spans="1:9" x14ac:dyDescent="0.3">
      <c r="A1862">
        <v>1517</v>
      </c>
      <c r="B1862" t="s">
        <v>1115</v>
      </c>
      <c r="C1862" t="s">
        <v>4917</v>
      </c>
      <c r="D1862" s="4">
        <v>17.52</v>
      </c>
      <c r="E1862" t="s">
        <v>4918</v>
      </c>
      <c r="F1862" s="1">
        <v>-8.3699999999999997E-2</v>
      </c>
      <c r="G1862" s="1">
        <v>9.4999999999999998E-3</v>
      </c>
      <c r="H1862" t="s">
        <v>3660</v>
      </c>
      <c r="I1862" t="s">
        <v>4919</v>
      </c>
    </row>
    <row r="1863" spans="1:9" x14ac:dyDescent="0.3">
      <c r="A1863">
        <v>1896</v>
      </c>
      <c r="B1863" t="s">
        <v>921</v>
      </c>
      <c r="C1863" t="s">
        <v>6096</v>
      </c>
      <c r="D1863" s="4">
        <f>132.35*0.001</f>
        <v>0.13235</v>
      </c>
      <c r="E1863" t="s">
        <v>6097</v>
      </c>
      <c r="F1863" s="1">
        <v>1.0999999999999999E-2</v>
      </c>
      <c r="G1863" s="1">
        <v>9.4999999999999998E-3</v>
      </c>
      <c r="H1863" t="s">
        <v>6098</v>
      </c>
      <c r="I1863" t="s">
        <v>6099</v>
      </c>
    </row>
    <row r="1864" spans="1:9" x14ac:dyDescent="0.3">
      <c r="A1864">
        <v>1984</v>
      </c>
      <c r="B1864" t="s">
        <v>6113</v>
      </c>
      <c r="C1864" t="s">
        <v>6290</v>
      </c>
      <c r="D1864" s="4" t="s">
        <v>662</v>
      </c>
      <c r="E1864" t="s">
        <v>662</v>
      </c>
      <c r="F1864" s="1">
        <v>4.5499999999999999E-2</v>
      </c>
      <c r="G1864" s="1">
        <v>9.4999999999999998E-3</v>
      </c>
      <c r="H1864" t="s">
        <v>6291</v>
      </c>
      <c r="I1864" t="s">
        <v>6292</v>
      </c>
    </row>
    <row r="1865" spans="1:9" x14ac:dyDescent="0.3">
      <c r="A1865">
        <v>1963</v>
      </c>
      <c r="B1865" t="s">
        <v>6113</v>
      </c>
      <c r="C1865" t="s">
        <v>6242</v>
      </c>
      <c r="D1865" s="4" t="s">
        <v>662</v>
      </c>
      <c r="E1865" t="s">
        <v>662</v>
      </c>
      <c r="F1865" s="1">
        <v>7.7499999999999999E-2</v>
      </c>
      <c r="G1865" s="1">
        <v>9.4999999999999998E-3</v>
      </c>
      <c r="H1865" t="s">
        <v>2013</v>
      </c>
      <c r="I1865" t="s">
        <v>6243</v>
      </c>
    </row>
    <row r="1866" spans="1:9" x14ac:dyDescent="0.3">
      <c r="A1866">
        <v>1969</v>
      </c>
      <c r="B1866" t="s">
        <v>6113</v>
      </c>
      <c r="C1866" t="s">
        <v>6255</v>
      </c>
      <c r="D1866" s="4" t="s">
        <v>662</v>
      </c>
      <c r="E1866" t="s">
        <v>662</v>
      </c>
      <c r="F1866" s="1">
        <v>0.1449</v>
      </c>
      <c r="G1866" s="1">
        <v>9.4999999999999998E-3</v>
      </c>
      <c r="H1866" t="s">
        <v>2013</v>
      </c>
      <c r="I1866" t="s">
        <v>6256</v>
      </c>
    </row>
    <row r="1867" spans="1:9" x14ac:dyDescent="0.3">
      <c r="A1867">
        <v>1972</v>
      </c>
      <c r="B1867" t="s">
        <v>6113</v>
      </c>
      <c r="C1867" t="s">
        <v>6261</v>
      </c>
      <c r="D1867" s="4" t="s">
        <v>662</v>
      </c>
      <c r="E1867" t="s">
        <v>662</v>
      </c>
      <c r="F1867" s="1">
        <v>6.1600000000000002E-2</v>
      </c>
      <c r="G1867" s="1">
        <v>9.2999999999999992E-3</v>
      </c>
      <c r="H1867" t="s">
        <v>2013</v>
      </c>
      <c r="I1867" t="s">
        <v>6262</v>
      </c>
    </row>
    <row r="1868" spans="1:9" x14ac:dyDescent="0.3">
      <c r="A1868">
        <v>2017</v>
      </c>
      <c r="B1868" t="s">
        <v>6113</v>
      </c>
      <c r="C1868" t="s">
        <v>6365</v>
      </c>
      <c r="D1868" s="4" t="s">
        <v>662</v>
      </c>
      <c r="E1868" t="s">
        <v>662</v>
      </c>
      <c r="F1868" s="1">
        <v>5.4100000000000002E-2</v>
      </c>
      <c r="G1868" s="1">
        <v>9.4999999999999998E-3</v>
      </c>
      <c r="H1868" t="s">
        <v>2013</v>
      </c>
      <c r="I1868" t="s">
        <v>6366</v>
      </c>
    </row>
    <row r="1869" spans="1:9" x14ac:dyDescent="0.3">
      <c r="A1869">
        <v>2019</v>
      </c>
      <c r="B1869" t="s">
        <v>6113</v>
      </c>
      <c r="C1869" t="s">
        <v>6369</v>
      </c>
      <c r="D1869" s="4" t="s">
        <v>662</v>
      </c>
      <c r="E1869" t="s">
        <v>662</v>
      </c>
      <c r="F1869" s="1">
        <v>0.1087</v>
      </c>
      <c r="G1869" s="1">
        <v>9.4999999999999998E-3</v>
      </c>
      <c r="H1869" t="s">
        <v>2013</v>
      </c>
      <c r="I1869" t="s">
        <v>6370</v>
      </c>
    </row>
    <row r="1870" spans="1:9" x14ac:dyDescent="0.3">
      <c r="A1870">
        <v>2020</v>
      </c>
      <c r="B1870" t="s">
        <v>6113</v>
      </c>
      <c r="C1870" t="s">
        <v>6371</v>
      </c>
      <c r="D1870" s="4" t="s">
        <v>662</v>
      </c>
      <c r="E1870" t="s">
        <v>662</v>
      </c>
      <c r="F1870" s="1">
        <v>4.5100000000000001E-2</v>
      </c>
      <c r="G1870" s="1">
        <v>9.1000000000000004E-3</v>
      </c>
      <c r="H1870" t="s">
        <v>2013</v>
      </c>
      <c r="I1870" t="s">
        <v>6372</v>
      </c>
    </row>
    <row r="1871" spans="1:9" x14ac:dyDescent="0.3">
      <c r="A1871">
        <v>2022</v>
      </c>
      <c r="B1871" t="s">
        <v>6113</v>
      </c>
      <c r="C1871" t="s">
        <v>6375</v>
      </c>
      <c r="D1871" s="4" t="s">
        <v>662</v>
      </c>
      <c r="E1871" t="s">
        <v>662</v>
      </c>
      <c r="F1871" s="1">
        <v>2.76E-2</v>
      </c>
      <c r="G1871" s="1">
        <v>9.4999999999999998E-3</v>
      </c>
      <c r="H1871" t="s">
        <v>2013</v>
      </c>
      <c r="I1871" t="s">
        <v>6376</v>
      </c>
    </row>
    <row r="1872" spans="1:9" x14ac:dyDescent="0.3">
      <c r="A1872">
        <v>2025</v>
      </c>
      <c r="B1872" t="s">
        <v>6113</v>
      </c>
      <c r="C1872" t="s">
        <v>6381</v>
      </c>
      <c r="D1872" s="4" t="s">
        <v>662</v>
      </c>
      <c r="E1872" t="s">
        <v>662</v>
      </c>
      <c r="F1872" s="1">
        <v>5.8099999999999999E-2</v>
      </c>
      <c r="G1872" s="1">
        <v>9.4999999999999998E-3</v>
      </c>
      <c r="H1872" t="s">
        <v>2013</v>
      </c>
      <c r="I1872" t="s">
        <v>6382</v>
      </c>
    </row>
    <row r="1873" spans="1:9" x14ac:dyDescent="0.3">
      <c r="A1873">
        <v>2027</v>
      </c>
      <c r="B1873" t="s">
        <v>6113</v>
      </c>
      <c r="C1873" t="s">
        <v>6385</v>
      </c>
      <c r="D1873" s="4" t="s">
        <v>662</v>
      </c>
      <c r="E1873" t="s">
        <v>662</v>
      </c>
      <c r="F1873" s="1">
        <v>2.3599999999999999E-2</v>
      </c>
      <c r="G1873" s="1">
        <v>8.9999999999999993E-3</v>
      </c>
      <c r="H1873" t="s">
        <v>2013</v>
      </c>
      <c r="I1873" t="s">
        <v>6386</v>
      </c>
    </row>
    <row r="1874" spans="1:9" x14ac:dyDescent="0.3">
      <c r="A1874">
        <v>614</v>
      </c>
      <c r="B1874" t="s">
        <v>588</v>
      </c>
      <c r="C1874" t="s">
        <v>2011</v>
      </c>
      <c r="D1874" s="4">
        <v>393.69</v>
      </c>
      <c r="E1874" t="s">
        <v>2012</v>
      </c>
      <c r="F1874" s="1">
        <v>0.06</v>
      </c>
      <c r="G1874" s="1">
        <v>1.0699999999999999E-2</v>
      </c>
      <c r="H1874" t="s">
        <v>2013</v>
      </c>
      <c r="I1874" t="s">
        <v>2014</v>
      </c>
    </row>
    <row r="1875" spans="1:9" x14ac:dyDescent="0.3">
      <c r="A1875">
        <v>819</v>
      </c>
      <c r="B1875" t="s">
        <v>588</v>
      </c>
      <c r="C1875" t="s">
        <v>2677</v>
      </c>
      <c r="D1875" s="4">
        <v>176.93</v>
      </c>
      <c r="E1875" t="s">
        <v>2678</v>
      </c>
      <c r="F1875" s="1">
        <v>2.5600000000000001E-2</v>
      </c>
      <c r="G1875" s="1">
        <v>5.0000000000000001E-3</v>
      </c>
      <c r="H1875" t="s">
        <v>2013</v>
      </c>
      <c r="I1875" t="s">
        <v>2679</v>
      </c>
    </row>
    <row r="1876" spans="1:9" x14ac:dyDescent="0.3">
      <c r="A1876">
        <v>1239</v>
      </c>
      <c r="B1876" t="s">
        <v>588</v>
      </c>
      <c r="C1876" t="s">
        <v>4027</v>
      </c>
      <c r="D1876" s="4">
        <v>43.46</v>
      </c>
      <c r="E1876" t="s">
        <v>4028</v>
      </c>
      <c r="F1876" s="1">
        <v>0.1166</v>
      </c>
      <c r="G1876" s="1">
        <v>1.03E-2</v>
      </c>
      <c r="H1876" t="s">
        <v>2013</v>
      </c>
      <c r="I1876" t="s">
        <v>4029</v>
      </c>
    </row>
    <row r="1877" spans="1:9" x14ac:dyDescent="0.3">
      <c r="A1877">
        <v>1328</v>
      </c>
      <c r="B1877" t="s">
        <v>1289</v>
      </c>
      <c r="C1877" t="s">
        <v>4320</v>
      </c>
      <c r="D1877" s="4">
        <v>32.89</v>
      </c>
      <c r="E1877" t="s">
        <v>4321</v>
      </c>
      <c r="F1877" s="1">
        <v>1.9900000000000001E-2</v>
      </c>
      <c r="G1877" s="1">
        <v>3.6799999999999999E-2</v>
      </c>
      <c r="H1877" t="s">
        <v>2013</v>
      </c>
      <c r="I1877" t="s">
        <v>4322</v>
      </c>
    </row>
    <row r="1878" spans="1:9" x14ac:dyDescent="0.3">
      <c r="A1878">
        <v>1964</v>
      </c>
      <c r="B1878" t="s">
        <v>6113</v>
      </c>
      <c r="C1878" t="s">
        <v>6244</v>
      </c>
      <c r="D1878" s="4" t="s">
        <v>662</v>
      </c>
      <c r="E1878" t="s">
        <v>662</v>
      </c>
      <c r="F1878" s="1">
        <v>0.17100000000000001</v>
      </c>
      <c r="G1878" s="1">
        <v>9.4999999999999998E-3</v>
      </c>
      <c r="H1878" t="s">
        <v>6245</v>
      </c>
      <c r="I1878" t="s">
        <v>6246</v>
      </c>
    </row>
    <row r="1879" spans="1:9" x14ac:dyDescent="0.3">
      <c r="A1879">
        <v>2018</v>
      </c>
      <c r="B1879" t="s">
        <v>6113</v>
      </c>
      <c r="C1879" t="s">
        <v>6367</v>
      </c>
      <c r="D1879" s="4" t="s">
        <v>662</v>
      </c>
      <c r="E1879" t="s">
        <v>662</v>
      </c>
      <c r="F1879" s="1">
        <v>0.1174</v>
      </c>
      <c r="G1879" s="1">
        <v>9.4999999999999998E-3</v>
      </c>
      <c r="H1879" t="s">
        <v>6245</v>
      </c>
      <c r="I1879" t="s">
        <v>6368</v>
      </c>
    </row>
    <row r="1880" spans="1:9" x14ac:dyDescent="0.3">
      <c r="A1880">
        <v>2024</v>
      </c>
      <c r="B1880" t="s">
        <v>6113</v>
      </c>
      <c r="C1880" t="s">
        <v>6379</v>
      </c>
      <c r="D1880" s="4" t="s">
        <v>662</v>
      </c>
      <c r="E1880" t="s">
        <v>662</v>
      </c>
      <c r="F1880" s="1">
        <v>6.0600000000000001E-2</v>
      </c>
      <c r="G1880" s="1">
        <v>9.4999999999999998E-3</v>
      </c>
      <c r="H1880" t="s">
        <v>6245</v>
      </c>
      <c r="I1880" t="s">
        <v>6380</v>
      </c>
    </row>
    <row r="1881" spans="1:9" x14ac:dyDescent="0.3">
      <c r="A1881">
        <v>1965</v>
      </c>
      <c r="B1881" t="s">
        <v>6113</v>
      </c>
      <c r="C1881" t="s">
        <v>6247</v>
      </c>
      <c r="D1881" s="4" t="s">
        <v>662</v>
      </c>
      <c r="E1881" t="s">
        <v>662</v>
      </c>
      <c r="F1881" s="1">
        <v>0.40570000000000001</v>
      </c>
      <c r="G1881" s="1">
        <v>9.4999999999999998E-3</v>
      </c>
      <c r="H1881" t="s">
        <v>1979</v>
      </c>
      <c r="I1881" t="s">
        <v>6248</v>
      </c>
    </row>
    <row r="1882" spans="1:9" x14ac:dyDescent="0.3">
      <c r="A1882">
        <v>2011</v>
      </c>
      <c r="B1882" t="s">
        <v>6113</v>
      </c>
      <c r="C1882" t="s">
        <v>6353</v>
      </c>
      <c r="D1882" s="4" t="s">
        <v>662</v>
      </c>
      <c r="E1882" t="s">
        <v>662</v>
      </c>
      <c r="F1882" s="1">
        <v>0.1328</v>
      </c>
      <c r="G1882" s="1">
        <v>9.4999999999999998E-3</v>
      </c>
      <c r="H1882" t="s">
        <v>1979</v>
      </c>
      <c r="I1882" t="s">
        <v>6354</v>
      </c>
    </row>
    <row r="1883" spans="1:9" x14ac:dyDescent="0.3">
      <c r="A1883">
        <v>2013</v>
      </c>
      <c r="B1883" t="s">
        <v>6113</v>
      </c>
      <c r="C1883" t="s">
        <v>6357</v>
      </c>
      <c r="D1883" s="4" t="s">
        <v>662</v>
      </c>
      <c r="E1883" t="s">
        <v>662</v>
      </c>
      <c r="F1883" s="1">
        <v>5.7700000000000001E-2</v>
      </c>
      <c r="G1883" s="1">
        <v>9.4999999999999998E-3</v>
      </c>
      <c r="H1883" t="s">
        <v>1979</v>
      </c>
      <c r="I1883" t="s">
        <v>6358</v>
      </c>
    </row>
    <row r="1884" spans="1:9" x14ac:dyDescent="0.3">
      <c r="A1884">
        <v>2014</v>
      </c>
      <c r="B1884" t="s">
        <v>6113</v>
      </c>
      <c r="C1884" t="s">
        <v>6359</v>
      </c>
      <c r="D1884" s="4" t="s">
        <v>662</v>
      </c>
      <c r="E1884" t="s">
        <v>662</v>
      </c>
      <c r="F1884" s="1">
        <v>0.1061</v>
      </c>
      <c r="G1884" s="1">
        <v>9.4999999999999998E-3</v>
      </c>
      <c r="H1884" t="s">
        <v>1979</v>
      </c>
      <c r="I1884" t="s">
        <v>6360</v>
      </c>
    </row>
    <row r="1885" spans="1:9" x14ac:dyDescent="0.3">
      <c r="A1885">
        <v>2015</v>
      </c>
      <c r="B1885" t="s">
        <v>6113</v>
      </c>
      <c r="C1885" t="s">
        <v>6361</v>
      </c>
      <c r="D1885" s="4" t="s">
        <v>662</v>
      </c>
      <c r="E1885" t="s">
        <v>662</v>
      </c>
      <c r="F1885" s="1">
        <v>0.26910000000000001</v>
      </c>
      <c r="G1885" s="1">
        <v>9.4999999999999998E-3</v>
      </c>
      <c r="H1885" t="s">
        <v>1979</v>
      </c>
      <c r="I1885" t="s">
        <v>6362</v>
      </c>
    </row>
    <row r="1886" spans="1:9" x14ac:dyDescent="0.3">
      <c r="A1886">
        <v>604</v>
      </c>
      <c r="B1886" t="s">
        <v>588</v>
      </c>
      <c r="C1886" t="s">
        <v>1977</v>
      </c>
      <c r="D1886" s="4">
        <v>406.31</v>
      </c>
      <c r="E1886" t="s">
        <v>1978</v>
      </c>
      <c r="F1886" s="1">
        <v>0.40949999999999998</v>
      </c>
      <c r="G1886" s="1">
        <v>1.0699999999999999E-2</v>
      </c>
      <c r="H1886" t="s">
        <v>1979</v>
      </c>
      <c r="I1886" t="s">
        <v>1980</v>
      </c>
    </row>
    <row r="1887" spans="1:9" x14ac:dyDescent="0.3">
      <c r="A1887">
        <v>1076</v>
      </c>
      <c r="B1887" t="s">
        <v>1289</v>
      </c>
      <c r="C1887" t="s">
        <v>3502</v>
      </c>
      <c r="D1887" s="4">
        <v>78.12</v>
      </c>
      <c r="E1887" t="s">
        <v>3503</v>
      </c>
      <c r="F1887" s="1">
        <v>3.9300000000000002E-2</v>
      </c>
      <c r="G1887" s="1">
        <v>5.1999999999999998E-2</v>
      </c>
      <c r="H1887" t="s">
        <v>3504</v>
      </c>
      <c r="I1887" t="s">
        <v>3505</v>
      </c>
    </row>
    <row r="1888" spans="1:9" x14ac:dyDescent="0.3">
      <c r="A1888">
        <v>1339</v>
      </c>
      <c r="B1888" t="s">
        <v>2353</v>
      </c>
      <c r="C1888" t="s">
        <v>4357</v>
      </c>
      <c r="D1888" s="4">
        <v>31.77</v>
      </c>
      <c r="E1888" t="s">
        <v>4358</v>
      </c>
      <c r="F1888" s="1">
        <v>0.46100000000000002</v>
      </c>
      <c r="G1888" s="1">
        <v>9.4999999999999998E-3</v>
      </c>
      <c r="H1888" t="s">
        <v>3504</v>
      </c>
      <c r="I1888" t="s">
        <v>4359</v>
      </c>
    </row>
    <row r="1889" spans="1:9" x14ac:dyDescent="0.3">
      <c r="A1889">
        <v>1043</v>
      </c>
      <c r="B1889" t="s">
        <v>1115</v>
      </c>
      <c r="C1889" t="s">
        <v>3394</v>
      </c>
      <c r="D1889" s="4">
        <v>87.96</v>
      </c>
      <c r="E1889" t="s">
        <v>3395</v>
      </c>
      <c r="F1889" s="1">
        <v>0.3644</v>
      </c>
      <c r="G1889" s="1">
        <v>9.4999999999999998E-3</v>
      </c>
      <c r="H1889" t="s">
        <v>3396</v>
      </c>
      <c r="I1889" t="s">
        <v>3397</v>
      </c>
    </row>
    <row r="1890" spans="1:9" x14ac:dyDescent="0.3">
      <c r="A1890">
        <v>1778</v>
      </c>
      <c r="B1890" t="s">
        <v>1115</v>
      </c>
      <c r="C1890" t="s">
        <v>5723</v>
      </c>
      <c r="D1890" s="4">
        <v>4.28</v>
      </c>
      <c r="E1890" t="s">
        <v>5724</v>
      </c>
      <c r="F1890" s="1">
        <v>0.31680000000000003</v>
      </c>
      <c r="G1890" s="1">
        <v>9.4999999999999998E-3</v>
      </c>
      <c r="H1890" t="s">
        <v>3396</v>
      </c>
      <c r="I1890" t="s">
        <v>5725</v>
      </c>
    </row>
    <row r="1891" spans="1:9" x14ac:dyDescent="0.3">
      <c r="A1891">
        <v>1161</v>
      </c>
      <c r="B1891" t="s">
        <v>588</v>
      </c>
      <c r="C1891" t="s">
        <v>3779</v>
      </c>
      <c r="D1891" s="4">
        <v>58.2</v>
      </c>
      <c r="E1891" t="s">
        <v>3780</v>
      </c>
      <c r="F1891" s="1">
        <v>1.0871999999999999</v>
      </c>
      <c r="G1891" s="1">
        <v>1.06E-2</v>
      </c>
      <c r="H1891" t="s">
        <v>3781</v>
      </c>
      <c r="I1891" t="s">
        <v>3782</v>
      </c>
    </row>
    <row r="1892" spans="1:9" x14ac:dyDescent="0.3">
      <c r="A1892">
        <v>1995</v>
      </c>
      <c r="B1892" t="s">
        <v>6113</v>
      </c>
      <c r="C1892" t="s">
        <v>6315</v>
      </c>
      <c r="D1892" s="4" t="s">
        <v>662</v>
      </c>
      <c r="E1892" t="s">
        <v>662</v>
      </c>
      <c r="F1892" s="1">
        <v>0.28499999999999998</v>
      </c>
      <c r="G1892" s="1">
        <v>9.4999999999999998E-3</v>
      </c>
      <c r="H1892" t="s">
        <v>6316</v>
      </c>
      <c r="I1892" t="s">
        <v>6317</v>
      </c>
    </row>
    <row r="1893" spans="1:9" x14ac:dyDescent="0.3">
      <c r="A1893">
        <v>2002</v>
      </c>
      <c r="B1893" t="s">
        <v>6113</v>
      </c>
      <c r="C1893" t="s">
        <v>6332</v>
      </c>
      <c r="D1893" s="4" t="s">
        <v>662</v>
      </c>
      <c r="E1893" t="s">
        <v>662</v>
      </c>
      <c r="F1893" s="1">
        <v>-9.3899999999999997E-2</v>
      </c>
      <c r="G1893" s="1">
        <v>9.4999999999999998E-3</v>
      </c>
      <c r="H1893" t="s">
        <v>6333</v>
      </c>
      <c r="I1893" t="s">
        <v>6334</v>
      </c>
    </row>
    <row r="1894" spans="1:9" x14ac:dyDescent="0.3">
      <c r="A1894">
        <v>1355</v>
      </c>
      <c r="B1894" t="s">
        <v>588</v>
      </c>
      <c r="C1894" t="s">
        <v>4410</v>
      </c>
      <c r="D1894" s="4">
        <v>29.71</v>
      </c>
      <c r="E1894" t="s">
        <v>4411</v>
      </c>
      <c r="F1894" s="1">
        <v>-0.22170000000000001</v>
      </c>
      <c r="G1894" s="1">
        <v>0.01</v>
      </c>
      <c r="H1894" t="s">
        <v>4412</v>
      </c>
      <c r="I1894" t="s">
        <v>4413</v>
      </c>
    </row>
    <row r="1895" spans="1:9" x14ac:dyDescent="0.3">
      <c r="A1895">
        <v>1981</v>
      </c>
      <c r="B1895" t="s">
        <v>6113</v>
      </c>
      <c r="C1895" t="s">
        <v>6283</v>
      </c>
      <c r="D1895" s="4" t="s">
        <v>662</v>
      </c>
      <c r="E1895" t="s">
        <v>662</v>
      </c>
      <c r="F1895" s="1">
        <v>3.4500000000000003E-2</v>
      </c>
      <c r="G1895" s="1">
        <v>9.4999999999999998E-3</v>
      </c>
      <c r="H1895" t="s">
        <v>3082</v>
      </c>
      <c r="I1895" t="s">
        <v>6284</v>
      </c>
    </row>
    <row r="1896" spans="1:9" x14ac:dyDescent="0.3">
      <c r="A1896">
        <v>1998</v>
      </c>
      <c r="B1896" t="s">
        <v>6113</v>
      </c>
      <c r="C1896" t="s">
        <v>6324</v>
      </c>
      <c r="D1896" s="4" t="s">
        <v>662</v>
      </c>
      <c r="E1896" t="s">
        <v>662</v>
      </c>
      <c r="F1896" s="1">
        <v>6.3500000000000001E-2</v>
      </c>
      <c r="G1896" s="1">
        <v>9.4999999999999998E-3</v>
      </c>
      <c r="H1896" t="s">
        <v>3082</v>
      </c>
      <c r="I1896" t="s">
        <v>6325</v>
      </c>
    </row>
    <row r="1897" spans="1:9" x14ac:dyDescent="0.3">
      <c r="A1897">
        <v>945</v>
      </c>
      <c r="B1897" t="s">
        <v>588</v>
      </c>
      <c r="C1897" t="s">
        <v>3080</v>
      </c>
      <c r="D1897" s="4">
        <v>120.86</v>
      </c>
      <c r="E1897" t="s">
        <v>3081</v>
      </c>
      <c r="F1897" s="1">
        <v>8.5000000000000006E-2</v>
      </c>
      <c r="G1897" s="1">
        <v>1.0699999999999999E-2</v>
      </c>
      <c r="H1897" t="s">
        <v>3082</v>
      </c>
      <c r="I1897" t="s">
        <v>3083</v>
      </c>
    </row>
    <row r="1898" spans="1:9" x14ac:dyDescent="0.3">
      <c r="A1898">
        <v>1777</v>
      </c>
      <c r="B1898" t="s">
        <v>1115</v>
      </c>
      <c r="C1898" t="s">
        <v>5720</v>
      </c>
      <c r="D1898" s="4">
        <v>4.3</v>
      </c>
      <c r="E1898" t="s">
        <v>5721</v>
      </c>
      <c r="F1898" s="1">
        <v>3.8300000000000001E-2</v>
      </c>
      <c r="G1898" s="1">
        <v>9.4999999999999998E-3</v>
      </c>
      <c r="H1898" t="s">
        <v>3082</v>
      </c>
      <c r="I1898" t="s">
        <v>5722</v>
      </c>
    </row>
    <row r="1899" spans="1:9" x14ac:dyDescent="0.3">
      <c r="A1899">
        <v>1993</v>
      </c>
      <c r="B1899" t="s">
        <v>6113</v>
      </c>
      <c r="C1899" t="s">
        <v>6310</v>
      </c>
      <c r="D1899" s="4" t="s">
        <v>662</v>
      </c>
      <c r="E1899" t="s">
        <v>662</v>
      </c>
      <c r="F1899" s="1">
        <v>5.8900000000000001E-2</v>
      </c>
      <c r="G1899" s="1">
        <v>9.4999999999999998E-3</v>
      </c>
      <c r="H1899" t="s">
        <v>6311</v>
      </c>
      <c r="I1899" t="s">
        <v>6312</v>
      </c>
    </row>
    <row r="1900" spans="1:9" x14ac:dyDescent="0.3">
      <c r="A1900">
        <v>1997</v>
      </c>
      <c r="B1900" t="s">
        <v>6113</v>
      </c>
      <c r="C1900" t="s">
        <v>6321</v>
      </c>
      <c r="D1900" s="4" t="s">
        <v>662</v>
      </c>
      <c r="E1900" t="s">
        <v>662</v>
      </c>
      <c r="F1900" s="1">
        <v>0.1142</v>
      </c>
      <c r="G1900" s="1">
        <v>9.4999999999999998E-3</v>
      </c>
      <c r="H1900" t="s">
        <v>6322</v>
      </c>
      <c r="I1900" t="s">
        <v>6323</v>
      </c>
    </row>
    <row r="1901" spans="1:9" x14ac:dyDescent="0.3">
      <c r="A1901">
        <v>1991</v>
      </c>
      <c r="B1901" t="s">
        <v>6113</v>
      </c>
      <c r="C1901" t="s">
        <v>6306</v>
      </c>
      <c r="D1901" s="4" t="s">
        <v>662</v>
      </c>
      <c r="E1901" t="s">
        <v>662</v>
      </c>
      <c r="F1901" s="1">
        <v>9.2200000000000004E-2</v>
      </c>
      <c r="G1901" s="1">
        <v>9.4999999999999998E-3</v>
      </c>
      <c r="H1901" t="s">
        <v>3417</v>
      </c>
      <c r="I1901" t="s">
        <v>6307</v>
      </c>
    </row>
    <row r="1902" spans="1:9" x14ac:dyDescent="0.3">
      <c r="A1902">
        <v>1049</v>
      </c>
      <c r="B1902" t="s">
        <v>588</v>
      </c>
      <c r="C1902" t="s">
        <v>3415</v>
      </c>
      <c r="D1902" s="4">
        <v>86.15</v>
      </c>
      <c r="E1902" t="s">
        <v>3416</v>
      </c>
      <c r="F1902" s="1">
        <v>5.4000000000000003E-3</v>
      </c>
      <c r="G1902" s="1">
        <v>1.0800000000000001E-2</v>
      </c>
      <c r="H1902" t="s">
        <v>3417</v>
      </c>
      <c r="I1902" t="s">
        <v>3418</v>
      </c>
    </row>
    <row r="1903" spans="1:9" x14ac:dyDescent="0.3">
      <c r="A1903">
        <v>1590</v>
      </c>
      <c r="B1903" t="s">
        <v>588</v>
      </c>
      <c r="C1903" t="s">
        <v>5144</v>
      </c>
      <c r="D1903" s="4">
        <v>12.83</v>
      </c>
      <c r="E1903" t="s">
        <v>5145</v>
      </c>
      <c r="F1903" s="1">
        <v>0.99629999999999996</v>
      </c>
      <c r="G1903" s="1">
        <v>1.0699999999999999E-2</v>
      </c>
      <c r="H1903" t="s">
        <v>5146</v>
      </c>
      <c r="I1903" t="s">
        <v>5147</v>
      </c>
    </row>
    <row r="1904" spans="1:9" x14ac:dyDescent="0.3">
      <c r="A1904">
        <v>1961</v>
      </c>
      <c r="B1904" t="s">
        <v>6113</v>
      </c>
      <c r="C1904" t="s">
        <v>6237</v>
      </c>
      <c r="D1904" s="4" t="s">
        <v>662</v>
      </c>
      <c r="E1904" t="s">
        <v>662</v>
      </c>
      <c r="F1904" s="1">
        <v>-1.0999999999999999E-2</v>
      </c>
      <c r="G1904" s="1">
        <v>9.4999999999999998E-3</v>
      </c>
      <c r="H1904" t="s">
        <v>6238</v>
      </c>
      <c r="I1904" t="s">
        <v>6239</v>
      </c>
    </row>
    <row r="1905" spans="1:9" x14ac:dyDescent="0.3">
      <c r="A1905">
        <v>1999</v>
      </c>
      <c r="B1905" t="s">
        <v>6113</v>
      </c>
      <c r="C1905" t="s">
        <v>6326</v>
      </c>
      <c r="D1905" s="4" t="s">
        <v>662</v>
      </c>
      <c r="E1905" t="s">
        <v>662</v>
      </c>
      <c r="F1905" s="1">
        <v>-2.9899999999999999E-2</v>
      </c>
      <c r="G1905" s="1">
        <v>9.4999999999999998E-3</v>
      </c>
      <c r="H1905" t="s">
        <v>6238</v>
      </c>
      <c r="I1905" t="s">
        <v>6327</v>
      </c>
    </row>
    <row r="1906" spans="1:9" x14ac:dyDescent="0.3">
      <c r="A1906">
        <v>1980</v>
      </c>
      <c r="B1906" t="s">
        <v>6113</v>
      </c>
      <c r="C1906" t="s">
        <v>6281</v>
      </c>
      <c r="D1906" s="4" t="s">
        <v>662</v>
      </c>
      <c r="E1906" t="s">
        <v>662</v>
      </c>
      <c r="F1906" s="1">
        <v>-9.9199999999999997E-2</v>
      </c>
      <c r="G1906" s="1">
        <v>9.4999999999999998E-3</v>
      </c>
      <c r="H1906" t="s">
        <v>3403</v>
      </c>
      <c r="I1906" t="s">
        <v>6282</v>
      </c>
    </row>
    <row r="1907" spans="1:9" x14ac:dyDescent="0.3">
      <c r="A1907">
        <v>1990</v>
      </c>
      <c r="B1907" t="s">
        <v>6113</v>
      </c>
      <c r="C1907" t="s">
        <v>6304</v>
      </c>
      <c r="D1907" s="4" t="s">
        <v>662</v>
      </c>
      <c r="E1907" t="s">
        <v>662</v>
      </c>
      <c r="F1907" s="1">
        <v>-0.19850000000000001</v>
      </c>
      <c r="G1907" s="1">
        <v>9.4999999999999998E-3</v>
      </c>
      <c r="H1907" t="s">
        <v>3403</v>
      </c>
      <c r="I1907" t="s">
        <v>6305</v>
      </c>
    </row>
    <row r="1908" spans="1:9" x14ac:dyDescent="0.3">
      <c r="A1908">
        <v>1045</v>
      </c>
      <c r="B1908" t="s">
        <v>588</v>
      </c>
      <c r="C1908" t="s">
        <v>3401</v>
      </c>
      <c r="D1908" s="4">
        <v>87.69</v>
      </c>
      <c r="E1908" t="s">
        <v>3402</v>
      </c>
      <c r="F1908" s="1">
        <v>-5.0200000000000002E-2</v>
      </c>
      <c r="G1908" s="1">
        <v>1.06E-2</v>
      </c>
      <c r="H1908" t="s">
        <v>3403</v>
      </c>
      <c r="I1908" t="s">
        <v>3404</v>
      </c>
    </row>
    <row r="1909" spans="1:9" x14ac:dyDescent="0.3">
      <c r="A1909">
        <v>1208</v>
      </c>
      <c r="B1909" t="s">
        <v>1115</v>
      </c>
      <c r="C1909" t="s">
        <v>3930</v>
      </c>
      <c r="D1909" s="4">
        <v>48.67</v>
      </c>
      <c r="E1909" t="s">
        <v>3931</v>
      </c>
      <c r="F1909" s="1">
        <v>-0.31890000000000002</v>
      </c>
      <c r="G1909" s="1">
        <v>9.4999999999999998E-3</v>
      </c>
      <c r="H1909" t="s">
        <v>3403</v>
      </c>
      <c r="I1909" t="s">
        <v>3932</v>
      </c>
    </row>
    <row r="1910" spans="1:9" x14ac:dyDescent="0.3">
      <c r="A1910">
        <v>1825</v>
      </c>
      <c r="B1910" t="s">
        <v>1115</v>
      </c>
      <c r="C1910" t="s">
        <v>5866</v>
      </c>
      <c r="D1910" s="4">
        <v>2.89</v>
      </c>
      <c r="E1910" t="s">
        <v>5867</v>
      </c>
      <c r="F1910" t="s">
        <v>662</v>
      </c>
      <c r="G1910" s="1">
        <v>9.4999999999999998E-3</v>
      </c>
      <c r="H1910" t="s">
        <v>3403</v>
      </c>
      <c r="I1910" t="s">
        <v>5868</v>
      </c>
    </row>
    <row r="1911" spans="1:9" x14ac:dyDescent="0.3">
      <c r="A1911">
        <v>1959</v>
      </c>
      <c r="B1911" t="s">
        <v>6113</v>
      </c>
      <c r="C1911" t="s">
        <v>6232</v>
      </c>
      <c r="D1911" s="4" t="s">
        <v>662</v>
      </c>
      <c r="E1911" t="s">
        <v>662</v>
      </c>
      <c r="F1911" s="1">
        <v>0.4113</v>
      </c>
      <c r="G1911" s="1">
        <v>9.4999999999999998E-3</v>
      </c>
      <c r="H1911" t="s">
        <v>6233</v>
      </c>
      <c r="I1911" t="s">
        <v>6234</v>
      </c>
    </row>
    <row r="1912" spans="1:9" x14ac:dyDescent="0.3">
      <c r="A1912">
        <v>1960</v>
      </c>
      <c r="B1912" t="s">
        <v>6113</v>
      </c>
      <c r="C1912" t="s">
        <v>6235</v>
      </c>
      <c r="D1912" s="4" t="s">
        <v>662</v>
      </c>
      <c r="E1912" t="s">
        <v>662</v>
      </c>
      <c r="F1912" s="1">
        <v>1.49E-2</v>
      </c>
      <c r="G1912" s="1">
        <v>9.4999999999999998E-3</v>
      </c>
      <c r="H1912" t="s">
        <v>4674</v>
      </c>
      <c r="I1912" t="s">
        <v>6236</v>
      </c>
    </row>
    <row r="1913" spans="1:9" x14ac:dyDescent="0.3">
      <c r="A1913">
        <v>2000</v>
      </c>
      <c r="B1913" t="s">
        <v>6113</v>
      </c>
      <c r="C1913" t="s">
        <v>6328</v>
      </c>
      <c r="D1913" s="4" t="s">
        <v>662</v>
      </c>
      <c r="E1913" t="s">
        <v>662</v>
      </c>
      <c r="F1913" s="1">
        <v>3.0200000000000001E-2</v>
      </c>
      <c r="G1913" s="1">
        <v>9.4999999999999998E-3</v>
      </c>
      <c r="H1913" t="s">
        <v>4674</v>
      </c>
      <c r="I1913" t="s">
        <v>6329</v>
      </c>
    </row>
    <row r="1914" spans="1:9" x14ac:dyDescent="0.3">
      <c r="A1914">
        <v>1438</v>
      </c>
      <c r="B1914" t="s">
        <v>588</v>
      </c>
      <c r="C1914" t="s">
        <v>4672</v>
      </c>
      <c r="D1914" s="4">
        <v>22.77</v>
      </c>
      <c r="E1914" t="s">
        <v>4673</v>
      </c>
      <c r="F1914" s="1">
        <v>1.8499999999999999E-2</v>
      </c>
      <c r="G1914" s="1">
        <v>1.0800000000000001E-2</v>
      </c>
      <c r="H1914" t="s">
        <v>4674</v>
      </c>
      <c r="I1914" t="s">
        <v>4675</v>
      </c>
    </row>
    <row r="1915" spans="1:9" x14ac:dyDescent="0.3">
      <c r="A1915">
        <v>2001</v>
      </c>
      <c r="B1915" t="s">
        <v>6113</v>
      </c>
      <c r="C1915" t="s">
        <v>6330</v>
      </c>
      <c r="D1915" s="4" t="s">
        <v>662</v>
      </c>
      <c r="E1915" t="s">
        <v>662</v>
      </c>
      <c r="F1915" s="1">
        <v>-0.11559999999999999</v>
      </c>
      <c r="G1915" s="1">
        <v>9.4999999999999998E-3</v>
      </c>
      <c r="H1915" t="s">
        <v>2996</v>
      </c>
      <c r="I1915" t="s">
        <v>6331</v>
      </c>
    </row>
    <row r="1916" spans="1:9" x14ac:dyDescent="0.3">
      <c r="A1916">
        <v>918</v>
      </c>
      <c r="B1916" t="s">
        <v>588</v>
      </c>
      <c r="C1916" t="s">
        <v>2994</v>
      </c>
      <c r="D1916" s="4">
        <v>129.07</v>
      </c>
      <c r="E1916" t="s">
        <v>2995</v>
      </c>
      <c r="F1916" s="1">
        <v>-0.18179999999999999</v>
      </c>
      <c r="G1916" s="1">
        <v>1.0800000000000001E-2</v>
      </c>
      <c r="H1916" t="s">
        <v>2996</v>
      </c>
      <c r="I1916" t="s">
        <v>2997</v>
      </c>
    </row>
    <row r="1917" spans="1:9" x14ac:dyDescent="0.3">
      <c r="A1917">
        <v>1524</v>
      </c>
      <c r="B1917" t="s">
        <v>588</v>
      </c>
      <c r="C1917" t="s">
        <v>4938</v>
      </c>
      <c r="D1917" s="4">
        <v>17.079999999999998</v>
      </c>
      <c r="E1917" t="s">
        <v>4939</v>
      </c>
      <c r="F1917" s="1">
        <v>0.85599999999999998</v>
      </c>
      <c r="G1917" s="1">
        <v>1.0699999999999999E-2</v>
      </c>
      <c r="H1917" t="s">
        <v>4940</v>
      </c>
      <c r="I1917" t="s">
        <v>4941</v>
      </c>
    </row>
    <row r="1918" spans="1:9" x14ac:dyDescent="0.3">
      <c r="A1918">
        <v>1996</v>
      </c>
      <c r="B1918" t="s">
        <v>6113</v>
      </c>
      <c r="C1918" t="s">
        <v>6318</v>
      </c>
      <c r="D1918" s="4" t="s">
        <v>662</v>
      </c>
      <c r="E1918" t="s">
        <v>662</v>
      </c>
      <c r="F1918" s="1">
        <v>-8.8099999999999998E-2</v>
      </c>
      <c r="G1918" s="1">
        <v>9.4999999999999998E-3</v>
      </c>
      <c r="H1918" t="s">
        <v>6319</v>
      </c>
      <c r="I1918" t="s">
        <v>6320</v>
      </c>
    </row>
    <row r="1919" spans="1:9" x14ac:dyDescent="0.3">
      <c r="A1919">
        <v>1937</v>
      </c>
      <c r="B1919" t="s">
        <v>6113</v>
      </c>
      <c r="C1919" t="s">
        <v>6186</v>
      </c>
      <c r="D1919" s="4" t="s">
        <v>662</v>
      </c>
      <c r="E1919" t="s">
        <v>662</v>
      </c>
      <c r="F1919" s="1">
        <v>3.5799999999999998E-2</v>
      </c>
      <c r="G1919" s="1">
        <v>6.6E-3</v>
      </c>
      <c r="H1919" t="s">
        <v>6187</v>
      </c>
      <c r="I1919" t="s">
        <v>6188</v>
      </c>
    </row>
    <row r="1920" spans="1:9" x14ac:dyDescent="0.3">
      <c r="A1920">
        <v>1956</v>
      </c>
      <c r="B1920" t="s">
        <v>6113</v>
      </c>
      <c r="C1920" t="s">
        <v>6225</v>
      </c>
      <c r="D1920" s="4" t="s">
        <v>662</v>
      </c>
      <c r="E1920" t="s">
        <v>662</v>
      </c>
      <c r="F1920" s="1">
        <v>0.1123</v>
      </c>
      <c r="G1920" s="1">
        <v>9.4999999999999998E-3</v>
      </c>
      <c r="H1920" t="s">
        <v>2537</v>
      </c>
      <c r="I1920" t="s">
        <v>6226</v>
      </c>
    </row>
    <row r="1921" spans="1:9" x14ac:dyDescent="0.3">
      <c r="A1921">
        <v>774</v>
      </c>
      <c r="B1921" t="s">
        <v>588</v>
      </c>
      <c r="C1921" t="s">
        <v>2535</v>
      </c>
      <c r="D1921" s="4">
        <v>207.2</v>
      </c>
      <c r="E1921" t="s">
        <v>2536</v>
      </c>
      <c r="F1921" s="1">
        <v>5.9700000000000003E-2</v>
      </c>
      <c r="G1921" s="1">
        <v>1.29E-2</v>
      </c>
      <c r="H1921" t="s">
        <v>2537</v>
      </c>
      <c r="I1921" t="s">
        <v>2538</v>
      </c>
    </row>
    <row r="1922" spans="1:9" x14ac:dyDescent="0.3">
      <c r="A1922">
        <v>1979</v>
      </c>
      <c r="B1922" t="s">
        <v>6113</v>
      </c>
      <c r="C1922" t="s">
        <v>6279</v>
      </c>
      <c r="D1922" s="4" t="s">
        <v>662</v>
      </c>
      <c r="E1922" t="s">
        <v>662</v>
      </c>
      <c r="F1922" s="1">
        <v>-0.17380000000000001</v>
      </c>
      <c r="G1922" s="1">
        <v>9.4999999999999998E-3</v>
      </c>
      <c r="H1922" t="s">
        <v>1787</v>
      </c>
      <c r="I1922" t="s">
        <v>6280</v>
      </c>
    </row>
    <row r="1923" spans="1:9" x14ac:dyDescent="0.3">
      <c r="A1923">
        <v>548</v>
      </c>
      <c r="B1923" t="s">
        <v>588</v>
      </c>
      <c r="C1923" t="s">
        <v>1785</v>
      </c>
      <c r="D1923" s="4">
        <v>506.43</v>
      </c>
      <c r="E1923" t="s">
        <v>1786</v>
      </c>
      <c r="F1923" s="1">
        <v>-0.26910000000000001</v>
      </c>
      <c r="G1923" s="1">
        <v>1.37E-2</v>
      </c>
      <c r="H1923" t="s">
        <v>1787</v>
      </c>
      <c r="I1923" t="s">
        <v>1788</v>
      </c>
    </row>
    <row r="1924" spans="1:9" x14ac:dyDescent="0.3">
      <c r="A1924">
        <v>1027</v>
      </c>
      <c r="B1924" t="s">
        <v>588</v>
      </c>
      <c r="C1924" t="s">
        <v>3345</v>
      </c>
      <c r="D1924" s="4">
        <v>92.86</v>
      </c>
      <c r="E1924" t="s">
        <v>3343</v>
      </c>
      <c r="F1924" s="1">
        <v>-1.1900000000000001E-2</v>
      </c>
      <c r="G1924" s="1">
        <v>1.21E-2</v>
      </c>
      <c r="H1924" t="s">
        <v>3346</v>
      </c>
      <c r="I1924" t="s">
        <v>3347</v>
      </c>
    </row>
    <row r="1925" spans="1:9" x14ac:dyDescent="0.3">
      <c r="A1925">
        <v>649</v>
      </c>
      <c r="B1925" t="s">
        <v>588</v>
      </c>
      <c r="C1925" t="s">
        <v>2130</v>
      </c>
      <c r="D1925" s="4">
        <v>345.25</v>
      </c>
      <c r="E1925" t="s">
        <v>2131</v>
      </c>
      <c r="F1925" s="1">
        <v>-0.48559999999999998</v>
      </c>
      <c r="G1925" s="1">
        <v>1.2999999999999999E-2</v>
      </c>
      <c r="H1925" t="s">
        <v>2132</v>
      </c>
      <c r="I1925" t="s">
        <v>2133</v>
      </c>
    </row>
    <row r="1926" spans="1:9" x14ac:dyDescent="0.3">
      <c r="A1926">
        <v>1537</v>
      </c>
      <c r="B1926" t="s">
        <v>2564</v>
      </c>
      <c r="C1926" t="s">
        <v>4976</v>
      </c>
      <c r="D1926" s="4">
        <v>16.52</v>
      </c>
      <c r="E1926" t="s">
        <v>4977</v>
      </c>
      <c r="F1926" s="1">
        <v>2.0299999999999999E-2</v>
      </c>
      <c r="G1926" s="1">
        <v>1.95E-2</v>
      </c>
      <c r="H1926" t="s">
        <v>4978</v>
      </c>
      <c r="I1926" t="s">
        <v>4979</v>
      </c>
    </row>
    <row r="1927" spans="1:9" x14ac:dyDescent="0.3">
      <c r="A1927">
        <v>1957</v>
      </c>
      <c r="B1927" t="s">
        <v>6113</v>
      </c>
      <c r="C1927" t="s">
        <v>6227</v>
      </c>
      <c r="D1927" s="4" t="s">
        <v>662</v>
      </c>
      <c r="E1927" t="s">
        <v>662</v>
      </c>
      <c r="F1927" s="1">
        <v>-5.74E-2</v>
      </c>
      <c r="G1927" s="1">
        <v>9.4999999999999998E-3</v>
      </c>
      <c r="H1927" t="s">
        <v>4101</v>
      </c>
      <c r="I1927" t="s">
        <v>6228</v>
      </c>
    </row>
    <row r="1928" spans="1:9" x14ac:dyDescent="0.3">
      <c r="A1928">
        <v>1262</v>
      </c>
      <c r="B1928" t="s">
        <v>588</v>
      </c>
      <c r="C1928" t="s">
        <v>4099</v>
      </c>
      <c r="D1928" s="4">
        <v>40.880000000000003</v>
      </c>
      <c r="E1928" t="s">
        <v>4100</v>
      </c>
      <c r="F1928" s="1">
        <v>-9.7299999999999998E-2</v>
      </c>
      <c r="G1928" s="1">
        <v>1.0699999999999999E-2</v>
      </c>
      <c r="H1928" t="s">
        <v>4101</v>
      </c>
      <c r="I1928" t="s">
        <v>4102</v>
      </c>
    </row>
    <row r="1929" spans="1:9" x14ac:dyDescent="0.3">
      <c r="A1929">
        <v>1342</v>
      </c>
      <c r="B1929" t="s">
        <v>2564</v>
      </c>
      <c r="C1929" t="s">
        <v>4366</v>
      </c>
      <c r="D1929" s="4">
        <v>31.62</v>
      </c>
      <c r="E1929" t="s">
        <v>4367</v>
      </c>
      <c r="F1929" s="1">
        <v>6.6900000000000001E-2</v>
      </c>
      <c r="G1929" s="1">
        <v>1.6500000000000001E-2</v>
      </c>
      <c r="H1929" t="s">
        <v>4368</v>
      </c>
      <c r="I1929" t="s">
        <v>4369</v>
      </c>
    </row>
    <row r="1930" spans="1:9" x14ac:dyDescent="0.3">
      <c r="A1930">
        <v>1977</v>
      </c>
      <c r="B1930" t="s">
        <v>6113</v>
      </c>
      <c r="C1930" t="s">
        <v>6273</v>
      </c>
      <c r="D1930" s="4" t="s">
        <v>662</v>
      </c>
      <c r="E1930" t="s">
        <v>662</v>
      </c>
      <c r="F1930" s="1">
        <v>-6.4899999999999999E-2</v>
      </c>
      <c r="G1930" s="1">
        <v>9.4999999999999998E-3</v>
      </c>
      <c r="H1930" t="s">
        <v>6274</v>
      </c>
      <c r="I1930" t="s">
        <v>6275</v>
      </c>
    </row>
    <row r="1931" spans="1:9" x14ac:dyDescent="0.3">
      <c r="A1931">
        <v>1976</v>
      </c>
      <c r="B1931" t="s">
        <v>6113</v>
      </c>
      <c r="C1931" t="s">
        <v>6271</v>
      </c>
      <c r="D1931" s="4" t="s">
        <v>662</v>
      </c>
      <c r="E1931" t="s">
        <v>662</v>
      </c>
      <c r="F1931" s="1">
        <v>-9.9099999999999994E-2</v>
      </c>
      <c r="G1931" s="1">
        <v>9.4999999999999998E-3</v>
      </c>
      <c r="H1931" t="s">
        <v>2707</v>
      </c>
      <c r="I1931" t="s">
        <v>6272</v>
      </c>
    </row>
    <row r="1932" spans="1:9" x14ac:dyDescent="0.3">
      <c r="A1932">
        <v>828</v>
      </c>
      <c r="B1932" t="s">
        <v>588</v>
      </c>
      <c r="C1932" t="s">
        <v>2705</v>
      </c>
      <c r="D1932" s="4">
        <v>172.33</v>
      </c>
      <c r="E1932" t="s">
        <v>2706</v>
      </c>
      <c r="F1932" s="1">
        <v>-0.15509999999999999</v>
      </c>
      <c r="G1932" s="1">
        <v>1.3299999999999999E-2</v>
      </c>
      <c r="H1932" t="s">
        <v>2707</v>
      </c>
      <c r="I1932" t="s">
        <v>2708</v>
      </c>
    </row>
    <row r="1933" spans="1:9" x14ac:dyDescent="0.3">
      <c r="A1933">
        <v>1737</v>
      </c>
      <c r="B1933" t="s">
        <v>1289</v>
      </c>
      <c r="C1933" t="s">
        <v>5599</v>
      </c>
      <c r="D1933" s="4">
        <v>5.82</v>
      </c>
      <c r="E1933" t="s">
        <v>5600</v>
      </c>
      <c r="F1933" t="s">
        <v>662</v>
      </c>
      <c r="G1933" s="1">
        <v>9.1999999999999998E-3</v>
      </c>
      <c r="H1933" t="s">
        <v>5601</v>
      </c>
      <c r="I1933" t="s">
        <v>5602</v>
      </c>
    </row>
    <row r="1934" spans="1:9" x14ac:dyDescent="0.3">
      <c r="A1934">
        <v>1888</v>
      </c>
      <c r="B1934" t="s">
        <v>921</v>
      </c>
      <c r="C1934" t="s">
        <v>6066</v>
      </c>
      <c r="D1934" s="4">
        <f>614.71*0.001</f>
        <v>0.61471000000000009</v>
      </c>
      <c r="E1934" t="s">
        <v>6067</v>
      </c>
      <c r="F1934" s="1">
        <v>-0.55789999999999995</v>
      </c>
      <c r="G1934" s="1">
        <v>9.4999999999999998E-3</v>
      </c>
      <c r="H1934" t="s">
        <v>5601</v>
      </c>
      <c r="I1934" t="s">
        <v>6068</v>
      </c>
    </row>
    <row r="1935" spans="1:9" x14ac:dyDescent="0.3">
      <c r="A1935">
        <v>1915</v>
      </c>
      <c r="B1935" t="s">
        <v>6113</v>
      </c>
      <c r="C1935" t="s">
        <v>6142</v>
      </c>
      <c r="D1935" s="4" t="s">
        <v>662</v>
      </c>
      <c r="E1935" t="s">
        <v>662</v>
      </c>
      <c r="F1935" s="1">
        <v>-0.2364</v>
      </c>
      <c r="G1935" s="1">
        <v>9.7999999999999997E-3</v>
      </c>
      <c r="H1935" t="s">
        <v>6143</v>
      </c>
      <c r="I1935" t="s">
        <v>6144</v>
      </c>
    </row>
    <row r="1936" spans="1:9" x14ac:dyDescent="0.3">
      <c r="A1936">
        <v>477</v>
      </c>
      <c r="B1936" t="s">
        <v>588</v>
      </c>
      <c r="C1936" t="s">
        <v>1553</v>
      </c>
      <c r="D1936" s="4">
        <v>716.74</v>
      </c>
      <c r="E1936" t="s">
        <v>1554</v>
      </c>
      <c r="F1936" s="1">
        <v>-5.6800000000000003E-2</v>
      </c>
      <c r="G1936" s="1">
        <v>1.17E-2</v>
      </c>
      <c r="H1936" t="s">
        <v>1555</v>
      </c>
      <c r="I1936" t="s">
        <v>1556</v>
      </c>
    </row>
    <row r="1937" spans="1:9" x14ac:dyDescent="0.3">
      <c r="A1937">
        <v>584</v>
      </c>
      <c r="B1937" t="s">
        <v>588</v>
      </c>
      <c r="C1937" t="s">
        <v>1908</v>
      </c>
      <c r="D1937" s="4">
        <v>434.4</v>
      </c>
      <c r="E1937" t="s">
        <v>1909</v>
      </c>
      <c r="F1937" s="1">
        <v>-0.12039999999999999</v>
      </c>
      <c r="G1937" s="1">
        <v>1.12E-2</v>
      </c>
      <c r="H1937" t="s">
        <v>1555</v>
      </c>
      <c r="I1937" t="s">
        <v>1910</v>
      </c>
    </row>
    <row r="1938" spans="1:9" x14ac:dyDescent="0.3">
      <c r="A1938">
        <v>1248</v>
      </c>
      <c r="B1938" t="s">
        <v>1115</v>
      </c>
      <c r="C1938" t="s">
        <v>4056</v>
      </c>
      <c r="D1938" s="4">
        <v>42.43</v>
      </c>
      <c r="E1938" t="s">
        <v>4057</v>
      </c>
      <c r="F1938" s="1">
        <v>-0.155</v>
      </c>
      <c r="G1938" s="1">
        <v>9.4999999999999998E-3</v>
      </c>
      <c r="H1938" t="s">
        <v>1555</v>
      </c>
      <c r="I1938" t="s">
        <v>4058</v>
      </c>
    </row>
    <row r="1939" spans="1:9" x14ac:dyDescent="0.3">
      <c r="A1939">
        <v>1891</v>
      </c>
      <c r="B1939" t="s">
        <v>921</v>
      </c>
      <c r="C1939" t="s">
        <v>6076</v>
      </c>
      <c r="D1939" s="4">
        <f>533.99*0.001</f>
        <v>0.53398999999999996</v>
      </c>
      <c r="E1939" t="s">
        <v>6077</v>
      </c>
      <c r="F1939" s="1">
        <v>-0.31209999999999999</v>
      </c>
      <c r="G1939" s="1">
        <v>9.4999999999999998E-3</v>
      </c>
      <c r="H1939" t="s">
        <v>6078</v>
      </c>
      <c r="I1939" t="s">
        <v>6079</v>
      </c>
    </row>
    <row r="1940" spans="1:9" x14ac:dyDescent="0.3">
      <c r="A1940">
        <v>1747</v>
      </c>
      <c r="B1940" t="s">
        <v>588</v>
      </c>
      <c r="C1940" t="s">
        <v>5629</v>
      </c>
      <c r="D1940" s="4">
        <v>5.45</v>
      </c>
      <c r="E1940" t="s">
        <v>5627</v>
      </c>
      <c r="F1940" s="1">
        <v>-0.41439999999999999</v>
      </c>
      <c r="G1940" s="1">
        <v>1.0699999999999999E-2</v>
      </c>
      <c r="H1940" t="s">
        <v>5630</v>
      </c>
      <c r="I1940" t="s">
        <v>5631</v>
      </c>
    </row>
    <row r="1941" spans="1:9" x14ac:dyDescent="0.3">
      <c r="A1941">
        <v>1381</v>
      </c>
      <c r="B1941" t="s">
        <v>588</v>
      </c>
      <c r="C1941" t="s">
        <v>4488</v>
      </c>
      <c r="D1941" s="4">
        <v>26.95</v>
      </c>
      <c r="E1941" t="s">
        <v>4489</v>
      </c>
      <c r="F1941" s="1">
        <v>-0.35549999999999998</v>
      </c>
      <c r="G1941" s="1">
        <v>1.29E-2</v>
      </c>
      <c r="H1941" t="s">
        <v>4490</v>
      </c>
      <c r="I1941" t="s">
        <v>4491</v>
      </c>
    </row>
    <row r="1942" spans="1:9" x14ac:dyDescent="0.3">
      <c r="A1942">
        <v>1873</v>
      </c>
      <c r="B1942" t="s">
        <v>921</v>
      </c>
      <c r="C1942" t="s">
        <v>6016</v>
      </c>
      <c r="D1942" s="4">
        <v>1.19</v>
      </c>
      <c r="E1942" t="s">
        <v>6017</v>
      </c>
      <c r="F1942" s="1">
        <v>-0.18010000000000001</v>
      </c>
      <c r="G1942" s="1">
        <v>9.4999999999999998E-3</v>
      </c>
      <c r="H1942" t="s">
        <v>6018</v>
      </c>
      <c r="I1942" t="s">
        <v>6019</v>
      </c>
    </row>
    <row r="1943" spans="1:9" x14ac:dyDescent="0.3">
      <c r="A1943">
        <v>1056</v>
      </c>
      <c r="B1943" t="s">
        <v>588</v>
      </c>
      <c r="C1943" t="s">
        <v>3437</v>
      </c>
      <c r="D1943" s="4">
        <v>83.91</v>
      </c>
      <c r="E1943" t="s">
        <v>3438</v>
      </c>
      <c r="F1943" s="1">
        <v>-7.2700000000000001E-2</v>
      </c>
      <c r="G1943" s="1">
        <v>1.3299999999999999E-2</v>
      </c>
      <c r="H1943" t="s">
        <v>3439</v>
      </c>
      <c r="I1943" t="s">
        <v>3440</v>
      </c>
    </row>
    <row r="1944" spans="1:9" x14ac:dyDescent="0.3">
      <c r="A1944">
        <v>1978</v>
      </c>
      <c r="B1944" t="s">
        <v>6113</v>
      </c>
      <c r="C1944" t="s">
        <v>6276</v>
      </c>
      <c r="D1944" s="4" t="s">
        <v>662</v>
      </c>
      <c r="E1944" t="s">
        <v>662</v>
      </c>
      <c r="F1944" s="1">
        <v>-7.3400000000000007E-2</v>
      </c>
      <c r="G1944" s="1">
        <v>9.4999999999999998E-3</v>
      </c>
      <c r="H1944" t="s">
        <v>6277</v>
      </c>
      <c r="I1944" t="s">
        <v>6278</v>
      </c>
    </row>
    <row r="1945" spans="1:9" x14ac:dyDescent="0.3">
      <c r="A1945">
        <v>1541</v>
      </c>
      <c r="B1945" t="s">
        <v>588</v>
      </c>
      <c r="C1945" t="s">
        <v>4989</v>
      </c>
      <c r="D1945" s="4">
        <v>16.16</v>
      </c>
      <c r="E1945" t="s">
        <v>4990</v>
      </c>
      <c r="F1945" s="1">
        <v>-3.0000000000000001E-3</v>
      </c>
      <c r="G1945" s="1">
        <v>1.21E-2</v>
      </c>
      <c r="H1945" t="s">
        <v>4991</v>
      </c>
      <c r="I1945" t="s">
        <v>4992</v>
      </c>
    </row>
    <row r="1946" spans="1:9" x14ac:dyDescent="0.3">
      <c r="A1946">
        <v>1805</v>
      </c>
      <c r="B1946" t="s">
        <v>588</v>
      </c>
      <c r="C1946" t="s">
        <v>5806</v>
      </c>
      <c r="D1946" s="4">
        <v>3.52</v>
      </c>
      <c r="E1946" t="s">
        <v>5804</v>
      </c>
      <c r="F1946" t="s">
        <v>662</v>
      </c>
      <c r="G1946" s="1">
        <v>1.0699999999999999E-2</v>
      </c>
      <c r="H1946" t="s">
        <v>5807</v>
      </c>
      <c r="I1946" t="s">
        <v>5808</v>
      </c>
    </row>
    <row r="1947" spans="1:9" x14ac:dyDescent="0.3">
      <c r="A1947">
        <v>1194</v>
      </c>
      <c r="B1947" t="s">
        <v>588</v>
      </c>
      <c r="C1947" t="s">
        <v>3886</v>
      </c>
      <c r="D1947" s="4">
        <v>50.93</v>
      </c>
      <c r="E1947" t="s">
        <v>3887</v>
      </c>
      <c r="F1947" s="1">
        <v>-0.45829999999999999</v>
      </c>
      <c r="G1947" s="1">
        <v>1.23E-2</v>
      </c>
      <c r="H1947" t="s">
        <v>3888</v>
      </c>
      <c r="I1947" t="s">
        <v>3889</v>
      </c>
    </row>
    <row r="1948" spans="1:9" x14ac:dyDescent="0.3">
      <c r="A1948">
        <v>1289</v>
      </c>
      <c r="B1948" t="s">
        <v>588</v>
      </c>
      <c r="C1948" t="s">
        <v>4193</v>
      </c>
      <c r="D1948" s="4">
        <v>37.28</v>
      </c>
      <c r="E1948" t="s">
        <v>4194</v>
      </c>
      <c r="F1948" s="1">
        <v>-0.18440000000000001</v>
      </c>
      <c r="G1948" s="1">
        <v>1.29E-2</v>
      </c>
      <c r="H1948" t="s">
        <v>4195</v>
      </c>
      <c r="I1948" t="s">
        <v>4196</v>
      </c>
    </row>
    <row r="1949" spans="1:9" x14ac:dyDescent="0.3">
      <c r="A1949">
        <v>1304</v>
      </c>
      <c r="B1949" t="s">
        <v>2564</v>
      </c>
      <c r="C1949" t="s">
        <v>4240</v>
      </c>
      <c r="D1949" s="4">
        <v>35.590000000000003</v>
      </c>
      <c r="E1949" t="s">
        <v>4241</v>
      </c>
      <c r="F1949" s="1">
        <v>2.8E-3</v>
      </c>
      <c r="G1949" s="1">
        <v>9.4999999999999998E-3</v>
      </c>
      <c r="H1949" t="s">
        <v>4242</v>
      </c>
      <c r="I1949" t="s">
        <v>4243</v>
      </c>
    </row>
    <row r="1950" spans="1:9" x14ac:dyDescent="0.3">
      <c r="A1950">
        <v>1897</v>
      </c>
      <c r="B1950" t="s">
        <v>588</v>
      </c>
      <c r="C1950" t="s">
        <v>6100</v>
      </c>
      <c r="D1950" s="4" t="s">
        <v>662</v>
      </c>
      <c r="E1950" t="s">
        <v>662</v>
      </c>
      <c r="F1950" t="s">
        <v>662</v>
      </c>
      <c r="G1950" s="1">
        <v>1.23E-2</v>
      </c>
      <c r="H1950" t="s">
        <v>772</v>
      </c>
      <c r="I1950" t="s">
        <v>6101</v>
      </c>
    </row>
    <row r="1951" spans="1:9" x14ac:dyDescent="0.3">
      <c r="A1951">
        <v>1909</v>
      </c>
      <c r="B1951" t="s">
        <v>2564</v>
      </c>
      <c r="C1951" t="s">
        <v>6129</v>
      </c>
      <c r="D1951" s="4" t="s">
        <v>662</v>
      </c>
      <c r="E1951" t="s">
        <v>662</v>
      </c>
      <c r="F1951" s="1">
        <v>1.4E-3</v>
      </c>
      <c r="G1951" s="1">
        <v>0</v>
      </c>
      <c r="H1951" t="s">
        <v>772</v>
      </c>
      <c r="I1951" t="s">
        <v>6130</v>
      </c>
    </row>
    <row r="1952" spans="1:9" x14ac:dyDescent="0.3">
      <c r="A1952">
        <v>1966</v>
      </c>
      <c r="B1952" t="s">
        <v>6113</v>
      </c>
      <c r="C1952" t="s">
        <v>6249</v>
      </c>
      <c r="D1952" s="4" t="s">
        <v>662</v>
      </c>
      <c r="E1952" t="s">
        <v>662</v>
      </c>
      <c r="F1952" s="1">
        <v>-0.1145</v>
      </c>
      <c r="G1952" s="1">
        <v>9.4999999999999998E-3</v>
      </c>
      <c r="H1952" t="s">
        <v>772</v>
      </c>
      <c r="I1952" t="s">
        <v>6250</v>
      </c>
    </row>
    <row r="1953" spans="1:9" x14ac:dyDescent="0.3">
      <c r="A1953">
        <v>1970</v>
      </c>
      <c r="B1953" t="s">
        <v>6113</v>
      </c>
      <c r="C1953" t="s">
        <v>6257</v>
      </c>
      <c r="D1953" s="4" t="s">
        <v>662</v>
      </c>
      <c r="E1953" t="s">
        <v>662</v>
      </c>
      <c r="F1953" s="1">
        <v>-0.21809999999999999</v>
      </c>
      <c r="G1953" s="1">
        <v>9.4999999999999998E-3</v>
      </c>
      <c r="H1953" t="s">
        <v>772</v>
      </c>
      <c r="I1953" t="s">
        <v>6258</v>
      </c>
    </row>
    <row r="1954" spans="1:9" x14ac:dyDescent="0.3">
      <c r="A1954">
        <v>1973</v>
      </c>
      <c r="B1954" t="s">
        <v>6113</v>
      </c>
      <c r="C1954" t="s">
        <v>6263</v>
      </c>
      <c r="D1954" s="4" t="s">
        <v>662</v>
      </c>
      <c r="E1954" t="s">
        <v>662</v>
      </c>
      <c r="F1954" s="1">
        <v>-0.10979999999999999</v>
      </c>
      <c r="G1954" s="1">
        <v>9.2999999999999992E-3</v>
      </c>
      <c r="H1954" t="s">
        <v>772</v>
      </c>
      <c r="I1954" t="s">
        <v>6264</v>
      </c>
    </row>
    <row r="1955" spans="1:9" x14ac:dyDescent="0.3">
      <c r="A1955">
        <v>2021</v>
      </c>
      <c r="B1955" t="s">
        <v>6113</v>
      </c>
      <c r="C1955" t="s">
        <v>6373</v>
      </c>
      <c r="D1955" s="4" t="s">
        <v>662</v>
      </c>
      <c r="E1955" t="s">
        <v>662</v>
      </c>
      <c r="F1955" s="1">
        <v>-7.3999999999999996E-2</v>
      </c>
      <c r="G1955" s="1">
        <v>9.4999999999999998E-3</v>
      </c>
      <c r="H1955" t="s">
        <v>772</v>
      </c>
      <c r="I1955" t="s">
        <v>6374</v>
      </c>
    </row>
    <row r="1956" spans="1:9" x14ac:dyDescent="0.3">
      <c r="A1956">
        <v>2026</v>
      </c>
      <c r="B1956" t="s">
        <v>6113</v>
      </c>
      <c r="C1956" t="s">
        <v>6383</v>
      </c>
      <c r="D1956" s="4" t="s">
        <v>662</v>
      </c>
      <c r="E1956" t="s">
        <v>662</v>
      </c>
      <c r="F1956" s="1">
        <v>-0.1431</v>
      </c>
      <c r="G1956" s="1">
        <v>9.4999999999999998E-3</v>
      </c>
      <c r="H1956" t="s">
        <v>772</v>
      </c>
      <c r="I1956" t="s">
        <v>6384</v>
      </c>
    </row>
    <row r="1957" spans="1:9" x14ac:dyDescent="0.3">
      <c r="A1957">
        <v>2028</v>
      </c>
      <c r="B1957" t="s">
        <v>6113</v>
      </c>
      <c r="C1957" t="s">
        <v>6387</v>
      </c>
      <c r="D1957" s="4" t="s">
        <v>662</v>
      </c>
      <c r="E1957" t="s">
        <v>662</v>
      </c>
      <c r="F1957" s="1">
        <v>-7.0499999999999993E-2</v>
      </c>
      <c r="G1957" s="1">
        <v>9.1000000000000004E-3</v>
      </c>
      <c r="H1957" t="s">
        <v>772</v>
      </c>
      <c r="I1957" t="s">
        <v>6388</v>
      </c>
    </row>
    <row r="1958" spans="1:9" x14ac:dyDescent="0.3">
      <c r="A1958">
        <v>223</v>
      </c>
      <c r="B1958" t="s">
        <v>588</v>
      </c>
      <c r="C1958" t="s">
        <v>770</v>
      </c>
      <c r="D1958" s="4">
        <f>2.98*1000</f>
        <v>2980</v>
      </c>
      <c r="E1958" t="s">
        <v>771</v>
      </c>
      <c r="F1958" s="1">
        <v>-0.1103</v>
      </c>
      <c r="G1958" s="1">
        <v>1.01E-2</v>
      </c>
      <c r="H1958" t="s">
        <v>772</v>
      </c>
      <c r="I1958" t="s">
        <v>773</v>
      </c>
    </row>
    <row r="1959" spans="1:9" x14ac:dyDescent="0.3">
      <c r="A1959">
        <v>1051</v>
      </c>
      <c r="B1959" t="s">
        <v>588</v>
      </c>
      <c r="C1959" t="s">
        <v>3422</v>
      </c>
      <c r="D1959" s="4">
        <v>85.91</v>
      </c>
      <c r="E1959" t="s">
        <v>3423</v>
      </c>
      <c r="F1959" s="1">
        <v>-0.23050000000000001</v>
      </c>
      <c r="G1959" s="1">
        <v>9.7999999999999997E-3</v>
      </c>
      <c r="H1959" t="s">
        <v>772</v>
      </c>
      <c r="I1959" t="s">
        <v>3424</v>
      </c>
    </row>
    <row r="1960" spans="1:9" x14ac:dyDescent="0.3">
      <c r="A1960">
        <v>1183</v>
      </c>
      <c r="B1960" t="s">
        <v>588</v>
      </c>
      <c r="C1960" t="s">
        <v>3853</v>
      </c>
      <c r="D1960" s="4">
        <v>52.73</v>
      </c>
      <c r="E1960" t="s">
        <v>3854</v>
      </c>
      <c r="F1960" s="1">
        <v>-9.2799999999999994E-2</v>
      </c>
      <c r="G1960" s="1">
        <v>6.4000000000000003E-3</v>
      </c>
      <c r="H1960" t="s">
        <v>772</v>
      </c>
      <c r="I1960" t="s">
        <v>3855</v>
      </c>
    </row>
    <row r="1961" spans="1:9" x14ac:dyDescent="0.3">
      <c r="A1961">
        <v>1473</v>
      </c>
      <c r="B1961" t="s">
        <v>1799</v>
      </c>
      <c r="C1961" t="s">
        <v>4784</v>
      </c>
      <c r="D1961" s="4">
        <v>20.36</v>
      </c>
      <c r="E1961" t="s">
        <v>4785</v>
      </c>
      <c r="F1961" s="1">
        <v>-1.78E-2</v>
      </c>
      <c r="G1961" s="1">
        <v>7.9000000000000008E-3</v>
      </c>
      <c r="H1961" t="s">
        <v>772</v>
      </c>
      <c r="I1961" t="s">
        <v>4786</v>
      </c>
    </row>
    <row r="1962" spans="1:9" x14ac:dyDescent="0.3">
      <c r="A1962">
        <v>1539</v>
      </c>
      <c r="B1962" t="s">
        <v>2564</v>
      </c>
      <c r="C1962" t="s">
        <v>4983</v>
      </c>
      <c r="D1962" s="4">
        <v>16.48</v>
      </c>
      <c r="E1962" t="s">
        <v>4984</v>
      </c>
      <c r="F1962" s="1">
        <v>0.1217</v>
      </c>
      <c r="G1962" s="1">
        <v>1.6500000000000001E-2</v>
      </c>
      <c r="H1962" t="s">
        <v>772</v>
      </c>
      <c r="I1962" t="s">
        <v>4985</v>
      </c>
    </row>
    <row r="1963" spans="1:9" x14ac:dyDescent="0.3">
      <c r="A1963">
        <v>1557</v>
      </c>
      <c r="B1963" t="s">
        <v>1799</v>
      </c>
      <c r="C1963" t="s">
        <v>5037</v>
      </c>
      <c r="D1963" s="4">
        <v>15.41</v>
      </c>
      <c r="E1963" t="s">
        <v>5038</v>
      </c>
      <c r="F1963" s="1">
        <v>-4.65E-2</v>
      </c>
      <c r="G1963" s="1">
        <v>7.9000000000000008E-3</v>
      </c>
      <c r="H1963" t="s">
        <v>772</v>
      </c>
      <c r="I1963" t="s">
        <v>5039</v>
      </c>
    </row>
    <row r="1964" spans="1:9" x14ac:dyDescent="0.3">
      <c r="A1964">
        <v>1659</v>
      </c>
      <c r="B1964" t="s">
        <v>1799</v>
      </c>
      <c r="C1964" t="s">
        <v>5363</v>
      </c>
      <c r="D1964" s="4">
        <v>8.6300000000000008</v>
      </c>
      <c r="E1964" t="s">
        <v>5364</v>
      </c>
      <c r="F1964" s="1">
        <v>-2.8400000000000002E-2</v>
      </c>
      <c r="G1964" s="1">
        <v>8.0000000000000002E-3</v>
      </c>
      <c r="H1964" t="s">
        <v>772</v>
      </c>
      <c r="I1964" t="s">
        <v>5365</v>
      </c>
    </row>
    <row r="1965" spans="1:9" x14ac:dyDescent="0.3">
      <c r="A1965">
        <v>1723</v>
      </c>
      <c r="B1965" t="s">
        <v>1799</v>
      </c>
      <c r="C1965" t="s">
        <v>5557</v>
      </c>
      <c r="D1965" s="4">
        <v>6.23</v>
      </c>
      <c r="E1965" t="s">
        <v>5558</v>
      </c>
      <c r="F1965" s="1">
        <v>-6.6799999999999998E-2</v>
      </c>
      <c r="G1965" s="1">
        <v>7.9000000000000008E-3</v>
      </c>
      <c r="H1965" t="s">
        <v>772</v>
      </c>
      <c r="I1965" t="s">
        <v>5559</v>
      </c>
    </row>
    <row r="1966" spans="1:9" x14ac:dyDescent="0.3">
      <c r="A1966">
        <v>847</v>
      </c>
      <c r="B1966" t="s">
        <v>2564</v>
      </c>
      <c r="C1966" t="s">
        <v>2769</v>
      </c>
      <c r="D1966" s="4">
        <v>160.38999999999999</v>
      </c>
      <c r="E1966" t="s">
        <v>2770</v>
      </c>
      <c r="F1966" s="1">
        <v>-0.17369999999999999</v>
      </c>
      <c r="G1966" s="1">
        <v>1.29E-2</v>
      </c>
      <c r="H1966" t="s">
        <v>2771</v>
      </c>
      <c r="I1966" t="s">
        <v>2772</v>
      </c>
    </row>
    <row r="1967" spans="1:9" x14ac:dyDescent="0.3">
      <c r="A1967">
        <v>1210</v>
      </c>
      <c r="B1967" t="s">
        <v>248</v>
      </c>
      <c r="C1967" t="s">
        <v>3936</v>
      </c>
      <c r="D1967" s="4">
        <v>48.42</v>
      </c>
      <c r="E1967" t="s">
        <v>3937</v>
      </c>
      <c r="F1967" s="1">
        <v>-0.13070000000000001</v>
      </c>
      <c r="G1967" s="1">
        <v>1.46E-2</v>
      </c>
      <c r="H1967" t="s">
        <v>2771</v>
      </c>
      <c r="I1967" t="s">
        <v>3938</v>
      </c>
    </row>
    <row r="1968" spans="1:9" x14ac:dyDescent="0.3">
      <c r="A1968">
        <v>1372</v>
      </c>
      <c r="B1968" t="s">
        <v>2564</v>
      </c>
      <c r="C1968" t="s">
        <v>4462</v>
      </c>
      <c r="D1968" s="4">
        <v>27.94</v>
      </c>
      <c r="E1968" t="s">
        <v>4463</v>
      </c>
      <c r="F1968" s="1">
        <v>-0.1661</v>
      </c>
      <c r="G1968" s="1">
        <v>9.4999999999999998E-3</v>
      </c>
      <c r="H1968" t="s">
        <v>2771</v>
      </c>
      <c r="I1968" t="s">
        <v>4464</v>
      </c>
    </row>
    <row r="1969" spans="1:9" x14ac:dyDescent="0.3">
      <c r="A1969">
        <v>1967</v>
      </c>
      <c r="B1969" t="s">
        <v>6113</v>
      </c>
      <c r="C1969" t="s">
        <v>6251</v>
      </c>
      <c r="D1969" s="4" t="s">
        <v>662</v>
      </c>
      <c r="E1969" t="s">
        <v>662</v>
      </c>
      <c r="F1969" s="1">
        <v>-0.21709999999999999</v>
      </c>
      <c r="G1969" s="1">
        <v>9.4999999999999998E-3</v>
      </c>
      <c r="H1969" t="s">
        <v>3581</v>
      </c>
      <c r="I1969" t="s">
        <v>6252</v>
      </c>
    </row>
    <row r="1970" spans="1:9" x14ac:dyDescent="0.3">
      <c r="A1970">
        <v>2023</v>
      </c>
      <c r="B1970" t="s">
        <v>6113</v>
      </c>
      <c r="C1970" t="s">
        <v>6377</v>
      </c>
      <c r="D1970" s="4" t="s">
        <v>662</v>
      </c>
      <c r="E1970" t="s">
        <v>662</v>
      </c>
      <c r="F1970" s="1">
        <v>-0.1439</v>
      </c>
      <c r="G1970" s="1">
        <v>9.4999999999999998E-3</v>
      </c>
      <c r="H1970" t="s">
        <v>3581</v>
      </c>
      <c r="I1970" t="s">
        <v>6378</v>
      </c>
    </row>
    <row r="1971" spans="1:9" x14ac:dyDescent="0.3">
      <c r="A1971">
        <v>1099</v>
      </c>
      <c r="B1971" t="s">
        <v>588</v>
      </c>
      <c r="C1971" t="s">
        <v>3579</v>
      </c>
      <c r="D1971" s="4">
        <v>73.599999999999994</v>
      </c>
      <c r="E1971" t="s">
        <v>3580</v>
      </c>
      <c r="F1971" s="1">
        <v>-0.2172</v>
      </c>
      <c r="G1971" s="1">
        <v>1.03E-2</v>
      </c>
      <c r="H1971" t="s">
        <v>3581</v>
      </c>
      <c r="I1971" t="s">
        <v>3582</v>
      </c>
    </row>
    <row r="1972" spans="1:9" x14ac:dyDescent="0.3">
      <c r="A1972">
        <v>1968</v>
      </c>
      <c r="B1972" t="s">
        <v>6113</v>
      </c>
      <c r="C1972" t="s">
        <v>6253</v>
      </c>
      <c r="D1972" s="4" t="s">
        <v>662</v>
      </c>
      <c r="E1972" t="s">
        <v>662</v>
      </c>
      <c r="F1972" s="1">
        <v>-0.37730000000000002</v>
      </c>
      <c r="G1972" s="1">
        <v>9.4999999999999998E-3</v>
      </c>
      <c r="H1972" t="s">
        <v>1046</v>
      </c>
      <c r="I1972" t="s">
        <v>6254</v>
      </c>
    </row>
    <row r="1973" spans="1:9" x14ac:dyDescent="0.3">
      <c r="A1973">
        <v>2012</v>
      </c>
      <c r="B1973" t="s">
        <v>6113</v>
      </c>
      <c r="C1973" t="s">
        <v>6355</v>
      </c>
      <c r="D1973" s="4" t="s">
        <v>662</v>
      </c>
      <c r="E1973" t="s">
        <v>662</v>
      </c>
      <c r="F1973" s="1">
        <v>-0.13930000000000001</v>
      </c>
      <c r="G1973" s="1">
        <v>9.4999999999999998E-3</v>
      </c>
      <c r="H1973" t="s">
        <v>1046</v>
      </c>
      <c r="I1973" t="s">
        <v>6356</v>
      </c>
    </row>
    <row r="1974" spans="1:9" x14ac:dyDescent="0.3">
      <c r="A1974">
        <v>2016</v>
      </c>
      <c r="B1974" t="s">
        <v>6113</v>
      </c>
      <c r="C1974" t="s">
        <v>6363</v>
      </c>
      <c r="D1974" s="4" t="s">
        <v>662</v>
      </c>
      <c r="E1974" t="s">
        <v>662</v>
      </c>
      <c r="F1974" s="1">
        <v>-0.26079999999999998</v>
      </c>
      <c r="G1974" s="1">
        <v>9.4999999999999998E-3</v>
      </c>
      <c r="H1974" t="s">
        <v>1046</v>
      </c>
      <c r="I1974" t="s">
        <v>6364</v>
      </c>
    </row>
    <row r="1975" spans="1:9" x14ac:dyDescent="0.3">
      <c r="A1975">
        <v>309</v>
      </c>
      <c r="B1975" t="s">
        <v>588</v>
      </c>
      <c r="C1975" t="s">
        <v>1044</v>
      </c>
      <c r="D1975" s="4">
        <f>1.51*1000</f>
        <v>1510</v>
      </c>
      <c r="E1975" t="s">
        <v>1045</v>
      </c>
      <c r="F1975" s="1">
        <v>-0.37769999999999998</v>
      </c>
      <c r="G1975" s="1">
        <v>1.12E-2</v>
      </c>
      <c r="H1975" t="s">
        <v>1046</v>
      </c>
      <c r="I1975" t="s">
        <v>1047</v>
      </c>
    </row>
    <row r="1976" spans="1:9" x14ac:dyDescent="0.3">
      <c r="A1976">
        <v>1259</v>
      </c>
      <c r="B1976" t="s">
        <v>2564</v>
      </c>
      <c r="C1976" t="s">
        <v>4090</v>
      </c>
      <c r="D1976" s="4">
        <v>41.25</v>
      </c>
      <c r="E1976" t="s">
        <v>4088</v>
      </c>
      <c r="F1976" s="1">
        <v>-0.1048</v>
      </c>
      <c r="G1976" s="1">
        <v>8.5000000000000006E-3</v>
      </c>
      <c r="H1976" t="s">
        <v>1046</v>
      </c>
      <c r="I1976" t="s">
        <v>4091</v>
      </c>
    </row>
    <row r="1977" spans="1:9" x14ac:dyDescent="0.3">
      <c r="A1977">
        <v>1481</v>
      </c>
      <c r="B1977" t="s">
        <v>2564</v>
      </c>
      <c r="C1977" t="s">
        <v>4809</v>
      </c>
      <c r="D1977" s="4">
        <v>20.12</v>
      </c>
      <c r="E1977" t="s">
        <v>4810</v>
      </c>
      <c r="F1977" s="1">
        <v>-0.2535</v>
      </c>
      <c r="G1977" s="1">
        <v>9.4999999999999998E-3</v>
      </c>
      <c r="H1977" t="s">
        <v>1046</v>
      </c>
      <c r="I1977" t="s">
        <v>4811</v>
      </c>
    </row>
    <row r="1978" spans="1:9" x14ac:dyDescent="0.3">
      <c r="A1978">
        <v>1908</v>
      </c>
      <c r="B1978" t="s">
        <v>2564</v>
      </c>
      <c r="C1978" t="s">
        <v>6127</v>
      </c>
      <c r="D1978" s="4" t="s">
        <v>662</v>
      </c>
      <c r="E1978" t="s">
        <v>662</v>
      </c>
      <c r="F1978" s="1">
        <v>-0.1056</v>
      </c>
      <c r="G1978" s="1">
        <v>9.4999999999999998E-3</v>
      </c>
      <c r="H1978" t="s">
        <v>4379</v>
      </c>
      <c r="I1978" t="s">
        <v>6128</v>
      </c>
    </row>
    <row r="1979" spans="1:9" x14ac:dyDescent="0.3">
      <c r="A1979">
        <v>1345</v>
      </c>
      <c r="B1979" t="s">
        <v>2564</v>
      </c>
      <c r="C1979" t="s">
        <v>4377</v>
      </c>
      <c r="D1979" s="4">
        <v>31.17</v>
      </c>
      <c r="E1979" t="s">
        <v>4378</v>
      </c>
      <c r="F1979" s="1">
        <v>-4.9200000000000001E-2</v>
      </c>
      <c r="G1979" s="1">
        <v>9.4999999999999998E-3</v>
      </c>
      <c r="H1979" t="s">
        <v>4379</v>
      </c>
      <c r="I1979" t="s">
        <v>4380</v>
      </c>
    </row>
    <row r="1980" spans="1:9" x14ac:dyDescent="0.3">
      <c r="A1980">
        <v>1346</v>
      </c>
      <c r="B1980" t="s">
        <v>2564</v>
      </c>
      <c r="C1980" t="s">
        <v>4381</v>
      </c>
      <c r="D1980" s="4">
        <v>31.05</v>
      </c>
      <c r="E1980" t="s">
        <v>4382</v>
      </c>
      <c r="F1980" s="1">
        <v>-0.12609999999999999</v>
      </c>
      <c r="G1980" s="1">
        <v>9.4999999999999998E-3</v>
      </c>
      <c r="H1980" t="s">
        <v>4379</v>
      </c>
      <c r="I1980" t="s">
        <v>4383</v>
      </c>
    </row>
    <row r="1981" spans="1:9" x14ac:dyDescent="0.3">
      <c r="A1981">
        <v>1359</v>
      </c>
      <c r="B1981" t="s">
        <v>1799</v>
      </c>
      <c r="C1981" t="s">
        <v>4423</v>
      </c>
      <c r="D1981" s="4">
        <v>29.38</v>
      </c>
      <c r="E1981" t="s">
        <v>4424</v>
      </c>
      <c r="F1981" s="1">
        <v>-6.8599999999999994E-2</v>
      </c>
      <c r="G1981" s="1">
        <v>7.9000000000000008E-3</v>
      </c>
      <c r="H1981" t="s">
        <v>4379</v>
      </c>
      <c r="I1981" t="s">
        <v>4425</v>
      </c>
    </row>
    <row r="1982" spans="1:9" x14ac:dyDescent="0.3">
      <c r="A1982">
        <v>1468</v>
      </c>
      <c r="B1982" t="s">
        <v>2564</v>
      </c>
      <c r="C1982" t="s">
        <v>4768</v>
      </c>
      <c r="D1982" s="4">
        <v>20.76</v>
      </c>
      <c r="E1982" t="s">
        <v>4769</v>
      </c>
      <c r="F1982" s="1">
        <v>-0.27550000000000002</v>
      </c>
      <c r="G1982" s="1">
        <v>9.4999999999999998E-3</v>
      </c>
      <c r="H1982" t="s">
        <v>4379</v>
      </c>
      <c r="I1982" t="s">
        <v>4770</v>
      </c>
    </row>
    <row r="1983" spans="1:9" x14ac:dyDescent="0.3">
      <c r="A1983">
        <v>1545</v>
      </c>
      <c r="B1983" t="s">
        <v>1799</v>
      </c>
      <c r="C1983" t="s">
        <v>5002</v>
      </c>
      <c r="D1983" s="4">
        <v>15.95</v>
      </c>
      <c r="E1983" t="s">
        <v>5003</v>
      </c>
      <c r="F1983" s="1">
        <v>-3.8800000000000001E-2</v>
      </c>
      <c r="G1983" s="1">
        <v>7.9000000000000008E-3</v>
      </c>
      <c r="H1983" t="s">
        <v>4379</v>
      </c>
      <c r="I1983" t="s">
        <v>5004</v>
      </c>
    </row>
    <row r="1984" spans="1:9" x14ac:dyDescent="0.3">
      <c r="A1984">
        <v>1409</v>
      </c>
      <c r="B1984" t="s">
        <v>588</v>
      </c>
      <c r="C1984" t="s">
        <v>4575</v>
      </c>
      <c r="D1984" s="4">
        <v>24.96</v>
      </c>
      <c r="E1984" t="s">
        <v>4576</v>
      </c>
      <c r="F1984" s="1">
        <v>-3.5499999999999997E-2</v>
      </c>
      <c r="G1984" s="1">
        <v>1.0699999999999999E-2</v>
      </c>
      <c r="H1984" t="s">
        <v>4577</v>
      </c>
      <c r="I1984" t="s">
        <v>4578</v>
      </c>
    </row>
    <row r="1985" spans="1:9" x14ac:dyDescent="0.3">
      <c r="A1985">
        <v>716</v>
      </c>
      <c r="B1985" t="s">
        <v>588</v>
      </c>
      <c r="C1985" t="s">
        <v>2342</v>
      </c>
      <c r="D1985" s="4">
        <v>253.37</v>
      </c>
      <c r="E1985" t="s">
        <v>2343</v>
      </c>
      <c r="F1985" s="1">
        <v>-0.19570000000000001</v>
      </c>
      <c r="G1985" s="1">
        <v>9.9000000000000008E-3</v>
      </c>
      <c r="H1985" t="s">
        <v>2344</v>
      </c>
      <c r="I1985" t="s">
        <v>2345</v>
      </c>
    </row>
    <row r="1986" spans="1:9" x14ac:dyDescent="0.3">
      <c r="A1986">
        <v>1279</v>
      </c>
      <c r="B1986" t="s">
        <v>2564</v>
      </c>
      <c r="C1986" t="s">
        <v>4158</v>
      </c>
      <c r="D1986" s="4">
        <v>38.31</v>
      </c>
      <c r="E1986" t="s">
        <v>4159</v>
      </c>
      <c r="F1986" s="1">
        <v>-1.3299999999999999E-2</v>
      </c>
      <c r="G1986" s="1">
        <v>9.4999999999999998E-3</v>
      </c>
      <c r="H1986" t="s">
        <v>4160</v>
      </c>
      <c r="I1986" t="s">
        <v>4161</v>
      </c>
    </row>
    <row r="1987" spans="1:9" x14ac:dyDescent="0.3">
      <c r="A1987">
        <v>335</v>
      </c>
      <c r="B1987" t="s">
        <v>1115</v>
      </c>
      <c r="C1987" t="s">
        <v>1116</v>
      </c>
      <c r="D1987" s="4">
        <f>1.33*1000</f>
        <v>1330</v>
      </c>
      <c r="E1987" t="s">
        <v>1117</v>
      </c>
      <c r="F1987" s="1">
        <v>-0.40179999999999999</v>
      </c>
      <c r="G1987" s="1">
        <v>9.4999999999999998E-3</v>
      </c>
      <c r="H1987" t="s">
        <v>1118</v>
      </c>
      <c r="I1987" t="s">
        <v>1119</v>
      </c>
    </row>
    <row r="1988" spans="1:9" x14ac:dyDescent="0.3">
      <c r="A1988">
        <v>698</v>
      </c>
      <c r="B1988" t="s">
        <v>1115</v>
      </c>
      <c r="C1988" t="s">
        <v>2287</v>
      </c>
      <c r="D1988" s="4">
        <v>278.14</v>
      </c>
      <c r="E1988" t="s">
        <v>2288</v>
      </c>
      <c r="F1988" s="1">
        <v>-0.39750000000000002</v>
      </c>
      <c r="G1988" s="1">
        <v>9.4999999999999998E-3</v>
      </c>
      <c r="H1988" t="s">
        <v>1118</v>
      </c>
      <c r="I1988" t="s">
        <v>2289</v>
      </c>
    </row>
    <row r="1989" spans="1:9" x14ac:dyDescent="0.3">
      <c r="A1989">
        <v>804</v>
      </c>
      <c r="B1989" t="s">
        <v>1115</v>
      </c>
      <c r="C1989" t="s">
        <v>2630</v>
      </c>
      <c r="D1989" s="4">
        <v>186.07</v>
      </c>
      <c r="E1989" t="s">
        <v>2631</v>
      </c>
      <c r="F1989" s="1">
        <v>-0.27329999999999999</v>
      </c>
      <c r="G1989" s="1">
        <v>9.4999999999999998E-3</v>
      </c>
      <c r="H1989" t="s">
        <v>1118</v>
      </c>
      <c r="I1989" t="s">
        <v>2632</v>
      </c>
    </row>
    <row r="1990" spans="1:9" x14ac:dyDescent="0.3">
      <c r="A1990">
        <v>1711</v>
      </c>
      <c r="B1990" t="s">
        <v>588</v>
      </c>
      <c r="C1990" t="s">
        <v>5519</v>
      </c>
      <c r="D1990" s="4">
        <v>6.59</v>
      </c>
      <c r="E1990" t="s">
        <v>5520</v>
      </c>
      <c r="F1990" s="1">
        <v>-0.48449999999999999</v>
      </c>
      <c r="G1990" s="1">
        <v>1.0699999999999999E-2</v>
      </c>
      <c r="H1990" t="s">
        <v>1118</v>
      </c>
      <c r="I1990" t="s">
        <v>5521</v>
      </c>
    </row>
    <row r="1991" spans="1:9" x14ac:dyDescent="0.3">
      <c r="A1991">
        <v>461</v>
      </c>
      <c r="B1991" t="s">
        <v>588</v>
      </c>
      <c r="C1991" t="s">
        <v>1504</v>
      </c>
      <c r="D1991" s="4">
        <v>767.8</v>
      </c>
      <c r="E1991" t="s">
        <v>1505</v>
      </c>
      <c r="F1991" s="1">
        <v>-0.6603</v>
      </c>
      <c r="G1991" s="1">
        <v>1.0200000000000001E-2</v>
      </c>
      <c r="H1991" t="s">
        <v>1506</v>
      </c>
      <c r="I1991" t="s">
        <v>1507</v>
      </c>
    </row>
    <row r="1992" spans="1:9" x14ac:dyDescent="0.3">
      <c r="A1992">
        <v>1033</v>
      </c>
      <c r="B1992" t="s">
        <v>588</v>
      </c>
      <c r="C1992" t="s">
        <v>3363</v>
      </c>
      <c r="D1992" s="4">
        <v>91.63</v>
      </c>
      <c r="E1992" t="s">
        <v>3364</v>
      </c>
      <c r="F1992" s="1">
        <v>-0.47670000000000001</v>
      </c>
      <c r="G1992" s="1">
        <v>0.01</v>
      </c>
      <c r="H1992" t="s">
        <v>3365</v>
      </c>
      <c r="I1992" t="s">
        <v>3366</v>
      </c>
    </row>
    <row r="1993" spans="1:9" x14ac:dyDescent="0.3">
      <c r="A1993">
        <v>2003</v>
      </c>
      <c r="B1993" t="s">
        <v>6113</v>
      </c>
      <c r="C1993" t="s">
        <v>6335</v>
      </c>
      <c r="D1993" s="4" t="s">
        <v>662</v>
      </c>
      <c r="E1993" t="s">
        <v>662</v>
      </c>
      <c r="F1993" s="1">
        <v>-0.2487</v>
      </c>
      <c r="G1993" s="1">
        <v>9.4999999999999998E-3</v>
      </c>
      <c r="H1993" t="s">
        <v>4073</v>
      </c>
      <c r="I1993" t="s">
        <v>6336</v>
      </c>
    </row>
    <row r="1994" spans="1:9" x14ac:dyDescent="0.3">
      <c r="A1994">
        <v>1253</v>
      </c>
      <c r="B1994" t="s">
        <v>588</v>
      </c>
      <c r="C1994" t="s">
        <v>4071</v>
      </c>
      <c r="D1994" s="4">
        <v>41.63</v>
      </c>
      <c r="E1994" t="s">
        <v>4072</v>
      </c>
      <c r="F1994" s="1">
        <v>-0.22500000000000001</v>
      </c>
      <c r="G1994" s="1">
        <v>9.7999999999999997E-3</v>
      </c>
      <c r="H1994" t="s">
        <v>4073</v>
      </c>
      <c r="I1994" t="s">
        <v>4074</v>
      </c>
    </row>
    <row r="1995" spans="1:9" x14ac:dyDescent="0.3">
      <c r="A1995">
        <v>2004</v>
      </c>
      <c r="B1995" t="s">
        <v>6113</v>
      </c>
      <c r="C1995" t="s">
        <v>6337</v>
      </c>
      <c r="D1995" s="4" t="s">
        <v>662</v>
      </c>
      <c r="E1995" t="s">
        <v>662</v>
      </c>
      <c r="F1995" s="1">
        <v>5.2600000000000001E-2</v>
      </c>
      <c r="G1995" s="1">
        <v>9.4999999999999998E-3</v>
      </c>
      <c r="H1995" t="s">
        <v>6338</v>
      </c>
      <c r="I1995" t="s">
        <v>6339</v>
      </c>
    </row>
    <row r="1996" spans="1:9" x14ac:dyDescent="0.3">
      <c r="A1996">
        <v>515</v>
      </c>
      <c r="B1996" t="s">
        <v>588</v>
      </c>
      <c r="C1996" t="s">
        <v>1674</v>
      </c>
      <c r="D1996" s="4">
        <v>583.07000000000005</v>
      </c>
      <c r="E1996" t="s">
        <v>1675</v>
      </c>
      <c r="F1996" s="1">
        <v>0.18859999999999999</v>
      </c>
      <c r="G1996" s="1">
        <v>0.01</v>
      </c>
      <c r="H1996" t="s">
        <v>1676</v>
      </c>
      <c r="I1996" t="s">
        <v>1677</v>
      </c>
    </row>
    <row r="1997" spans="1:9" x14ac:dyDescent="0.3">
      <c r="A1997">
        <v>2009</v>
      </c>
      <c r="B1997" t="s">
        <v>6113</v>
      </c>
      <c r="C1997" t="s">
        <v>6348</v>
      </c>
      <c r="D1997" s="4" t="s">
        <v>662</v>
      </c>
      <c r="E1997" t="s">
        <v>662</v>
      </c>
      <c r="F1997" s="1">
        <v>-0.13780000000000001</v>
      </c>
      <c r="G1997" s="1">
        <v>9.4999999999999998E-3</v>
      </c>
      <c r="H1997" t="s">
        <v>765</v>
      </c>
      <c r="I1997" t="s">
        <v>6349</v>
      </c>
    </row>
    <row r="1998" spans="1:9" x14ac:dyDescent="0.3">
      <c r="A1998">
        <v>221</v>
      </c>
      <c r="B1998" t="s">
        <v>588</v>
      </c>
      <c r="C1998" t="s">
        <v>763</v>
      </c>
      <c r="D1998" s="4">
        <f>3.03*1000</f>
        <v>3030</v>
      </c>
      <c r="E1998" t="s">
        <v>764</v>
      </c>
      <c r="F1998" s="1">
        <v>-0.15970000000000001</v>
      </c>
      <c r="G1998" s="1">
        <v>9.9000000000000008E-3</v>
      </c>
      <c r="H1998" t="s">
        <v>765</v>
      </c>
      <c r="I1998" t="s">
        <v>766</v>
      </c>
    </row>
    <row r="1999" spans="1:9" x14ac:dyDescent="0.3">
      <c r="A1999">
        <v>894</v>
      </c>
      <c r="B1999" t="s">
        <v>1115</v>
      </c>
      <c r="C1999" t="s">
        <v>2915</v>
      </c>
      <c r="D1999" s="4">
        <v>138.34</v>
      </c>
      <c r="E1999" t="s">
        <v>2916</v>
      </c>
      <c r="F1999" s="1">
        <v>-0.17699999999999999</v>
      </c>
      <c r="G1999" s="1">
        <v>9.4999999999999998E-3</v>
      </c>
      <c r="H1999" t="s">
        <v>765</v>
      </c>
      <c r="I1999" t="s">
        <v>2917</v>
      </c>
    </row>
    <row r="2000" spans="1:9" x14ac:dyDescent="0.3">
      <c r="A2000">
        <v>1994</v>
      </c>
      <c r="B2000" t="s">
        <v>6113</v>
      </c>
      <c r="C2000" t="s">
        <v>6313</v>
      </c>
      <c r="D2000" s="4" t="s">
        <v>662</v>
      </c>
      <c r="E2000" t="s">
        <v>662</v>
      </c>
      <c r="F2000" s="1">
        <v>-8.1799999999999998E-2</v>
      </c>
      <c r="G2000" s="1">
        <v>9.4999999999999998E-3</v>
      </c>
      <c r="H2000" t="s">
        <v>2450</v>
      </c>
      <c r="I2000" t="s">
        <v>6314</v>
      </c>
    </row>
    <row r="2001" spans="1:9" x14ac:dyDescent="0.3">
      <c r="A2001">
        <v>747</v>
      </c>
      <c r="B2001" t="s">
        <v>588</v>
      </c>
      <c r="C2001" t="s">
        <v>2448</v>
      </c>
      <c r="D2001" s="4">
        <v>223.73</v>
      </c>
      <c r="E2001" t="s">
        <v>2449</v>
      </c>
      <c r="F2001" s="1">
        <v>-4.2099999999999999E-2</v>
      </c>
      <c r="G2001" s="1">
        <v>1.0800000000000001E-2</v>
      </c>
      <c r="H2001" t="s">
        <v>2450</v>
      </c>
      <c r="I2001" t="s">
        <v>2451</v>
      </c>
    </row>
    <row r="2002" spans="1:9" x14ac:dyDescent="0.3">
      <c r="A2002">
        <v>729</v>
      </c>
      <c r="B2002" t="s">
        <v>588</v>
      </c>
      <c r="C2002" t="s">
        <v>2389</v>
      </c>
      <c r="D2002" s="4">
        <v>239.74</v>
      </c>
      <c r="E2002" t="s">
        <v>2390</v>
      </c>
      <c r="F2002" s="1">
        <v>-0.1361</v>
      </c>
      <c r="G2002" s="1">
        <v>0.01</v>
      </c>
      <c r="H2002" t="s">
        <v>2391</v>
      </c>
      <c r="I2002" t="s">
        <v>2392</v>
      </c>
    </row>
    <row r="2003" spans="1:9" x14ac:dyDescent="0.3">
      <c r="A2003">
        <v>2008</v>
      </c>
      <c r="B2003" t="s">
        <v>6113</v>
      </c>
      <c r="C2003" t="s">
        <v>6346</v>
      </c>
      <c r="D2003" s="4" t="s">
        <v>662</v>
      </c>
      <c r="E2003" t="s">
        <v>662</v>
      </c>
      <c r="F2003" s="1">
        <v>-0.13089999999999999</v>
      </c>
      <c r="G2003" s="1">
        <v>9.4999999999999998E-3</v>
      </c>
      <c r="H2003" t="s">
        <v>4048</v>
      </c>
      <c r="I2003" t="s">
        <v>6347</v>
      </c>
    </row>
    <row r="2004" spans="1:9" x14ac:dyDescent="0.3">
      <c r="A2004">
        <v>1245</v>
      </c>
      <c r="B2004" t="s">
        <v>588</v>
      </c>
      <c r="C2004" t="s">
        <v>4046</v>
      </c>
      <c r="D2004" s="4">
        <v>42.72</v>
      </c>
      <c r="E2004" t="s">
        <v>4047</v>
      </c>
      <c r="F2004" s="1">
        <v>-0.1002</v>
      </c>
      <c r="G2004" s="1">
        <v>1.01E-2</v>
      </c>
      <c r="H2004" t="s">
        <v>4048</v>
      </c>
      <c r="I2004" t="s">
        <v>4049</v>
      </c>
    </row>
    <row r="2005" spans="1:9" x14ac:dyDescent="0.3">
      <c r="A2005">
        <v>1992</v>
      </c>
      <c r="B2005" t="s">
        <v>6113</v>
      </c>
      <c r="C2005" t="s">
        <v>6308</v>
      </c>
      <c r="D2005" s="4" t="s">
        <v>662</v>
      </c>
      <c r="E2005" t="s">
        <v>662</v>
      </c>
      <c r="F2005" s="1">
        <v>-0.14499999999999999</v>
      </c>
      <c r="G2005" s="1">
        <v>9.4999999999999998E-3</v>
      </c>
      <c r="H2005" t="s">
        <v>807</v>
      </c>
      <c r="I2005" t="s">
        <v>6309</v>
      </c>
    </row>
    <row r="2006" spans="1:9" x14ac:dyDescent="0.3">
      <c r="A2006">
        <v>234</v>
      </c>
      <c r="B2006" t="s">
        <v>588</v>
      </c>
      <c r="C2006" t="s">
        <v>805</v>
      </c>
      <c r="D2006" s="4">
        <f>2.69*1000</f>
        <v>2690</v>
      </c>
      <c r="E2006" t="s">
        <v>806</v>
      </c>
      <c r="F2006" s="1">
        <v>-9.0800000000000006E-2</v>
      </c>
      <c r="G2006" s="1">
        <v>1.0800000000000001E-2</v>
      </c>
      <c r="H2006" t="s">
        <v>807</v>
      </c>
      <c r="I2006" t="s">
        <v>808</v>
      </c>
    </row>
    <row r="2007" spans="1:9" x14ac:dyDescent="0.3">
      <c r="A2007">
        <v>1726</v>
      </c>
      <c r="B2007" t="s">
        <v>588</v>
      </c>
      <c r="C2007" t="s">
        <v>5566</v>
      </c>
      <c r="D2007" s="4">
        <v>6.13</v>
      </c>
      <c r="E2007" t="s">
        <v>5567</v>
      </c>
      <c r="F2007" s="1">
        <v>-0.1135</v>
      </c>
      <c r="G2007" s="1">
        <v>1.0699999999999999E-2</v>
      </c>
      <c r="H2007" t="s">
        <v>5568</v>
      </c>
      <c r="I2007" t="s">
        <v>5569</v>
      </c>
    </row>
    <row r="2008" spans="1:9" x14ac:dyDescent="0.3">
      <c r="A2008">
        <v>870</v>
      </c>
      <c r="B2008" t="s">
        <v>588</v>
      </c>
      <c r="C2008" t="s">
        <v>2841</v>
      </c>
      <c r="D2008" s="4">
        <v>147.24</v>
      </c>
      <c r="E2008" t="s">
        <v>2842</v>
      </c>
      <c r="F2008" s="1">
        <v>-0.59099999999999997</v>
      </c>
      <c r="G2008" s="1">
        <v>9.7999999999999997E-3</v>
      </c>
      <c r="H2008" t="s">
        <v>2843</v>
      </c>
      <c r="I2008" t="s">
        <v>2844</v>
      </c>
    </row>
    <row r="2009" spans="1:9" x14ac:dyDescent="0.3">
      <c r="A2009">
        <v>2010</v>
      </c>
      <c r="B2009" t="s">
        <v>6113</v>
      </c>
      <c r="C2009" t="s">
        <v>6350</v>
      </c>
      <c r="D2009" s="4" t="s">
        <v>662</v>
      </c>
      <c r="E2009" t="s">
        <v>662</v>
      </c>
      <c r="F2009" s="1">
        <v>-1.2200000000000001E-2</v>
      </c>
      <c r="G2009" s="1">
        <v>9.4999999999999998E-3</v>
      </c>
      <c r="H2009" t="s">
        <v>6351</v>
      </c>
      <c r="I2009" t="s">
        <v>6352</v>
      </c>
    </row>
    <row r="2010" spans="1:9" x14ac:dyDescent="0.3">
      <c r="A2010">
        <v>1718</v>
      </c>
      <c r="B2010" t="s">
        <v>588</v>
      </c>
      <c r="C2010" t="s">
        <v>5540</v>
      </c>
      <c r="D2010" s="4">
        <v>6.41</v>
      </c>
      <c r="E2010" t="s">
        <v>5541</v>
      </c>
      <c r="F2010" t="s">
        <v>662</v>
      </c>
      <c r="G2010" s="1">
        <v>1.0699999999999999E-2</v>
      </c>
      <c r="H2010" t="s">
        <v>5542</v>
      </c>
      <c r="I2010" t="s">
        <v>5543</v>
      </c>
    </row>
    <row r="2011" spans="1:9" x14ac:dyDescent="0.3">
      <c r="A2011">
        <v>1316</v>
      </c>
      <c r="B2011" t="s">
        <v>2564</v>
      </c>
      <c r="C2011" t="s">
        <v>4279</v>
      </c>
      <c r="D2011" s="4">
        <v>33.99</v>
      </c>
      <c r="E2011" t="s">
        <v>4280</v>
      </c>
      <c r="F2011" s="1">
        <v>-3.1399999999999997E-2</v>
      </c>
      <c r="G2011" s="1">
        <v>9.4999999999999998E-3</v>
      </c>
      <c r="H2011" t="s">
        <v>4281</v>
      </c>
      <c r="I2011" t="s">
        <v>4282</v>
      </c>
    </row>
    <row r="2012" spans="1:9" x14ac:dyDescent="0.3">
      <c r="A2012">
        <v>1272</v>
      </c>
      <c r="B2012" t="s">
        <v>2564</v>
      </c>
      <c r="C2012" t="s">
        <v>4132</v>
      </c>
      <c r="D2012" s="4">
        <v>39.18</v>
      </c>
      <c r="E2012" t="s">
        <v>4133</v>
      </c>
      <c r="F2012" s="1">
        <v>-0.16500000000000001</v>
      </c>
      <c r="G2012" s="1">
        <v>9.4999999999999998E-3</v>
      </c>
      <c r="H2012" t="s">
        <v>4134</v>
      </c>
      <c r="I2012" t="s">
        <v>4135</v>
      </c>
    </row>
    <row r="2013" spans="1:9" x14ac:dyDescent="0.3">
      <c r="A2013">
        <v>1989</v>
      </c>
      <c r="B2013" t="s">
        <v>6113</v>
      </c>
      <c r="C2013" t="s">
        <v>6302</v>
      </c>
      <c r="D2013" s="4" t="s">
        <v>662</v>
      </c>
      <c r="E2013" t="s">
        <v>662</v>
      </c>
      <c r="F2013" s="1">
        <v>0.15720000000000001</v>
      </c>
      <c r="G2013" s="1">
        <v>9.4999999999999998E-3</v>
      </c>
      <c r="H2013" t="s">
        <v>1393</v>
      </c>
      <c r="I2013" t="s">
        <v>6303</v>
      </c>
    </row>
    <row r="2014" spans="1:9" x14ac:dyDescent="0.3">
      <c r="A2014">
        <v>426</v>
      </c>
      <c r="B2014" t="s">
        <v>1115</v>
      </c>
      <c r="C2014" t="s">
        <v>1391</v>
      </c>
      <c r="D2014" s="4">
        <v>868.5</v>
      </c>
      <c r="E2014" t="s">
        <v>1392</v>
      </c>
      <c r="F2014" s="1">
        <v>0.16270000000000001</v>
      </c>
      <c r="G2014" s="1">
        <v>9.4999999999999998E-3</v>
      </c>
      <c r="H2014" t="s">
        <v>1393</v>
      </c>
      <c r="I2014" t="s">
        <v>1394</v>
      </c>
    </row>
    <row r="2015" spans="1:9" x14ac:dyDescent="0.3">
      <c r="A2015">
        <v>469</v>
      </c>
      <c r="B2015" t="s">
        <v>588</v>
      </c>
      <c r="C2015" t="s">
        <v>1529</v>
      </c>
      <c r="D2015" s="4">
        <v>738.47</v>
      </c>
      <c r="E2015" t="s">
        <v>1530</v>
      </c>
      <c r="F2015" s="1">
        <v>-0.1313</v>
      </c>
      <c r="G2015" s="1">
        <v>1.17E-2</v>
      </c>
      <c r="H2015" t="s">
        <v>1393</v>
      </c>
      <c r="I2015" t="s">
        <v>1531</v>
      </c>
    </row>
    <row r="2016" spans="1:9" x14ac:dyDescent="0.3">
      <c r="A2016">
        <v>1776</v>
      </c>
      <c r="B2016" t="s">
        <v>1115</v>
      </c>
      <c r="C2016" t="s">
        <v>5717</v>
      </c>
      <c r="D2016" s="4">
        <v>4.47</v>
      </c>
      <c r="E2016" t="s">
        <v>5718</v>
      </c>
      <c r="F2016" t="s">
        <v>662</v>
      </c>
      <c r="G2016" s="1">
        <v>9.4999999999999998E-3</v>
      </c>
      <c r="H2016" t="s">
        <v>1393</v>
      </c>
      <c r="I2016" t="s">
        <v>5719</v>
      </c>
    </row>
    <row r="2017" spans="1:9" x14ac:dyDescent="0.3">
      <c r="A2017">
        <v>1958</v>
      </c>
      <c r="B2017" t="s">
        <v>6113</v>
      </c>
      <c r="C2017" t="s">
        <v>6229</v>
      </c>
      <c r="D2017" s="4" t="s">
        <v>662</v>
      </c>
      <c r="E2017" t="s">
        <v>662</v>
      </c>
      <c r="F2017" s="1">
        <v>-0.33729999999999999</v>
      </c>
      <c r="G2017" s="1">
        <v>9.4999999999999998E-3</v>
      </c>
      <c r="H2017" t="s">
        <v>6230</v>
      </c>
      <c r="I2017" t="s">
        <v>6231</v>
      </c>
    </row>
    <row r="2018" spans="1:9" x14ac:dyDescent="0.3">
      <c r="A2018">
        <v>1440</v>
      </c>
      <c r="B2018" t="s">
        <v>588</v>
      </c>
      <c r="C2018" t="s">
        <v>4679</v>
      </c>
      <c r="D2018" s="4">
        <v>22.73</v>
      </c>
      <c r="E2018" t="s">
        <v>4680</v>
      </c>
      <c r="F2018" s="1">
        <v>-0.35310000000000002</v>
      </c>
      <c r="G2018" s="1">
        <v>9.7999999999999997E-3</v>
      </c>
      <c r="H2018" t="s">
        <v>4681</v>
      </c>
      <c r="I2018" t="s">
        <v>4682</v>
      </c>
    </row>
    <row r="2019" spans="1:9" x14ac:dyDescent="0.3">
      <c r="A2019">
        <v>2006</v>
      </c>
      <c r="B2019" t="s">
        <v>6113</v>
      </c>
      <c r="C2019" t="s">
        <v>6342</v>
      </c>
      <c r="D2019" s="4" t="s">
        <v>662</v>
      </c>
      <c r="E2019" t="s">
        <v>662</v>
      </c>
      <c r="F2019" s="1">
        <v>-6.2E-2</v>
      </c>
      <c r="G2019" s="1">
        <v>9.4999999999999998E-3</v>
      </c>
      <c r="H2019" t="s">
        <v>3134</v>
      </c>
      <c r="I2019" t="s">
        <v>6343</v>
      </c>
    </row>
    <row r="2020" spans="1:9" x14ac:dyDescent="0.3">
      <c r="A2020">
        <v>961</v>
      </c>
      <c r="B2020" t="s">
        <v>588</v>
      </c>
      <c r="C2020" t="s">
        <v>3132</v>
      </c>
      <c r="D2020" s="4">
        <v>115.22</v>
      </c>
      <c r="E2020" t="s">
        <v>3133</v>
      </c>
      <c r="F2020" s="1">
        <v>-8.5400000000000004E-2</v>
      </c>
      <c r="G2020" s="1">
        <v>9.9000000000000008E-3</v>
      </c>
      <c r="H2020" t="s">
        <v>3134</v>
      </c>
      <c r="I2020" t="s">
        <v>3135</v>
      </c>
    </row>
    <row r="2021" spans="1:9" x14ac:dyDescent="0.3">
      <c r="A2021">
        <v>610</v>
      </c>
      <c r="B2021" t="s">
        <v>588</v>
      </c>
      <c r="C2021" t="s">
        <v>1998</v>
      </c>
      <c r="D2021" s="4">
        <v>400.07</v>
      </c>
      <c r="E2021" t="s">
        <v>1999</v>
      </c>
      <c r="F2021" s="1">
        <v>-6.54E-2</v>
      </c>
      <c r="G2021" s="1">
        <v>9.9000000000000008E-3</v>
      </c>
      <c r="H2021" t="s">
        <v>2000</v>
      </c>
      <c r="I2021" t="s">
        <v>2001</v>
      </c>
    </row>
    <row r="2022" spans="1:9" x14ac:dyDescent="0.3">
      <c r="A2022">
        <v>2007</v>
      </c>
      <c r="B2022" t="s">
        <v>6113</v>
      </c>
      <c r="C2022" t="s">
        <v>6344</v>
      </c>
      <c r="D2022" s="4" t="s">
        <v>662</v>
      </c>
      <c r="E2022" t="s">
        <v>662</v>
      </c>
      <c r="F2022" s="1">
        <v>-1.6400000000000001E-2</v>
      </c>
      <c r="G2022" s="1">
        <v>9.4999999999999998E-3</v>
      </c>
      <c r="H2022" t="s">
        <v>591</v>
      </c>
      <c r="I2022" t="s">
        <v>6345</v>
      </c>
    </row>
    <row r="2023" spans="1:9" x14ac:dyDescent="0.3">
      <c r="A2023">
        <v>168</v>
      </c>
      <c r="B2023" t="s">
        <v>588</v>
      </c>
      <c r="C2023" t="s">
        <v>589</v>
      </c>
      <c r="D2023" s="4">
        <f>4.77*1000</f>
        <v>4770</v>
      </c>
      <c r="E2023" t="s">
        <v>590</v>
      </c>
      <c r="F2023" s="1">
        <v>-4.1200000000000001E-2</v>
      </c>
      <c r="G2023" s="1">
        <v>9.5999999999999992E-3</v>
      </c>
      <c r="H2023" t="s">
        <v>591</v>
      </c>
      <c r="I2023" t="s">
        <v>592</v>
      </c>
    </row>
    <row r="2024" spans="1:9" x14ac:dyDescent="0.3">
      <c r="A2024">
        <v>1914</v>
      </c>
      <c r="B2024" t="s">
        <v>6113</v>
      </c>
      <c r="C2024" t="s">
        <v>6140</v>
      </c>
      <c r="D2024" s="4" t="s">
        <v>662</v>
      </c>
      <c r="E2024" t="s">
        <v>662</v>
      </c>
      <c r="F2024" s="1">
        <v>-0.40699999999999997</v>
      </c>
      <c r="G2024" s="1">
        <v>9.4999999999999998E-3</v>
      </c>
      <c r="H2024" t="s">
        <v>5156</v>
      </c>
      <c r="I2024" t="s">
        <v>6141</v>
      </c>
    </row>
    <row r="2025" spans="1:9" x14ac:dyDescent="0.3">
      <c r="A2025">
        <v>1593</v>
      </c>
      <c r="B2025" t="s">
        <v>588</v>
      </c>
      <c r="C2025" t="s">
        <v>5154</v>
      </c>
      <c r="D2025" s="4">
        <v>12.65</v>
      </c>
      <c r="E2025" t="s">
        <v>5155</v>
      </c>
      <c r="F2025" s="1">
        <v>-0.51700000000000002</v>
      </c>
      <c r="G2025" s="1">
        <v>1.0699999999999999E-2</v>
      </c>
      <c r="H2025" t="s">
        <v>5156</v>
      </c>
      <c r="I2025" t="s">
        <v>5157</v>
      </c>
    </row>
    <row r="2026" spans="1:9" x14ac:dyDescent="0.3">
      <c r="A2026">
        <v>1982</v>
      </c>
      <c r="B2026" t="s">
        <v>6113</v>
      </c>
      <c r="C2026" t="s">
        <v>6285</v>
      </c>
      <c r="D2026" s="4" t="s">
        <v>662</v>
      </c>
      <c r="E2026" t="s">
        <v>662</v>
      </c>
      <c r="F2026" s="1">
        <v>-5.3E-3</v>
      </c>
      <c r="G2026" s="1">
        <v>9.4999999999999998E-3</v>
      </c>
      <c r="H2026" t="s">
        <v>6286</v>
      </c>
      <c r="I2026" t="s">
        <v>6287</v>
      </c>
    </row>
    <row r="2027" spans="1:9" x14ac:dyDescent="0.3">
      <c r="A2027">
        <v>1162</v>
      </c>
      <c r="B2027" t="s">
        <v>588</v>
      </c>
      <c r="C2027" t="s">
        <v>3783</v>
      </c>
      <c r="D2027" s="4">
        <v>57.82</v>
      </c>
      <c r="E2027" t="s">
        <v>3784</v>
      </c>
      <c r="F2027" s="1">
        <v>-0.1002</v>
      </c>
      <c r="G2027" s="1">
        <v>1.01E-2</v>
      </c>
      <c r="H2027" t="s">
        <v>3785</v>
      </c>
      <c r="I2027" t="s">
        <v>3786</v>
      </c>
    </row>
    <row r="2028" spans="1:9" x14ac:dyDescent="0.3">
      <c r="A2028">
        <v>2005</v>
      </c>
      <c r="B2028" t="s">
        <v>6113</v>
      </c>
      <c r="C2028" t="s">
        <v>6340</v>
      </c>
      <c r="D2028" s="4" t="s">
        <v>662</v>
      </c>
      <c r="E2028" t="s">
        <v>662</v>
      </c>
      <c r="F2028" s="1">
        <v>7.1499999999999994E-2</v>
      </c>
      <c r="G2028" s="1">
        <v>9.4999999999999998E-3</v>
      </c>
      <c r="H2028" t="s">
        <v>4665</v>
      </c>
      <c r="I2028" t="s">
        <v>6341</v>
      </c>
    </row>
    <row r="2029" spans="1:9" x14ac:dyDescent="0.3">
      <c r="A2029">
        <v>1435</v>
      </c>
      <c r="B2029" t="s">
        <v>588</v>
      </c>
      <c r="C2029" t="s">
        <v>4663</v>
      </c>
      <c r="D2029" s="4">
        <v>22.97</v>
      </c>
      <c r="E2029" t="s">
        <v>4664</v>
      </c>
      <c r="F2029" s="1">
        <v>9.1399999999999995E-2</v>
      </c>
      <c r="G2029" s="1">
        <v>0.01</v>
      </c>
      <c r="H2029" t="s">
        <v>4665</v>
      </c>
      <c r="I2029" t="s">
        <v>4666</v>
      </c>
    </row>
    <row r="2030" spans="1:9" x14ac:dyDescent="0.3">
      <c r="A2030">
        <v>1898</v>
      </c>
      <c r="B2030" t="s">
        <v>588</v>
      </c>
      <c r="C2030" t="s">
        <v>6102</v>
      </c>
      <c r="D2030" s="4" t="s">
        <v>662</v>
      </c>
      <c r="E2030" t="s">
        <v>662</v>
      </c>
      <c r="F2030" t="s">
        <v>662</v>
      </c>
      <c r="G2030" s="1">
        <v>1.0699999999999999E-2</v>
      </c>
      <c r="H2030" t="s">
        <v>6103</v>
      </c>
      <c r="I2030" t="s">
        <v>6104</v>
      </c>
    </row>
  </sheetData>
  <autoFilter ref="A1:I1"/>
  <sortState ref="A2:I2030">
    <sortCondition ref="H2:H2030"/>
    <sortCondition descending="1" ref="D2:D2030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etf_result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2022-01-27T07:13:28Z</dcterms:created>
  <dcterms:modified xsi:type="dcterms:W3CDTF">2022-01-27T08:40:44Z</dcterms:modified>
</cp:coreProperties>
</file>